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forsapruebas-my.sharepoint.com/personal/jameslarranaga_forsa_net_co/Documents/GRARCO S.A.S/2025/Licitaciones/5_Segunda Licitacion EOPG/"/>
    </mc:Choice>
  </mc:AlternateContent>
  <xr:revisionPtr revIDLastSave="2969" documentId="11_AE3197FBA4FCABA307875D7E02DFE4656D7AB733" xr6:coauthVersionLast="47" xr6:coauthVersionMax="47" xr10:uidLastSave="{10FBAB46-ED4B-4DAB-845D-6052D3A44558}"/>
  <bookViews>
    <workbookView xWindow="-108" yWindow="-108" windowWidth="23256" windowHeight="13896" xr2:uid="{00000000-000D-0000-FFFF-FFFF00000000}"/>
  </bookViews>
  <sheets>
    <sheet name="FORMATO 13" sheetId="1" r:id="rId1"/>
    <sheet name="A.U. COMPONENTE 1" sheetId="4" r:id="rId2"/>
    <sheet name="A.U. COMPONENTE 2" sheetId="5" r:id="rId3"/>
    <sheet name="APU" sheetId="2" r:id="rId4"/>
    <sheet name="INSUMOS" sheetId="3"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1Sin_nombre" localSheetId="0">#REF!</definedName>
    <definedName name="_1Sin_nombre">#REF!</definedName>
    <definedName name="_PD2016">'[1]LISTA MPD'!$A$2:$A$644</definedName>
    <definedName name="_PDC2016">'[2]LISTA MPD'!$F$2:$F$917</definedName>
    <definedName name="Adm" localSheetId="0">#REF!</definedName>
    <definedName name="Adm">#REF!</definedName>
    <definedName name="akjhgbksdbj" localSheetId="0">#REF!</definedName>
    <definedName name="akjhgbksdbj">#REF!</definedName>
    <definedName name="ANEXOADQUISICION97" localSheetId="0">'[3]BP 1454_2.1.1'!#REF!</definedName>
    <definedName name="ANEXOADQUISICION97">'[3]BP 1454_2.1.1'!#REF!</definedName>
    <definedName name="ANEXOINTER2" localSheetId="0">#REF!</definedName>
    <definedName name="ANEXOINTER2">#REF!</definedName>
    <definedName name="_xlnm.Print_Area" localSheetId="3">APU!$B$1:$G$1698</definedName>
    <definedName name="asas" localSheetId="0">#REF!</definedName>
    <definedName name="asas">#REF!</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Titles" localSheetId="0">#REF!</definedName>
    <definedName name="BuiltIn_Print_Titles">#REF!</definedName>
    <definedName name="caaa" localSheetId="0">#REF!</definedName>
    <definedName name="caaa">#REF!</definedName>
    <definedName name="cacha" localSheetId="0">#REF!</definedName>
    <definedName name="cacha">#REF!</definedName>
    <definedName name="cccccc" localSheetId="0">#REF!</definedName>
    <definedName name="cccccc">#REF!</definedName>
    <definedName name="cd" localSheetId="0">#REF!</definedName>
    <definedName name="cd">#REF!</definedName>
    <definedName name="CDCT">[4]PRESUPUESTO!$A$2</definedName>
    <definedName name="CENTROGESTOR" localSheetId="0">#REF!</definedName>
    <definedName name="CENTROGESTOR">#REF!</definedName>
    <definedName name="CENTROGESTORDEPENDENCIA" localSheetId="0">#REF!</definedName>
    <definedName name="CENTROGESTORDEPENDENCIA">#REF!</definedName>
    <definedName name="centrogestornuevo" localSheetId="0">#REF!</definedName>
    <definedName name="centrogestornuevo">#REF!</definedName>
    <definedName name="ci" localSheetId="0">#REF!</definedName>
    <definedName name="ci">#REF!</definedName>
    <definedName name="COSTOS_DIRECTOS" localSheetId="0">#REF!</definedName>
    <definedName name="COSTOS_DIRECTOS">#REF!</definedName>
    <definedName name="credito_completa" localSheetId="0">#REF!</definedName>
    <definedName name="credito_completa">#REF!</definedName>
    <definedName name="Cuadrillas" localSheetId="0">#REF!</definedName>
    <definedName name="Cuadrillas">#REF!</definedName>
    <definedName name="dddddd" localSheetId="0">#REF!</definedName>
    <definedName name="dddddd">#REF!</definedName>
    <definedName name="DEPENDENCIA" localSheetId="0">#REF!</definedName>
    <definedName name="DEPENDENCIA">#REF!</definedName>
    <definedName name="Descrip_cuadrillas" localSheetId="0">#REF!</definedName>
    <definedName name="Descrip_cuadrillas">#REF!</definedName>
    <definedName name="Descrip_equipos" localSheetId="0">#REF!</definedName>
    <definedName name="Descrip_equipos">#REF!</definedName>
    <definedName name="Descrip_transporte" localSheetId="0">#REF!</definedName>
    <definedName name="Descrip_transporte">#REF!</definedName>
    <definedName name="Descripción" localSheetId="0">#REF!</definedName>
    <definedName name="Descripción">#REF!</definedName>
    <definedName name="eeeee" localSheetId="0">#REF!</definedName>
    <definedName name="eeeee">#REF!</definedName>
    <definedName name="EFWFFFSFSDFSD" localSheetId="0">#REF!</definedName>
    <definedName name="EFWFFFSFSDFSD">#REF!</definedName>
    <definedName name="Equipos" localSheetId="0">#REF!</definedName>
    <definedName name="Equipos">#REF!</definedName>
    <definedName name="ew" localSheetId="0">#REF!</definedName>
    <definedName name="ew">#REF!</definedName>
    <definedName name="FONDO" localSheetId="0">#REF!</definedName>
    <definedName name="FONDO">#REF!</definedName>
    <definedName name="FONDOS" localSheetId="0">[5]MYLIST!$C$2:$C$126</definedName>
    <definedName name="FONDOS">[5]MYLIST!$C$2:$C$126</definedName>
    <definedName name="FUT" localSheetId="0">#REF!</definedName>
    <definedName name="FUT">#REF!</definedName>
    <definedName name="H" localSheetId="0">#REF!</definedName>
    <definedName name="H">#REF!</definedName>
    <definedName name="Imprev" localSheetId="0">#REF!</definedName>
    <definedName name="Imprev">#REF!</definedName>
    <definedName name="imprevistos" localSheetId="0">#REF!</definedName>
    <definedName name="imprevistos">#REF!</definedName>
    <definedName name="indirectos" localSheetId="0">#REF!</definedName>
    <definedName name="indirectos">#REF!</definedName>
    <definedName name="inf" localSheetId="0">#REF!</definedName>
    <definedName name="inf">#REF!</definedName>
    <definedName name="insumosparamantenimiento" localSheetId="0">'[6]ANEXO ACTIVIDADES 2.1.25-26-27'!$E$38</definedName>
    <definedName name="insumosparamantenimiento">'[6]ANEXO ACTIVIDADES 2.1.25-26-27'!$E$38</definedName>
    <definedName name="INTERPARQUEACUEDUCTO" localSheetId="0">#REF!</definedName>
    <definedName name="INTERPARQUEACUEDUCTO">#REF!</definedName>
    <definedName name="INTERVENTORIA" localSheetId="0">#REF!</definedName>
    <definedName name="INTERVENTORIA">#REF!</definedName>
    <definedName name="INTERVENTORIA2" localSheetId="0">#REF!</definedName>
    <definedName name="INTERVENTORIA2">#REF!</definedName>
    <definedName name="IvaSUtl" localSheetId="0">#REF!</definedName>
    <definedName name="IvaSUtl">#REF!</definedName>
    <definedName name="L" localSheetId="0">#REF!</definedName>
    <definedName name="L">#REF!</definedName>
    <definedName name="List_cuadrillas" localSheetId="0">#REF!</definedName>
    <definedName name="List_cuadrillas">#REF!</definedName>
    <definedName name="LISTADO">'[7] Código Precios 2004'!$A$2:$D$3722</definedName>
    <definedName name="Materiales" localSheetId="0">#REF!</definedName>
    <definedName name="Materiales">#REF!</definedName>
    <definedName name="METAAFPDCC" localSheetId="0">#REF!</definedName>
    <definedName name="METAAFPDCC">#REF!</definedName>
    <definedName name="METAPDCC" localSheetId="0">#REF!</definedName>
    <definedName name="METAPDCC">#REF!</definedName>
    <definedName name="METASAFPDCC" localSheetId="0">#REF!</definedName>
    <definedName name="METASAFPDCC">#REF!</definedName>
    <definedName name="METASAFPDM" localSheetId="0">#REF!</definedName>
    <definedName name="METASAFPDM">#REF!</definedName>
    <definedName name="METASPDCC" localSheetId="0">#REF!</definedName>
    <definedName name="METASPDCC">#REF!</definedName>
    <definedName name="METASPDM" localSheetId="0">'[8]LISTA MPD'!$A$2:$A$616</definedName>
    <definedName name="METASPDM">'[8]LISTA MPD'!$A$2:$A$616</definedName>
    <definedName name="ok" localSheetId="0">#REF!</definedName>
    <definedName name="ok">#REF!</definedName>
    <definedName name="OKK" localSheetId="0">#REF!</definedName>
    <definedName name="OKK">#REF!</definedName>
    <definedName name="otrocd" localSheetId="0">#REF!</definedName>
    <definedName name="otrocd">#REF!</definedName>
    <definedName name="otroci" localSheetId="0">#REF!</definedName>
    <definedName name="otroci">#REF!</definedName>
    <definedName name="otroimprev" localSheetId="0">#REF!</definedName>
    <definedName name="otroimprev">#REF!</definedName>
    <definedName name="POSPRE" localSheetId="0">#REF!</definedName>
    <definedName name="POSPRE">#REF!</definedName>
    <definedName name="QQQ" localSheetId="0">#REF!</definedName>
    <definedName name="QQQ">#REF!</definedName>
    <definedName name="rerrere" localSheetId="0">#REF!</definedName>
    <definedName name="rerrere">#REF!</definedName>
    <definedName name="rrrr" localSheetId="0">#REF!</definedName>
    <definedName name="rrrr">#REF!</definedName>
    <definedName name="Salarios" localSheetId="0">#REF!</definedName>
    <definedName name="Salarios">#REF!</definedName>
    <definedName name="SEGURIDAD" localSheetId="0">#REF!</definedName>
    <definedName name="SEGURIDAD">#REF!</definedName>
    <definedName name="sin_nombre_2" localSheetId="0">#REF!</definedName>
    <definedName name="sin_nombre_2">#REF!</definedName>
    <definedName name="Transporte" localSheetId="0">#REF!</definedName>
    <definedName name="Transporte">#REF!</definedName>
    <definedName name="TtlCD" localSheetId="0">#REF!</definedName>
    <definedName name="TtlCD">#REF!</definedName>
    <definedName name="TtlCDCronog" localSheetId="0">#REF!</definedName>
    <definedName name="TtlCDCronog">#REF!</definedName>
    <definedName name="tttt" localSheetId="0">#REF!</definedName>
    <definedName name="tttt">#REF!</definedName>
    <definedName name="ttttt">'[2]LISTA MPD'!$F$2:$F$917</definedName>
    <definedName name="Utilidad" localSheetId="0">#REF!</definedName>
    <definedName name="Utilidad">#REF!</definedName>
    <definedName name="UTILIDADES" localSheetId="0">#REF!</definedName>
    <definedName name="UTILIDADES">#REF!</definedName>
    <definedName name="uuuuuu" localSheetId="0">#REF!</definedName>
    <definedName name="uuuuuu">#REF!</definedName>
    <definedName name="valor_total" localSheetId="0">#REF!</definedName>
    <definedName name="valor_total">#REF!</definedName>
    <definedName name="VRTLPPTO">[9]PRESUPUESTO!$G$36</definedName>
    <definedName name="VRTTLPPTO">[10]PRESUPUESTO!$G$167</definedName>
    <definedName name="w" localSheetId="0">#REF!</definedName>
    <definedName name="w">#REF!</definedName>
    <definedName name="yyyyy">[11]Hoja1!$C$2:$C$576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8" roundtripDataChecksum="5GVQRLMsBU8qnH1iRBh+NSJN91EKTpqenGsKzh1ojLg="/>
    </ext>
  </extLst>
</workbook>
</file>

<file path=xl/calcChain.xml><?xml version="1.0" encoding="utf-8"?>
<calcChain xmlns="http://schemas.openxmlformats.org/spreadsheetml/2006/main">
  <c r="C18" i="5" l="1"/>
  <c r="H19" i="4"/>
  <c r="I19" i="4" s="1"/>
  <c r="I18" i="4"/>
  <c r="H15" i="4"/>
  <c r="F15" i="4"/>
  <c r="I15" i="4" s="1"/>
  <c r="I14" i="4" s="1"/>
  <c r="H13" i="4"/>
  <c r="F13" i="4"/>
  <c r="H12" i="4"/>
  <c r="F12" i="4"/>
  <c r="H19" i="5"/>
  <c r="I19" i="5" s="1"/>
  <c r="I18" i="5"/>
  <c r="H15" i="5"/>
  <c r="F15" i="5"/>
  <c r="H13" i="5"/>
  <c r="F13" i="5"/>
  <c r="I13" i="5" s="1"/>
  <c r="H12" i="5"/>
  <c r="F12" i="5"/>
  <c r="I13" i="4" l="1"/>
  <c r="I15" i="5"/>
  <c r="I14" i="5" s="1"/>
  <c r="I12" i="5"/>
  <c r="I17" i="5"/>
  <c r="I20" i="5" s="1"/>
  <c r="I17" i="4"/>
  <c r="I20" i="4" s="1"/>
  <c r="I11" i="5"/>
  <c r="I16" i="5" s="1"/>
  <c r="I12" i="4"/>
  <c r="I11" i="4" s="1"/>
  <c r="I16" i="4" s="1"/>
  <c r="F103" i="1" l="1"/>
  <c r="B96" i="1"/>
  <c r="B97" i="1" s="1"/>
  <c r="B98" i="1" s="1"/>
  <c r="B93" i="1"/>
  <c r="B90" i="1"/>
  <c r="B86" i="1"/>
  <c r="B87" i="1" s="1"/>
  <c r="B73" i="1"/>
  <c r="B74" i="1" s="1"/>
  <c r="B75" i="1" s="1"/>
  <c r="B76" i="1" s="1"/>
  <c r="B77" i="1" s="1"/>
  <c r="B78" i="1" s="1"/>
  <c r="B79" i="1" s="1"/>
  <c r="B80" i="1" s="1"/>
  <c r="B81" i="1" s="1"/>
  <c r="B82" i="1" s="1"/>
  <c r="B83" i="1" s="1"/>
  <c r="B60" i="1"/>
  <c r="B61" i="1" s="1"/>
  <c r="B62" i="1" s="1"/>
  <c r="B63" i="1" s="1"/>
  <c r="B64" i="1" s="1"/>
  <c r="B65" i="1" s="1"/>
  <c r="B66" i="1" s="1"/>
  <c r="B67" i="1" s="1"/>
  <c r="B68" i="1" s="1"/>
  <c r="B69" i="1" s="1"/>
  <c r="B70" i="1" s="1"/>
  <c r="B48" i="1"/>
  <c r="B49" i="1" s="1"/>
  <c r="B50" i="1" s="1"/>
  <c r="B51" i="1" s="1"/>
  <c r="B52" i="1" s="1"/>
  <c r="B53" i="1" s="1"/>
  <c r="B54" i="1" s="1"/>
  <c r="B55" i="1" s="1"/>
  <c r="B56" i="1" s="1"/>
  <c r="B57" i="1" s="1"/>
  <c r="B37" i="1"/>
  <c r="B38" i="1" s="1"/>
  <c r="B39" i="1" s="1"/>
  <c r="B40" i="1" s="1"/>
  <c r="B41" i="1" s="1"/>
  <c r="B42" i="1" s="1"/>
  <c r="B43" i="1" s="1"/>
  <c r="B44" i="1" s="1"/>
  <c r="B45" i="1" s="1"/>
  <c r="B13" i="1"/>
  <c r="B14" i="1" s="1"/>
  <c r="B15" i="1" s="1"/>
  <c r="B16" i="1" s="1"/>
  <c r="B17" i="1" s="1"/>
  <c r="B18" i="1" s="1"/>
  <c r="B19" i="1" s="1"/>
  <c r="B20" i="1" s="1"/>
  <c r="B21" i="1" s="1"/>
  <c r="B22" i="1" s="1"/>
  <c r="B23" i="1" s="1"/>
  <c r="B24" i="1" s="1"/>
  <c r="B25" i="1" s="1"/>
  <c r="B26" i="1" s="1"/>
  <c r="B27" i="1" s="1"/>
  <c r="B28" i="1" s="1"/>
  <c r="B29" i="1" s="1"/>
  <c r="B30" i="1" s="1"/>
  <c r="F677" i="2" l="1"/>
  <c r="C675" i="2"/>
  <c r="B675" i="2"/>
  <c r="C671" i="2"/>
  <c r="B671" i="2"/>
  <c r="C667" i="2"/>
  <c r="B667" i="2"/>
  <c r="C663" i="2"/>
  <c r="B663" i="2"/>
  <c r="G659" i="2"/>
  <c r="G658" i="2"/>
  <c r="B658" i="2"/>
  <c r="G1666" i="2"/>
  <c r="G1665" i="2"/>
  <c r="B1665" i="2"/>
  <c r="F1685" i="2"/>
  <c r="C1683" i="2"/>
  <c r="B1683" i="2"/>
  <c r="C1679" i="2"/>
  <c r="B1679" i="2"/>
  <c r="C1675" i="2"/>
  <c r="B1675" i="2"/>
  <c r="C1671" i="2"/>
  <c r="B1671" i="2"/>
  <c r="C1670" i="2"/>
  <c r="B1670" i="2"/>
  <c r="G1642" i="2"/>
  <c r="G1641" i="2"/>
  <c r="B1641" i="2"/>
  <c r="F1661" i="2"/>
  <c r="C1659" i="2"/>
  <c r="B1659" i="2"/>
  <c r="C1655" i="2"/>
  <c r="B1655" i="2"/>
  <c r="C1651" i="2"/>
  <c r="B1651" i="2"/>
  <c r="C1647" i="2"/>
  <c r="B1647" i="2"/>
  <c r="C1646" i="2"/>
  <c r="B1646" i="2"/>
  <c r="C1623" i="2"/>
  <c r="B1623" i="2"/>
  <c r="C1631" i="2"/>
  <c r="B1631" i="2"/>
  <c r="E101" i="3"/>
  <c r="F1655" i="2" s="1"/>
  <c r="G1655" i="2" s="1"/>
  <c r="G1657" i="2" s="1"/>
  <c r="G1618" i="2"/>
  <c r="G1617" i="2"/>
  <c r="B1617" i="2"/>
  <c r="B1614" i="2"/>
  <c r="B1613" i="2"/>
  <c r="F1637" i="2"/>
  <c r="C1635" i="2"/>
  <c r="B1635" i="2"/>
  <c r="C1627" i="2"/>
  <c r="B1627" i="2"/>
  <c r="C1622" i="2"/>
  <c r="B1622" i="2"/>
  <c r="C1595" i="2"/>
  <c r="B1595" i="2"/>
  <c r="C1594" i="2"/>
  <c r="B1594" i="2"/>
  <c r="G1605" i="2"/>
  <c r="G1589" i="2"/>
  <c r="G1588" i="2"/>
  <c r="B1588" i="2"/>
  <c r="B1586" i="2"/>
  <c r="B1585" i="2"/>
  <c r="F1609" i="2"/>
  <c r="C1607" i="2"/>
  <c r="B1607" i="2"/>
  <c r="C1599" i="2"/>
  <c r="B1599" i="2"/>
  <c r="C1593" i="2"/>
  <c r="B1593" i="2"/>
  <c r="G1563" i="2"/>
  <c r="G1562" i="2"/>
  <c r="B1562" i="2"/>
  <c r="F1581" i="2"/>
  <c r="C1579" i="2"/>
  <c r="B1579" i="2"/>
  <c r="C1575" i="2"/>
  <c r="B1575" i="2"/>
  <c r="C1571" i="2"/>
  <c r="B1571" i="2"/>
  <c r="C1567" i="2"/>
  <c r="B1567" i="2"/>
  <c r="G1534" i="2"/>
  <c r="G1533" i="2"/>
  <c r="B1533" i="2"/>
  <c r="B1531" i="2"/>
  <c r="B1530" i="2"/>
  <c r="F1558" i="2"/>
  <c r="C1556" i="2"/>
  <c r="B1556" i="2"/>
  <c r="C1551" i="2"/>
  <c r="B1551" i="2"/>
  <c r="C1547" i="2"/>
  <c r="B1547" i="2"/>
  <c r="C1543" i="2"/>
  <c r="B1543" i="2"/>
  <c r="C1542" i="2"/>
  <c r="B1542" i="2"/>
  <c r="C1541" i="2"/>
  <c r="B1541" i="2"/>
  <c r="C1540" i="2"/>
  <c r="B1540" i="2"/>
  <c r="C1539" i="2"/>
  <c r="B1539" i="2"/>
  <c r="C1538" i="2"/>
  <c r="B1538" i="2"/>
  <c r="G1508" i="2"/>
  <c r="G1507" i="2"/>
  <c r="B1507" i="2"/>
  <c r="G1487" i="2"/>
  <c r="G1486" i="2"/>
  <c r="B1486" i="2"/>
  <c r="G1463" i="2"/>
  <c r="G1462" i="2"/>
  <c r="B1462" i="2"/>
  <c r="G1439" i="2"/>
  <c r="G1438" i="2"/>
  <c r="B1438" i="2"/>
  <c r="G1413" i="2"/>
  <c r="G1412" i="2"/>
  <c r="B1412" i="2"/>
  <c r="G1389" i="2"/>
  <c r="G1388" i="2"/>
  <c r="B1388" i="2"/>
  <c r="G1360" i="2"/>
  <c r="G1359" i="2"/>
  <c r="B1359" i="2"/>
  <c r="B1323" i="2"/>
  <c r="G1324" i="2"/>
  <c r="G1323" i="2"/>
  <c r="G1300" i="2"/>
  <c r="G1299" i="2"/>
  <c r="B1299" i="2"/>
  <c r="G1274" i="2"/>
  <c r="G1273" i="2"/>
  <c r="B1273" i="2"/>
  <c r="G1244" i="2"/>
  <c r="G1243" i="2"/>
  <c r="B1243" i="2"/>
  <c r="B1240" i="2"/>
  <c r="B1239" i="2"/>
  <c r="F1526" i="2"/>
  <c r="C1524" i="2"/>
  <c r="B1524" i="2"/>
  <c r="C1520" i="2"/>
  <c r="B1520" i="2"/>
  <c r="C1516" i="2"/>
  <c r="B1516" i="2"/>
  <c r="C1512" i="2"/>
  <c r="B1512" i="2"/>
  <c r="F1502" i="2"/>
  <c r="F1500" i="2"/>
  <c r="G1500" i="2" s="1"/>
  <c r="G1502" i="2" s="1"/>
  <c r="C1500" i="2"/>
  <c r="B1500" i="2"/>
  <c r="G1498" i="2"/>
  <c r="G1495" i="2"/>
  <c r="G1492" i="2"/>
  <c r="F1481" i="2"/>
  <c r="C1479" i="2"/>
  <c r="B1479" i="2"/>
  <c r="G1477" i="2"/>
  <c r="C1472" i="2"/>
  <c r="B1472" i="2"/>
  <c r="C1468" i="2"/>
  <c r="B1468" i="2"/>
  <c r="C1467" i="2"/>
  <c r="B1467" i="2"/>
  <c r="F1457" i="2"/>
  <c r="C1455" i="2"/>
  <c r="B1455" i="2"/>
  <c r="G1453" i="2"/>
  <c r="C1448" i="2"/>
  <c r="B1448" i="2"/>
  <c r="C1444" i="2"/>
  <c r="B1444" i="2"/>
  <c r="C1443" i="2"/>
  <c r="B1443" i="2"/>
  <c r="F1433" i="2"/>
  <c r="C1431" i="2"/>
  <c r="B1431" i="2"/>
  <c r="C1427" i="2"/>
  <c r="B1427" i="2"/>
  <c r="C1423" i="2"/>
  <c r="B1423" i="2"/>
  <c r="C1419" i="2"/>
  <c r="B1419" i="2"/>
  <c r="C1418" i="2"/>
  <c r="B1418" i="2"/>
  <c r="C1417" i="2"/>
  <c r="B1417" i="2"/>
  <c r="F1407" i="2"/>
  <c r="C1405" i="2"/>
  <c r="B1405" i="2"/>
  <c r="C1401" i="2"/>
  <c r="B1401" i="2"/>
  <c r="C1397" i="2"/>
  <c r="B1397" i="2"/>
  <c r="C1393" i="2"/>
  <c r="B1393" i="2"/>
  <c r="F1383" i="2"/>
  <c r="C1381" i="2"/>
  <c r="B1381" i="2"/>
  <c r="C1377" i="2"/>
  <c r="B1377" i="2"/>
  <c r="C1376" i="2"/>
  <c r="B1376" i="2"/>
  <c r="D1372" i="2"/>
  <c r="C1372" i="2"/>
  <c r="B1372" i="2"/>
  <c r="C1368" i="2"/>
  <c r="B1368" i="2"/>
  <c r="C1367" i="2"/>
  <c r="B1367" i="2"/>
  <c r="C1366" i="2"/>
  <c r="B1366" i="2"/>
  <c r="C1365" i="2"/>
  <c r="B1365" i="2"/>
  <c r="C1364" i="2"/>
  <c r="B1364" i="2"/>
  <c r="F1354" i="2"/>
  <c r="C1352" i="2"/>
  <c r="B1352" i="2"/>
  <c r="C1348" i="2"/>
  <c r="B1348" i="2"/>
  <c r="D1344" i="2"/>
  <c r="C1344" i="2"/>
  <c r="B1344" i="2"/>
  <c r="C1340" i="2"/>
  <c r="B1340" i="2"/>
  <c r="C1339" i="2"/>
  <c r="B1339" i="2"/>
  <c r="C1338" i="2"/>
  <c r="B1338" i="2"/>
  <c r="C1337" i="2"/>
  <c r="B1337" i="2"/>
  <c r="C1336" i="2"/>
  <c r="B1336" i="2"/>
  <c r="C1335" i="2"/>
  <c r="B1335" i="2"/>
  <c r="C1334" i="2"/>
  <c r="B1334" i="2"/>
  <c r="C1333" i="2"/>
  <c r="B1333" i="2"/>
  <c r="C1332" i="2"/>
  <c r="B1332" i="2"/>
  <c r="C1331" i="2"/>
  <c r="B1331" i="2"/>
  <c r="C1330" i="2"/>
  <c r="B1330" i="2"/>
  <c r="C1329" i="2"/>
  <c r="B1329" i="2"/>
  <c r="C1328" i="2"/>
  <c r="B1328" i="2"/>
  <c r="F1318" i="2"/>
  <c r="C1316" i="2"/>
  <c r="B1316" i="2"/>
  <c r="G1314" i="2"/>
  <c r="C1308" i="2"/>
  <c r="B1308" i="2"/>
  <c r="C1304" i="2"/>
  <c r="B1304" i="2"/>
  <c r="F1294" i="2"/>
  <c r="C1292" i="2"/>
  <c r="B1292" i="2"/>
  <c r="G1290" i="2"/>
  <c r="C1284" i="2"/>
  <c r="B1284" i="2"/>
  <c r="C1280" i="2"/>
  <c r="B1280" i="2"/>
  <c r="C1279" i="2"/>
  <c r="B1279" i="2"/>
  <c r="C1278" i="2"/>
  <c r="B1278" i="2"/>
  <c r="F1268" i="2"/>
  <c r="C1266" i="2"/>
  <c r="B1266" i="2"/>
  <c r="C1261" i="2"/>
  <c r="B1261" i="2"/>
  <c r="C1257" i="2"/>
  <c r="B1257" i="2"/>
  <c r="C1253" i="2"/>
  <c r="B1253" i="2"/>
  <c r="C1252" i="2"/>
  <c r="B1252" i="2"/>
  <c r="C1251" i="2"/>
  <c r="B1251" i="2"/>
  <c r="C1250" i="2"/>
  <c r="B1250" i="2"/>
  <c r="C1249" i="2"/>
  <c r="B1249" i="2"/>
  <c r="C1248" i="2"/>
  <c r="B1248" i="2"/>
  <c r="G1216" i="2"/>
  <c r="G1215" i="2"/>
  <c r="B1215" i="2"/>
  <c r="E62" i="3"/>
  <c r="F1176" i="2" s="1"/>
  <c r="G1176" i="2" s="1"/>
  <c r="E61" i="3"/>
  <c r="F1175" i="2" s="1"/>
  <c r="C1176" i="2"/>
  <c r="C1175" i="2"/>
  <c r="B1176" i="2"/>
  <c r="B1175" i="2"/>
  <c r="G1171" i="2"/>
  <c r="G1170" i="2"/>
  <c r="B1170" i="2"/>
  <c r="F1189" i="2"/>
  <c r="C1187" i="2"/>
  <c r="B1187" i="2"/>
  <c r="G1185" i="2"/>
  <c r="C1180" i="2"/>
  <c r="B1180" i="2"/>
  <c r="G1195" i="2"/>
  <c r="G1194" i="2"/>
  <c r="B1194" i="2"/>
  <c r="G1147" i="2"/>
  <c r="G1146" i="2"/>
  <c r="B1146" i="2"/>
  <c r="G1121" i="2"/>
  <c r="G1120" i="2"/>
  <c r="B1120" i="2"/>
  <c r="G1097" i="2"/>
  <c r="G1096" i="2"/>
  <c r="B1096" i="2"/>
  <c r="D1080" i="2"/>
  <c r="G1068" i="2"/>
  <c r="G1067" i="2"/>
  <c r="B1067" i="2"/>
  <c r="D1052" i="2"/>
  <c r="C1048" i="2"/>
  <c r="C1047" i="2"/>
  <c r="C1046" i="2"/>
  <c r="C1045" i="2"/>
  <c r="C1044" i="2"/>
  <c r="C1043" i="2"/>
  <c r="C1042" i="2"/>
  <c r="B1048" i="2"/>
  <c r="B1047" i="2"/>
  <c r="B1046" i="2"/>
  <c r="B1045" i="2"/>
  <c r="B1044" i="2"/>
  <c r="B1043" i="2"/>
  <c r="B1042" i="2"/>
  <c r="E60" i="3"/>
  <c r="F1048" i="2" s="1"/>
  <c r="E59" i="3"/>
  <c r="F1047" i="2" s="1"/>
  <c r="E58" i="3"/>
  <c r="F1046" i="2" s="1"/>
  <c r="E57" i="3"/>
  <c r="F1045" i="2" s="1"/>
  <c r="E56" i="3"/>
  <c r="F1044" i="2" s="1"/>
  <c r="E55" i="3"/>
  <c r="F1043" i="2" s="1"/>
  <c r="G1043" i="2" s="1"/>
  <c r="E54" i="3"/>
  <c r="F1042" i="2" s="1"/>
  <c r="E53" i="3"/>
  <c r="F616" i="2" s="1"/>
  <c r="G616" i="2" s="1"/>
  <c r="G1032" i="2"/>
  <c r="G1031" i="2"/>
  <c r="B1031" i="2"/>
  <c r="G1008" i="2"/>
  <c r="G1007" i="2"/>
  <c r="B1007" i="2"/>
  <c r="G982" i="2"/>
  <c r="G981" i="2"/>
  <c r="B981" i="2"/>
  <c r="G952" i="2"/>
  <c r="G951" i="2"/>
  <c r="B951" i="2"/>
  <c r="B948" i="2"/>
  <c r="B947" i="2"/>
  <c r="B956" i="2"/>
  <c r="C956" i="2"/>
  <c r="B957" i="2"/>
  <c r="C957" i="2"/>
  <c r="B958" i="2"/>
  <c r="C958" i="2"/>
  <c r="B959" i="2"/>
  <c r="C959" i="2"/>
  <c r="B960" i="2"/>
  <c r="C960" i="2"/>
  <c r="B961" i="2"/>
  <c r="C961" i="2"/>
  <c r="B965" i="2"/>
  <c r="C965" i="2"/>
  <c r="B969" i="2"/>
  <c r="C969" i="2"/>
  <c r="B974" i="2"/>
  <c r="C974" i="2"/>
  <c r="F976" i="2"/>
  <c r="B986" i="2"/>
  <c r="C986" i="2"/>
  <c r="B987" i="2"/>
  <c r="C987" i="2"/>
  <c r="B988" i="2"/>
  <c r="C988" i="2"/>
  <c r="B992" i="2"/>
  <c r="C992" i="2"/>
  <c r="G998" i="2"/>
  <c r="B1000" i="2"/>
  <c r="C1000" i="2"/>
  <c r="F1002" i="2"/>
  <c r="B1012" i="2"/>
  <c r="C1012" i="2"/>
  <c r="B1016" i="2"/>
  <c r="C1016" i="2"/>
  <c r="G1022" i="2"/>
  <c r="B1024" i="2"/>
  <c r="C1024" i="2"/>
  <c r="F1026" i="2"/>
  <c r="B1036" i="2"/>
  <c r="C1036" i="2"/>
  <c r="B1037" i="2"/>
  <c r="C1037" i="2"/>
  <c r="B1038" i="2"/>
  <c r="C1038" i="2"/>
  <c r="B1039" i="2"/>
  <c r="C1039" i="2"/>
  <c r="B1040" i="2"/>
  <c r="C1040" i="2"/>
  <c r="B1041" i="2"/>
  <c r="C1041" i="2"/>
  <c r="B1052" i="2"/>
  <c r="C1052" i="2"/>
  <c r="B1056" i="2"/>
  <c r="C1056" i="2"/>
  <c r="B1060" i="2"/>
  <c r="C1060" i="2"/>
  <c r="F1062" i="2"/>
  <c r="B1072" i="2"/>
  <c r="C1072" i="2"/>
  <c r="B1073" i="2"/>
  <c r="C1073" i="2"/>
  <c r="B1074" i="2"/>
  <c r="C1074" i="2"/>
  <c r="B1075" i="2"/>
  <c r="C1075" i="2"/>
  <c r="B1076" i="2"/>
  <c r="C1076" i="2"/>
  <c r="B1080" i="2"/>
  <c r="C1080" i="2"/>
  <c r="B1084" i="2"/>
  <c r="C1084" i="2"/>
  <c r="B1085" i="2"/>
  <c r="C1085" i="2"/>
  <c r="B1089" i="2"/>
  <c r="C1089" i="2"/>
  <c r="F1091" i="2"/>
  <c r="B1101" i="2"/>
  <c r="C1101" i="2"/>
  <c r="B1105" i="2"/>
  <c r="C1105" i="2"/>
  <c r="B1109" i="2"/>
  <c r="C1109" i="2"/>
  <c r="B1113" i="2"/>
  <c r="C1113" i="2"/>
  <c r="F1115" i="2"/>
  <c r="B1125" i="2"/>
  <c r="C1125" i="2"/>
  <c r="B1126" i="2"/>
  <c r="C1126" i="2"/>
  <c r="B1127" i="2"/>
  <c r="C1127" i="2"/>
  <c r="B1131" i="2"/>
  <c r="C1131" i="2"/>
  <c r="B1135" i="2"/>
  <c r="C1135" i="2"/>
  <c r="B1139" i="2"/>
  <c r="C1139" i="2"/>
  <c r="F1141" i="2"/>
  <c r="B1151" i="2"/>
  <c r="C1151" i="2"/>
  <c r="B1152" i="2"/>
  <c r="C1152" i="2"/>
  <c r="B1156" i="2"/>
  <c r="C1156" i="2"/>
  <c r="G1161" i="2"/>
  <c r="B1163" i="2"/>
  <c r="C1163" i="2"/>
  <c r="F1165" i="2"/>
  <c r="G1200" i="2"/>
  <c r="G1203" i="2"/>
  <c r="G1206" i="2"/>
  <c r="B1208" i="2"/>
  <c r="C1208" i="2"/>
  <c r="F1208" i="2"/>
  <c r="G1208" i="2" s="1"/>
  <c r="G1210" i="2" s="1"/>
  <c r="F1210" i="2"/>
  <c r="B1220" i="2"/>
  <c r="C1220" i="2"/>
  <c r="B1224" i="2"/>
  <c r="C1224" i="2"/>
  <c r="B1228" i="2"/>
  <c r="C1228" i="2"/>
  <c r="B1232" i="2"/>
  <c r="C1232" i="2"/>
  <c r="F1234" i="2"/>
  <c r="C928" i="2"/>
  <c r="B928" i="2"/>
  <c r="C932" i="2"/>
  <c r="B932" i="2"/>
  <c r="C936" i="2"/>
  <c r="B936" i="2"/>
  <c r="C940" i="2"/>
  <c r="B940" i="2"/>
  <c r="G924" i="2"/>
  <c r="G923" i="2"/>
  <c r="B923" i="2"/>
  <c r="F942" i="2"/>
  <c r="G903" i="2"/>
  <c r="G902" i="2"/>
  <c r="B902" i="2"/>
  <c r="F918" i="2"/>
  <c r="F916" i="2"/>
  <c r="G916" i="2" s="1"/>
  <c r="G918" i="2" s="1"/>
  <c r="C916" i="2"/>
  <c r="B916" i="2"/>
  <c r="G914" i="2"/>
  <c r="G911" i="2"/>
  <c r="G908" i="2"/>
  <c r="G879" i="2"/>
  <c r="G878" i="2"/>
  <c r="B878" i="2"/>
  <c r="F897" i="2"/>
  <c r="C895" i="2"/>
  <c r="B895" i="2"/>
  <c r="G893" i="2"/>
  <c r="C888" i="2"/>
  <c r="B888" i="2"/>
  <c r="C884" i="2"/>
  <c r="B884" i="2"/>
  <c r="C883" i="2"/>
  <c r="B883" i="2"/>
  <c r="C867" i="2"/>
  <c r="B867" i="2"/>
  <c r="E100" i="3"/>
  <c r="F100" i="3" s="1"/>
  <c r="C858" i="2"/>
  <c r="B858" i="2"/>
  <c r="G853" i="2"/>
  <c r="G852" i="2"/>
  <c r="B852" i="2"/>
  <c r="F873" i="2"/>
  <c r="C871" i="2"/>
  <c r="B871" i="2"/>
  <c r="C863" i="2"/>
  <c r="B863" i="2"/>
  <c r="C859" i="2"/>
  <c r="B859" i="2"/>
  <c r="C857" i="2"/>
  <c r="B857" i="2"/>
  <c r="G829" i="2"/>
  <c r="G828" i="2"/>
  <c r="B828" i="2"/>
  <c r="F847" i="2"/>
  <c r="C845" i="2"/>
  <c r="B845" i="2"/>
  <c r="C841" i="2"/>
  <c r="B841" i="2"/>
  <c r="C837" i="2"/>
  <c r="B837" i="2"/>
  <c r="C833" i="2"/>
  <c r="B833" i="2"/>
  <c r="F356" i="2"/>
  <c r="E77" i="3"/>
  <c r="F327" i="2" s="1"/>
  <c r="G327" i="2" s="1"/>
  <c r="E35" i="3"/>
  <c r="F35" i="3" s="1"/>
  <c r="E91" i="3"/>
  <c r="F310" i="2" s="1"/>
  <c r="G310" i="2" s="1"/>
  <c r="D570" i="2"/>
  <c r="D812" i="2"/>
  <c r="E30" i="3"/>
  <c r="F808" i="2" s="1"/>
  <c r="G808" i="2" s="1"/>
  <c r="E29" i="3"/>
  <c r="F175" i="2" s="1"/>
  <c r="E28" i="3"/>
  <c r="F806" i="2" s="1"/>
  <c r="G806" i="2" s="1"/>
  <c r="E27" i="3"/>
  <c r="F805" i="2" s="1"/>
  <c r="G805" i="2" s="1"/>
  <c r="E26" i="3"/>
  <c r="F804" i="2" s="1"/>
  <c r="G804" i="2" s="1"/>
  <c r="G800" i="2"/>
  <c r="G799" i="2"/>
  <c r="B799" i="2"/>
  <c r="G767" i="2"/>
  <c r="G766" i="2"/>
  <c r="B766" i="2"/>
  <c r="F823" i="2"/>
  <c r="C821" i="2"/>
  <c r="B821" i="2"/>
  <c r="C817" i="2"/>
  <c r="B817" i="2"/>
  <c r="C816" i="2"/>
  <c r="B816" i="2"/>
  <c r="C812" i="2"/>
  <c r="B812" i="2"/>
  <c r="C808" i="2"/>
  <c r="B808" i="2"/>
  <c r="C807" i="2"/>
  <c r="B807" i="2"/>
  <c r="C806" i="2"/>
  <c r="B806" i="2"/>
  <c r="C805" i="2"/>
  <c r="B805" i="2"/>
  <c r="C804" i="2"/>
  <c r="B804" i="2"/>
  <c r="F794" i="2"/>
  <c r="C792" i="2"/>
  <c r="B792" i="2"/>
  <c r="C788" i="2"/>
  <c r="B788" i="2"/>
  <c r="C784" i="2"/>
  <c r="B784" i="2"/>
  <c r="C780" i="2"/>
  <c r="B780" i="2"/>
  <c r="C779" i="2"/>
  <c r="B779" i="2"/>
  <c r="C778" i="2"/>
  <c r="B778" i="2"/>
  <c r="C777" i="2"/>
  <c r="B777" i="2"/>
  <c r="C776" i="2"/>
  <c r="B776" i="2"/>
  <c r="C775" i="2"/>
  <c r="B775" i="2"/>
  <c r="C774" i="2"/>
  <c r="B774" i="2"/>
  <c r="C773" i="2"/>
  <c r="B773" i="2"/>
  <c r="C772" i="2"/>
  <c r="B772" i="2"/>
  <c r="C771" i="2"/>
  <c r="B771" i="2"/>
  <c r="E34" i="3"/>
  <c r="F34" i="3" s="1"/>
  <c r="E98" i="3"/>
  <c r="F599" i="2" s="1"/>
  <c r="G599" i="2" s="1"/>
  <c r="G601" i="2" s="1"/>
  <c r="C595" i="2"/>
  <c r="B595" i="2"/>
  <c r="G743" i="2"/>
  <c r="G742" i="2"/>
  <c r="B742" i="2"/>
  <c r="C503" i="2"/>
  <c r="B503" i="2"/>
  <c r="C502" i="2"/>
  <c r="B502" i="2"/>
  <c r="E41" i="3"/>
  <c r="F1278" i="2" s="1"/>
  <c r="G1278" i="2" s="1"/>
  <c r="G717" i="2"/>
  <c r="G716" i="2"/>
  <c r="B716" i="2"/>
  <c r="E94" i="3"/>
  <c r="F704" i="2" s="1"/>
  <c r="G704" i="2" s="1"/>
  <c r="G707" i="2" s="1"/>
  <c r="G687" i="2"/>
  <c r="G686" i="2"/>
  <c r="B686" i="2"/>
  <c r="F761" i="2"/>
  <c r="C759" i="2"/>
  <c r="B759" i="2"/>
  <c r="G757" i="2"/>
  <c r="C751" i="2"/>
  <c r="B751" i="2"/>
  <c r="C747" i="2"/>
  <c r="B747" i="2"/>
  <c r="F737" i="2"/>
  <c r="C735" i="2"/>
  <c r="B735" i="2"/>
  <c r="G733" i="2"/>
  <c r="C727" i="2"/>
  <c r="B727" i="2"/>
  <c r="C723" i="2"/>
  <c r="B723" i="2"/>
  <c r="C722" i="2"/>
  <c r="B722" i="2"/>
  <c r="C721" i="2"/>
  <c r="B721" i="2"/>
  <c r="F711" i="2"/>
  <c r="C709" i="2"/>
  <c r="B709" i="2"/>
  <c r="C704" i="2"/>
  <c r="B704" i="2"/>
  <c r="C700" i="2"/>
  <c r="B700" i="2"/>
  <c r="C696" i="2"/>
  <c r="B696" i="2"/>
  <c r="C695" i="2"/>
  <c r="B695" i="2"/>
  <c r="C694" i="2"/>
  <c r="B694" i="2"/>
  <c r="C693" i="2"/>
  <c r="B693" i="2"/>
  <c r="C692" i="2"/>
  <c r="B692" i="2"/>
  <c r="C691" i="2"/>
  <c r="B691" i="2"/>
  <c r="B683" i="2"/>
  <c r="B682" i="2"/>
  <c r="C647" i="2"/>
  <c r="B647" i="2"/>
  <c r="E99" i="3"/>
  <c r="F647" i="2" s="1"/>
  <c r="G647" i="2" s="1"/>
  <c r="G649" i="2" s="1"/>
  <c r="G635" i="2"/>
  <c r="G634" i="2"/>
  <c r="B634" i="2"/>
  <c r="F653" i="2"/>
  <c r="C651" i="2"/>
  <c r="B651" i="2"/>
  <c r="C643" i="2"/>
  <c r="B643" i="2"/>
  <c r="C639" i="2"/>
  <c r="B639" i="2"/>
  <c r="C616" i="2"/>
  <c r="C615" i="2"/>
  <c r="B616" i="2"/>
  <c r="B615" i="2"/>
  <c r="G611" i="2"/>
  <c r="G610" i="2"/>
  <c r="B610" i="2"/>
  <c r="F629" i="2"/>
  <c r="C627" i="2"/>
  <c r="B627" i="2"/>
  <c r="G625" i="2"/>
  <c r="C620" i="2"/>
  <c r="B620" i="2"/>
  <c r="C599" i="2"/>
  <c r="B599" i="2"/>
  <c r="E97" i="3"/>
  <c r="F546" i="2" s="1"/>
  <c r="G546" i="2" s="1"/>
  <c r="C591" i="2"/>
  <c r="B591" i="2"/>
  <c r="G587" i="2"/>
  <c r="G586" i="2"/>
  <c r="B586" i="2"/>
  <c r="F605" i="2"/>
  <c r="C603" i="2"/>
  <c r="B603" i="2"/>
  <c r="C566" i="2"/>
  <c r="C565" i="2"/>
  <c r="C564" i="2"/>
  <c r="C563" i="2"/>
  <c r="C562" i="2"/>
  <c r="B566" i="2"/>
  <c r="B565" i="2"/>
  <c r="B564" i="2"/>
  <c r="B563" i="2"/>
  <c r="B562" i="2"/>
  <c r="G558" i="2"/>
  <c r="G557" i="2"/>
  <c r="B557" i="2"/>
  <c r="F581" i="2"/>
  <c r="C579" i="2"/>
  <c r="B579" i="2"/>
  <c r="C575" i="2"/>
  <c r="B575" i="2"/>
  <c r="C574" i="2"/>
  <c r="B574" i="2"/>
  <c r="C570" i="2"/>
  <c r="B570" i="2"/>
  <c r="C546" i="2"/>
  <c r="C545" i="2"/>
  <c r="C544" i="2"/>
  <c r="B546" i="2"/>
  <c r="B545" i="2"/>
  <c r="B544" i="2"/>
  <c r="E96" i="3"/>
  <c r="F545" i="2" s="1"/>
  <c r="G545" i="2" s="1"/>
  <c r="E95" i="3"/>
  <c r="F544" i="2" s="1"/>
  <c r="G544" i="2" s="1"/>
  <c r="C535" i="2"/>
  <c r="C534" i="2"/>
  <c r="C533" i="2"/>
  <c r="C532" i="2"/>
  <c r="C531" i="2"/>
  <c r="C530" i="2"/>
  <c r="C529" i="2"/>
  <c r="C528" i="2"/>
  <c r="C536" i="2"/>
  <c r="B536" i="2"/>
  <c r="B535" i="2"/>
  <c r="B534" i="2"/>
  <c r="B533" i="2"/>
  <c r="B532" i="2"/>
  <c r="B531" i="2"/>
  <c r="B530" i="2"/>
  <c r="B529" i="2"/>
  <c r="B528" i="2"/>
  <c r="C527" i="2"/>
  <c r="B527" i="2"/>
  <c r="E52" i="3"/>
  <c r="F535" i="2" s="1"/>
  <c r="G535" i="2" s="1"/>
  <c r="E51" i="3"/>
  <c r="F534" i="2" s="1"/>
  <c r="G534" i="2" s="1"/>
  <c r="E50" i="3"/>
  <c r="F533" i="2" s="1"/>
  <c r="G533" i="2" s="1"/>
  <c r="E49" i="3"/>
  <c r="F532" i="2" s="1"/>
  <c r="G532" i="2" s="1"/>
  <c r="E48" i="3"/>
  <c r="F531" i="2" s="1"/>
  <c r="G531" i="2" s="1"/>
  <c r="E47" i="3"/>
  <c r="F530" i="2" s="1"/>
  <c r="G530" i="2" s="1"/>
  <c r="E46" i="3"/>
  <c r="F529" i="2" s="1"/>
  <c r="G529" i="2" s="1"/>
  <c r="E45" i="3"/>
  <c r="F528" i="2" s="1"/>
  <c r="G528" i="2" s="1"/>
  <c r="E44" i="3"/>
  <c r="F527" i="2" s="1"/>
  <c r="C540" i="2"/>
  <c r="B540" i="2"/>
  <c r="G523" i="2"/>
  <c r="G522" i="2"/>
  <c r="B522" i="2"/>
  <c r="F552" i="2"/>
  <c r="C550" i="2"/>
  <c r="B550" i="2"/>
  <c r="C501" i="2"/>
  <c r="B501" i="2"/>
  <c r="G497" i="2"/>
  <c r="G496" i="2"/>
  <c r="B496" i="2"/>
  <c r="F517" i="2"/>
  <c r="C515" i="2"/>
  <c r="B515" i="2"/>
  <c r="G513" i="2"/>
  <c r="C507" i="2"/>
  <c r="B507" i="2"/>
  <c r="C475" i="2"/>
  <c r="C476" i="2"/>
  <c r="C477" i="2"/>
  <c r="B477" i="2"/>
  <c r="B476" i="2"/>
  <c r="B475" i="2"/>
  <c r="E43" i="3"/>
  <c r="F477" i="2" s="1"/>
  <c r="E42" i="3"/>
  <c r="F476" i="2" s="1"/>
  <c r="G487" i="2"/>
  <c r="C481" i="2"/>
  <c r="B481" i="2"/>
  <c r="G471" i="2"/>
  <c r="G470" i="2"/>
  <c r="B470" i="2"/>
  <c r="F491" i="2"/>
  <c r="C489" i="2"/>
  <c r="B489" i="2"/>
  <c r="G427" i="2"/>
  <c r="C421" i="2"/>
  <c r="B421" i="2"/>
  <c r="G441" i="2"/>
  <c r="G440" i="2"/>
  <c r="B440" i="2"/>
  <c r="F465" i="2"/>
  <c r="C463" i="2"/>
  <c r="B463" i="2"/>
  <c r="C458" i="2"/>
  <c r="B458" i="2"/>
  <c r="C454" i="2"/>
  <c r="B454" i="2"/>
  <c r="C450" i="2"/>
  <c r="B450" i="2"/>
  <c r="C449" i="2"/>
  <c r="B449" i="2"/>
  <c r="C448" i="2"/>
  <c r="B448" i="2"/>
  <c r="C447" i="2"/>
  <c r="B447" i="2"/>
  <c r="C446" i="2"/>
  <c r="B446" i="2"/>
  <c r="C445" i="2"/>
  <c r="B445" i="2"/>
  <c r="E40" i="3"/>
  <c r="F449" i="2" s="1"/>
  <c r="G449" i="2" s="1"/>
  <c r="E39" i="3"/>
  <c r="F448" i="2" s="1"/>
  <c r="G448" i="2" s="1"/>
  <c r="E38" i="3"/>
  <c r="F447" i="2" s="1"/>
  <c r="G447" i="2" s="1"/>
  <c r="E37" i="3"/>
  <c r="F445" i="2" s="1"/>
  <c r="G445" i="2" s="1"/>
  <c r="B437" i="2"/>
  <c r="B436" i="2"/>
  <c r="G414" i="2"/>
  <c r="G413" i="2"/>
  <c r="B413" i="2"/>
  <c r="F431" i="2"/>
  <c r="C429" i="2"/>
  <c r="B429" i="2"/>
  <c r="C393" i="2"/>
  <c r="B393" i="2"/>
  <c r="E36" i="3"/>
  <c r="F36" i="3" s="1"/>
  <c r="C402" i="2"/>
  <c r="B402" i="2"/>
  <c r="E93" i="3"/>
  <c r="F402" i="2" s="1"/>
  <c r="C397" i="2"/>
  <c r="B397" i="2"/>
  <c r="E68" i="3"/>
  <c r="E67" i="3" s="1"/>
  <c r="G388" i="2"/>
  <c r="G387" i="2"/>
  <c r="B387" i="2"/>
  <c r="F408" i="2"/>
  <c r="C406" i="2"/>
  <c r="B406" i="2"/>
  <c r="C401" i="2"/>
  <c r="B401" i="2"/>
  <c r="C392" i="2"/>
  <c r="B392" i="2"/>
  <c r="C380" i="2"/>
  <c r="B380" i="2"/>
  <c r="C376" i="2"/>
  <c r="B376" i="2"/>
  <c r="C372" i="2"/>
  <c r="B372" i="2"/>
  <c r="C368" i="2"/>
  <c r="B368" i="2"/>
  <c r="G364" i="2"/>
  <c r="G363" i="2"/>
  <c r="B363" i="2"/>
  <c r="F382" i="2"/>
  <c r="C356" i="2"/>
  <c r="B356" i="2"/>
  <c r="B342" i="2"/>
  <c r="G343" i="2"/>
  <c r="G342" i="2"/>
  <c r="F358" i="2"/>
  <c r="G354" i="2"/>
  <c r="G351" i="2"/>
  <c r="G348" i="2"/>
  <c r="C335" i="2"/>
  <c r="B335" i="2"/>
  <c r="C326" i="2"/>
  <c r="C327" i="2"/>
  <c r="B327" i="2"/>
  <c r="B326" i="2"/>
  <c r="C322" i="2"/>
  <c r="B322" i="2"/>
  <c r="G318" i="2"/>
  <c r="G317" i="2"/>
  <c r="B317" i="2"/>
  <c r="F337" i="2"/>
  <c r="C334" i="2"/>
  <c r="B334" i="2"/>
  <c r="G332" i="2"/>
  <c r="C310" i="2"/>
  <c r="B310" i="2"/>
  <c r="E71" i="3"/>
  <c r="F302" i="2" s="1"/>
  <c r="G302" i="2" s="1"/>
  <c r="G304" i="2" s="1"/>
  <c r="C302" i="2"/>
  <c r="B302" i="2"/>
  <c r="C298" i="2"/>
  <c r="B298" i="2"/>
  <c r="G294" i="2"/>
  <c r="G293" i="2"/>
  <c r="B293" i="2"/>
  <c r="F312" i="2"/>
  <c r="C309" i="2"/>
  <c r="B309" i="2"/>
  <c r="G307" i="2"/>
  <c r="G271" i="2"/>
  <c r="G270" i="2"/>
  <c r="B270" i="2"/>
  <c r="F288" i="2"/>
  <c r="C286" i="2"/>
  <c r="B286" i="2"/>
  <c r="G284" i="2"/>
  <c r="C279" i="2"/>
  <c r="B279" i="2"/>
  <c r="C275" i="2"/>
  <c r="B275" i="2"/>
  <c r="C264" i="2"/>
  <c r="B264" i="2"/>
  <c r="C252" i="2"/>
  <c r="B252" i="2"/>
  <c r="E90" i="3"/>
  <c r="F264" i="2" s="1"/>
  <c r="G246" i="2"/>
  <c r="G245" i="2"/>
  <c r="B245" i="2"/>
  <c r="F266" i="2"/>
  <c r="C263" i="2"/>
  <c r="B263" i="2"/>
  <c r="G261" i="2"/>
  <c r="C256" i="2"/>
  <c r="B256" i="2"/>
  <c r="C251" i="2"/>
  <c r="B251" i="2"/>
  <c r="C250" i="2"/>
  <c r="B250" i="2"/>
  <c r="C239" i="2"/>
  <c r="B239" i="2"/>
  <c r="E89" i="3"/>
  <c r="C227" i="2"/>
  <c r="B227" i="2"/>
  <c r="E33" i="3"/>
  <c r="F33" i="3" s="1"/>
  <c r="G221" i="2"/>
  <c r="G220" i="2"/>
  <c r="B220" i="2"/>
  <c r="F241" i="2"/>
  <c r="C238" i="2"/>
  <c r="B238" i="2"/>
  <c r="G236" i="2"/>
  <c r="C231" i="2"/>
  <c r="B231" i="2"/>
  <c r="C226" i="2"/>
  <c r="B226" i="2"/>
  <c r="C225" i="2"/>
  <c r="B225" i="2"/>
  <c r="C214" i="2"/>
  <c r="B214" i="2"/>
  <c r="E88" i="3"/>
  <c r="C206" i="2"/>
  <c r="B206" i="2"/>
  <c r="C202" i="2"/>
  <c r="B202" i="2"/>
  <c r="E32" i="3"/>
  <c r="F202" i="2" s="1"/>
  <c r="C201" i="2"/>
  <c r="C200" i="2"/>
  <c r="B201" i="2"/>
  <c r="B200" i="2"/>
  <c r="G196" i="2"/>
  <c r="G195" i="2"/>
  <c r="B195" i="2"/>
  <c r="F216" i="2"/>
  <c r="C213" i="2"/>
  <c r="B213" i="2"/>
  <c r="G211" i="2"/>
  <c r="E31" i="3"/>
  <c r="F177" i="2" s="1"/>
  <c r="C181" i="2"/>
  <c r="B181" i="2"/>
  <c r="C177" i="2"/>
  <c r="C176" i="2"/>
  <c r="C175" i="2"/>
  <c r="C174" i="2"/>
  <c r="C173" i="2"/>
  <c r="C172" i="2"/>
  <c r="B177" i="2"/>
  <c r="B176" i="2"/>
  <c r="B175" i="2"/>
  <c r="B174" i="2"/>
  <c r="B173" i="2"/>
  <c r="B172" i="2"/>
  <c r="G168" i="2"/>
  <c r="G167" i="2"/>
  <c r="B167" i="2"/>
  <c r="F191" i="2"/>
  <c r="C189" i="2"/>
  <c r="B189" i="2"/>
  <c r="G187" i="2"/>
  <c r="C182" i="2"/>
  <c r="B182" i="2"/>
  <c r="C154" i="2"/>
  <c r="B154" i="2"/>
  <c r="C149" i="2"/>
  <c r="C148" i="2"/>
  <c r="C147" i="2"/>
  <c r="C146" i="2"/>
  <c r="C145" i="2"/>
  <c r="B149" i="2"/>
  <c r="B148" i="2"/>
  <c r="B147" i="2"/>
  <c r="B146" i="2"/>
  <c r="B145" i="2"/>
  <c r="C144" i="2"/>
  <c r="B144" i="2"/>
  <c r="E25" i="3"/>
  <c r="F149" i="2" s="1"/>
  <c r="G149" i="2" s="1"/>
  <c r="E24" i="3"/>
  <c r="E23" i="3"/>
  <c r="E22" i="3"/>
  <c r="F146" i="2" s="1"/>
  <c r="E21" i="3"/>
  <c r="F145" i="2" s="1"/>
  <c r="E20" i="3"/>
  <c r="F144" i="2" s="1"/>
  <c r="G140" i="2"/>
  <c r="G139" i="2"/>
  <c r="B139" i="2"/>
  <c r="F163" i="2"/>
  <c r="C161" i="2"/>
  <c r="B161" i="2"/>
  <c r="C153" i="2"/>
  <c r="B153" i="2"/>
  <c r="C129" i="2"/>
  <c r="B129" i="2"/>
  <c r="E87" i="3"/>
  <c r="F129" i="2" s="1"/>
  <c r="G129" i="2" s="1"/>
  <c r="G131" i="2" s="1"/>
  <c r="C125" i="2"/>
  <c r="B125" i="2"/>
  <c r="C121" i="2"/>
  <c r="C120" i="2"/>
  <c r="B121" i="2"/>
  <c r="B120" i="2"/>
  <c r="E19" i="3"/>
  <c r="F121" i="2" s="1"/>
  <c r="G121" i="2" s="1"/>
  <c r="E18" i="3"/>
  <c r="F120" i="2" s="1"/>
  <c r="G120" i="2" s="1"/>
  <c r="C119" i="2"/>
  <c r="B119" i="2"/>
  <c r="G115" i="2"/>
  <c r="G114" i="2"/>
  <c r="B114" i="2"/>
  <c r="F135" i="2"/>
  <c r="C133" i="2"/>
  <c r="B133" i="2"/>
  <c r="E86" i="3"/>
  <c r="F104" i="2" s="1"/>
  <c r="G104" i="2" s="1"/>
  <c r="G106" i="2" s="1"/>
  <c r="C104" i="2"/>
  <c r="B104" i="2"/>
  <c r="C100" i="2"/>
  <c r="B100" i="2"/>
  <c r="D96" i="2"/>
  <c r="D95" i="2"/>
  <c r="D94" i="2"/>
  <c r="D93" i="2"/>
  <c r="C96" i="2"/>
  <c r="C95" i="2"/>
  <c r="C94" i="2"/>
  <c r="C93" i="2"/>
  <c r="B96" i="2"/>
  <c r="B95" i="2"/>
  <c r="B94" i="2"/>
  <c r="B93" i="2"/>
  <c r="E17" i="3"/>
  <c r="F96" i="2" s="1"/>
  <c r="E16" i="3"/>
  <c r="F95" i="2" s="1"/>
  <c r="E15" i="3"/>
  <c r="F94" i="2" s="1"/>
  <c r="E14" i="3"/>
  <c r="F93" i="2" s="1"/>
  <c r="G89" i="2"/>
  <c r="G88" i="2"/>
  <c r="B88" i="2"/>
  <c r="F110" i="2"/>
  <c r="C108" i="2"/>
  <c r="B108" i="2"/>
  <c r="G63" i="2"/>
  <c r="G62" i="2"/>
  <c r="B62" i="2"/>
  <c r="F84" i="2"/>
  <c r="C82" i="2"/>
  <c r="B82" i="2"/>
  <c r="C81" i="2"/>
  <c r="B81" i="2"/>
  <c r="C77" i="2"/>
  <c r="B77" i="2"/>
  <c r="C73" i="2"/>
  <c r="B73" i="2"/>
  <c r="C69" i="2"/>
  <c r="B69" i="2"/>
  <c r="C68" i="2"/>
  <c r="B68" i="2"/>
  <c r="C67" i="2"/>
  <c r="B67" i="2"/>
  <c r="B46" i="2"/>
  <c r="C46" i="2"/>
  <c r="C51" i="2"/>
  <c r="B51" i="2"/>
  <c r="C24" i="2"/>
  <c r="B24" i="2"/>
  <c r="E73" i="3"/>
  <c r="F46" i="2" s="1"/>
  <c r="G46" i="2" s="1"/>
  <c r="C47" i="2"/>
  <c r="B47" i="2"/>
  <c r="E78" i="3"/>
  <c r="F47" i="2" s="1"/>
  <c r="G47" i="2" s="1"/>
  <c r="C42" i="2"/>
  <c r="B42" i="2"/>
  <c r="C16" i="2"/>
  <c r="B16" i="2"/>
  <c r="G36" i="2"/>
  <c r="G35" i="2"/>
  <c r="G10" i="2"/>
  <c r="B35" i="2"/>
  <c r="F58" i="2"/>
  <c r="C56" i="2"/>
  <c r="B56" i="2"/>
  <c r="C55" i="2"/>
  <c r="B55" i="2"/>
  <c r="C41" i="2"/>
  <c r="B41" i="2"/>
  <c r="C40" i="2"/>
  <c r="B40" i="2"/>
  <c r="B29" i="2"/>
  <c r="C29" i="2"/>
  <c r="B28" i="2"/>
  <c r="C28" i="2"/>
  <c r="E85" i="3"/>
  <c r="F82" i="2" s="1"/>
  <c r="G82" i="2" s="1"/>
  <c r="E84" i="3"/>
  <c r="F81" i="2" s="1"/>
  <c r="G81" i="2" s="1"/>
  <c r="E83" i="3"/>
  <c r="F24" i="2" s="1"/>
  <c r="C20" i="2"/>
  <c r="B20" i="2"/>
  <c r="E72" i="3"/>
  <c r="F20" i="2" s="1"/>
  <c r="G20" i="2" s="1"/>
  <c r="G22" i="2" s="1"/>
  <c r="E13" i="3"/>
  <c r="F16" i="2" s="1"/>
  <c r="E12" i="3"/>
  <c r="F15" i="2" s="1"/>
  <c r="G15" i="2" s="1"/>
  <c r="E11" i="3"/>
  <c r="F67" i="2" s="1"/>
  <c r="G67" i="2" s="1"/>
  <c r="B15" i="2"/>
  <c r="C15" i="2"/>
  <c r="C14" i="2"/>
  <c r="B14" i="2"/>
  <c r="G9" i="2"/>
  <c r="B9" i="2"/>
  <c r="B7" i="2"/>
  <c r="F31" i="2"/>
  <c r="B6" i="2"/>
  <c r="G93" i="1"/>
  <c r="G94" i="1" s="1"/>
  <c r="G28" i="1"/>
  <c r="F62" i="3" l="1"/>
  <c r="F32" i="3"/>
  <c r="F52" i="3"/>
  <c r="F46" i="3"/>
  <c r="E76" i="3"/>
  <c r="F76" i="3" s="1"/>
  <c r="F47" i="3"/>
  <c r="F1671" i="2"/>
  <c r="G1671" i="2" s="1"/>
  <c r="F49" i="3"/>
  <c r="F1647" i="2"/>
  <c r="G1647" i="2" s="1"/>
  <c r="F50" i="3"/>
  <c r="F48" i="3"/>
  <c r="F1333" i="2"/>
  <c r="G1333" i="2" s="1"/>
  <c r="F51" i="3"/>
  <c r="F53" i="3"/>
  <c r="F54" i="3"/>
  <c r="F55" i="3"/>
  <c r="F56" i="3"/>
  <c r="F41" i="3"/>
  <c r="F57" i="3"/>
  <c r="F40" i="3"/>
  <c r="F778" i="2"/>
  <c r="G778" i="2" s="1"/>
  <c r="F42" i="3"/>
  <c r="F58" i="3"/>
  <c r="F1249" i="2"/>
  <c r="G1249" i="2" s="1"/>
  <c r="F38" i="3"/>
  <c r="F39" i="3"/>
  <c r="F43" i="3"/>
  <c r="F59" i="3"/>
  <c r="F1670" i="2"/>
  <c r="G1670" i="2" s="1"/>
  <c r="F44" i="3"/>
  <c r="F60" i="3"/>
  <c r="F37" i="3"/>
  <c r="F45" i="3"/>
  <c r="F30" i="3"/>
  <c r="F1593" i="2"/>
  <c r="G1593" i="2" s="1"/>
  <c r="F1304" i="2"/>
  <c r="G1304" i="2" s="1"/>
  <c r="G1306" i="2" s="1"/>
  <c r="F31" i="3"/>
  <c r="F1336" i="2"/>
  <c r="G1336" i="2" s="1"/>
  <c r="F1377" i="2"/>
  <c r="G1377" i="2" s="1"/>
  <c r="F1257" i="2"/>
  <c r="G1257" i="2" s="1"/>
  <c r="G1259" i="2" s="1"/>
  <c r="F1337" i="2"/>
  <c r="G1337" i="2" s="1"/>
  <c r="F1651" i="2"/>
  <c r="G1651" i="2" s="1"/>
  <c r="G1653" i="2" s="1"/>
  <c r="F1683" i="2"/>
  <c r="G1683" i="2" s="1"/>
  <c r="G1685" i="2" s="1"/>
  <c r="F1280" i="2"/>
  <c r="G1280" i="2" s="1"/>
  <c r="F1335" i="2"/>
  <c r="G1335" i="2" s="1"/>
  <c r="F1344" i="2"/>
  <c r="G1344" i="2" s="1"/>
  <c r="G1346" i="2" s="1"/>
  <c r="F1248" i="2"/>
  <c r="G1248" i="2" s="1"/>
  <c r="F1448" i="2"/>
  <c r="G1448" i="2" s="1"/>
  <c r="G1450" i="2" s="1"/>
  <c r="F1365" i="2"/>
  <c r="G1365" i="2" s="1"/>
  <c r="F969" i="2"/>
  <c r="G969" i="2" s="1"/>
  <c r="G972" i="2" s="1"/>
  <c r="F1543" i="2"/>
  <c r="G1543" i="2" s="1"/>
  <c r="F1567" i="2"/>
  <c r="G1567" i="2" s="1"/>
  <c r="G1569" i="2" s="1"/>
  <c r="F1423" i="2"/>
  <c r="G1423" i="2" s="1"/>
  <c r="G1425" i="2" s="1"/>
  <c r="F1631" i="2"/>
  <c r="G1631" i="2" s="1"/>
  <c r="G1633" i="2" s="1"/>
  <c r="F1331" i="2"/>
  <c r="G1331" i="2" s="1"/>
  <c r="F1547" i="2"/>
  <c r="G1547" i="2" s="1"/>
  <c r="G1549" i="2" s="1"/>
  <c r="F1675" i="2"/>
  <c r="G1675" i="2" s="1"/>
  <c r="G1677" i="2" s="1"/>
  <c r="F671" i="2"/>
  <c r="G671" i="2" s="1"/>
  <c r="G673" i="2" s="1"/>
  <c r="F1330" i="2"/>
  <c r="G1330" i="2" s="1"/>
  <c r="F1467" i="2"/>
  <c r="G1467" i="2" s="1"/>
  <c r="F1538" i="2"/>
  <c r="G1538" i="2" s="1"/>
  <c r="F1659" i="2"/>
  <c r="G1659" i="2" s="1"/>
  <c r="G1661" i="2" s="1"/>
  <c r="F1366" i="2"/>
  <c r="G1366" i="2" s="1"/>
  <c r="F1261" i="2"/>
  <c r="G1261" i="2" s="1"/>
  <c r="G1264" i="2" s="1"/>
  <c r="F1368" i="2"/>
  <c r="G1368" i="2" s="1"/>
  <c r="F1308" i="2"/>
  <c r="G1308" i="2" s="1"/>
  <c r="G1310" i="2" s="1"/>
  <c r="F1401" i="2"/>
  <c r="G1401" i="2" s="1"/>
  <c r="G1403" i="2" s="1"/>
  <c r="F1627" i="2"/>
  <c r="G1627" i="2" s="1"/>
  <c r="G1629" i="2" s="1"/>
  <c r="F1623" i="2"/>
  <c r="G1623" i="2" s="1"/>
  <c r="F675" i="2"/>
  <c r="G675" i="2" s="1"/>
  <c r="G677" i="2" s="1"/>
  <c r="F101" i="3"/>
  <c r="F1279" i="2"/>
  <c r="G1279" i="2" s="1"/>
  <c r="F1332" i="2"/>
  <c r="G1332" i="2" s="1"/>
  <c r="F1551" i="2"/>
  <c r="G1551" i="2" s="1"/>
  <c r="G1554" i="2" s="1"/>
  <c r="F1367" i="2"/>
  <c r="G1367" i="2" s="1"/>
  <c r="F1338" i="2"/>
  <c r="G1338" i="2" s="1"/>
  <c r="F1539" i="2"/>
  <c r="G1539" i="2" s="1"/>
  <c r="F1679" i="2"/>
  <c r="G1679" i="2" s="1"/>
  <c r="G1681" i="2" s="1"/>
  <c r="F663" i="2"/>
  <c r="G663" i="2" s="1"/>
  <c r="G665" i="2" s="1"/>
  <c r="F1037" i="2"/>
  <c r="G1037" i="2" s="1"/>
  <c r="F1253" i="2"/>
  <c r="G1253" i="2" s="1"/>
  <c r="F1376" i="2"/>
  <c r="G1376" i="2" s="1"/>
  <c r="F1646" i="2"/>
  <c r="G1646" i="2" s="1"/>
  <c r="F1455" i="2"/>
  <c r="G1455" i="2" s="1"/>
  <c r="G1457" i="2" s="1"/>
  <c r="F1250" i="2"/>
  <c r="G1250" i="2" s="1"/>
  <c r="F1352" i="2"/>
  <c r="G1352" i="2" s="1"/>
  <c r="G1354" i="2" s="1"/>
  <c r="F1540" i="2"/>
  <c r="G1540" i="2" s="1"/>
  <c r="F1594" i="2"/>
  <c r="G1594" i="2" s="1"/>
  <c r="F1393" i="2"/>
  <c r="G1393" i="2" s="1"/>
  <c r="G1395" i="2" s="1"/>
  <c r="F1418" i="2"/>
  <c r="G1418" i="2" s="1"/>
  <c r="F1443" i="2"/>
  <c r="G1443" i="2" s="1"/>
  <c r="F1479" i="2"/>
  <c r="G1479" i="2" s="1"/>
  <c r="G1481" i="2" s="1"/>
  <c r="F1427" i="2"/>
  <c r="G1427" i="2" s="1"/>
  <c r="G1429" i="2" s="1"/>
  <c r="F1348" i="2"/>
  <c r="G1348" i="2" s="1"/>
  <c r="G1350" i="2" s="1"/>
  <c r="F1417" i="2"/>
  <c r="G1417" i="2" s="1"/>
  <c r="F1180" i="2"/>
  <c r="G1180" i="2" s="1"/>
  <c r="G1182" i="2" s="1"/>
  <c r="F1266" i="2"/>
  <c r="G1266" i="2" s="1"/>
  <c r="G1268" i="2" s="1"/>
  <c r="F1328" i="2"/>
  <c r="G1328" i="2" s="1"/>
  <c r="F1468" i="2"/>
  <c r="G1468" i="2" s="1"/>
  <c r="F1556" i="2"/>
  <c r="G1556" i="2" s="1"/>
  <c r="G1558" i="2" s="1"/>
  <c r="F1599" i="2"/>
  <c r="G1599" i="2" s="1"/>
  <c r="G1601" i="2" s="1"/>
  <c r="F1316" i="2"/>
  <c r="G1316" i="2" s="1"/>
  <c r="G1318" i="2" s="1"/>
  <c r="F1251" i="2"/>
  <c r="G1251" i="2" s="1"/>
  <c r="F1292" i="2"/>
  <c r="G1292" i="2" s="1"/>
  <c r="G1294" i="2" s="1"/>
  <c r="F1339" i="2"/>
  <c r="G1339" i="2" s="1"/>
  <c r="F1541" i="2"/>
  <c r="G1541" i="2" s="1"/>
  <c r="F1575" i="2"/>
  <c r="G1575" i="2" s="1"/>
  <c r="G1577" i="2" s="1"/>
  <c r="F1595" i="2"/>
  <c r="G1595" i="2" s="1"/>
  <c r="F1012" i="2"/>
  <c r="G1012" i="2" s="1"/>
  <c r="G1014" i="2" s="1"/>
  <c r="F974" i="2"/>
  <c r="G974" i="2" s="1"/>
  <c r="G976" i="2" s="1"/>
  <c r="F1334" i="2"/>
  <c r="G1334" i="2" s="1"/>
  <c r="F1364" i="2"/>
  <c r="G1364" i="2" s="1"/>
  <c r="F1372" i="2"/>
  <c r="G1372" i="2" s="1"/>
  <c r="G1374" i="2" s="1"/>
  <c r="F1397" i="2"/>
  <c r="G1397" i="2" s="1"/>
  <c r="G1399" i="2" s="1"/>
  <c r="F1419" i="2"/>
  <c r="G1419" i="2" s="1"/>
  <c r="F1444" i="2"/>
  <c r="G1444" i="2" s="1"/>
  <c r="F1512" i="2"/>
  <c r="G1512" i="2" s="1"/>
  <c r="G1514" i="2" s="1"/>
  <c r="F1381" i="2"/>
  <c r="G1381" i="2" s="1"/>
  <c r="G1383" i="2" s="1"/>
  <c r="F1431" i="2"/>
  <c r="G1431" i="2" s="1"/>
  <c r="G1433" i="2" s="1"/>
  <c r="F1524" i="2"/>
  <c r="G1524" i="2" s="1"/>
  <c r="G1526" i="2" s="1"/>
  <c r="F1329" i="2"/>
  <c r="G1329" i="2" s="1"/>
  <c r="F1472" i="2"/>
  <c r="G1472" i="2" s="1"/>
  <c r="G1474" i="2" s="1"/>
  <c r="F1607" i="2"/>
  <c r="G1607" i="2" s="1"/>
  <c r="G1609" i="2" s="1"/>
  <c r="F1405" i="2"/>
  <c r="G1405" i="2" s="1"/>
  <c r="G1407" i="2" s="1"/>
  <c r="F1520" i="2"/>
  <c r="G1520" i="2" s="1"/>
  <c r="G1522" i="2" s="1"/>
  <c r="F1635" i="2"/>
  <c r="G1635" i="2" s="1"/>
  <c r="G1637" i="2" s="1"/>
  <c r="F1284" i="2"/>
  <c r="G1284" i="2" s="1"/>
  <c r="G1286" i="2" s="1"/>
  <c r="F895" i="2"/>
  <c r="G895" i="2" s="1"/>
  <c r="G897" i="2" s="1"/>
  <c r="F1252" i="2"/>
  <c r="G1252" i="2" s="1"/>
  <c r="F1340" i="2"/>
  <c r="G1340" i="2" s="1"/>
  <c r="F1542" i="2"/>
  <c r="G1542" i="2" s="1"/>
  <c r="F1579" i="2"/>
  <c r="G1579" i="2" s="1"/>
  <c r="G1581" i="2" s="1"/>
  <c r="F1622" i="2"/>
  <c r="G1622" i="2" s="1"/>
  <c r="G1504" i="2"/>
  <c r="F61" i="3"/>
  <c r="F1151" i="2"/>
  <c r="G1151" i="2" s="1"/>
  <c r="F1187" i="2"/>
  <c r="G1187" i="2" s="1"/>
  <c r="G1189" i="2" s="1"/>
  <c r="F694" i="2"/>
  <c r="G694" i="2" s="1"/>
  <c r="F1052" i="2"/>
  <c r="G1052" i="2" s="1"/>
  <c r="G1054" i="2" s="1"/>
  <c r="F1220" i="2"/>
  <c r="G1220" i="2" s="1"/>
  <c r="G1222" i="2" s="1"/>
  <c r="F1131" i="2"/>
  <c r="G1131" i="2" s="1"/>
  <c r="G1133" i="2" s="1"/>
  <c r="F1074" i="2"/>
  <c r="G1074" i="2" s="1"/>
  <c r="F959" i="2"/>
  <c r="G959" i="2" s="1"/>
  <c r="F1056" i="2"/>
  <c r="G1056" i="2" s="1"/>
  <c r="G1058" i="2" s="1"/>
  <c r="F1127" i="2"/>
  <c r="G1127" i="2" s="1"/>
  <c r="F928" i="2"/>
  <c r="G928" i="2" s="1"/>
  <c r="G930" i="2" s="1"/>
  <c r="F696" i="2"/>
  <c r="G696" i="2" s="1"/>
  <c r="F965" i="2"/>
  <c r="G965" i="2" s="1"/>
  <c r="G967" i="2" s="1"/>
  <c r="F773" i="2"/>
  <c r="G773" i="2" s="1"/>
  <c r="F867" i="2"/>
  <c r="G867" i="2" s="1"/>
  <c r="G869" i="2" s="1"/>
  <c r="F988" i="2"/>
  <c r="G988" i="2" s="1"/>
  <c r="F1036" i="2"/>
  <c r="G1036" i="2" s="1"/>
  <c r="F957" i="2"/>
  <c r="G957" i="2" s="1"/>
  <c r="F992" i="2"/>
  <c r="G992" i="2" s="1"/>
  <c r="G994" i="2" s="1"/>
  <c r="F774" i="2"/>
  <c r="G774" i="2" s="1"/>
  <c r="F639" i="2"/>
  <c r="G639" i="2" s="1"/>
  <c r="G641" i="2" s="1"/>
  <c r="F775" i="2"/>
  <c r="G775" i="2" s="1"/>
  <c r="F1084" i="2"/>
  <c r="G1084" i="2" s="1"/>
  <c r="F1135" i="2"/>
  <c r="G1135" i="2" s="1"/>
  <c r="G1137" i="2" s="1"/>
  <c r="F1016" i="2"/>
  <c r="G1016" i="2" s="1"/>
  <c r="G1018" i="2" s="1"/>
  <c r="G1175" i="2"/>
  <c r="G1178" i="2" s="1"/>
  <c r="G1048" i="2"/>
  <c r="F883" i="2"/>
  <c r="G883" i="2" s="1"/>
  <c r="F1038" i="2"/>
  <c r="G1038" i="2" s="1"/>
  <c r="F987" i="2"/>
  <c r="G987" i="2" s="1"/>
  <c r="F721" i="2"/>
  <c r="G721" i="2" s="1"/>
  <c r="F1101" i="2"/>
  <c r="G1101" i="2" s="1"/>
  <c r="G1103" i="2" s="1"/>
  <c r="F722" i="2"/>
  <c r="G722" i="2" s="1"/>
  <c r="F99" i="3"/>
  <c r="F1080" i="2"/>
  <c r="G1080" i="2" s="1"/>
  <c r="G1082" i="2" s="1"/>
  <c r="F817" i="2"/>
  <c r="G817" i="2" s="1"/>
  <c r="F1152" i="2"/>
  <c r="G1152" i="2" s="1"/>
  <c r="F779" i="2"/>
  <c r="G779" i="2" s="1"/>
  <c r="F174" i="2"/>
  <c r="G174" i="2" s="1"/>
  <c r="F475" i="2"/>
  <c r="G475" i="2" s="1"/>
  <c r="F735" i="2"/>
  <c r="G735" i="2" s="1"/>
  <c r="G737" i="2" s="1"/>
  <c r="F1228" i="2"/>
  <c r="G1228" i="2" s="1"/>
  <c r="G1230" i="2" s="1"/>
  <c r="F1109" i="2"/>
  <c r="G1109" i="2" s="1"/>
  <c r="G1111" i="2" s="1"/>
  <c r="F1089" i="2"/>
  <c r="G1089" i="2" s="1"/>
  <c r="G1091" i="2" s="1"/>
  <c r="F986" i="2"/>
  <c r="G986" i="2" s="1"/>
  <c r="F961" i="2"/>
  <c r="G961" i="2" s="1"/>
  <c r="G1046" i="2"/>
  <c r="F566" i="2"/>
  <c r="G566" i="2" s="1"/>
  <c r="F1076" i="2"/>
  <c r="G1076" i="2" s="1"/>
  <c r="F884" i="2"/>
  <c r="G884" i="2" s="1"/>
  <c r="F709" i="2"/>
  <c r="G709" i="2" s="1"/>
  <c r="G711" i="2" s="1"/>
  <c r="F812" i="2"/>
  <c r="G812" i="2" s="1"/>
  <c r="G814" i="2" s="1"/>
  <c r="F857" i="2"/>
  <c r="G857" i="2" s="1"/>
  <c r="F940" i="2"/>
  <c r="G940" i="2" s="1"/>
  <c r="G942" i="2" s="1"/>
  <c r="F1126" i="2"/>
  <c r="G1126" i="2" s="1"/>
  <c r="F1040" i="2"/>
  <c r="G1040" i="2" s="1"/>
  <c r="F1000" i="2"/>
  <c r="G1000" i="2" s="1"/>
  <c r="G1002" i="2" s="1"/>
  <c r="F1041" i="2"/>
  <c r="G1041" i="2" s="1"/>
  <c r="G1045" i="2"/>
  <c r="F95" i="3"/>
  <c r="F888" i="2"/>
  <c r="G888" i="2" s="1"/>
  <c r="G890" i="2" s="1"/>
  <c r="F1075" i="2"/>
  <c r="G1075" i="2" s="1"/>
  <c r="G1044" i="2"/>
  <c r="F956" i="2"/>
  <c r="G956" i="2" s="1"/>
  <c r="F871" i="2"/>
  <c r="G871" i="2" s="1"/>
  <c r="G873" i="2" s="1"/>
  <c r="G1042" i="2"/>
  <c r="F780" i="2"/>
  <c r="G780" i="2" s="1"/>
  <c r="F1072" i="2"/>
  <c r="G1072" i="2" s="1"/>
  <c r="F1113" i="2"/>
  <c r="G1113" i="2" s="1"/>
  <c r="G1115" i="2" s="1"/>
  <c r="F691" i="2"/>
  <c r="G691" i="2" s="1"/>
  <c r="F792" i="2"/>
  <c r="G792" i="2" s="1"/>
  <c r="G794" i="2" s="1"/>
  <c r="F97" i="3"/>
  <c r="F1139" i="2"/>
  <c r="G1139" i="2" s="1"/>
  <c r="G1141" i="2" s="1"/>
  <c r="F1085" i="2"/>
  <c r="G1085" i="2" s="1"/>
  <c r="F1024" i="2"/>
  <c r="G1024" i="2" s="1"/>
  <c r="G1026" i="2" s="1"/>
  <c r="G1047" i="2"/>
  <c r="F1073" i="2"/>
  <c r="G1073" i="2" s="1"/>
  <c r="F958" i="2"/>
  <c r="G958" i="2" s="1"/>
  <c r="F1232" i="2"/>
  <c r="G1232" i="2" s="1"/>
  <c r="G1234" i="2" s="1"/>
  <c r="F1163" i="2"/>
  <c r="G1163" i="2" s="1"/>
  <c r="G1165" i="2" s="1"/>
  <c r="F816" i="2"/>
  <c r="G816" i="2" s="1"/>
  <c r="F98" i="3"/>
  <c r="F936" i="2"/>
  <c r="G936" i="2" s="1"/>
  <c r="G938" i="2" s="1"/>
  <c r="F1156" i="2"/>
  <c r="G1156" i="2" s="1"/>
  <c r="G1158" i="2" s="1"/>
  <c r="F1125" i="2"/>
  <c r="G1125" i="2" s="1"/>
  <c r="F1105" i="2"/>
  <c r="G1105" i="2" s="1"/>
  <c r="G1107" i="2" s="1"/>
  <c r="F1060" i="2"/>
  <c r="G1060" i="2" s="1"/>
  <c r="G1062" i="2" s="1"/>
  <c r="F1039" i="2"/>
  <c r="G1039" i="2" s="1"/>
  <c r="F960" i="2"/>
  <c r="G960" i="2" s="1"/>
  <c r="G1212" i="2"/>
  <c r="G920" i="2"/>
  <c r="F747" i="2"/>
  <c r="G747" i="2" s="1"/>
  <c r="G749" i="2" s="1"/>
  <c r="F96" i="3"/>
  <c r="F651" i="2"/>
  <c r="G651" i="2" s="1"/>
  <c r="G653" i="2" s="1"/>
  <c r="F723" i="2"/>
  <c r="G723" i="2" s="1"/>
  <c r="F784" i="2"/>
  <c r="G784" i="2" s="1"/>
  <c r="G786" i="2" s="1"/>
  <c r="F821" i="2"/>
  <c r="G821" i="2" s="1"/>
  <c r="G823" i="2" s="1"/>
  <c r="F643" i="2"/>
  <c r="G643" i="2" s="1"/>
  <c r="G645" i="2" s="1"/>
  <c r="F595" i="2"/>
  <c r="G595" i="2" s="1"/>
  <c r="G597" i="2" s="1"/>
  <c r="F837" i="2"/>
  <c r="G837" i="2" s="1"/>
  <c r="G839" i="2" s="1"/>
  <c r="F700" i="2"/>
  <c r="G700" i="2" s="1"/>
  <c r="G702" i="2" s="1"/>
  <c r="F776" i="2"/>
  <c r="G776" i="2" s="1"/>
  <c r="F807" i="2"/>
  <c r="G807" i="2" s="1"/>
  <c r="G810" i="2" s="1"/>
  <c r="F841" i="2"/>
  <c r="G841" i="2" s="1"/>
  <c r="G843" i="2" s="1"/>
  <c r="F859" i="2"/>
  <c r="G859" i="2" s="1"/>
  <c r="F695" i="2"/>
  <c r="G695" i="2" s="1"/>
  <c r="F692" i="2"/>
  <c r="G692" i="2" s="1"/>
  <c r="F759" i="2"/>
  <c r="G759" i="2" s="1"/>
  <c r="G761" i="2" s="1"/>
  <c r="F502" i="2"/>
  <c r="G502" i="2" s="1"/>
  <c r="F771" i="2"/>
  <c r="G771" i="2" s="1"/>
  <c r="F833" i="2"/>
  <c r="G833" i="2" s="1"/>
  <c r="G835" i="2" s="1"/>
  <c r="F727" i="2"/>
  <c r="G727" i="2" s="1"/>
  <c r="G729" i="2" s="1"/>
  <c r="F788" i="2"/>
  <c r="G788" i="2" s="1"/>
  <c r="G790" i="2" s="1"/>
  <c r="F777" i="2"/>
  <c r="G777" i="2" s="1"/>
  <c r="F845" i="2"/>
  <c r="G845" i="2" s="1"/>
  <c r="G847" i="2" s="1"/>
  <c r="F863" i="2"/>
  <c r="G863" i="2" s="1"/>
  <c r="G865" i="2" s="1"/>
  <c r="F751" i="2"/>
  <c r="G751" i="2" s="1"/>
  <c r="G753" i="2" s="1"/>
  <c r="F693" i="2"/>
  <c r="G693" i="2" s="1"/>
  <c r="F503" i="2"/>
  <c r="G503" i="2" s="1"/>
  <c r="F772" i="2"/>
  <c r="G772" i="2" s="1"/>
  <c r="F858" i="2"/>
  <c r="G858" i="2" s="1"/>
  <c r="F173" i="2"/>
  <c r="G173" i="2" s="1"/>
  <c r="F172" i="2"/>
  <c r="G172" i="2" s="1"/>
  <c r="F458" i="2"/>
  <c r="G458" i="2" s="1"/>
  <c r="G461" i="2" s="1"/>
  <c r="F615" i="2"/>
  <c r="G615" i="2" s="1"/>
  <c r="G618" i="2" s="1"/>
  <c r="F574" i="2"/>
  <c r="G574" i="2" s="1"/>
  <c r="F563" i="2"/>
  <c r="G563" i="2" s="1"/>
  <c r="F627" i="2"/>
  <c r="G627" i="2" s="1"/>
  <c r="G629" i="2" s="1"/>
  <c r="F562" i="2"/>
  <c r="G562" i="2" s="1"/>
  <c r="F570" i="2"/>
  <c r="G570" i="2" s="1"/>
  <c r="G572" i="2" s="1"/>
  <c r="F620" i="2"/>
  <c r="G620" i="2" s="1"/>
  <c r="G622" i="2" s="1"/>
  <c r="F575" i="2"/>
  <c r="G575" i="2" s="1"/>
  <c r="F603" i="2"/>
  <c r="G603" i="2" s="1"/>
  <c r="G605" i="2" s="1"/>
  <c r="F579" i="2"/>
  <c r="G579" i="2" s="1"/>
  <c r="G581" i="2" s="1"/>
  <c r="F564" i="2"/>
  <c r="G564" i="2" s="1"/>
  <c r="F565" i="2"/>
  <c r="G565" i="2" s="1"/>
  <c r="F591" i="2"/>
  <c r="G591" i="2" s="1"/>
  <c r="G593" i="2" s="1"/>
  <c r="G548" i="2"/>
  <c r="F550" i="2"/>
  <c r="G550" i="2" s="1"/>
  <c r="G552" i="2" s="1"/>
  <c r="F536" i="2"/>
  <c r="G536" i="2" s="1"/>
  <c r="G527" i="2"/>
  <c r="F515" i="2"/>
  <c r="G515" i="2" s="1"/>
  <c r="G517" i="2" s="1"/>
  <c r="F489" i="2"/>
  <c r="G489" i="2" s="1"/>
  <c r="G491" i="2" s="1"/>
  <c r="F450" i="2"/>
  <c r="G450" i="2" s="1"/>
  <c r="F507" i="2"/>
  <c r="G507" i="2" s="1"/>
  <c r="G509" i="2" s="1"/>
  <c r="F501" i="2"/>
  <c r="G501" i="2" s="1"/>
  <c r="F540" i="2"/>
  <c r="G540" i="2" s="1"/>
  <c r="G542" i="2" s="1"/>
  <c r="G477" i="2"/>
  <c r="F446" i="2"/>
  <c r="G446" i="2" s="1"/>
  <c r="F454" i="2"/>
  <c r="G454" i="2" s="1"/>
  <c r="G456" i="2" s="1"/>
  <c r="F481" i="2"/>
  <c r="G481" i="2" s="1"/>
  <c r="G483" i="2" s="1"/>
  <c r="F463" i="2"/>
  <c r="G463" i="2" s="1"/>
  <c r="G465" i="2" s="1"/>
  <c r="G476" i="2"/>
  <c r="F393" i="2"/>
  <c r="G393" i="2" s="1"/>
  <c r="F429" i="2"/>
  <c r="G429" i="2" s="1"/>
  <c r="G431" i="2" s="1"/>
  <c r="F93" i="3"/>
  <c r="E69" i="3"/>
  <c r="E74" i="3" s="1"/>
  <c r="F74" i="3" s="1"/>
  <c r="E70" i="3"/>
  <c r="F392" i="2"/>
  <c r="G392" i="2" s="1"/>
  <c r="G402" i="2"/>
  <c r="F401" i="2"/>
  <c r="G401" i="2" s="1"/>
  <c r="G404" i="2" s="1"/>
  <c r="F92" i="3"/>
  <c r="F100" i="2"/>
  <c r="G100" i="2" s="1"/>
  <c r="G102" i="2" s="1"/>
  <c r="F376" i="2"/>
  <c r="G376" i="2" s="1"/>
  <c r="G378" i="2" s="1"/>
  <c r="F406" i="2"/>
  <c r="G406" i="2" s="1"/>
  <c r="G408" i="2" s="1"/>
  <c r="F335" i="2"/>
  <c r="G335" i="2" s="1"/>
  <c r="F279" i="2"/>
  <c r="G279" i="2" s="1"/>
  <c r="G281" i="2" s="1"/>
  <c r="F380" i="2"/>
  <c r="G380" i="2" s="1"/>
  <c r="G382" i="2" s="1"/>
  <c r="F334" i="2"/>
  <c r="G334" i="2" s="1"/>
  <c r="F368" i="2"/>
  <c r="G368" i="2" s="1"/>
  <c r="G370" i="2" s="1"/>
  <c r="G356" i="2"/>
  <c r="G358" i="2" s="1"/>
  <c r="G360" i="2" s="1"/>
  <c r="F322" i="2"/>
  <c r="G322" i="2" s="1"/>
  <c r="G324" i="2" s="1"/>
  <c r="F77" i="3"/>
  <c r="F275" i="2"/>
  <c r="G275" i="2" s="1"/>
  <c r="G277" i="2" s="1"/>
  <c r="F326" i="2"/>
  <c r="G326" i="2" s="1"/>
  <c r="G329" i="2" s="1"/>
  <c r="F286" i="2"/>
  <c r="G286" i="2" s="1"/>
  <c r="G288" i="2" s="1"/>
  <c r="F298" i="2"/>
  <c r="G298" i="2" s="1"/>
  <c r="G300" i="2" s="1"/>
  <c r="F309" i="2"/>
  <c r="G309" i="2" s="1"/>
  <c r="G312" i="2" s="1"/>
  <c r="F256" i="2"/>
  <c r="G256" i="2" s="1"/>
  <c r="G258" i="2" s="1"/>
  <c r="F252" i="2"/>
  <c r="G252" i="2" s="1"/>
  <c r="F90" i="3"/>
  <c r="G264" i="2"/>
  <c r="F89" i="3"/>
  <c r="F251" i="2"/>
  <c r="G251" i="2" s="1"/>
  <c r="F263" i="2"/>
  <c r="G263" i="2" s="1"/>
  <c r="F239" i="2"/>
  <c r="G239" i="2" s="1"/>
  <c r="F250" i="2"/>
  <c r="G250" i="2" s="1"/>
  <c r="F213" i="2"/>
  <c r="G213" i="2" s="1"/>
  <c r="F226" i="2"/>
  <c r="G226" i="2" s="1"/>
  <c r="F238" i="2"/>
  <c r="G238" i="2" s="1"/>
  <c r="F231" i="2"/>
  <c r="G231" i="2" s="1"/>
  <c r="G233" i="2" s="1"/>
  <c r="F227" i="2"/>
  <c r="G227" i="2" s="1"/>
  <c r="F225" i="2"/>
  <c r="G225" i="2" s="1"/>
  <c r="F88" i="3"/>
  <c r="F214" i="2"/>
  <c r="G214" i="2" s="1"/>
  <c r="F206" i="2"/>
  <c r="G206" i="2" s="1"/>
  <c r="F27" i="3"/>
  <c r="F28" i="3"/>
  <c r="F29" i="3"/>
  <c r="F181" i="2"/>
  <c r="G181" i="2" s="1"/>
  <c r="G202" i="2"/>
  <c r="F200" i="2"/>
  <c r="G200" i="2" s="1"/>
  <c r="F201" i="2"/>
  <c r="G201" i="2" s="1"/>
  <c r="F26" i="3"/>
  <c r="G177" i="2"/>
  <c r="F176" i="2"/>
  <c r="G176" i="2" s="1"/>
  <c r="G175" i="2"/>
  <c r="F153" i="2"/>
  <c r="G153" i="2" s="1"/>
  <c r="F22" i="3"/>
  <c r="F23" i="3"/>
  <c r="F24" i="3"/>
  <c r="F25" i="3"/>
  <c r="F147" i="2"/>
  <c r="G147" i="2" s="1"/>
  <c r="F148" i="2"/>
  <c r="G148" i="2" s="1"/>
  <c r="F154" i="2"/>
  <c r="G154" i="2" s="1"/>
  <c r="F189" i="2"/>
  <c r="G189" i="2" s="1"/>
  <c r="G191" i="2" s="1"/>
  <c r="F182" i="2"/>
  <c r="G182" i="2" s="1"/>
  <c r="F21" i="3"/>
  <c r="F20" i="3"/>
  <c r="G94" i="2"/>
  <c r="G144" i="2"/>
  <c r="F161" i="2"/>
  <c r="G161" i="2" s="1"/>
  <c r="G163" i="2" s="1"/>
  <c r="G145" i="2"/>
  <c r="G159" i="2"/>
  <c r="G93" i="2"/>
  <c r="G146" i="2"/>
  <c r="F87" i="3"/>
  <c r="F71" i="3"/>
  <c r="F125" i="2"/>
  <c r="G125" i="2" s="1"/>
  <c r="G127" i="2" s="1"/>
  <c r="F18" i="3"/>
  <c r="F19" i="3"/>
  <c r="F108" i="2"/>
  <c r="G108" i="2" s="1"/>
  <c r="G110" i="2" s="1"/>
  <c r="F133" i="2"/>
  <c r="G133" i="2" s="1"/>
  <c r="G135" i="2" s="1"/>
  <c r="G96" i="2"/>
  <c r="F15" i="3"/>
  <c r="F119" i="2"/>
  <c r="G119" i="2" s="1"/>
  <c r="G123" i="2" s="1"/>
  <c r="F16" i="3"/>
  <c r="F17" i="3"/>
  <c r="G95" i="2"/>
  <c r="F86" i="3"/>
  <c r="F14" i="3"/>
  <c r="F69" i="2"/>
  <c r="G69" i="2" s="1"/>
  <c r="F14" i="2"/>
  <c r="G14" i="2" s="1"/>
  <c r="G84" i="2"/>
  <c r="F73" i="3"/>
  <c r="F73" i="2"/>
  <c r="G73" i="2" s="1"/>
  <c r="G75" i="2" s="1"/>
  <c r="F42" i="2"/>
  <c r="G42" i="2" s="1"/>
  <c r="G24" i="2"/>
  <c r="G26" i="2" s="1"/>
  <c r="F77" i="2"/>
  <c r="G77" i="2" s="1"/>
  <c r="G79" i="2" s="1"/>
  <c r="F28" i="2"/>
  <c r="G28" i="2" s="1"/>
  <c r="F55" i="2"/>
  <c r="G55" i="2" s="1"/>
  <c r="F85" i="3"/>
  <c r="F40" i="2"/>
  <c r="G40" i="2" s="1"/>
  <c r="F41" i="2"/>
  <c r="G41" i="2" s="1"/>
  <c r="F51" i="2"/>
  <c r="G51" i="2" s="1"/>
  <c r="G53" i="2" s="1"/>
  <c r="F56" i="2"/>
  <c r="G56" i="2" s="1"/>
  <c r="F29" i="2"/>
  <c r="G29" i="2" s="1"/>
  <c r="F68" i="2"/>
  <c r="G68" i="2" s="1"/>
  <c r="G49" i="2"/>
  <c r="F78" i="3"/>
  <c r="G16" i="2"/>
  <c r="F84" i="3"/>
  <c r="F11" i="3"/>
  <c r="F83" i="3"/>
  <c r="F13" i="3"/>
  <c r="F12" i="3"/>
  <c r="F72" i="3"/>
  <c r="G1673" i="2" l="1"/>
  <c r="G1687" i="2" s="1"/>
  <c r="E98" i="1" s="1"/>
  <c r="G1649" i="2"/>
  <c r="F667" i="2"/>
  <c r="G667" i="2" s="1"/>
  <c r="G669" i="2" s="1"/>
  <c r="E75" i="3"/>
  <c r="F75" i="3" s="1"/>
  <c r="G1379" i="2"/>
  <c r="G1470" i="2"/>
  <c r="G1483" i="2" s="1"/>
  <c r="G1663" i="2"/>
  <c r="G1282" i="2"/>
  <c r="G1296" i="2" s="1"/>
  <c r="G1625" i="2"/>
  <c r="E97" i="1"/>
  <c r="E82" i="1"/>
  <c r="G679" i="2"/>
  <c r="G1370" i="2"/>
  <c r="G1385" i="2" s="1"/>
  <c r="E69" i="1"/>
  <c r="G1597" i="2"/>
  <c r="G1611" i="2" s="1"/>
  <c r="E56" i="1"/>
  <c r="G1320" i="2"/>
  <c r="G1446" i="2"/>
  <c r="G1459" i="2" s="1"/>
  <c r="G1545" i="2"/>
  <c r="G1560" i="2" s="1"/>
  <c r="G1409" i="2"/>
  <c r="E26" i="1"/>
  <c r="G1255" i="2"/>
  <c r="G1270" i="2" s="1"/>
  <c r="G1154" i="2"/>
  <c r="G1167" i="2" s="1"/>
  <c r="G1421" i="2"/>
  <c r="G1435" i="2" s="1"/>
  <c r="G1342" i="2"/>
  <c r="G1356" i="2" s="1"/>
  <c r="G1639" i="2"/>
  <c r="F1516" i="2"/>
  <c r="G1516" i="2" s="1"/>
  <c r="G1518" i="2" s="1"/>
  <c r="G1528" i="2" s="1"/>
  <c r="F1571" i="2"/>
  <c r="G1571" i="2" s="1"/>
  <c r="G1573" i="2" s="1"/>
  <c r="G1583" i="2" s="1"/>
  <c r="G1087" i="2"/>
  <c r="G1191" i="2"/>
  <c r="G990" i="2"/>
  <c r="G1004" i="2" s="1"/>
  <c r="G1129" i="2"/>
  <c r="G1143" i="2" s="1"/>
  <c r="G1117" i="2"/>
  <c r="G886" i="2"/>
  <c r="G899" i="2" s="1"/>
  <c r="G725" i="2"/>
  <c r="G739" i="2" s="1"/>
  <c r="G963" i="2"/>
  <c r="G978" i="2" s="1"/>
  <c r="G819" i="2"/>
  <c r="G825" i="2" s="1"/>
  <c r="G1028" i="2"/>
  <c r="G1078" i="2"/>
  <c r="G1050" i="2"/>
  <c r="G1064" i="2" s="1"/>
  <c r="G763" i="2"/>
  <c r="F1224" i="2"/>
  <c r="G1224" i="2" s="1"/>
  <c r="G1226" i="2" s="1"/>
  <c r="G1236" i="2" s="1"/>
  <c r="F932" i="2"/>
  <c r="G932" i="2" s="1"/>
  <c r="G934" i="2" s="1"/>
  <c r="G944" i="2" s="1"/>
  <c r="G655" i="2"/>
  <c r="G782" i="2"/>
  <c r="G796" i="2" s="1"/>
  <c r="G698" i="2"/>
  <c r="G713" i="2" s="1"/>
  <c r="G861" i="2"/>
  <c r="G875" i="2" s="1"/>
  <c r="G505" i="2"/>
  <c r="G519" i="2" s="1"/>
  <c r="G849" i="2"/>
  <c r="G577" i="2"/>
  <c r="G631" i="2"/>
  <c r="G568" i="2"/>
  <c r="G607" i="2"/>
  <c r="G452" i="2"/>
  <c r="G467" i="2" s="1"/>
  <c r="G538" i="2"/>
  <c r="G554" i="2" s="1"/>
  <c r="G395" i="2"/>
  <c r="G479" i="2"/>
  <c r="G493" i="2" s="1"/>
  <c r="F397" i="2"/>
  <c r="F421" i="2"/>
  <c r="G421" i="2" s="1"/>
  <c r="G423" i="2" s="1"/>
  <c r="G337" i="2"/>
  <c r="G339" i="2" s="1"/>
  <c r="G419" i="2"/>
  <c r="G290" i="2"/>
  <c r="G314" i="2"/>
  <c r="G266" i="2"/>
  <c r="G241" i="2"/>
  <c r="G229" i="2"/>
  <c r="G216" i="2"/>
  <c r="G254" i="2"/>
  <c r="G204" i="2"/>
  <c r="G208" i="2"/>
  <c r="G156" i="2"/>
  <c r="G179" i="2"/>
  <c r="G184" i="2"/>
  <c r="G151" i="2"/>
  <c r="G71" i="2"/>
  <c r="G86" i="2" s="1"/>
  <c r="G137" i="2"/>
  <c r="G98" i="2"/>
  <c r="G112" i="2" s="1"/>
  <c r="G18" i="2"/>
  <c r="F81" i="3"/>
  <c r="G44" i="2"/>
  <c r="G31" i="2"/>
  <c r="G58" i="2"/>
  <c r="F9" i="3"/>
  <c r="E61" i="1" l="1"/>
  <c r="E51" i="1"/>
  <c r="E75" i="1"/>
  <c r="E68" i="1"/>
  <c r="E83" i="1"/>
  <c r="E77" i="1"/>
  <c r="E96" i="1"/>
  <c r="E45" i="1"/>
  <c r="G82" i="1"/>
  <c r="E60" i="1"/>
  <c r="E79" i="1"/>
  <c r="E49" i="1"/>
  <c r="G98" i="1"/>
  <c r="E48" i="1"/>
  <c r="E80" i="1"/>
  <c r="E57" i="1"/>
  <c r="E87" i="1"/>
  <c r="E63" i="1"/>
  <c r="E73" i="1"/>
  <c r="E55" i="1"/>
  <c r="E74" i="1"/>
  <c r="E70" i="1"/>
  <c r="E50" i="1"/>
  <c r="G69" i="1"/>
  <c r="E67" i="1"/>
  <c r="E62" i="1"/>
  <c r="E76" i="1"/>
  <c r="G97" i="1"/>
  <c r="E86" i="1"/>
  <c r="E81" i="1"/>
  <c r="G56" i="1"/>
  <c r="E90" i="1"/>
  <c r="G1093" i="2"/>
  <c r="E52" i="1"/>
  <c r="E53" i="1"/>
  <c r="E65" i="1"/>
  <c r="E54" i="1"/>
  <c r="E66" i="1"/>
  <c r="E78" i="1"/>
  <c r="E42" i="1"/>
  <c r="E43" i="1"/>
  <c r="E17" i="1"/>
  <c r="E39" i="1"/>
  <c r="E44" i="1"/>
  <c r="E38" i="1"/>
  <c r="G26" i="1"/>
  <c r="E24" i="1"/>
  <c r="E15" i="1"/>
  <c r="E25" i="1"/>
  <c r="E40" i="1"/>
  <c r="E23" i="1"/>
  <c r="E16" i="1"/>
  <c r="E37" i="1"/>
  <c r="G583" i="2"/>
  <c r="G433" i="2"/>
  <c r="G243" i="2"/>
  <c r="G268" i="2"/>
  <c r="G218" i="2"/>
  <c r="G165" i="2"/>
  <c r="G193" i="2"/>
  <c r="G60" i="2"/>
  <c r="G33" i="2"/>
  <c r="G96" i="1" l="1"/>
  <c r="G99" i="1" s="1"/>
  <c r="G78" i="1"/>
  <c r="G81" i="1"/>
  <c r="G70" i="1"/>
  <c r="G74" i="1"/>
  <c r="G73" i="1"/>
  <c r="G53" i="1"/>
  <c r="G62" i="1"/>
  <c r="G63" i="1"/>
  <c r="G60" i="1"/>
  <c r="G51" i="1"/>
  <c r="G45" i="1"/>
  <c r="G80" i="1"/>
  <c r="G77" i="1"/>
  <c r="G66" i="1"/>
  <c r="G86" i="1"/>
  <c r="G88" i="1" s="1"/>
  <c r="G54" i="1"/>
  <c r="G55" i="1"/>
  <c r="G49" i="1"/>
  <c r="G68" i="1"/>
  <c r="G65" i="1"/>
  <c r="G76" i="1"/>
  <c r="G79" i="1"/>
  <c r="G75" i="1"/>
  <c r="G52" i="1"/>
  <c r="G67" i="1"/>
  <c r="G87" i="1"/>
  <c r="G61" i="1"/>
  <c r="G90" i="1"/>
  <c r="G91" i="1" s="1"/>
  <c r="G57" i="1"/>
  <c r="G50" i="1"/>
  <c r="G48" i="1"/>
  <c r="G83" i="1"/>
  <c r="E64" i="1"/>
  <c r="G24" i="1"/>
  <c r="G16" i="1"/>
  <c r="E14" i="1"/>
  <c r="E19" i="1"/>
  <c r="E20" i="1"/>
  <c r="G25" i="1"/>
  <c r="G43" i="1"/>
  <c r="E13" i="1"/>
  <c r="E18" i="1"/>
  <c r="E22" i="1"/>
  <c r="G38" i="1"/>
  <c r="G39" i="1"/>
  <c r="G17" i="1"/>
  <c r="E21" i="1"/>
  <c r="G15" i="1"/>
  <c r="G42" i="1"/>
  <c r="E41" i="1"/>
  <c r="G37" i="1"/>
  <c r="G44" i="1"/>
  <c r="G23" i="1"/>
  <c r="G40" i="1"/>
  <c r="E30" i="1"/>
  <c r="G84" i="1" l="1"/>
  <c r="G64" i="1"/>
  <c r="G71" i="1" s="1"/>
  <c r="G58" i="1"/>
  <c r="G13" i="1"/>
  <c r="G20" i="1"/>
  <c r="G21" i="1"/>
  <c r="G19" i="1"/>
  <c r="G41" i="1"/>
  <c r="G46" i="1" s="1"/>
  <c r="G18" i="1"/>
  <c r="G30" i="1"/>
  <c r="G14" i="1"/>
  <c r="G22" i="1"/>
  <c r="G100" i="1" l="1"/>
  <c r="G102" i="1" l="1"/>
  <c r="I6" i="5"/>
  <c r="G101" i="1"/>
  <c r="G103" i="1" l="1"/>
  <c r="G104" i="1" s="1"/>
  <c r="I7" i="5" s="1"/>
  <c r="I29" i="5" s="1"/>
  <c r="F67" i="3"/>
  <c r="F68" i="3"/>
  <c r="I33" i="5" l="1"/>
  <c r="I32" i="5"/>
  <c r="I34" i="5"/>
  <c r="I22" i="5"/>
  <c r="I36" i="5"/>
  <c r="I35" i="5"/>
  <c r="I24" i="5"/>
  <c r="I28" i="5"/>
  <c r="I27" i="5"/>
  <c r="I25" i="5"/>
  <c r="I31" i="5"/>
  <c r="I23" i="5"/>
  <c r="I30" i="5"/>
  <c r="F65" i="3"/>
  <c r="F104" i="3" s="1"/>
  <c r="G397" i="2"/>
  <c r="G399" i="2" s="1"/>
  <c r="G410" i="2" s="1"/>
  <c r="F372" i="2"/>
  <c r="G372" i="2" s="1"/>
  <c r="G374" i="2" s="1"/>
  <c r="G384" i="2" s="1"/>
  <c r="I37" i="5" l="1"/>
  <c r="I26" i="5"/>
  <c r="E29" i="1"/>
  <c r="E27" i="1"/>
  <c r="I38" i="5" l="1"/>
  <c r="I40" i="5" s="1"/>
  <c r="I44" i="5" s="1"/>
  <c r="G29" i="1"/>
  <c r="G27" i="1"/>
  <c r="G31" i="1" l="1"/>
  <c r="I6" i="4" l="1"/>
  <c r="G32" i="1"/>
  <c r="G33" i="1"/>
  <c r="G34" i="1" l="1"/>
  <c r="G35" i="1" s="1"/>
  <c r="I7" i="4" s="1"/>
  <c r="I36" i="4" l="1"/>
  <c r="I24" i="4"/>
  <c r="I27" i="4"/>
  <c r="I29" i="4"/>
  <c r="I33" i="4"/>
  <c r="I35" i="4"/>
  <c r="I25" i="4"/>
  <c r="I28" i="4"/>
  <c r="I32" i="4"/>
  <c r="I30" i="4"/>
  <c r="I31" i="4"/>
  <c r="G106" i="1"/>
  <c r="I22" i="4"/>
  <c r="I34" i="4"/>
  <c r="I23" i="4"/>
  <c r="I37" i="4" l="1"/>
  <c r="I26" i="4"/>
  <c r="I38" i="4" l="1"/>
  <c r="I40" i="4" s="1"/>
  <c r="I44" i="4" s="1"/>
</calcChain>
</file>

<file path=xl/sharedStrings.xml><?xml version="1.0" encoding="utf-8"?>
<sst xmlns="http://schemas.openxmlformats.org/spreadsheetml/2006/main" count="1547" uniqueCount="257">
  <si>
    <t>DISTRITO ESPECIAL DE SANTIAGO DE CALI</t>
  </si>
  <si>
    <t>SECRETARÍA DEL DEPORTE Y LA RECREACION</t>
  </si>
  <si>
    <t>DEPENDENCIA 2025</t>
  </si>
  <si>
    <t>OBJETO: REALIZAR EL MANTENIMIENTO DE CAMPOS DE JUEGO HÍBRIDO Y DE GRAMA NATURAL DE LOS ESCENARIOS DEPORTIVOS Y RECREATIVOS DE ALTO RENDIMIENTO DEL DISTRITO ESPECIAL SANTIAGO DE CALI</t>
  </si>
  <si>
    <t>CAP</t>
  </si>
  <si>
    <t>DESCRIPCION</t>
  </si>
  <si>
    <t>MANTENIMIENTO CAMPO DE JUEGO HÍBRIDO DEL ESTADIO OLÍMPICO PASCUAL GUERRERO</t>
  </si>
  <si>
    <t>UN</t>
  </si>
  <si>
    <t>VALOR UNIT</t>
  </si>
  <si>
    <t>CANTIDAD</t>
  </si>
  <si>
    <t>VALOR TOTAL</t>
  </si>
  <si>
    <r>
      <rPr>
        <b/>
        <sz val="10"/>
        <color theme="1"/>
        <rFont val="Arial"/>
      </rPr>
      <t xml:space="preserve">CEPILLADO: </t>
    </r>
    <r>
      <rPr>
        <sz val="10"/>
        <color theme="1"/>
        <rFont val="Arial"/>
      </rPr>
      <t>Movimiento de estolones de tal manera que queden en un sentido adecuado antes de realizar la labor de corte. El cepillado debe ser permanente y ajustado para la perfecta conservación de las gramillas. Siguiendo las indicaciones de la supervisión, interventoría o recomendaciones del contratista, debidamente aprobadas por el supervisor. Se realizará en sentido longitudinal y transversal utilizando una cepilladora manual tipo casette G860 de escobillas. Es necesario realizar cepillado antes de cada partido. Esto garantiza que el césped se presente de forma óptima definida por la entidad. Incluye, todos los materiales e insumos para su óptimo funcionamiento, operarios, herramienta menor y la recolección y disposición adecuada de los residuos. La maquinaria especializada tipo "brush soft" para esta actividad es provista por la entidad y deberá ser usada para el cepillado. Nota: Deberá garantizar el buen funcionamiento de la máquina durante la ejecución del contrato y deberá ser devuelta a la entidad en las mismas condiciones en las que fue entregada, asumiendo los costos asociados para este fin.</t>
    </r>
  </si>
  <si>
    <t>VECES</t>
  </si>
  <si>
    <r>
      <rPr>
        <b/>
        <sz val="10"/>
        <color theme="1"/>
        <rFont val="Arial"/>
      </rPr>
      <t xml:space="preserve">CORTE: </t>
    </r>
    <r>
      <rPr>
        <sz val="10"/>
        <color theme="1"/>
        <rFont val="Arial"/>
      </rPr>
      <t>Mantener la altura adecuada del césped para favorecer un crecimiento saludable del campo de juego híbrido. Se debe realizar un corte antes de cada partido o evento a toda la gramilla,  o de acuerdo con las indicaciones de la supervisión y/o interventoría y/o recomendación del contratista, debidamente aprobadas por el supervisor con la finalidad de tener a la altura óptima el prado. Incluye la maquinaria, la maquinaria especializada, el combustible, el operario, recolección y botada de sobrantes. El corte debe ser permanente y ajustado para la perfecta conservación de las gramillas. Se realizará en sentido longitudinal y transversal utilizando una cortadora manual tipo casette G860 de 8 hojas, previa instalación de hilos para demarcaciones de las franjas. Esto garantiza que el césped mantenga la altura óptima definida por la entidad. Incluye, todos los materiales e insumos para su óptimo funcionamiento, operarios, herramienta menor y la recolección y disposición adecuada de los residuos. La maquinaria especializada tipo "casette G860 de 8 hojas" para esta actividad es provista por la entidad y deberá ser usada para el corte.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</si>
  <si>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ASPIRADO:</t>
    </r>
    <r>
      <rPr>
        <sz val="10"/>
        <color theme="1"/>
        <rFont val="Arial"/>
      </rPr>
      <t xml:space="preserve"> Extraer los residuos de estolones longevos y de corte. El Aspirado debe ser permanente y después de cada corte. Siguiendo las indicaciones de la supervisión, interventoría o recomendaciones del contratista, debidamente aprobadas por el supervisor. Se realizará en sentido longitudinal y transversal utilizando una máquina aspiradora manual PR 34, siguiendo las indicaciones de la supervisión, interventoría o recomendaciones del contratista, debidamente aprobadas por el supervisor. Incluye, todos los materiales e insumos para su óptimo funcionamiento, operarios, herramienta menor y la recolección y disposición adecuada de los residuos. La maquinaria especializada tipo "PR34" para esta actividad es provista por la entidad y deberá ser usada para el aspirado.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</si>
  <si>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RIEGO:</t>
    </r>
    <r>
      <rPr>
        <sz val="10"/>
        <color theme="1"/>
        <rFont val="Arial"/>
      </rPr>
      <t xml:space="preserve"> Permanente dependiendo de las condiciones hidroclimátológicas y de la necesidad del campo. Siguiendo las indicaciones de la supervisión, interventoría o recomendaciones del contratista, debidamente aprobadas por el supervisor. Esta actividad incluye la operación del sistema de riego el cual debe ser continuo,  El contratista deberá responder por las condiciones operativas del sistema de riego. Tener en cuenta que en algunos momentos, será necesario realizar el balance hídrico antes de aplicar el riego, para que su aplicación sea la adecuada.</t>
    </r>
  </si>
  <si>
    <t>MES</t>
  </si>
  <si>
    <r>
      <rPr>
        <b/>
        <sz val="10"/>
        <color theme="1"/>
        <rFont val="Arial"/>
      </rPr>
      <t>DESHIERBE Y CONTROL DE MALEZAS:</t>
    </r>
    <r>
      <rPr>
        <sz val="10"/>
        <color theme="1"/>
        <rFont val="Arial"/>
      </rPr>
      <t xml:space="preserve"> Eliminar las arvenses de hoja ancha y de hoja delgada que se presenten en el área de gramado. Siguiendo las indicaciones de la supervisión, interventoría o recomendaciones del contratista, debidamente aprobadas por el supervisor. Esta actividad debe ser de forma manual y permanente para evitar la presencia de malezas que puedan contaminar el césped, la frecuencia puede variar según el grado de infestación presente. Incluye: Insumos biológicos, mano de obra, equipos y herramientas necesarias. En caso de que se necesite usar un herbicida selectivo debe ser aprobado por el supervisor.</t>
    </r>
  </si>
  <si>
    <r>
      <rPr>
        <b/>
        <sz val="10"/>
        <color theme="1"/>
        <rFont val="Arial"/>
      </rPr>
      <t>FERTILIZACIÓN:</t>
    </r>
    <r>
      <rPr>
        <sz val="10"/>
        <color theme="1"/>
        <rFont val="Arial"/>
      </rPr>
      <t xml:space="preserve"> Proporcionar los nutrientes necesarios para el crecimiento óptimo del césped.  Se debe hacer alternada, liquida y granular. Una vez cada diez (10) días a toda la gramilla. La frecuencia puede variar de acuerdo con el análisis y estudio de suelos o de acuerdo con las indicaciones de la supervisión.  Incluye los insumos o abonos químicos o biológicos, mano de obra, equipos y herramientas necesarias para su correcta ejecución. </t>
    </r>
  </si>
  <si>
    <r>
      <rPr>
        <b/>
        <sz val="10"/>
        <color theme="1"/>
        <rFont val="Arial"/>
      </rPr>
      <t>CONTROL DE PLAGAS Y ENFERMEDADES:</t>
    </r>
    <r>
      <rPr>
        <sz val="10"/>
        <color theme="1"/>
        <rFont val="Arial"/>
      </rPr>
      <t xml:space="preserve"> Monitorear y controlar las  plagas y enfermedades que puedan afectar elcampo de juego híbrido: Aplicación de micorrizas líquidas y entomopatógenos líquidos (trichoderma, beauveria baussiana, facelomicis v bacilus turigencis). Siguiendo las indicaciones de la supervisión, interventoría o recomendaciones del contratista, debidamente aprobadas por el supervisor. Incluye los insumos biológicos, mano de obra, equipos y herramientas necesarias para su correcta ejecución.</t>
    </r>
  </si>
  <si>
    <r>
      <rPr>
        <b/>
        <sz val="10"/>
        <color theme="1"/>
        <rFont val="Arial"/>
      </rPr>
      <t>AIREACIÓN CON PINES SÓLIDOS:</t>
    </r>
    <r>
      <rPr>
        <sz val="10"/>
        <color theme="1"/>
        <rFont val="Arial"/>
      </rPr>
      <t xml:space="preserve"> Mejorar la circulación de aire y la penetración de agua y nutrientes en el suelo. Se debe realizar la aireación con pines sólidos una (1) vez cada 7 días o de acuerdo con las indicaciones de la supervisión y/o interventoría y/o recomendación del contratista, debidamente aprobadas por el supervisor. Se debe realizar la aireación con pines sólidos de 20 cm. Incluye, todos los materiales e insumos para su óptimo funcionamiento, operarios, herramienta menor y la recolección y disposición adecuada de los residuos. La maquinaria especializada tipo Aireador auto-propulsado o de toma fuerza hidráulico, con chuzos intercambiables de '/2” ó 3/4 “, que garantice profundidad mínima de 15 cm. para esta actividad la maquinaria es provista por la entidad y deberá ser usada para el aireación con pines sólidos. En algunos casos se deberá medir la compactación del suelo con el penetrometro antes de realizar la aireación.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</si>
  <si>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 xml:space="preserve">VERTICUT LEVE: </t>
    </r>
    <r>
      <rPr>
        <sz val="10"/>
        <color theme="1"/>
        <rFont val="Arial"/>
      </rPr>
      <t>Corte vertical para disminuir el acolchonamiento de la grama. Se debe realizar una (1) vez cada 7 días ó de acuerdo con las indicaciones de la supervisión y/o interventoría y/o recomendación del contratista, debidamente aprobadas por el supervisor, en ambos sentidos con el fin de remover el acolchonamiento de la grama, facilitar la circulación de aire, agua y nutrientes. Incluye, todos los materiales e insumos para su óptimo funcionamiento, operarios, herramienta menor y la recolección y disposición adecuada de los residuos. La maquinaria especializada tipo “BLADE CASETTE“ para esta actividad es provista por la entidad y deberá ser usada para el verticute.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</si>
  <si>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TOP DRESSING:</t>
    </r>
    <r>
      <rPr>
        <sz val="10"/>
        <color theme="1"/>
        <rFont val="Arial"/>
      </rPr>
      <t xml:space="preserve"> Llenar los orificios realizados después de la aireación, en una proporción 80% arena de granulometría media lavada en lo posible del Rio Frayle y pasada por zaranda y 20% de tierra negra. Siguiendo las indicaciones de la supervisión, interventoría o recomendaciones del contratista, debidamente aprobadas por el supervisor. Se debe realizar con la aplicación de mínimo 18 M3 de arena cernida a toda la gramilla por lo menos una (1) vez durante la ejecución del contrato, con la maquinaría especializada tipo MATE-R-MATIC, conforme a las indicaciones de la supervisión y/o interventoría y/o recomendación del contratista, debidamente aprobadas por el supervisor.  Incluye, todos los materiales e insumos para su óptimo funcionamiento, operarios, herramienta menor y la recolección y disposición adecuada de los residuos. La maquinaria especializada tipo “MATE-R-MATIC" para esta actividad es provista por la entidad y deberá ser usada para el top dressing.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</si>
  <si>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 xml:space="preserve">REPARACIÓN DE APIQUES O DIVOTS: </t>
    </r>
    <r>
      <rPr>
        <sz val="10"/>
        <color theme="1"/>
        <rFont val="Arial"/>
      </rPr>
      <t>Arreglar los baches generados después de cada partido, se realiza utilizando la herramienta especial para esta labor y en algunas ocasiones se debe realizar con la proporción 80% arena de granulometría media lavada en lo posible del Rio Frayle y pasada por zaranda y 20% de tierra negra.  Se realiza después de cada partido, competencia o evento y después de uso del campo en eventos masivos. Siguiendo las indicaciones de la supervisión, interventoría o recomendaciones del contratista, debidamente aprobadas por el supervisor. Incluye materiales vegetales, orgánicos y minerales para el relleno; equipos y herramientas y mano de obra para su correcta ejecución.</t>
    </r>
  </si>
  <si>
    <r>
      <rPr>
        <b/>
        <sz val="10"/>
        <color theme="1"/>
        <rFont val="Arial"/>
      </rPr>
      <t>DEMARCACIÓN DE CAMPO:</t>
    </r>
    <r>
      <rPr>
        <sz val="10"/>
        <color theme="1"/>
        <rFont val="Arial"/>
      </rPr>
      <t xml:space="preserve"> Aplicación de pintura para delimitar las áreas del campo de juego.  Se debe realizar de manera permanente, previo a cada partido regional, nacional o internacional o las veces necesarias para las competencias o según los requerimientos de la interventoría y/o supervisión, siguiendo las indicaciones de la supervisión, interventoría o recomendaciones del contratista, debidamente aprobadas por el supervisor. Incluye, todos los materiales e insumos para la correcta ejecución de la actividad, la pintura a emplear debe ser vinilo especial blanco tipo II, operarios, herramienta menor. La maquinaria especializada tipo “LINE MARKER (WHEEL TO WHEEL)“ para esta actividad es provista por la entidad y deberá ser usada para la demarcación del campo.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</si>
  <si>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MICRONIVELACIÓN:</t>
    </r>
    <r>
      <rPr>
        <sz val="10"/>
        <color theme="1"/>
        <rFont val="Arial"/>
      </rPr>
      <t xml:space="preserve"> Nivelar tanto por arriba como por abajo del nivel del diseño de la cancha. Se debe realizar en el tiempo de duración del contrato cada que se evidencia desnivelación o cuando el supervisor del contrato lo indique. Se deberán realizar las labores de topografía requeridas para establecer los niveles de las gramas y controlar las actividades de nivelación y micronivelación. La micro nivelación de las gramas se debe hacer con arena mediana del rio Fraile cernida, lavada, seleccionada y tierra abonada. La proporción debe ser 80% arena y 20% tierra negra abonada con la maquinaría especializada tipo MATE-R-MATIC. La micro nivelación se establece a mínimo 2500 mts2, incluye nivelación topográfica, o de acuerdo a las indicaciones de la supervisión y/o interventoría y/o recomendación del contratista, debidamente aprobadas por el supervisor. Incluye, todos los materiales e insumos para su óptimo funcionamiento, operarios, herramienta menor y la recolección y disposición adecuada de los residuos. La maquinaria especializada tipo “MATE-R-MATIC de 0.33 m3, 499 km de capacidad“ para esta actividad es provista por la entidad y deberá ser usada para la micro nivelación.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</si>
  <si>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ANÁLISIS Y ESTUDIO DE SUELOS:</t>
    </r>
    <r>
      <rPr>
        <sz val="10"/>
        <color theme="1"/>
        <rFont val="Arial"/>
      </rPr>
      <t xml:space="preserve"> Consiste en sacar muestras del suelo con el barreno y llevarlos al laboratorio para identificar los parámetros físicos y químicos para realizar el plan de fertilización de la grama.Con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 Incluye los materiales, mano de obra, equipos y herramientas necesarias para su correcta ejecución. de acuerdo a las indicaciones de la supervisión y/o interventoría y/o recomendación del contratista, debidamente aprobadas por el supervisor.</t>
    </r>
  </si>
  <si>
    <r>
      <rPr>
        <b/>
        <sz val="10"/>
        <color theme="1"/>
        <rFont val="Arial"/>
      </rPr>
      <t>LIMPIEZA PERMANENTE Y RETIRO DE SOBRANTES:</t>
    </r>
    <r>
      <rPr>
        <sz val="10"/>
        <color theme="1"/>
        <rFont val="Arial"/>
      </rPr>
      <t xml:space="preserve"> Se debe realizar de forma permanente, en todo el tiempo de duración del contrato. Siguiendo las indicaciones de la supervisión, interventoría o recomendaciones del contratista, debidamente aprobadas por el supervisor. Se debe realizar el aseo y limpieza del área de trabajo y sus alrededores afectados; todos los sobrantes de este trabajo deberán ser depositados en los sitios autorizados por la autoridad ambiental municipal. Incluye mano de obra, equipos y herramienta de cargue y descargue; maquinaria, equipo y herramienta para el transporte; trámite y costos de permisos para disposición de material de desecho.</t>
    </r>
  </si>
  <si>
    <r>
      <rPr>
        <b/>
        <sz val="10"/>
        <color theme="1"/>
        <rFont val="Arial"/>
      </rPr>
      <t>FONDO AGOTABLE PARA COMPRA DE REPUESTOS Y EQUIPOS DE MANTENIMIENTO:</t>
    </r>
    <r>
      <rPr>
        <sz val="10"/>
        <color theme="1"/>
        <rFont val="Arial"/>
      </rPr>
      <t xml:space="preserve"> : Este fondo está destinado a la adquisición de repuestos necesarios para el soporte eléctrico y electrónico del sistema de riego, motobombas y otros equipos requeridos para el mantenimiento del campo de juego híbrido. Su ejecución debe realizarse mediante un proceso de facturación y cotizaciones debidamente aprobadas por el interventor y/o supervisor del contrato. Este ítem incluye equipos y repuestos tales como: programadores de riego marca Toro TMC 424 o con características equivalentes, bomba de mínimo 10 caballos de fuerza para implementar en el sistema de riego, válvulas solenoides marca Toro o equivalentes, cable calibre 14, entre otros. Igualmente, podrá cubrir la facturación de mano de obra especializada en electricidad, electrónica y mecánica, debidamente justificada y aprobada por el interventor y/o supervisor.
Notas importantes:
Valor fijo e inmodificable: Este monto es establecido por la entidad y es igual para todos los proponentes, garantizando condiciones de igualdad en la presentación de propuestas.
Ejecución presupuestal: La ejecución de este fondo se realizará conforme a las especificaciones definidas en el requerimiento técnico. El supervisor deberá aprobar previamente la cantidad y el valor unitario de cada repuesto y/o servicio antes de la adquisición o ejecución.
Soportes obligatorios: El contratista deberá presentar los soportes correspondientes, incluyendo facturación aprobada por el interventor y/o supervisor. Toda documentación debe estar debidamente detallada y respaldada en el acta de liquidación del contrato.
Esta modalidad garantiza transparencia, control y una ejecución eficiente de los recursos asignados para esta actividad.
</t>
    </r>
  </si>
  <si>
    <t>GLB</t>
  </si>
  <si>
    <r>
      <rPr>
        <b/>
        <sz val="10"/>
        <color theme="1"/>
        <rFont val="Arial"/>
      </rPr>
      <t>Limpieza permanente para zonas expuestas por contaminación:</t>
    </r>
    <r>
      <rPr>
        <sz val="10"/>
        <color theme="1"/>
        <rFont val="Arial"/>
      </rPr>
      <t xml:space="preserve"> incluye Lavado de andenes peatonales, escaleras, vías vehiculares incluyendo el sardinel, parqueaderos, rampas, escaleras, muros menores de 1 metro de altura y otras </t>
    </r>
    <r>
      <rPr>
        <b/>
        <sz val="10"/>
        <color theme="1"/>
        <rFont val="Arial"/>
      </rPr>
      <t>zonas duras del estadio Olímpico Pascual Guerrero,</t>
    </r>
    <r>
      <rPr>
        <sz val="10"/>
        <color theme="1"/>
        <rFont val="Arial"/>
      </rPr>
      <t xml:space="preserve"> esta labor consiste en el barrido, recolección, acopio, trasiego y disposición final de los residuos sólidos y orgánicos que se encuentren dentro del área; incluyendo el control manual o químico de malezas, aplicación de agua y detergentes a alta presión, con máquinas hidrolavadoras de ser requerido, Incluye los materiales, mano de obra, equipos y herramientas necesarias para su correcta ejecución. Todos los sobrantes de este trabajo deberán ser depositados en los sitios autorizados por la autoridad ambiental municipal incluyendo trámite y costos de permisos para disposición de material de desecho.</t>
    </r>
  </si>
  <si>
    <t>M2</t>
  </si>
  <si>
    <t>MANTENIMIENTO DE GRAMAS EXTERIORES UNIDAD DEPORTIVA SAN FERNANDO</t>
  </si>
  <si>
    <t>SUBTOTAL TOTAL COSTOS DIRECTOS MANTENIMIENTO CAMPO DE JUEGO HÍBRIDO DEL ESTADIO OLÍMPICO PASCUAL GUERRERO</t>
  </si>
  <si>
    <t xml:space="preserve">ADMINISTRACIÓN </t>
  </si>
  <si>
    <t>UTILIDAD</t>
  </si>
  <si>
    <t>TOTAL A.U.</t>
  </si>
  <si>
    <t xml:space="preserve">TOTAL CD INCLUIDO AU </t>
  </si>
  <si>
    <t>MANTENIMIENTO GRAMA NATURAL DEL ESTADIO INTERNACIONAL DE ATLETISMO PEDRO GRAJALES - CANCHA EN PISTA PRINCIPAL</t>
  </si>
  <si>
    <r>
      <rPr>
        <b/>
        <sz val="10"/>
        <color theme="1"/>
        <rFont val="Arial"/>
      </rPr>
      <t>CORTE:</t>
    </r>
    <r>
      <rPr>
        <sz val="10"/>
        <color theme="1"/>
        <rFont val="Arial"/>
      </rPr>
      <t xml:space="preserve"> Mantener la altura adecuada del césped para favorecer un crecimiento saludable del gramado. Se debe realizar un corte antes de cada partido o evento a toda la gramilla,  o de acuerdo con las indicaciones de la supervisión y/o interventoría y/o recomendación del contratista, debidamente aprobadas por el supervisor con la finalidad de tener a la altura óptima el prado. Incluye la maquinaria, la maquinaria especializada, el combustible, el operario, recolección y botada de sobrantes. El corte debe ser permanente y ajustado para la perfecta conservación de las gramillas. Se debe utilizar una cortadora especializada tipo greenera. Es necesario realizar un corte antes de cada partido o evento en toda la gramilla, siguiendo las indicaciones de la supervisión, interventoría o recomendaciones del contratista, debidamente aprobadas por el supervisor. Esto garantiza que el césped mantenga la altura óptima definida por la entidad. Incluye, toda la maquinaria necesaria, todos los materiales e insumos para su óptimo funcionamiento, operarios, herramienta menor y la recolección y disposición adecuada de los residuos.</t>
    </r>
  </si>
  <si>
    <r>
      <rPr>
        <b/>
        <sz val="10"/>
        <color theme="1"/>
        <rFont val="Arial"/>
      </rPr>
      <t>RIEGO:</t>
    </r>
    <r>
      <rPr>
        <sz val="10"/>
        <color theme="1"/>
        <rFont val="Arial"/>
      </rPr>
      <t xml:space="preserve"> Permanente dependiendo de las condiciones hidroclimátológicas y de la necesidad del campo. Siguiendo las indicaciones de la supervisión, interventoría o recomendaciones del contratista, debidamente aprobadas por el supervisor. </t>
    </r>
  </si>
  <si>
    <r>
      <rPr>
        <b/>
        <sz val="10"/>
        <color theme="1"/>
        <rFont val="Arial"/>
      </rPr>
      <t>DESHIERBE Y CONTROL DE MALEZAS:</t>
    </r>
    <r>
      <rPr>
        <sz val="10"/>
        <color theme="1"/>
        <rFont val="Arial"/>
      </rPr>
      <t xml:space="preserve"> Eliminar las arvenses de hoja ancha y de hoja delgada que se presenten en el área de gramado. De manera permanente. Siguiendo las indicaciones de la supervisión, interventoría o recomendaciones del contratista, debidamente aprobadas por el supervisor. Esta actividad debe ser de forma manual y permanente, la frecuencia puede variar según el grado de infestación presente.  Incluye: Mano de obra, equipos y herramientas necesarias. En caso de que se necesite usar un herbicida selectivo debe ser aprobado por el supervisor.</t>
    </r>
  </si>
  <si>
    <r>
      <rPr>
        <b/>
        <sz val="10"/>
        <color theme="1"/>
        <rFont val="Arial"/>
      </rPr>
      <t>FERTILIZACIÓN:</t>
    </r>
    <r>
      <rPr>
        <sz val="10"/>
        <color theme="1"/>
        <rFont val="Arial"/>
      </rPr>
      <t xml:space="preserve"> Proporcionar los nutrientes necesarios para el crecimiento óptimo del césped.  Se debe hacer alternada, liquida y granular. Una vez cada treinta (30) días a toda la gramilla. La frecuencia puede variar de acuerdo con las indicaciones de la supervisión. Suministro y aplicación de abono químico.  Incluye los insumos, fertilizantes liquidos y granulares, mano de obra, equipos y herramientas necesarias para su correcta ejecución. La fertilización debe ser alternada entre forma líquida y sólida.</t>
    </r>
  </si>
  <si>
    <r>
      <rPr>
        <b/>
        <sz val="10"/>
        <color theme="1"/>
        <rFont val="Arial"/>
      </rPr>
      <t>CONTROL DE PLAGAS Y ENFERMEDADES:</t>
    </r>
    <r>
      <rPr>
        <sz val="10"/>
        <color theme="1"/>
        <rFont val="Arial"/>
      </rPr>
      <t xml:space="preserve"> Monitorear y controlar las  plagas y enfermedades que puedan afectar el campo de juego: Aplicación de micorrizas líquidas y entomopatógenos líquidos (trichoderma, beauveria baussiana, facelomicis v bacilus turigencis). Siguiendo las indicaciones de la supervisión, interventoría o recomendaciones del contratista, debidamente aprobadas por el supervisor. Incluye los insumos biológicos, mano de obra, equipos y herramientas necesarias para su correcta ejecución. </t>
    </r>
  </si>
  <si>
    <r>
      <rPr>
        <b/>
        <sz val="10"/>
        <color theme="1"/>
        <rFont val="Arial"/>
      </rPr>
      <t>AIREACIÓN CON PINES SÓLIDOS:</t>
    </r>
    <r>
      <rPr>
        <sz val="10"/>
        <color theme="1"/>
        <rFont val="Arial"/>
      </rPr>
      <t xml:space="preserve"> Mejorar la circulación de aire y la penetración de agua y nutrientes en el suelo. Se debe realizar la aireación con pines sólidos una (1) vez cada mes o de acuerdo con las indicaciones de la supervisión y/o interventoría y/o recomendación del contratista, debidamente aprobadas por el supervisor. Se debe realizar la aireación con pines sólidos de 20 cm, Incluye toda la maquinaria necesaria, todos los materiales e insumos para su óptimo funcionamiento, operarios, herramienta menor y la recolección y disposición adecuada de los residuos. </t>
    </r>
  </si>
  <si>
    <r>
      <rPr>
        <b/>
        <sz val="10"/>
        <color theme="1"/>
        <rFont val="Arial"/>
      </rPr>
      <t>REPARACIÓN DE APIQUES O DIVOTS</t>
    </r>
    <r>
      <rPr>
        <sz val="10"/>
        <color theme="1"/>
        <rFont val="Arial"/>
      </rPr>
      <t>: Arreglar los baches generados después de cada partido, se realiza utilizando la herramienta especial para esta labor y en algunas ocasiones se debe realizar con la proporción 80% arena media y 20% tierra negra.  Se realiza después de cada partido, competencia o evento y después de uso del campo en eventos masivos. Siguiendo las indicaciones de la supervisión, interventoría o recomendaciones del contratista, debidamente aprobadas por el supervisor.Incluye materiales vegetales, orgánicos y minerales para el relleno; equipos y herramientas y mano de obra para su correcta ejecución.</t>
    </r>
  </si>
  <si>
    <r>
      <rPr>
        <b/>
        <sz val="10"/>
        <color theme="1"/>
        <rFont val="Arial"/>
      </rPr>
      <t>MANTENIMIENTO DE FOSOS DE CAIDA Y OTRAS ÁREAS DE ARENA:</t>
    </r>
    <r>
      <rPr>
        <sz val="10"/>
        <color theme="1"/>
        <rFont val="Arial"/>
      </rPr>
      <t xml:space="preserve"> Se debe realizar previo a cada evento de atletismo local, regional, nacional o internacional, o las veces necesarias para las competencias,  ó según los requerimientos de la interventoría y/o supervisión o al menos. Incluye: cepillado, desmalezada y agregado de arena, o de acuerdo a las indicaciones de la supervisión y/o interventoría y/o recomendación del contratista, debidamente aprobadas por el supervisor.  Incluye materiales minerales para el relleno; equipos y herramientas y mano de obra, necesarias para su correcta ejecucion.</t>
    </r>
  </si>
  <si>
    <r>
      <rPr>
        <b/>
        <sz val="10"/>
        <color theme="1"/>
        <rFont val="Arial"/>
      </rPr>
      <t>DISPOSICIÓN FINAL DE SOBRANTES:</t>
    </r>
    <r>
      <rPr>
        <sz val="10"/>
        <color theme="1"/>
        <rFont val="Arial"/>
      </rPr>
      <t xml:space="preserve"> Se debe realizar el aseo y limpieza permanente del área de trabajo y sus alrededores afectados; todos los sobrantes de este trabajo deberán ser depositados en los sitios autorizados por la autoridad ambiental municipal. Incluye mano de obra, equipos y herramienta de cargue y descargue; maquinaria, equipo y herramienta para el transporte; trámite y costos de permisos para disposición de material de desecho.</t>
    </r>
  </si>
  <si>
    <t>SUBTOTAL TOTAL COSTOS DIRECTOS MANTENIMIENTO GRAMA NATURAL DEL ESTADIO INTERNACIONAL DE ATLETISMO PEDRO GRAJALES - CANCHA EN PISTA PRINCIPAL</t>
  </si>
  <si>
    <t>MANTENIMIENTO GRAMA NATURAL DEL ESTADIO INTERNACIONAL DE ATLETISMO PEDRO GRAJALES - CANCHA EN PISTA DE CALENTAMIENTO</t>
  </si>
  <si>
    <r>
      <rPr>
        <b/>
        <sz val="10"/>
        <color theme="1"/>
        <rFont val="Arial"/>
      </rPr>
      <t>CORTE:</t>
    </r>
    <r>
      <rPr>
        <sz val="10"/>
        <color theme="1"/>
        <rFont val="Arial"/>
      </rPr>
      <t xml:space="preserve"> Mantener la altura adecuada del césped para favorecer un crecimiento saludable del gramado.  Se debe realizar un corte antes de cada partido o evento a toda la gramilla,  o de acuerdo con las indicaciones de la supervisión y/o interventoría y/o recomendación del contratista, debidamente aprobadas por el supervisor, con la finalidad de tener a la altura óptima el prado. Incluye:  La maquinaria especializada, el combustible, operarios, herramientas menores, recolección y disposición adecuada de los residuos. El corte debe ser permanente y ajustado para la perfecta conservación de las gramillas. Se debe utilizar una cortadora especializada tipo greenera.  Esto garantiza que el césped mantenga la altura óptima definida por la entidad. </t>
    </r>
  </si>
  <si>
    <r>
      <rPr>
        <b/>
        <sz val="10"/>
        <color theme="1"/>
        <rFont val="Arial"/>
      </rPr>
      <t xml:space="preserve">RIEGO: </t>
    </r>
    <r>
      <rPr>
        <sz val="10"/>
        <color theme="1"/>
        <rFont val="Arial"/>
      </rPr>
      <t xml:space="preserve">Permanente dependiendo de las condiciones hidroclimátológicas y de la necesidad del campo. Siguiendo las indicaciones de la supervisión, interventoría o recomendaciones del contratista, debidamente aprobadas por el supervisor. Permanente dependiendo de las condiciones hidroclimátológicas y de la necesidad del campo. </t>
    </r>
  </si>
  <si>
    <r>
      <rPr>
        <b/>
        <sz val="10"/>
        <color theme="1"/>
        <rFont val="Arial"/>
      </rPr>
      <t>DESHIERBE Y CONTROL DE MALEZAS:</t>
    </r>
    <r>
      <rPr>
        <sz val="10"/>
        <color theme="1"/>
        <rFont val="Arial"/>
      </rPr>
      <t xml:space="preserve"> Eliminar las arvenses de hoja ancha y de hoja delgada que se presenten en el área de gramado. Esta actividad debe ser de forma manual y permanente para evitar la presencia de malezas que puedan contaminar el césped, la frecuencia puede variar según el grado de infestación presente o conforme a las indicaciones de la supervisión, interventoría o recomendaciones del contratista, debidamente aprobadas por el supervisor. Incluye:Insumos biológicos, mano de obra, equipos y herramientas necesarias. En caso de que se necesite usar un herbicida selectivo debe ser aprobado por el supervisor.</t>
    </r>
  </si>
  <si>
    <r>
      <rPr>
        <b/>
        <sz val="10"/>
        <color theme="1"/>
        <rFont val="Arial"/>
      </rPr>
      <t>FERTILIZACIÓN:</t>
    </r>
    <r>
      <rPr>
        <sz val="10"/>
        <color theme="1"/>
        <rFont val="Arial"/>
      </rPr>
      <t xml:space="preserve"> Proporcionar los nutrientes necesarios para el crecimiento óptimo del césped.  Se debe hacer alternada, liquida y granular. Una vez cada quince (15) días a toda la gramilla. La frecuencia puede variar de acuerdo con el análisis foliar y de suelos o de acuerdo con las indicaciones de la supervisión.Suministro y aplicación de abono químico.  Incluye los insumos, fertilizantes liquidos y granulares, mano de obra, equipos y herramientas necesarias para su correcta ejecución. La fertilización debe ser alternada entre forma líquida y sólida.</t>
    </r>
  </si>
  <si>
    <r>
      <rPr>
        <b/>
        <sz val="10"/>
        <color theme="1"/>
        <rFont val="Arial"/>
      </rPr>
      <t>CONTROL DE PLAGAS Y ENFERMEDADES:</t>
    </r>
    <r>
      <rPr>
        <sz val="10"/>
        <color theme="1"/>
        <rFont val="Arial"/>
      </rPr>
      <t xml:space="preserve"> Monitorear y controlar las  plagas y enfermedades que puedan afectar elcampo de juego híbrido: Aplicación de micorrizas líquidas y entomopatógenos líquidos (trichoderma, beauveria baussiana, facelomicis v bacilus turigencis). Siguiendo las indicaciones de la supervisión, interventoría o recomendaciones del contratista, debidamente aprobadas por el supervisor.</t>
    </r>
  </si>
  <si>
    <r>
      <rPr>
        <b/>
        <sz val="10"/>
        <color theme="1"/>
        <rFont val="Arial"/>
      </rPr>
      <t>AIREACIÓN CON PINES SÓLIDOS:</t>
    </r>
    <r>
      <rPr>
        <sz val="10"/>
        <color theme="1"/>
        <rFont val="Arial"/>
      </rPr>
      <t xml:space="preserve"> Mejorar la circulación de aire y la penetración de agua y nutrientes en el suelo. Se debe realizar la aireación con pines sólidos una (1) vez cada mes o de acuerdo con las indicaciones de la supervisión y/o interventoría y/o recomendación del contratista, debidamente aprobadas por el supervisor. Se debe realizar la aireación con pines sólidos de 20 cm,  Incluye toda la maquinaria necesaria, todos los materiales e insumos para su óptimo funcionamiento, operarios, herramienta menor y la recolección y disposición adecuada de los residuos. </t>
    </r>
  </si>
  <si>
    <r>
      <rPr>
        <b/>
        <sz val="10"/>
        <color theme="1"/>
        <rFont val="Arial"/>
      </rPr>
      <t>TOP DRESSING:</t>
    </r>
    <r>
      <rPr>
        <sz val="10"/>
        <color theme="1"/>
        <rFont val="Arial"/>
      </rPr>
      <t xml:space="preserve"> Llenar los orificios realizados después de la aireación, en una proporción 80% arena de granulometría media lavada y pasada por zaranda y 20% de tierra negra. 2kg de la mezcla por M2. Siguiendo las indicaciones de la supervisión, interventoría o recomendaciones del contratista, debidamente aprobadas por el supervisor.                   Incluye toda la maquinaria necesaria, todos los materiales e insumos para su óptimo funcionamiento, operarios, herramienta menor y la recolección y disposición adecuada de los residuos. </t>
    </r>
  </si>
  <si>
    <r>
      <rPr>
        <b/>
        <sz val="10"/>
        <color theme="1"/>
        <rFont val="Arial"/>
      </rPr>
      <t>REPARACIÓN DE APIQUES O DIVOTS:</t>
    </r>
    <r>
      <rPr>
        <sz val="10"/>
        <color theme="1"/>
        <rFont val="Arial"/>
      </rPr>
      <t xml:space="preserve"> Arreglar los baches generados después de cada partido, se realiza utilizando la herramienta especial para esta labor y en algunas ocasiones se debe realizar con la proporción 80% arena media y 20% tierra negra.  Se realiza después de cada partido, competencia o evento y después de uso del campo en eventos masivos. Siguiendo las indicaciones de la supervisión, interventoría o recomendaciones del contratista, debidamente aprobadas por el supervisor.  Incluye materiales vegetales, orgánicos y minerales para el relleno; equipos y herramientas y mano de obra para su correcta ejecución.</t>
    </r>
  </si>
  <si>
    <r>
      <rPr>
        <b/>
        <sz val="10"/>
        <color theme="1"/>
        <rFont val="Arial"/>
      </rPr>
      <t xml:space="preserve">ANÁLISIS Y ESTUDIO DE SUELOS:  </t>
    </r>
    <r>
      <rPr>
        <sz val="10"/>
        <color theme="1"/>
        <rFont val="Arial"/>
      </rPr>
      <t>Consiste en sacar muestras del suelo con el barreno y llevarlos al laboratorio para identificar los parámetros físicos y químicos para realizar el plan de fertilización de la grama.Con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 Incluye los materiales, mano de obra, equipos y herramientas necesarias para su correcta ejecución. de acuerdo a las indicaciones de la supervisión y/o interventoría y/o recomendación del contratista, debidamente aprobadas por el supervisor.</t>
    </r>
  </si>
  <si>
    <t>SUBTOTAL TOTAL COSTOS DIRECTOS MANTENIMIENTO GRAMA NATURAL DEL ESTADIO INTERNACIONAL DE ATLETISMO PEDRO GRAJALES - CANCHA EN PISTA DE CALENTAMIENTO</t>
  </si>
  <si>
    <t>MANTENIMIENTO GRAMA NATURAL DEL DIAMANTE DE BÉISBOL</t>
  </si>
  <si>
    <r>
      <rPr>
        <b/>
        <sz val="10"/>
        <color theme="1"/>
        <rFont val="Arial"/>
      </rPr>
      <t>RIEGO:</t>
    </r>
    <r>
      <rPr>
        <sz val="10"/>
        <color theme="1"/>
        <rFont val="Arial"/>
      </rPr>
      <t xml:space="preserve"> Permanente dependiendo de las condiciones hidroclimátológicas y de la necesidad del campo. Siguiendo las indicaciones de la supervisión, interventoría o recomendaciones del contratista, debidamente aprobadas por el supervisor. Esta actividad incluye la operación del sistema de riego el cual debe ser continuo,  El contratista deberá responder por las condiciones operativas del sistema de riego. </t>
    </r>
  </si>
  <si>
    <t>MESES</t>
  </si>
  <si>
    <r>
      <rPr>
        <b/>
        <sz val="10"/>
        <color theme="1"/>
        <rFont val="Arial"/>
      </rPr>
      <t>DESHIERBE Y CONTROL DE MALEZAS:</t>
    </r>
    <r>
      <rPr>
        <sz val="10"/>
        <color theme="1"/>
        <rFont val="Arial"/>
      </rPr>
      <t xml:space="preserve"> Eliminar las arvenses de hoja ancha y de hoja delgada que se presenten en el área de gramado, siguiendo las indicaciones de la supervisión, interventoría o recomendaciones del contratista, debidamente aprobadas por el supervisor.  Esta actividad debe ser de forma manual y permanente para evitar la presencia de malezas que puedan contaminar el césped, la frecuencia puede variar según el grado de infestación presente. Incluye insumos biológicos, mano de obra, equipos y herramientas necesarias. En caso de que se necesite usar un herbicida selectivo debe ser aprobado por el supervisor.</t>
    </r>
  </si>
  <si>
    <r>
      <rPr>
        <b/>
        <sz val="10"/>
        <color theme="1"/>
        <rFont val="Arial"/>
      </rPr>
      <t>FERTILIZACIÓN:</t>
    </r>
    <r>
      <rPr>
        <sz val="10"/>
        <color theme="1"/>
        <rFont val="Arial"/>
      </rPr>
      <t xml:space="preserve"> Proporcionar los nutrientes necesarios para el crecimiento óptimo del césped.  Se debe hacer alternada, liquida y granular. Una vez cada quince (15) días a toda la gramilla. La frecuencia puede variar de acuerdo con el análisis de suelos o de acuerdo a las indicaciones de la supervisión y/o interventoría y/o recomendación del contratista, debidamente aprobadas por el supervisor. Incluye los insumos o abonos químicos o biológicos, mano de obra, equipos y herramientas necesarias para su correcta ejecución. La fertilización debe ser alternada en forma líquida y granular.</t>
    </r>
  </si>
  <si>
    <r>
      <rPr>
        <b/>
        <sz val="10"/>
        <color theme="1"/>
        <rFont val="Arial"/>
      </rPr>
      <t>AIREACIÓN CON PINES SÓLIDOS:</t>
    </r>
    <r>
      <rPr>
        <sz val="10"/>
        <color theme="1"/>
        <rFont val="Arial"/>
      </rPr>
      <t xml:space="preserve"> Mejorar la circulación de aire y la penetración de agua y nutrientes en el suelo. Se debe realizar la aireación con pines sólidos una (1) vez cada mes o de acuerdo con las indicaciones de la supervisión y/o interventoría y/o recomendación del contratista, debidamente aprobadas por el supervisor. Se debe realizar la aireación con pines sólidos de 20 cm.  Incluye toda la maquinaria necesaria, todos los materiales e insumos para su óptimo funcionamiento, operarios, herramienta menor y la recolección y disposición adecuada de los residuos. En algunos momentos, se debe medir la compactación del suelo, con el penetrometro antes de hacer la aireación del suelo.</t>
    </r>
  </si>
  <si>
    <r>
      <rPr>
        <b/>
        <sz val="10"/>
        <color theme="1"/>
        <rFont val="Arial"/>
      </rPr>
      <t>TOP DRESSING:</t>
    </r>
    <r>
      <rPr>
        <sz val="10"/>
        <color theme="1"/>
        <rFont val="Arial"/>
      </rPr>
      <t xml:space="preserve"> Llenar los orificios realizados después de la aireación, en una proporción 80% arena de granulometría media lavada y pasada por zaranda en lo posible del Rio Frayle y 20% de tierra negra. Siguiendo las indicaciones de la supervisión, interventoría o recomendaciones del contratista, debidamente aprobadas por el supervisor. Se debe realizar con la aplicación de mínimo 2 kg por M2 de arena cernida a toda la gramilla. Una (1) vez durante la ejecución del contrato.   Incluye toda la maquinaria necesaria, todos los materiales e insumos para su óptimo funcionamiento, operarios, herramienta menor y la recolección y disposición adecuada de los residuos. </t>
    </r>
  </si>
  <si>
    <r>
      <rPr>
        <b/>
        <sz val="10"/>
        <color theme="1"/>
        <rFont val="Arial"/>
      </rPr>
      <t>REPARACIÓN DE APIQUES O DIVOTS:</t>
    </r>
    <r>
      <rPr>
        <sz val="10"/>
        <color theme="1"/>
        <rFont val="Arial"/>
      </rPr>
      <t xml:space="preserve"> Arreglar los baches generados después de cada partido, se realiza utilizando la herramienta especial para esta labor y en algunas ocasiones se debe realizar con la proporción 80% arena media y 20% tierra negra.  Se realiza después de cada partido, competencia o evento y después de uso del campo en eventos masivos. Siguiendo las indicaciones de la supervisión, interventoría o recomendaciones del contratista, debidamente aprobadas por el supervisor. Incluye materiales vegetales, orgánicos y minerales para el relleno; equipos y herramientas y mano de obra para su correcta ejecución.</t>
    </r>
  </si>
  <si>
    <r>
      <rPr>
        <b/>
        <sz val="10"/>
        <color theme="1"/>
        <rFont val="Arial"/>
      </rPr>
      <t xml:space="preserve">MANTENIMIENTO DEL INFIELD - ÁREAS EN POLVO DE LADRILLO: </t>
    </r>
    <r>
      <rPr>
        <sz val="10"/>
        <color theme="1"/>
        <rFont val="Arial"/>
      </rPr>
      <t xml:space="preserve"> Se debe hacer relleno con polvo de ladrillo, cuatro (4) veces al mes;  incluye cepillado, desmalezada y agregado de arena o polvo de ladrillo, un día por semana, o de acuerdo a las indicaciones de la interventoría y/o supervisor.  Incluye materiales minerales para el relleno; equipos y herramientas; y mano de obra para su correcta ejecución.</t>
    </r>
  </si>
  <si>
    <r>
      <rPr>
        <b/>
        <sz val="10"/>
        <color theme="1"/>
        <rFont val="Arial"/>
      </rPr>
      <t>ANÁLISIS Y ESTUDIO DE SUELOS:</t>
    </r>
    <r>
      <rPr>
        <sz val="10"/>
        <color theme="1"/>
        <rFont val="Arial"/>
      </rPr>
      <t xml:space="preserve"> Consiste en sacar muestras del suelo con el barreno y llevarlos al laboratorio para identificar los parámetros físicos y químicos para realizar el plan de fertilización de la grama. 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 Incluye los materiales, mano de obra, equipos y herramientas necesarias para su correcta ejecución. de acuerdo a las indicaciones de la supervisión y/o interventoría y/o recomendación del contratista, debidamente aprobadas por el supervisor.</t>
    </r>
  </si>
  <si>
    <r>
      <rPr>
        <b/>
        <sz val="10"/>
        <color theme="1"/>
        <rFont val="Arial"/>
      </rPr>
      <t>LIMPIEZA Y RETIRO DE SOBRANTES:</t>
    </r>
    <r>
      <rPr>
        <sz val="10"/>
        <color theme="1"/>
        <rFont val="Arial"/>
      </rPr>
      <t>Se debe realizar permanentemente como su nombre lo indica en todo el tiempo de duración del contrato. Se debe realizar el aseo y limpieza permanente del área de trabajo y sus alrededores afectados; todos los sobrantes de este trabajo deberán ser depositados en los sitios autorizados por la autoridad ambiental municipal - Dagma. Incluye mano de obra, equipos y herramienta de cargue y descargue; maquinaria, equipo y herramienta para el transporte; trámite y costos de permisos para disposición de material de desecho.</t>
    </r>
  </si>
  <si>
    <t>SUBTOTAL TOTAL COSTOS DIRECTOS MANTENIMIENTO GRAMA NATURAL DEL DIAMANTE DE BÉISBOL</t>
  </si>
  <si>
    <t>MANTENIMIENTO GRAMA NATURAL DEL DIAMANTE DE SOFTBOL</t>
  </si>
  <si>
    <t>SUBTOTAL TOTAL COSTOS DIRECTOS MANTENIMIENTO GRAMA NATURAL DEL DIAMANTE DE SOFTBOL</t>
  </si>
  <si>
    <t>TIRO CON ARCO</t>
  </si>
  <si>
    <r>
      <rPr>
        <b/>
        <sz val="10"/>
        <color theme="1"/>
        <rFont val="Arial"/>
      </rPr>
      <t>CORTE:</t>
    </r>
    <r>
      <rPr>
        <sz val="10"/>
        <color theme="1"/>
        <rFont val="Arial"/>
      </rPr>
      <t xml:space="preserve"> El corte debe ser permanente y ajustado para la perfecta conservación de las gramillas. Se realizará en sentido longitudinal y transversal utilizando una cortadora especializada tipo greenera. Es necesario realizar un corte antes de cada partido o evento en toda la gramilla, siguiendo las indicaciones de la supervisión, interventoría o recomendaciones del contratista, debidamente aprobadas por el supervisor. Esto garantiza que el césped mantenga la altura óptima definida por la entidad. Incluye, toda la maquinaria necesaria, todos los materiales e insumos para su óptimo funcionamiento, operarios, herramienta menor y la recolección y disposición adecuada de los residuos.</t>
    </r>
  </si>
  <si>
    <t>SUBTOTAL TOTAL COSTOS DIRECTOS GRAMAS EXTERIORES</t>
  </si>
  <si>
    <t>LIMPIEZA DE AREAS</t>
  </si>
  <si>
    <r>
      <rPr>
        <b/>
        <sz val="10"/>
        <color theme="1"/>
        <rFont val="Arial"/>
      </rPr>
      <t xml:space="preserve">LIMPIEZA PERMANENTE DE ZONAS EXPUESTAS POR CONTAMINACIÓN: </t>
    </r>
    <r>
      <rPr>
        <sz val="10"/>
        <color theme="1"/>
        <rFont val="Arial"/>
      </rPr>
      <t xml:space="preserve">Incluye  Lavado de andenes peatonales, escaleras, vias vehiculares incluyendo el sardinel, parqueaderos, rampas, escaleras, muros menores de 1 metro de altura y otras zonas duras, esta labor consiste en el barrido, recolección, acopio, trasiego y disposición final de los residuos sólidos y orgánicos </t>
    </r>
    <r>
      <rPr>
        <b/>
        <sz val="10"/>
        <color theme="1"/>
        <rFont val="Arial"/>
      </rPr>
      <t>que se encuentren dentro del área en la unidades deportivas de alto rendimiento Jaime Aparicio, Alberto Galindo y Mariano Ramos</t>
    </r>
    <r>
      <rPr>
        <sz val="10"/>
        <color theme="1"/>
        <rFont val="Arial"/>
      </rPr>
      <t xml:space="preserve">; incluyendo el control manual o químico de malezas, aplicación de agua y detergentes a alta presión, con máquinas hidrolavadoras de ser requerido, Incluye los materiales, mano de obra, equipos y herramientas necesarias para su correcta ejecución.  todos los sobrantes de este trabajo deberán ser depositados en los sitios autorizados por la autoridad ambiental municipal incluyendo  trámite y costos de permisos para disposición de material de desecho.
</t>
    </r>
  </si>
  <si>
    <t>SUBTOTAL TOTAL COSTOS DIRECTOS LIMPIEZA DE AREAS</t>
  </si>
  <si>
    <t>FONDO AGOTABLE</t>
  </si>
  <si>
    <r>
      <rPr>
        <b/>
        <sz val="10"/>
        <color theme="1"/>
        <rFont val="Arial"/>
      </rPr>
      <t>FONDO AGOTABLE PARA COMPRA DE REPUESTOS Y EQUIPOS DE MANTENIMIENTO:</t>
    </r>
    <r>
      <rPr>
        <sz val="10"/>
        <color theme="1"/>
        <rFont val="Arial"/>
      </rPr>
      <t xml:space="preserve"> Este fondo está destinado a la adquisición de repuestos necesarios para el soporte eléctrico y electrónico del sistema de riego, motobombas y otros equipos requeridos para el mantenimiento de las gramas que se encuentren dentro del área en las unidades deportivas de alto rendimiento Jaime Aparicio, Alberto Galindo y Mariano Ramos. Su ejecución debe realizarse mediante un proceso de facturación y cotizaciones debidamente aprobadas por el interventor y/o supervisor del contrato. Este ítem incluye equipos y repuestos tales como: bomba para implementar en el sistema de riego, válvulas, cable, entre otros. Asimismo, podrá utilizarse para facturar la mano de obra especializada en electricidad, electrónica y mecánica, siempre que esté debidamente justificada y cuente con la aprobación previa del interventor y/o supervisor.
Notas importantes:
Valor fijo e inmodificable: Este monto es establecido por la entidad y es igual para todos los proponentes, garantizando condiciones de igualdad en la presentación de propuestas.
Ejecución presupuestal: La ejecución de este fondo se realizará conforme a las especificaciones definidas en el requerimiento técnico. El Supervisor deberá aprobar previamente la cantidad y el valor unitario de cada repuesto y/o servicio de mano de obra especializada antes de la adquisición o ejecución.
Soportes obligatorios: El contratista deberá presentar los soportes correspondientes, incluyendo facturación aprobada por el interventor y/o supervisor. Toda documentación debe estar debidamente detallada y respaldada en el acta de liquidación del contrato.
Esta modalidad garantiza transparencia, control y una ejecución eficiente de los recursos asignados para esta actividad.
</t>
    </r>
  </si>
  <si>
    <t>MANTENIMIENTO DE GRAMAS EXTERIORES</t>
  </si>
  <si>
    <t>UNIDAD DEPORTIVA ALBERTO GALINDO</t>
  </si>
  <si>
    <t>UNIDAD DEPORTIVA JAIME APARICIO</t>
  </si>
  <si>
    <t>UNIDAD DEPORTIVA MARIANO RAMOS</t>
  </si>
  <si>
    <t>SUBTOTAL TOTAL COSTOS DIRECTOS MANTENIMIENTO CAMPO GRAMAS PEDRO GRAJALES, BEISBOL, SOFBOL, TIRO CON ARCO Y EXTERIORES</t>
  </si>
  <si>
    <t>TOTAL COSTOS DIRECTOS INCLUIDO AU DE FRENTE 1 + FRENTE 2</t>
  </si>
  <si>
    <t>DISTRITO ESPECIAL DE SANTIAGO DE CALI
Secretaria del Deporte y la Recreación</t>
  </si>
  <si>
    <t>ANALISIS  DE  PRECIOS  UNITARIOS</t>
  </si>
  <si>
    <r>
      <rPr>
        <b/>
        <sz val="10"/>
        <color rgb="FF000000"/>
        <rFont val="Arial"/>
        <family val="2"/>
      </rPr>
      <t>PROPONENTE:</t>
    </r>
    <r>
      <rPr>
        <sz val="10"/>
        <color rgb="FF000000"/>
        <rFont val="Arial"/>
        <family val="2"/>
      </rPr>
      <t xml:space="preserve"> GRARCO SAS</t>
    </r>
  </si>
  <si>
    <t>MATERIALES</t>
  </si>
  <si>
    <t>UND</t>
  </si>
  <si>
    <t>CANT.</t>
  </si>
  <si>
    <t>VR. UNIT.</t>
  </si>
  <si>
    <t>VR.TOTAL</t>
  </si>
  <si>
    <t>GLN</t>
  </si>
  <si>
    <t>ACEITE MOTOR 4 TIEMPOS</t>
  </si>
  <si>
    <t>KG</t>
  </si>
  <si>
    <t>BOLSAS PARA BASURA</t>
  </si>
  <si>
    <t>ASPERSORES T-7</t>
  </si>
  <si>
    <t>VALVULAS ELECTRONICAS</t>
  </si>
  <si>
    <t>TUBERIA Y ACCESORIOS PRESION DIFERENTES DIAMETROS 2</t>
  </si>
  <si>
    <t>COMPONENTES ELECTRONICOS VARIOS 2</t>
  </si>
  <si>
    <t>COADYUDANTE I-NEX A</t>
  </si>
  <si>
    <t>GASOLINA CORRIENTE</t>
  </si>
  <si>
    <t>ARENA MEDIANA LAVADA SELECCIONADA</t>
  </si>
  <si>
    <t>M3</t>
  </si>
  <si>
    <t>DETERGENTE EN POLVO</t>
  </si>
  <si>
    <t>ML</t>
  </si>
  <si>
    <t>JUEGO DE PINES SOLIDOS</t>
  </si>
  <si>
    <t xml:space="preserve">JUEGO DE CUCHILLAS TIPO CORBATIN </t>
  </si>
  <si>
    <t>TON</t>
  </si>
  <si>
    <t>MICORRIZAS</t>
  </si>
  <si>
    <t>MANO DE OBRA</t>
  </si>
  <si>
    <t>AYUDANTE DE OBRA</t>
  </si>
  <si>
    <t>HC</t>
  </si>
  <si>
    <t>M.O. 1 OFICIAL</t>
  </si>
  <si>
    <t>M.O. 1 OFICIAL + 1 AYUDANTES</t>
  </si>
  <si>
    <t>M.O. 1 OFICIAL + 2 AYUDANTES</t>
  </si>
  <si>
    <t>M.O. 1 OFICIAL + 3 AYUDANTES</t>
  </si>
  <si>
    <t>M.O. 1 OFICIAL + 4 AYUDANTES</t>
  </si>
  <si>
    <t>M.O. 1 OFICIAL + 5 AYUDANTES</t>
  </si>
  <si>
    <t>M.O. TOPOGRAFIA 1 CADENERO-1 TOP</t>
  </si>
  <si>
    <t>DIA</t>
  </si>
  <si>
    <t>EQUIPO</t>
  </si>
  <si>
    <t>VOLQUETA 8 M3 CON BOTADERO CERTIFICADO</t>
  </si>
  <si>
    <t>MANTENIMIENTO BOMBA PRESION 10 H.P</t>
  </si>
  <si>
    <t>FUMIGADORA</t>
  </si>
  <si>
    <t>BOMBA ESTACIONARIA</t>
  </si>
  <si>
    <t>HIDROLAVADORA</t>
  </si>
  <si>
    <t>GUADAÑADORA</t>
  </si>
  <si>
    <t>HERRAMIENTA MENOR</t>
  </si>
  <si>
    <t>GBL</t>
  </si>
  <si>
    <t>VALOR TOTAL INSUMOS</t>
  </si>
  <si>
    <t>Representante Legal</t>
  </si>
  <si>
    <t>INGENIERA AGRONOMA</t>
  </si>
  <si>
    <t>GUSTAVO EDUARDO AGUILAR DONNEYS</t>
  </si>
  <si>
    <r>
      <t>OBRA:</t>
    </r>
    <r>
      <rPr>
        <sz val="10"/>
        <color theme="1"/>
        <rFont val="Arial"/>
        <family val="2"/>
      </rPr>
      <t xml:space="preserve"> REALIZAR EL MANTENIMIENTO DE CAMPOS DE JUEGO HÍBRIDO Y DE GRAMA NATURAL DE LOS ESCENARIOS DEPORTIVOS Y RECREATIVOS DE ALTO RENDIMIENTO DEL DISTRITO ESPECIAL SANTIAGO DE CALI</t>
    </r>
  </si>
  <si>
    <t>Nº 4162.010.32.1.1056-2025</t>
  </si>
  <si>
    <t>UNIDAD:</t>
  </si>
  <si>
    <t>ITEM:</t>
  </si>
  <si>
    <t>DESP.%</t>
  </si>
  <si>
    <t>PRECIO UNIT</t>
  </si>
  <si>
    <t>SUBTOTAL MATERIALES</t>
  </si>
  <si>
    <t>SUBTOTAL- MANO DE OBRA</t>
  </si>
  <si>
    <t>SUBTOTAL- EQUIPO</t>
  </si>
  <si>
    <t>OTROS</t>
  </si>
  <si>
    <t>COSTO DIRECTO</t>
  </si>
  <si>
    <r>
      <t xml:space="preserve">OBRA: </t>
    </r>
    <r>
      <rPr>
        <sz val="10"/>
        <color theme="1"/>
        <rFont val="Arial"/>
        <family val="2"/>
      </rPr>
      <t>REALIZAR EL MANTENIMIENTO DE CAMPOS DE JUEGO HÍBRIDO Y DE GRAMA NATURAL DE LOS ESCENARIOS DEPORTIVOS Y RECREATIVOS DE ALTO RENDIMIENTO DEL DISTRITO ESPECIAL SANTIAGO DE CALI</t>
    </r>
  </si>
  <si>
    <t>JORNAL</t>
  </si>
  <si>
    <t>MANTENIMIENTO CORTADORA CASETTE G860 8 HOJAS</t>
  </si>
  <si>
    <t>INGENIERO AGRONOMO</t>
  </si>
  <si>
    <t>GUADAÑA</t>
  </si>
  <si>
    <t>ISABION</t>
  </si>
  <si>
    <t>POLY FEED TRIPLE 19</t>
  </si>
  <si>
    <t>NITRATO DE CALICO</t>
  </si>
  <si>
    <t>KELATO DE HIERRO</t>
  </si>
  <si>
    <t>KELATO DE MAGNESIO</t>
  </si>
  <si>
    <t>ALGAS MARINAS</t>
  </si>
  <si>
    <t>LITRO</t>
  </si>
  <si>
    <t>TRICHODERMA</t>
  </si>
  <si>
    <t>BEAUVERIA BAUSSINIA</t>
  </si>
  <si>
    <t>FACELOMICIS</t>
  </si>
  <si>
    <t>VTACILUS TURIGENCIS</t>
  </si>
  <si>
    <t>AMISTAR TOP</t>
  </si>
  <si>
    <t>MANTENIMIENTO AIREADOR AUTOPROPULSADO</t>
  </si>
  <si>
    <t>MANTENIMIENTO MAQUINARIA BLADE CASETTE</t>
  </si>
  <si>
    <t>MANTENIMIENTO MAQUINARIA MATE-R-MATIC DE 0.33M3</t>
  </si>
  <si>
    <t>PINTURA VINILO TIPO II</t>
  </si>
  <si>
    <t>MANTENIMIENTO MAQUINARIA LINE MARKER</t>
  </si>
  <si>
    <t>M.O. ALBAÑILERIA 2 AYUDANTES</t>
  </si>
  <si>
    <t>M.O. ALBAÑILERIA 3 AYUDANTES</t>
  </si>
  <si>
    <t>M.O. ALBAÑILERIA 4 AYUDANTES</t>
  </si>
  <si>
    <t>RASTRILLO PLÁSTICO</t>
  </si>
  <si>
    <t>TELAR SINTETICO TIPO ALFOMBRA 1.50X3.00</t>
  </si>
  <si>
    <t>CARRETA TIPO BUGUI</t>
  </si>
  <si>
    <t>ESCOBA PLASTICA DE CERDA FINA ANCHA</t>
  </si>
  <si>
    <t>CORTACESPED TIPO GREENERA A GASOLINA</t>
  </si>
  <si>
    <t>MANGUERA PARA RIEGO 2" TIPO BOMBERO DE 200ML</t>
  </si>
  <si>
    <t>CAÑON 50 (DIAMETRO DE RIEGO 50ML)</t>
  </si>
  <si>
    <t>TRIPODE</t>
  </si>
  <si>
    <t>AGUA</t>
  </si>
  <si>
    <t>BIOABONO "EL CEDRO" X 40 KILOS</t>
  </si>
  <si>
    <t>CAMPOFERY HUMUS X LITRO</t>
  </si>
  <si>
    <t>SOLUTEC INICIO X KILO</t>
  </si>
  <si>
    <t>DKP-500 X LITRO</t>
  </si>
  <si>
    <t>SULFEX HIERRO X KILO</t>
  </si>
  <si>
    <t>CIAMSA UREA X 50KSG</t>
  </si>
  <si>
    <t>YARA TRIPLE QUINCE GRADO 15-15-15 X 50 KILOS</t>
  </si>
  <si>
    <t>YARA BELA NITROMAG GRADO 21-0-0-7 X 50 KILOS</t>
  </si>
  <si>
    <t>LTS</t>
  </si>
  <si>
    <t>SPRAYER</t>
  </si>
  <si>
    <t>CANECA 55 GALONES</t>
  </si>
  <si>
    <t>RODILLO CON CHUZOS</t>
  </si>
  <si>
    <t>TIERRA NEGRA</t>
  </si>
  <si>
    <t>ARENADORA A GASOLINA</t>
  </si>
  <si>
    <t>ANALISIS FOLIAR DE LABORATORIO</t>
  </si>
  <si>
    <t>YOYO CON 3 ADAPTADORES X UNIDAD</t>
  </si>
  <si>
    <t>LUXOR MOTOS 4T SAE 20W50 MA-2 API SL X CUATRO</t>
  </si>
  <si>
    <t>COMBATE SL</t>
  </si>
  <si>
    <t>GLIFOSOL SL</t>
  </si>
  <si>
    <t>LIMA PAREJA NICHOLSON TR</t>
  </si>
  <si>
    <t>PLUVIOMETRO MEDIDOR DE LLUVIA X 140MM</t>
  </si>
  <si>
    <t>GUANTE INGENIERIA MANGA CORTA P15</t>
  </si>
  <si>
    <t>POLVO DE LADRILLO 1/2 TONELADA PARA INFILD</t>
  </si>
  <si>
    <t>POLVO DE LADRILLO 1/2 TONELADA PARA TABLA BATEO</t>
  </si>
  <si>
    <t>ING. BRAHIAN ALEXIS VÁSQUEZ NARVAEZ</t>
  </si>
  <si>
    <t>De acuerdo con lo expresado en la Ley 842 de 2003 y debido a que el suscriptor de la presente propuesta no es Ingeniero matriculado, yo BRAHIAN ALEXIS VÁSQUEZ NARVAEZ Ingeniero con Matricula Profesional No. T.P.76209237073 VLL C.C. No 1.113.633.169 de Palmira, avalar la presente propuesta”</t>
  </si>
  <si>
    <t>PROPONENTE: GRARCO S.A.S</t>
  </si>
  <si>
    <t>PROCESO No. 4162.010.32. 1.1056 de 2025</t>
  </si>
  <si>
    <t xml:space="preserve">COSTOS ADMINISTRATIVOS DEL AU </t>
  </si>
  <si>
    <t>VALOR COSTO DIRECTO</t>
  </si>
  <si>
    <t>VALOR DEL CONTRATO</t>
  </si>
  <si>
    <t>DURACIÓN PROYECTO (MESES)</t>
  </si>
  <si>
    <t>Descripción</t>
  </si>
  <si>
    <t>CANT</t>
  </si>
  <si>
    <t>Valor mensual</t>
  </si>
  <si>
    <t>% factor prestacional</t>
  </si>
  <si>
    <t>Vr. Mensual integral</t>
  </si>
  <si>
    <t>% dedica-ción</t>
  </si>
  <si>
    <t>Duración
(meses)</t>
  </si>
  <si>
    <t>Valor total</t>
  </si>
  <si>
    <t xml:space="preserve">PERSONAL PROFESIONAL </t>
  </si>
  <si>
    <t>Director ingeniero Agrónomo o Agrícola</t>
  </si>
  <si>
    <t>Profesional de seguridad y salud en el trabajo</t>
  </si>
  <si>
    <t>PERSONAL TECNICO Y ADMINISTRATIVO</t>
  </si>
  <si>
    <t>Jefe de cuadrilla Mantenimiento Gramas Naturales</t>
  </si>
  <si>
    <t>Oficina, papeleria y otros</t>
  </si>
  <si>
    <t xml:space="preserve">DOTACIONES EPP PARA  PERSONAL(CASCO BOTAS OVEROL) INCLUYE DOTACION DE SEGURIDAD INDUSTRIAL </t>
  </si>
  <si>
    <t>COSTO PAPELERIA, FOTOCOPIAS, TRANSPORTES</t>
  </si>
  <si>
    <t>Pólizas del contrato</t>
  </si>
  <si>
    <t>Vr. o vigencia req</t>
  </si>
  <si>
    <t>Duración</t>
  </si>
  <si>
    <t>Prima como % Vr.cntrt.</t>
  </si>
  <si>
    <t>POLIZA DE CUMPLIMIENTO</t>
  </si>
  <si>
    <t>POLIZA DE RESP. CIVIL EXTRAC. (SMMLV)</t>
  </si>
  <si>
    <t>POLIZA DE ESTABILIDAD (O CALIDAD)</t>
  </si>
  <si>
    <t>POLIZA DE SALARIOS Y PREST. SOC.</t>
  </si>
  <si>
    <t>Sobretasas al valor del contrato</t>
  </si>
  <si>
    <t>CONTRIBUCIÓN ESPECIAL - CONTRATO DE OBRA O MANTENIMIENTO</t>
  </si>
  <si>
    <t>PROCULTURA: SEGÚN VALOR CONTRATO &gt; UVT 4,072 (MAYOR A $139,547,440)</t>
  </si>
  <si>
    <t>PRODESARROLLO: SEGÚN VALOR CONTRATO &gt;= 2,196 UVT (IGUAL O MAYOR A $75,256,920)</t>
  </si>
  <si>
    <t>PRO UNIVALLE</t>
  </si>
  <si>
    <t>PRO HOSPITAL</t>
  </si>
  <si>
    <t>PRO-UNIPACÍFICO: TODO TIPO DE CONTRATOS</t>
  </si>
  <si>
    <t xml:space="preserve">PRO - BIENESTAR ADULTO MAYOR </t>
  </si>
  <si>
    <t>PRO - DEPORTE</t>
  </si>
  <si>
    <t>PRO-JUSTICIA FAMILIAR</t>
  </si>
  <si>
    <t>Impuesto de Timbre Nacional &gt;=6000 UVT (Igual o mayor a $298.794.000)</t>
  </si>
  <si>
    <t>VALOR TOTAL COSTOS ADMINISTRATIVOS ESTIMADOS ($)</t>
  </si>
  <si>
    <t>COSTOS ADMINISTRATIVOS COMO % DEL COSTO DIRECTO</t>
  </si>
  <si>
    <t>UTILIDAD COMO % DEL COSTO DIRECTO</t>
  </si>
  <si>
    <t>TOTAL ADMINISTRACIÓN Y UTILIDAD COMO % DEL COSTO DIRECTO</t>
  </si>
  <si>
    <t>COMPONENTE 2</t>
  </si>
  <si>
    <t>COMPONENTE 1</t>
  </si>
  <si>
    <t>FORMATO 13: CUADRO DE DESCRIPCIÓN, CANTIDADES, PRECIOS Y RESUMEN DE LA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</si>
</sst>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4" formatCode="_-&quot;$&quot;\ * #,##0.00_-;\-&quot;$&quot;\ * #,##0.00_-;_-&quot;$&quot;\ * &quot;-&quot;??_-;_-@_-"/>
    <numFmt numFmtId="43" formatCode="_-* #,##0.00_-;\-* #,##0.00_-;_-* &quot;-&quot;??_-;_-@_-"/>
    <numFmt numFmtId="164" formatCode="#,##0.00_ ;[Red]\(#,##0.00\ \)"/>
    <numFmt numFmtId="165" formatCode="_-&quot;$&quot;\ * #,##0.00_-;\-&quot;$&quot;\ * #,##0.00_-;_-&quot;$&quot;\ * &quot;-&quot;??_-;_-@"/>
    <numFmt numFmtId="166" formatCode="_-* #,##0.00_-;\-* #,##0.00_-;_-* &quot;-&quot;??_-;_-@"/>
    <numFmt numFmtId="167" formatCode="_-* #,##0_-;\-* #,##0_-;_-* &quot;-&quot;??_-;_-@"/>
    <numFmt numFmtId="168" formatCode="_(* #,##0.00_);_(* \(#,##0.00\);_(* &quot;-&quot;??_);_(@_)"/>
    <numFmt numFmtId="169" formatCode="0.0%"/>
    <numFmt numFmtId="170" formatCode="_(* #,##0_);_(* \(#,##0\);_(* &quot;-&quot;??_);_(@_)"/>
    <numFmt numFmtId="171" formatCode="_-&quot;$&quot;\ * #,##0.00_-;\-&quot;$&quot;\ * #,##0.00_-;_-&quot;$&quot;\ * &quot;-&quot;_-;_-@_-"/>
    <numFmt numFmtId="172" formatCode="_ * #,##0_ ;_ * \-#,##0_ ;_ * &quot;-&quot;??_ ;_ @_ "/>
    <numFmt numFmtId="173" formatCode="0.0"/>
    <numFmt numFmtId="174" formatCode="0.000"/>
    <numFmt numFmtId="175" formatCode="0.0000"/>
    <numFmt numFmtId="178" formatCode="_(&quot;$&quot;* #,##0_);_(&quot;$&quot;* \(#,##0\);_(&quot;$&quot;* &quot;-&quot;??_);_(@_)"/>
    <numFmt numFmtId="179" formatCode="0.00;[Red]0.00"/>
    <numFmt numFmtId="180" formatCode="_(&quot;$&quot;* #,##0.00_);_(&quot;$&quot;* \(#,##0.00\);_(&quot;$&quot;* &quot;-&quot;??_);_(@_)"/>
  </numFmts>
  <fonts count="31" x14ac:knownFonts="1">
    <font>
      <sz val="11"/>
      <color theme="1"/>
      <name val="Calibri"/>
      <scheme val="minor"/>
    </font>
    <font>
      <sz val="11"/>
      <color theme="1"/>
      <name val="Calibri"/>
      <family val="2"/>
      <scheme val="minor"/>
    </font>
    <font>
      <sz val="11"/>
      <color theme="1"/>
      <name val="Calibri"/>
      <family val="2"/>
      <scheme val="minor"/>
    </font>
    <font>
      <sz val="10"/>
      <color theme="1"/>
      <name val="Arial"/>
    </font>
    <font>
      <b/>
      <sz val="10"/>
      <color theme="1"/>
      <name val="Arial"/>
    </font>
    <font>
      <sz val="11"/>
      <color rgb="FF000000"/>
      <name val="Aptos Narrow"/>
    </font>
    <font>
      <sz val="11"/>
      <name val="Calibri"/>
    </font>
    <font>
      <b/>
      <sz val="10"/>
      <color theme="0"/>
      <name val="Arial"/>
    </font>
    <font>
      <b/>
      <sz val="10"/>
      <color rgb="FFFFFFFF"/>
      <name val="Arial"/>
    </font>
    <font>
      <sz val="11"/>
      <color theme="1"/>
      <name val="Calibri"/>
      <scheme val="minor"/>
    </font>
    <font>
      <b/>
      <sz val="11"/>
      <color theme="1"/>
      <name val="Calibri"/>
      <family val="2"/>
      <scheme val="minor"/>
    </font>
    <font>
      <b/>
      <sz val="10"/>
      <color theme="1"/>
      <name val="Arial"/>
      <family val="2"/>
    </font>
    <font>
      <sz val="10"/>
      <color theme="1"/>
      <name val="Arial"/>
      <family val="2"/>
    </font>
    <font>
      <sz val="10"/>
      <color theme="1"/>
      <name val="Arial Narrow"/>
      <family val="2"/>
    </font>
    <font>
      <sz val="10"/>
      <color rgb="FF000000"/>
      <name val="Arial"/>
      <family val="2"/>
    </font>
    <font>
      <b/>
      <sz val="10"/>
      <color rgb="FF000000"/>
      <name val="Arial"/>
      <family val="2"/>
    </font>
    <font>
      <sz val="9"/>
      <name val="Arial"/>
      <family val="2"/>
    </font>
    <font>
      <b/>
      <sz val="13"/>
      <name val="Arial"/>
      <family val="2"/>
    </font>
    <font>
      <sz val="10"/>
      <name val="Arial"/>
      <family val="2"/>
    </font>
    <font>
      <b/>
      <sz val="11"/>
      <name val="Arial"/>
      <family val="2"/>
    </font>
    <font>
      <b/>
      <sz val="8"/>
      <name val="Arial"/>
      <family val="2"/>
    </font>
    <font>
      <sz val="10"/>
      <name val="Arial Narrow"/>
      <family val="2"/>
    </font>
    <font>
      <sz val="12"/>
      <color theme="1"/>
      <name val="Times New Roman"/>
      <family val="1"/>
    </font>
    <font>
      <b/>
      <sz val="12"/>
      <color theme="1"/>
      <name val="Times New Roman"/>
      <family val="1"/>
    </font>
    <font>
      <sz val="12"/>
      <color theme="1"/>
      <name val="Tahoma"/>
      <family val="2"/>
    </font>
    <font>
      <b/>
      <sz val="9"/>
      <name val="Arial"/>
      <family val="2"/>
    </font>
    <font>
      <sz val="10"/>
      <color theme="1"/>
      <name val="Arial Narrow"/>
    </font>
    <font>
      <b/>
      <sz val="10"/>
      <color theme="1"/>
      <name val="Arial Narrow"/>
    </font>
    <font>
      <sz val="10"/>
      <color rgb="FF000000"/>
      <name val="Arial Narrow"/>
    </font>
    <font>
      <sz val="9"/>
      <color theme="1"/>
      <name val="Arial"/>
    </font>
    <font>
      <sz val="11"/>
      <color rgb="FFFFFF00"/>
      <name val="Calibri"/>
      <family val="2"/>
      <scheme val="minor"/>
    </font>
  </fonts>
  <fills count="11">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D8D8D8"/>
        <bgColor rgb="FFD8D8D8"/>
      </patternFill>
    </fill>
    <fill>
      <patternFill patternType="solid">
        <fgColor rgb="FF00B050"/>
        <bgColor rgb="FF00B050"/>
      </patternFill>
    </fill>
    <fill>
      <patternFill patternType="solid">
        <fgColor rgb="FFF9CB9C"/>
        <bgColor rgb="FFF9CB9C"/>
      </patternFill>
    </fill>
    <fill>
      <patternFill patternType="solid">
        <fgColor rgb="FFBF9000"/>
        <bgColor rgb="FFBF9000"/>
      </patternFill>
    </fill>
    <fill>
      <patternFill patternType="solid">
        <fgColor theme="0" tint="-0.14999847407452621"/>
        <bgColor auto="1"/>
      </patternFill>
    </fill>
    <fill>
      <patternFill patternType="solid">
        <fgColor rgb="FFDEDEDE"/>
        <bgColor indexed="64"/>
      </patternFill>
    </fill>
    <fill>
      <patternFill patternType="solid">
        <fgColor rgb="FFFFFF00"/>
        <bgColor indexed="64"/>
      </patternFill>
    </fill>
  </fills>
  <borders count="71">
    <border>
      <left/>
      <right/>
      <top/>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style="medium">
        <color rgb="FF000000"/>
      </right>
      <top style="medium">
        <color indexed="64"/>
      </top>
      <bottom/>
      <diagonal/>
    </border>
    <border>
      <left style="medium">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auto="1"/>
      </left>
      <right style="thin">
        <color auto="1"/>
      </right>
      <top style="thin">
        <color auto="1"/>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double">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indexed="64"/>
      </left>
      <right style="thin">
        <color indexed="64"/>
      </right>
      <top style="double">
        <color indexed="64"/>
      </top>
      <bottom/>
      <diagonal/>
    </border>
    <border>
      <left/>
      <right style="double">
        <color auto="1"/>
      </right>
      <top style="double">
        <color auto="1"/>
      </top>
      <bottom/>
      <diagonal/>
    </border>
    <border>
      <left style="double">
        <color auto="1"/>
      </left>
      <right/>
      <top/>
      <bottom style="thin">
        <color auto="1"/>
      </bottom>
      <diagonal/>
    </border>
    <border>
      <left/>
      <right style="thin">
        <color indexed="64"/>
      </right>
      <top/>
      <bottom style="thin">
        <color indexed="64"/>
      </bottom>
      <diagonal/>
    </border>
    <border>
      <left/>
      <right style="double">
        <color auto="1"/>
      </right>
      <top style="thin">
        <color auto="1"/>
      </top>
      <bottom style="thin">
        <color auto="1"/>
      </bottom>
      <diagonal/>
    </border>
    <border>
      <left style="double">
        <color indexed="64"/>
      </left>
      <right/>
      <top/>
      <bottom/>
      <diagonal/>
    </border>
    <border>
      <left/>
      <right style="double">
        <color indexed="64"/>
      </right>
      <top/>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auto="1"/>
      </bottom>
      <diagonal/>
    </border>
    <border>
      <left style="hair">
        <color indexed="64"/>
      </left>
      <right style="double">
        <color indexed="64"/>
      </right>
      <top style="hair">
        <color indexed="64"/>
      </top>
      <bottom style="hair">
        <color indexed="64"/>
      </bottom>
      <diagonal/>
    </border>
    <border>
      <left style="double">
        <color indexed="64"/>
      </left>
      <right/>
      <top/>
      <bottom style="double">
        <color indexed="64"/>
      </bottom>
      <diagonal/>
    </border>
    <border>
      <left style="hair">
        <color indexed="64"/>
      </left>
      <right/>
      <top style="hair">
        <color indexed="64"/>
      </top>
      <bottom style="double">
        <color indexed="64"/>
      </bottom>
      <diagonal/>
    </border>
    <border>
      <left/>
      <right/>
      <top style="hair">
        <color indexed="64"/>
      </top>
      <bottom style="double">
        <color indexed="64"/>
      </bottom>
      <diagonal/>
    </border>
    <border>
      <left/>
      <right style="double">
        <color indexed="64"/>
      </right>
      <top style="hair">
        <color indexed="64"/>
      </top>
      <bottom style="double">
        <color indexed="64"/>
      </bottom>
      <diagonal/>
    </border>
  </borders>
  <cellStyleXfs count="7">
    <xf numFmtId="0" fontId="0" fillId="0" borderId="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0" fontId="2" fillId="0" borderId="12"/>
    <xf numFmtId="168" fontId="2" fillId="0" borderId="12" applyFont="0" applyFill="0" applyBorder="0" applyAlignment="0" applyProtection="0"/>
  </cellStyleXfs>
  <cellXfs count="347">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4" fillId="2" borderId="1" xfId="0" quotePrefix="1" applyFont="1" applyFill="1" applyBorder="1" applyAlignment="1">
      <alignment horizontal="left" vertical="top"/>
    </xf>
    <xf numFmtId="0" fontId="3" fillId="2" borderId="3" xfId="0" applyFont="1" applyFill="1" applyBorder="1" applyAlignment="1">
      <alignment horizontal="center"/>
    </xf>
    <xf numFmtId="164" fontId="3" fillId="2" borderId="3" xfId="0" applyNumberFormat="1" applyFont="1" applyFill="1" applyBorder="1"/>
    <xf numFmtId="164" fontId="3" fillId="2" borderId="4" xfId="0" applyNumberFormat="1" applyFont="1" applyFill="1" applyBorder="1" applyAlignment="1">
      <alignment vertical="center"/>
    </xf>
    <xf numFmtId="0" fontId="4" fillId="2" borderId="5" xfId="0" quotePrefix="1" applyFont="1" applyFill="1" applyBorder="1" applyAlignment="1">
      <alignment horizontal="left" vertical="top"/>
    </xf>
    <xf numFmtId="164" fontId="3" fillId="2" borderId="6" xfId="0" applyNumberFormat="1" applyFont="1" applyFill="1" applyBorder="1" applyAlignment="1">
      <alignment vertical="center"/>
    </xf>
    <xf numFmtId="164" fontId="3" fillId="2" borderId="7" xfId="0" applyNumberFormat="1" applyFont="1" applyFill="1" applyBorder="1" applyAlignment="1">
      <alignment vertical="center"/>
    </xf>
    <xf numFmtId="0" fontId="4" fillId="2" borderId="5" xfId="0" applyFont="1" applyFill="1" applyBorder="1" applyAlignment="1">
      <alignment horizontal="left" vertical="top"/>
    </xf>
    <xf numFmtId="0" fontId="4" fillId="2" borderId="8" xfId="0" applyFont="1" applyFill="1" applyBorder="1" applyAlignment="1">
      <alignment horizontal="left" vertical="top" wrapText="1"/>
    </xf>
    <xf numFmtId="164" fontId="3" fillId="2" borderId="9" xfId="0" applyNumberFormat="1" applyFont="1" applyFill="1" applyBorder="1" applyAlignment="1">
      <alignment vertical="center"/>
    </xf>
    <xf numFmtId="164" fontId="3" fillId="2" borderId="10" xfId="0" applyNumberFormat="1" applyFont="1" applyFill="1" applyBorder="1" applyAlignment="1">
      <alignment vertical="center"/>
    </xf>
    <xf numFmtId="0" fontId="4" fillId="2" borderId="17"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3" fillId="2" borderId="18" xfId="0" applyFont="1" applyFill="1" applyBorder="1" applyAlignment="1">
      <alignment horizontal="center" vertical="center"/>
    </xf>
    <xf numFmtId="0" fontId="3" fillId="2" borderId="18" xfId="0" quotePrefix="1" applyFont="1" applyFill="1" applyBorder="1" applyAlignment="1">
      <alignment horizontal="center" vertical="center" wrapText="1"/>
    </xf>
    <xf numFmtId="165" fontId="3" fillId="0" borderId="18" xfId="0" applyNumberFormat="1" applyFont="1" applyBorder="1" applyAlignment="1">
      <alignment vertical="center" wrapText="1"/>
    </xf>
    <xf numFmtId="166" fontId="3" fillId="2" borderId="18" xfId="0" applyNumberFormat="1" applyFont="1" applyFill="1" applyBorder="1" applyAlignment="1">
      <alignment horizontal="center" vertical="center"/>
    </xf>
    <xf numFmtId="0" fontId="3" fillId="0" borderId="18" xfId="0" applyFont="1" applyBorder="1" applyAlignment="1">
      <alignment horizontal="left" vertical="center" wrapText="1"/>
    </xf>
    <xf numFmtId="0" fontId="3" fillId="6" borderId="18" xfId="0" applyFont="1" applyFill="1" applyBorder="1" applyAlignment="1">
      <alignment horizontal="center" vertical="center"/>
    </xf>
    <xf numFmtId="165" fontId="3" fillId="6" borderId="18" xfId="0" applyNumberFormat="1" applyFont="1" applyFill="1" applyBorder="1" applyAlignment="1">
      <alignment vertical="center"/>
    </xf>
    <xf numFmtId="166" fontId="3" fillId="6" borderId="18" xfId="0" applyNumberFormat="1" applyFont="1" applyFill="1" applyBorder="1" applyAlignment="1">
      <alignment horizontal="center" vertical="center"/>
    </xf>
    <xf numFmtId="165" fontId="3" fillId="6" borderId="18" xfId="0" applyNumberFormat="1" applyFont="1" applyFill="1" applyBorder="1" applyAlignment="1">
      <alignment vertical="center" wrapText="1"/>
    </xf>
    <xf numFmtId="168" fontId="3" fillId="2" borderId="18" xfId="0" applyNumberFormat="1" applyFont="1" applyFill="1" applyBorder="1" applyAlignment="1">
      <alignment horizontal="center" vertical="center" wrapText="1"/>
    </xf>
    <xf numFmtId="165" fontId="7" fillId="5" borderId="18" xfId="0" applyNumberFormat="1" applyFont="1" applyFill="1" applyBorder="1" applyAlignment="1">
      <alignment horizontal="center" vertical="center" wrapText="1"/>
    </xf>
    <xf numFmtId="0" fontId="3" fillId="0" borderId="0" xfId="0" applyFont="1" applyAlignment="1">
      <alignment wrapText="1"/>
    </xf>
    <xf numFmtId="165" fontId="3" fillId="0" borderId="0" xfId="0" applyNumberFormat="1" applyFont="1"/>
    <xf numFmtId="0" fontId="3" fillId="2" borderId="6" xfId="0" applyFont="1" applyFill="1" applyBorder="1"/>
    <xf numFmtId="0" fontId="4" fillId="4" borderId="18" xfId="0" applyFont="1" applyFill="1" applyBorder="1" applyAlignment="1">
      <alignment horizontal="center" vertical="center" wrapText="1"/>
    </xf>
    <xf numFmtId="0" fontId="3" fillId="0" borderId="18" xfId="0" applyFont="1" applyBorder="1" applyAlignment="1">
      <alignment vertical="center" wrapText="1"/>
    </xf>
    <xf numFmtId="0" fontId="3" fillId="2" borderId="18" xfId="0" applyFont="1" applyFill="1" applyBorder="1" applyAlignment="1">
      <alignment vertical="center" wrapText="1"/>
    </xf>
    <xf numFmtId="0" fontId="4" fillId="2" borderId="18" xfId="0" applyFont="1" applyFill="1" applyBorder="1" applyAlignment="1">
      <alignment vertical="center" wrapText="1"/>
    </xf>
    <xf numFmtId="169" fontId="3" fillId="2" borderId="18" xfId="0" applyNumberFormat="1" applyFont="1" applyFill="1" applyBorder="1" applyAlignment="1">
      <alignment horizontal="center" vertical="center" wrapText="1"/>
    </xf>
    <xf numFmtId="165" fontId="3" fillId="2" borderId="18" xfId="0" applyNumberFormat="1" applyFont="1" applyFill="1" applyBorder="1"/>
    <xf numFmtId="0" fontId="4" fillId="2" borderId="18" xfId="0" quotePrefix="1" applyFont="1" applyFill="1" applyBorder="1" applyAlignment="1">
      <alignment horizontal="left" vertical="center" wrapText="1"/>
    </xf>
    <xf numFmtId="170" fontId="4" fillId="2" borderId="18" xfId="0" applyNumberFormat="1" applyFont="1" applyFill="1" applyBorder="1" applyAlignment="1">
      <alignment horizontal="center" vertical="center" wrapText="1"/>
    </xf>
    <xf numFmtId="168" fontId="4" fillId="2" borderId="18" xfId="0" applyNumberFormat="1" applyFont="1" applyFill="1" applyBorder="1" applyAlignment="1">
      <alignment vertical="center" wrapText="1"/>
    </xf>
    <xf numFmtId="0" fontId="7" fillId="7" borderId="18" xfId="0" applyFont="1" applyFill="1" applyBorder="1" applyAlignment="1">
      <alignment horizontal="center" vertical="center" wrapText="1"/>
    </xf>
    <xf numFmtId="0" fontId="7" fillId="7" borderId="18" xfId="0" quotePrefix="1" applyFont="1" applyFill="1" applyBorder="1" applyAlignment="1">
      <alignment horizontal="left" vertical="center" wrapText="1"/>
    </xf>
    <xf numFmtId="0" fontId="3" fillId="0" borderId="18" xfId="0" quotePrefix="1" applyFont="1" applyBorder="1" applyAlignment="1">
      <alignment horizontal="center" vertical="center" wrapText="1"/>
    </xf>
    <xf numFmtId="166" fontId="3" fillId="0" borderId="18" xfId="0" applyNumberFormat="1" applyFont="1" applyBorder="1" applyAlignment="1">
      <alignment horizontal="center" vertical="center"/>
    </xf>
    <xf numFmtId="165" fontId="7" fillId="7" borderId="18" xfId="0" applyNumberFormat="1" applyFont="1" applyFill="1" applyBorder="1" applyAlignment="1">
      <alignment horizontal="center" vertical="center" wrapText="1"/>
    </xf>
    <xf numFmtId="0" fontId="7" fillId="5" borderId="18" xfId="0" quotePrefix="1" applyFont="1" applyFill="1" applyBorder="1" applyAlignment="1">
      <alignment horizontal="left" vertical="center" wrapText="1"/>
    </xf>
    <xf numFmtId="2" fontId="3" fillId="2" borderId="18" xfId="0" applyNumberFormat="1" applyFont="1" applyFill="1" applyBorder="1" applyAlignment="1">
      <alignment horizontal="center" vertical="center"/>
    </xf>
    <xf numFmtId="165" fontId="3" fillId="2" borderId="18" xfId="0" applyNumberFormat="1" applyFont="1" applyFill="1" applyBorder="1" applyAlignment="1">
      <alignment horizontal="center" vertical="center"/>
    </xf>
    <xf numFmtId="0" fontId="7" fillId="5" borderId="18" xfId="0" quotePrefix="1" applyFont="1" applyFill="1" applyBorder="1" applyAlignment="1">
      <alignment horizontal="center" vertical="center" wrapText="1"/>
    </xf>
    <xf numFmtId="0" fontId="3" fillId="7" borderId="18" xfId="0" applyFont="1" applyFill="1" applyBorder="1"/>
    <xf numFmtId="0" fontId="3" fillId="2" borderId="18" xfId="0" applyFont="1" applyFill="1" applyBorder="1" applyAlignment="1">
      <alignment horizontal="center" vertical="center" wrapText="1"/>
    </xf>
    <xf numFmtId="3" fontId="3" fillId="0" borderId="18" xfId="0" applyNumberFormat="1" applyFont="1" applyBorder="1" applyAlignment="1">
      <alignment horizontal="right" vertical="center" wrapText="1"/>
    </xf>
    <xf numFmtId="0" fontId="3" fillId="5" borderId="18" xfId="0" applyFont="1" applyFill="1" applyBorder="1"/>
    <xf numFmtId="165" fontId="8" fillId="5" borderId="18" xfId="0" applyNumberFormat="1" applyFont="1" applyFill="1" applyBorder="1"/>
    <xf numFmtId="0" fontId="3" fillId="0" borderId="18" xfId="0" quotePrefix="1" applyFont="1" applyBorder="1" applyAlignment="1">
      <alignment horizontal="left" vertical="center" wrapText="1"/>
    </xf>
    <xf numFmtId="0" fontId="3" fillId="4" borderId="18" xfId="0" applyFont="1" applyFill="1" applyBorder="1"/>
    <xf numFmtId="165" fontId="4" fillId="4" borderId="18" xfId="0" applyNumberFormat="1" applyFont="1" applyFill="1" applyBorder="1" applyAlignment="1">
      <alignment horizontal="center" vertical="center" wrapText="1"/>
    </xf>
    <xf numFmtId="0" fontId="3" fillId="0" borderId="18" xfId="0" applyFont="1" applyBorder="1"/>
    <xf numFmtId="0" fontId="3" fillId="0" borderId="18" xfId="0" applyFont="1" applyBorder="1" applyAlignment="1">
      <alignment vertical="center"/>
    </xf>
    <xf numFmtId="0" fontId="3" fillId="0" borderId="18" xfId="0" applyFont="1" applyBorder="1" applyAlignment="1">
      <alignment horizontal="center" vertical="center"/>
    </xf>
    <xf numFmtId="44" fontId="3" fillId="0" borderId="0" xfId="0" applyNumberFormat="1" applyFont="1"/>
    <xf numFmtId="0" fontId="0" fillId="0" borderId="0" xfId="0" applyAlignment="1">
      <alignment vertical="center"/>
    </xf>
    <xf numFmtId="171" fontId="0" fillId="0" borderId="0" xfId="3" applyNumberFormat="1" applyFont="1" applyAlignment="1">
      <alignment vertical="center"/>
    </xf>
    <xf numFmtId="42" fontId="0" fillId="0" borderId="0" xfId="3" applyFont="1" applyAlignment="1">
      <alignment vertical="center"/>
    </xf>
    <xf numFmtId="0" fontId="0" fillId="0" borderId="0" xfId="0" applyAlignment="1">
      <alignment horizontal="center" vertical="center"/>
    </xf>
    <xf numFmtId="172" fontId="9" fillId="0" borderId="0" xfId="1" applyNumberFormat="1" applyAlignment="1">
      <alignment vertical="center"/>
    </xf>
    <xf numFmtId="171" fontId="9" fillId="0" borderId="0" xfId="3" applyNumberFormat="1" applyAlignment="1">
      <alignment vertical="center"/>
    </xf>
    <xf numFmtId="42" fontId="16" fillId="0" borderId="0" xfId="3" applyFont="1" applyAlignment="1">
      <alignment vertical="center"/>
    </xf>
    <xf numFmtId="0" fontId="17" fillId="0" borderId="30" xfId="0" applyFont="1" applyBorder="1" applyAlignment="1">
      <alignment horizontal="center" vertical="center"/>
    </xf>
    <xf numFmtId="171" fontId="18" fillId="0" borderId="0" xfId="3" applyNumberFormat="1" applyFont="1" applyAlignment="1">
      <alignment vertical="center"/>
    </xf>
    <xf numFmtId="42" fontId="19" fillId="0" borderId="30" xfId="3" applyFont="1" applyBorder="1" applyAlignment="1">
      <alignment vertical="center"/>
    </xf>
    <xf numFmtId="172" fontId="20" fillId="8" borderId="31" xfId="1" applyNumberFormat="1" applyFont="1" applyFill="1" applyBorder="1" applyAlignment="1">
      <alignment horizontal="center" vertical="center" wrapText="1"/>
    </xf>
    <xf numFmtId="172" fontId="20" fillId="8" borderId="32" xfId="1" applyNumberFormat="1" applyFont="1" applyFill="1" applyBorder="1" applyAlignment="1">
      <alignment horizontal="center" vertical="center" wrapText="1"/>
    </xf>
    <xf numFmtId="171" fontId="20" fillId="8" borderId="32" xfId="3" applyNumberFormat="1" applyFont="1" applyFill="1" applyBorder="1" applyAlignment="1">
      <alignment horizontal="center" vertical="center" wrapText="1"/>
    </xf>
    <xf numFmtId="42" fontId="20" fillId="8" borderId="33" xfId="3" applyFont="1" applyFill="1" applyBorder="1" applyAlignment="1">
      <alignment horizontal="center" vertical="center" wrapText="1"/>
    </xf>
    <xf numFmtId="171" fontId="16" fillId="0" borderId="35" xfId="3" applyNumberFormat="1" applyFont="1" applyFill="1" applyBorder="1" applyAlignment="1">
      <alignment vertical="center"/>
    </xf>
    <xf numFmtId="171" fontId="16" fillId="0" borderId="36" xfId="3" applyNumberFormat="1" applyFont="1" applyFill="1" applyBorder="1" applyAlignment="1">
      <alignment vertical="center"/>
    </xf>
    <xf numFmtId="171" fontId="16" fillId="0" borderId="38" xfId="3" applyNumberFormat="1" applyFont="1" applyFill="1" applyBorder="1" applyAlignment="1">
      <alignment horizontal="center" vertical="center"/>
    </xf>
    <xf numFmtId="42" fontId="16" fillId="0" borderId="39" xfId="3" applyFont="1" applyFill="1" applyBorder="1" applyAlignment="1">
      <alignment vertical="center"/>
    </xf>
    <xf numFmtId="171" fontId="16" fillId="0" borderId="38" xfId="3" applyNumberFormat="1" applyFont="1" applyFill="1" applyBorder="1" applyAlignment="1">
      <alignment horizontal="right" vertical="center"/>
    </xf>
    <xf numFmtId="171" fontId="16" fillId="0" borderId="43" xfId="3" applyNumberFormat="1" applyFont="1" applyFill="1" applyBorder="1" applyAlignment="1">
      <alignment horizontal="right" vertical="center"/>
    </xf>
    <xf numFmtId="42" fontId="16" fillId="0" borderId="44" xfId="3" applyFont="1" applyFill="1" applyBorder="1" applyAlignment="1">
      <alignment vertical="center"/>
    </xf>
    <xf numFmtId="0" fontId="17" fillId="0" borderId="45" xfId="0" applyFont="1" applyBorder="1" applyAlignment="1">
      <alignment horizontal="center" vertical="center"/>
    </xf>
    <xf numFmtId="42" fontId="19" fillId="0" borderId="45" xfId="3" applyFont="1" applyBorder="1" applyAlignment="1">
      <alignment vertical="center"/>
    </xf>
    <xf numFmtId="9" fontId="16" fillId="0" borderId="46" xfId="0" applyNumberFormat="1" applyFont="1" applyBorder="1" applyAlignment="1" applyProtection="1">
      <alignment horizontal="left" vertical="center"/>
      <protection hidden="1"/>
    </xf>
    <xf numFmtId="0" fontId="16" fillId="0" borderId="47" xfId="0" applyFont="1" applyBorder="1" applyAlignment="1" applyProtection="1">
      <alignment horizontal="center" vertical="center"/>
      <protection hidden="1"/>
    </xf>
    <xf numFmtId="0" fontId="16" fillId="0" borderId="47" xfId="0" applyFont="1" applyBorder="1" applyAlignment="1">
      <alignment vertical="center"/>
    </xf>
    <xf numFmtId="171" fontId="16" fillId="0" borderId="47" xfId="3" applyNumberFormat="1" applyFont="1" applyFill="1" applyBorder="1" applyAlignment="1" applyProtection="1">
      <alignment horizontal="center" vertical="center"/>
      <protection hidden="1"/>
    </xf>
    <xf numFmtId="42" fontId="16" fillId="0" borderId="48" xfId="3" applyFont="1" applyFill="1" applyBorder="1" applyAlignment="1" applyProtection="1">
      <alignment vertical="center"/>
      <protection hidden="1"/>
    </xf>
    <xf numFmtId="44" fontId="0" fillId="0" borderId="0" xfId="2" applyFont="1"/>
    <xf numFmtId="171" fontId="0" fillId="0" borderId="0" xfId="3" applyNumberFormat="1" applyFont="1" applyAlignment="1">
      <alignment horizontal="center" vertical="center"/>
    </xf>
    <xf numFmtId="171" fontId="16" fillId="0" borderId="43" xfId="3" applyNumberFormat="1" applyFont="1" applyFill="1" applyBorder="1" applyAlignment="1">
      <alignment horizontal="center" vertical="center"/>
    </xf>
    <xf numFmtId="0" fontId="0" fillId="8" borderId="49" xfId="0" applyFill="1" applyBorder="1" applyAlignment="1">
      <alignment vertical="center"/>
    </xf>
    <xf numFmtId="0" fontId="19" fillId="8" borderId="50" xfId="0" applyFont="1" applyFill="1" applyBorder="1" applyAlignment="1">
      <alignment horizontal="center" vertical="center"/>
    </xf>
    <xf numFmtId="172" fontId="19" fillId="8" borderId="50" xfId="1" applyNumberFormat="1" applyFont="1" applyFill="1" applyBorder="1" applyAlignment="1">
      <alignment vertical="center"/>
    </xf>
    <xf numFmtId="171" fontId="19" fillId="8" borderId="50" xfId="3" applyNumberFormat="1" applyFont="1" applyFill="1" applyBorder="1" applyAlignment="1">
      <alignment vertical="center"/>
    </xf>
    <xf numFmtId="42" fontId="19" fillId="8" borderId="33" xfId="3" applyFont="1" applyFill="1" applyBorder="1" applyAlignment="1">
      <alignment vertical="center"/>
    </xf>
    <xf numFmtId="44" fontId="0" fillId="0" borderId="0" xfId="2" applyFont="1" applyAlignment="1">
      <alignment horizontal="center" vertical="center"/>
    </xf>
    <xf numFmtId="0" fontId="13" fillId="0" borderId="12" xfId="5" applyFont="1" applyAlignment="1">
      <alignment vertical="center"/>
    </xf>
    <xf numFmtId="0" fontId="0" fillId="0" borderId="0" xfId="0" applyAlignment="1" applyProtection="1">
      <alignment vertical="center"/>
      <protection hidden="1"/>
    </xf>
    <xf numFmtId="0" fontId="21" fillId="0" borderId="0" xfId="0" applyFont="1" applyAlignment="1" applyProtection="1">
      <alignment vertical="center" wrapText="1"/>
      <protection hidden="1"/>
    </xf>
    <xf numFmtId="0" fontId="13" fillId="0" borderId="51" xfId="5" applyFont="1" applyBorder="1" applyAlignment="1">
      <alignment vertical="center"/>
    </xf>
    <xf numFmtId="0" fontId="0" fillId="0" borderId="51" xfId="0" applyBorder="1" applyAlignment="1" applyProtection="1">
      <alignment vertical="center"/>
      <protection hidden="1"/>
    </xf>
    <xf numFmtId="0" fontId="0" fillId="0" borderId="51" xfId="0" applyBorder="1" applyAlignment="1">
      <alignment vertical="center"/>
    </xf>
    <xf numFmtId="44" fontId="0" fillId="0" borderId="51" xfId="2" applyFont="1" applyBorder="1" applyAlignment="1">
      <alignment horizontal="center" vertical="center"/>
    </xf>
    <xf numFmtId="0" fontId="0" fillId="0" borderId="0" xfId="0" applyAlignment="1" applyProtection="1">
      <alignment horizontal="center" vertical="center"/>
      <protection hidden="1"/>
    </xf>
    <xf numFmtId="170" fontId="13" fillId="0" borderId="12" xfId="6" applyNumberFormat="1" applyFont="1" applyAlignment="1">
      <alignment vertical="center"/>
    </xf>
    <xf numFmtId="0" fontId="24" fillId="0" borderId="0" xfId="0" applyFont="1" applyAlignment="1">
      <alignment horizontal="left" vertical="center" wrapText="1"/>
    </xf>
    <xf numFmtId="0" fontId="13" fillId="0" borderId="12" xfId="5" applyFont="1"/>
    <xf numFmtId="0" fontId="13" fillId="0" borderId="12" xfId="5" applyFont="1" applyAlignment="1">
      <alignment horizontal="center"/>
    </xf>
    <xf numFmtId="170" fontId="13" fillId="0" borderId="12" xfId="6" applyNumberFormat="1" applyFont="1"/>
    <xf numFmtId="0" fontId="24" fillId="0" borderId="0" xfId="0" applyFont="1" applyAlignment="1">
      <alignment horizontal="justify" vertical="center"/>
    </xf>
    <xf numFmtId="44" fontId="0" fillId="0" borderId="0" xfId="2" applyFont="1" applyAlignment="1" applyProtection="1">
      <alignment horizontal="center" vertical="center"/>
      <protection hidden="1"/>
    </xf>
    <xf numFmtId="0" fontId="0" fillId="0" borderId="53" xfId="0" applyBorder="1" applyAlignment="1" applyProtection="1">
      <alignment horizontal="center" vertical="center"/>
      <protection hidden="1"/>
    </xf>
    <xf numFmtId="44" fontId="10" fillId="9" borderId="57" xfId="2" applyFont="1" applyFill="1" applyBorder="1" applyAlignment="1" applyProtection="1">
      <alignment horizontal="center" vertical="center"/>
      <protection hidden="1"/>
    </xf>
    <xf numFmtId="44" fontId="25" fillId="9" borderId="58" xfId="2" applyFont="1" applyFill="1" applyBorder="1" applyAlignment="1" applyProtection="1">
      <alignment horizontal="center" vertical="center"/>
      <protection hidden="1"/>
    </xf>
    <xf numFmtId="44" fontId="10" fillId="9" borderId="38" xfId="2" applyFont="1" applyFill="1" applyBorder="1" applyAlignment="1" applyProtection="1">
      <alignment horizontal="center" vertical="center"/>
      <protection hidden="1"/>
    </xf>
    <xf numFmtId="0" fontId="25" fillId="0" borderId="37" xfId="0" applyFont="1" applyBorder="1" applyAlignment="1">
      <alignment horizontal="center" vertical="center"/>
    </xf>
    <xf numFmtId="0" fontId="25" fillId="0" borderId="38" xfId="0" applyFont="1" applyBorder="1" applyAlignment="1">
      <alignment horizontal="center" vertical="center"/>
    </xf>
    <xf numFmtId="44" fontId="25" fillId="0" borderId="38" xfId="2" applyFont="1" applyFill="1" applyBorder="1" applyAlignment="1">
      <alignment horizontal="center" vertical="center"/>
    </xf>
    <xf numFmtId="44" fontId="25" fillId="0" borderId="39" xfId="2" applyFont="1" applyFill="1" applyBorder="1" applyAlignment="1">
      <alignment horizontal="center" vertical="center"/>
    </xf>
    <xf numFmtId="0" fontId="16" fillId="0" borderId="62" xfId="0" applyFont="1" applyBorder="1" applyAlignment="1">
      <alignment horizontal="left" vertical="center"/>
    </xf>
    <xf numFmtId="0" fontId="16" fillId="0" borderId="0" xfId="0" applyFont="1" applyAlignment="1">
      <alignment horizontal="center" vertical="center"/>
    </xf>
    <xf numFmtId="0" fontId="16" fillId="0" borderId="0" xfId="0" applyFont="1" applyAlignment="1">
      <alignment vertical="center"/>
    </xf>
    <xf numFmtId="44" fontId="16" fillId="0" borderId="12" xfId="2" applyFont="1" applyFill="1" applyBorder="1" applyAlignment="1">
      <alignment horizontal="center" vertical="center"/>
    </xf>
    <xf numFmtId="44" fontId="16" fillId="0" borderId="63" xfId="2" applyFont="1" applyFill="1" applyBorder="1" applyAlignment="1">
      <alignment horizontal="center" vertical="center"/>
    </xf>
    <xf numFmtId="0" fontId="25" fillId="0" borderId="62" xfId="0" applyFont="1" applyBorder="1" applyAlignment="1">
      <alignment horizontal="left" vertical="center"/>
    </xf>
    <xf numFmtId="0" fontId="16" fillId="0" borderId="64" xfId="0" applyFont="1" applyBorder="1" applyAlignment="1">
      <alignment horizontal="left" vertical="center"/>
    </xf>
    <xf numFmtId="0" fontId="16" fillId="0" borderId="65" xfId="0" applyFont="1" applyBorder="1" applyAlignment="1">
      <alignment horizontal="center" vertical="center"/>
    </xf>
    <xf numFmtId="0" fontId="16" fillId="0" borderId="65" xfId="0" applyFont="1" applyBorder="1" applyAlignment="1">
      <alignment vertical="center"/>
    </xf>
    <xf numFmtId="44" fontId="16" fillId="0" borderId="65" xfId="2" applyFont="1" applyFill="1" applyBorder="1" applyAlignment="1">
      <alignment horizontal="right" vertical="center"/>
    </xf>
    <xf numFmtId="44" fontId="16" fillId="0" borderId="66" xfId="2" applyFont="1" applyFill="1" applyBorder="1" applyAlignment="1">
      <alignment horizontal="right" vertical="center"/>
    </xf>
    <xf numFmtId="9" fontId="16" fillId="0" borderId="64" xfId="0" applyNumberFormat="1" applyFont="1" applyBorder="1" applyAlignment="1" applyProtection="1">
      <alignment horizontal="left" vertical="center"/>
      <protection hidden="1"/>
    </xf>
    <xf numFmtId="0" fontId="16" fillId="0" borderId="65" xfId="0" applyFont="1" applyBorder="1" applyAlignment="1" applyProtection="1">
      <alignment horizontal="center" vertical="center"/>
      <protection hidden="1"/>
    </xf>
    <xf numFmtId="9" fontId="16" fillId="0" borderId="65" xfId="4" applyFont="1" applyFill="1" applyBorder="1" applyAlignment="1" applyProtection="1">
      <alignment horizontal="center" vertical="center"/>
      <protection hidden="1"/>
    </xf>
    <xf numFmtId="0" fontId="16" fillId="0" borderId="65" xfId="0" applyFont="1" applyBorder="1" applyAlignment="1" applyProtection="1">
      <alignment vertical="center"/>
      <protection hidden="1"/>
    </xf>
    <xf numFmtId="44" fontId="16" fillId="0" borderId="65" xfId="2" applyFont="1" applyFill="1" applyBorder="1" applyAlignment="1" applyProtection="1">
      <alignment horizontal="center" vertical="center"/>
      <protection hidden="1"/>
    </xf>
    <xf numFmtId="44" fontId="16" fillId="0" borderId="66" xfId="2" applyFont="1" applyFill="1" applyBorder="1" applyAlignment="1" applyProtection="1">
      <alignment horizontal="center" vertical="center"/>
      <protection hidden="1"/>
    </xf>
    <xf numFmtId="44" fontId="16" fillId="0" borderId="63" xfId="2" applyFont="1" applyFill="1" applyBorder="1" applyAlignment="1">
      <alignment horizontal="right" vertical="center"/>
    </xf>
    <xf numFmtId="44" fontId="16" fillId="0" borderId="65" xfId="2" applyFont="1" applyFill="1" applyBorder="1" applyAlignment="1">
      <alignment horizontal="center" vertical="center"/>
    </xf>
    <xf numFmtId="44" fontId="16" fillId="0" borderId="66" xfId="2" applyFont="1" applyFill="1" applyBorder="1" applyAlignment="1" applyProtection="1">
      <alignment horizontal="right" vertical="center"/>
      <protection hidden="1"/>
    </xf>
    <xf numFmtId="9" fontId="16" fillId="0" borderId="62" xfId="0" applyNumberFormat="1" applyFont="1" applyBorder="1" applyAlignment="1" applyProtection="1">
      <alignment horizontal="left" vertical="center"/>
      <protection hidden="1"/>
    </xf>
    <xf numFmtId="0" fontId="16" fillId="0" borderId="0" xfId="0" applyFont="1" applyAlignment="1" applyProtection="1">
      <alignment horizontal="center" vertical="center"/>
      <protection hidden="1"/>
    </xf>
    <xf numFmtId="0" fontId="16" fillId="0" borderId="0" xfId="0" applyFont="1" applyAlignment="1" applyProtection="1">
      <alignment vertical="center"/>
      <protection hidden="1"/>
    </xf>
    <xf numFmtId="44" fontId="16" fillId="0" borderId="12" xfId="2" applyFont="1" applyFill="1" applyBorder="1" applyAlignment="1" applyProtection="1">
      <alignment horizontal="center" vertical="center"/>
      <protection hidden="1"/>
    </xf>
    <xf numFmtId="4" fontId="16" fillId="9" borderId="67" xfId="0" applyNumberFormat="1" applyFont="1" applyFill="1" applyBorder="1" applyAlignment="1" applyProtection="1">
      <alignment horizontal="left" vertical="center"/>
      <protection hidden="1"/>
    </xf>
    <xf numFmtId="0" fontId="16" fillId="9" borderId="68" xfId="0" applyFont="1" applyFill="1" applyBorder="1" applyAlignment="1" applyProtection="1">
      <alignment horizontal="center" vertical="center"/>
      <protection hidden="1"/>
    </xf>
    <xf numFmtId="0" fontId="25" fillId="9" borderId="69" xfId="0" applyFont="1" applyFill="1" applyBorder="1" applyAlignment="1" applyProtection="1">
      <alignment horizontal="right" vertical="center"/>
      <protection hidden="1"/>
    </xf>
    <xf numFmtId="44" fontId="16" fillId="9" borderId="69" xfId="2" applyFont="1" applyFill="1" applyBorder="1" applyAlignment="1" applyProtection="1">
      <alignment horizontal="center" vertical="center"/>
      <protection hidden="1"/>
    </xf>
    <xf numFmtId="44" fontId="25" fillId="9" borderId="70" xfId="2" applyFont="1" applyFill="1" applyBorder="1" applyAlignment="1" applyProtection="1">
      <alignment horizontal="center" vertical="center"/>
      <protection hidden="1"/>
    </xf>
    <xf numFmtId="9" fontId="16" fillId="0" borderId="64" xfId="0" applyNumberFormat="1" applyFont="1" applyBorder="1" applyAlignment="1">
      <alignment horizontal="left" vertical="center"/>
    </xf>
    <xf numFmtId="171" fontId="16" fillId="0" borderId="35" xfId="3" applyNumberFormat="1" applyFont="1" applyFill="1" applyBorder="1" applyAlignment="1">
      <alignment horizontal="center" vertical="center"/>
    </xf>
    <xf numFmtId="42" fontId="16" fillId="0" borderId="36" xfId="3" applyFont="1" applyFill="1" applyBorder="1" applyAlignment="1">
      <alignment vertical="center"/>
    </xf>
    <xf numFmtId="44" fontId="0" fillId="0" borderId="0" xfId="0" applyNumberFormat="1"/>
    <xf numFmtId="0" fontId="25" fillId="9" borderId="61" xfId="2" applyNumberFormat="1" applyFont="1" applyFill="1" applyBorder="1" applyAlignment="1" applyProtection="1">
      <alignment horizontal="center" vertical="center"/>
      <protection hidden="1"/>
    </xf>
    <xf numFmtId="2" fontId="25" fillId="9" borderId="61" xfId="2" applyNumberFormat="1" applyFont="1" applyFill="1" applyBorder="1" applyAlignment="1" applyProtection="1">
      <alignment horizontal="center" vertical="center"/>
      <protection hidden="1"/>
    </xf>
    <xf numFmtId="0" fontId="16" fillId="0" borderId="12" xfId="0" applyFont="1" applyBorder="1" applyAlignment="1" applyProtection="1">
      <alignment horizontal="center" vertical="center"/>
      <protection hidden="1"/>
    </xf>
    <xf numFmtId="9" fontId="16" fillId="0" borderId="12" xfId="4" applyFont="1" applyFill="1" applyBorder="1" applyAlignment="1" applyProtection="1">
      <alignment horizontal="center" vertical="center"/>
      <protection hidden="1"/>
    </xf>
    <xf numFmtId="0" fontId="16" fillId="0" borderId="12" xfId="0" applyFont="1" applyBorder="1" applyAlignment="1" applyProtection="1">
      <alignment vertical="center"/>
      <protection hidden="1"/>
    </xf>
    <xf numFmtId="1" fontId="16" fillId="0" borderId="65" xfId="0" applyNumberFormat="1" applyFont="1" applyBorder="1" applyAlignment="1">
      <alignment horizontal="center" vertical="center"/>
    </xf>
    <xf numFmtId="2" fontId="16" fillId="0" borderId="0" xfId="0" applyNumberFormat="1" applyFont="1" applyAlignment="1">
      <alignment horizontal="center" vertical="center"/>
    </xf>
    <xf numFmtId="173" fontId="16" fillId="0" borderId="0" xfId="0" applyNumberFormat="1" applyFont="1" applyAlignment="1">
      <alignment horizontal="center" vertical="center"/>
    </xf>
    <xf numFmtId="1" fontId="16" fillId="0" borderId="0" xfId="0" applyNumberFormat="1" applyFont="1" applyAlignment="1">
      <alignment horizontal="center" vertical="center"/>
    </xf>
    <xf numFmtId="173" fontId="16" fillId="0" borderId="65" xfId="0" applyNumberFormat="1" applyFont="1" applyBorder="1" applyAlignment="1">
      <alignment horizontal="center" vertical="center"/>
    </xf>
    <xf numFmtId="0" fontId="0" fillId="0" borderId="0" xfId="0" applyAlignment="1">
      <alignment horizontal="center"/>
    </xf>
    <xf numFmtId="0" fontId="16" fillId="9" borderId="69" xfId="0" applyFont="1" applyFill="1" applyBorder="1" applyAlignment="1" applyProtection="1">
      <alignment horizontal="center" vertical="center"/>
      <protection hidden="1"/>
    </xf>
    <xf numFmtId="2" fontId="16" fillId="0" borderId="65" xfId="0" applyNumberFormat="1" applyFont="1" applyBorder="1" applyAlignment="1">
      <alignment horizontal="center" vertical="center"/>
    </xf>
    <xf numFmtId="174" fontId="16" fillId="0" borderId="65" xfId="0" applyNumberFormat="1" applyFont="1" applyBorder="1" applyAlignment="1">
      <alignment horizontal="center" vertical="center"/>
    </xf>
    <xf numFmtId="175" fontId="16" fillId="0" borderId="0" xfId="0" applyNumberFormat="1" applyFont="1" applyAlignment="1">
      <alignment horizontal="center" vertical="center"/>
    </xf>
    <xf numFmtId="44" fontId="3" fillId="0" borderId="0" xfId="2" applyFont="1"/>
    <xf numFmtId="44" fontId="3" fillId="0" borderId="0" xfId="2" applyFont="1" applyAlignment="1">
      <alignment wrapText="1"/>
    </xf>
    <xf numFmtId="9" fontId="16" fillId="0" borderId="37" xfId="0" applyNumberFormat="1" applyFont="1" applyBorder="1" applyAlignment="1" applyProtection="1">
      <alignment horizontal="left" vertical="center"/>
      <protection hidden="1"/>
    </xf>
    <xf numFmtId="0" fontId="16" fillId="0" borderId="38" xfId="0" applyFont="1" applyBorder="1" applyAlignment="1" applyProtection="1">
      <alignment horizontal="center" vertical="center"/>
      <protection hidden="1"/>
    </xf>
    <xf numFmtId="2" fontId="16" fillId="0" borderId="38" xfId="0" applyNumberFormat="1" applyFont="1" applyBorder="1" applyAlignment="1">
      <alignment vertical="center"/>
    </xf>
    <xf numFmtId="0" fontId="16" fillId="0" borderId="37" xfId="0" applyFont="1" applyBorder="1" applyAlignment="1">
      <alignment horizontal="left" vertical="center"/>
    </xf>
    <xf numFmtId="0" fontId="16" fillId="0" borderId="38" xfId="0" applyFont="1" applyBorder="1" applyAlignment="1">
      <alignment horizontal="center" vertical="center"/>
    </xf>
    <xf numFmtId="9" fontId="16" fillId="0" borderId="37" xfId="0" applyNumberFormat="1" applyFont="1" applyBorder="1" applyAlignment="1" applyProtection="1">
      <alignment horizontal="justify" vertical="center"/>
      <protection hidden="1"/>
    </xf>
    <xf numFmtId="0" fontId="16" fillId="0" borderId="34" xfId="0" applyFont="1" applyBorder="1" applyAlignment="1">
      <alignment horizontal="left" vertical="center"/>
    </xf>
    <xf numFmtId="0" fontId="16" fillId="0" borderId="35" xfId="0" applyFont="1" applyBorder="1" applyAlignment="1">
      <alignment horizontal="center" vertical="center"/>
    </xf>
    <xf numFmtId="2" fontId="16" fillId="0" borderId="35" xfId="0" applyNumberFormat="1" applyFont="1" applyBorder="1" applyAlignment="1">
      <alignment vertical="center"/>
    </xf>
    <xf numFmtId="0" fontId="16" fillId="0" borderId="38" xfId="0" applyFont="1" applyBorder="1" applyAlignment="1">
      <alignment vertical="center"/>
    </xf>
    <xf numFmtId="0" fontId="16" fillId="0" borderId="42" xfId="0" applyFont="1" applyBorder="1" applyAlignment="1">
      <alignment horizontal="left" vertical="center"/>
    </xf>
    <xf numFmtId="0" fontId="16" fillId="0" borderId="43" xfId="0" applyFont="1" applyBorder="1" applyAlignment="1">
      <alignment horizontal="center" vertical="center"/>
    </xf>
    <xf numFmtId="4" fontId="16" fillId="0" borderId="43" xfId="0" applyNumberFormat="1" applyFont="1" applyBorder="1" applyAlignment="1">
      <alignment vertical="center"/>
    </xf>
    <xf numFmtId="9" fontId="16" fillId="0" borderId="34" xfId="0" applyNumberFormat="1" applyFont="1" applyBorder="1" applyAlignment="1" applyProtection="1">
      <alignment horizontal="left" vertical="center"/>
      <protection hidden="1"/>
    </xf>
    <xf numFmtId="0" fontId="16" fillId="0" borderId="35" xfId="0" applyFont="1" applyBorder="1" applyAlignment="1" applyProtection="1">
      <alignment horizontal="center" vertical="center"/>
      <protection hidden="1"/>
    </xf>
    <xf numFmtId="0" fontId="16" fillId="0" borderId="35" xfId="0" applyFont="1" applyBorder="1" applyAlignment="1">
      <alignment vertical="center"/>
    </xf>
    <xf numFmtId="0" fontId="16" fillId="0" borderId="40" xfId="0" applyFont="1" applyBorder="1" applyAlignment="1">
      <alignment horizontal="left" vertical="center" wrapText="1"/>
    </xf>
    <xf numFmtId="2" fontId="16" fillId="0" borderId="41" xfId="0" applyNumberFormat="1" applyFont="1" applyBorder="1" applyAlignment="1">
      <alignment vertical="center"/>
    </xf>
    <xf numFmtId="2" fontId="16" fillId="0" borderId="43" xfId="0" applyNumberFormat="1" applyFont="1" applyBorder="1" applyAlignment="1">
      <alignment vertical="center"/>
    </xf>
    <xf numFmtId="0" fontId="16" fillId="0" borderId="43" xfId="0" applyFont="1" applyBorder="1" applyAlignment="1">
      <alignment vertical="center"/>
    </xf>
    <xf numFmtId="0" fontId="8" fillId="5" borderId="18" xfId="0" applyFont="1" applyFill="1" applyBorder="1" applyAlignment="1">
      <alignment horizontal="left" vertical="center" wrapText="1"/>
    </xf>
    <xf numFmtId="167" fontId="3" fillId="2" borderId="18"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26" fillId="0" borderId="0" xfId="0" applyFont="1"/>
    <xf numFmtId="0" fontId="26" fillId="0" borderId="0" xfId="0" applyFont="1" applyAlignment="1">
      <alignment horizontal="center"/>
    </xf>
    <xf numFmtId="170" fontId="26" fillId="0" borderId="0" xfId="0" applyNumberFormat="1" applyFont="1"/>
    <xf numFmtId="0" fontId="26" fillId="0" borderId="18" xfId="0" applyFont="1" applyBorder="1" applyAlignment="1">
      <alignment vertical="center"/>
    </xf>
    <xf numFmtId="178" fontId="28" fillId="0" borderId="18" xfId="0" applyNumberFormat="1" applyFont="1" applyBorder="1" applyAlignment="1">
      <alignment horizontal="right" vertical="center" wrapText="1"/>
    </xf>
    <xf numFmtId="168" fontId="28" fillId="0" borderId="16" xfId="0" applyNumberFormat="1" applyFont="1" applyBorder="1" applyAlignment="1">
      <alignment horizontal="right" vertical="center" wrapText="1"/>
    </xf>
    <xf numFmtId="0" fontId="26" fillId="0" borderId="9" xfId="0" applyFont="1" applyBorder="1" applyAlignment="1">
      <alignment vertical="center"/>
    </xf>
    <xf numFmtId="0" fontId="26" fillId="0" borderId="0" xfId="0" applyFont="1" applyAlignment="1">
      <alignment horizontal="center" vertical="center"/>
    </xf>
    <xf numFmtId="170" fontId="27" fillId="0" borderId="9" xfId="0" applyNumberFormat="1" applyFont="1" applyBorder="1" applyAlignment="1">
      <alignment horizontal="right" vertical="center" wrapText="1"/>
    </xf>
    <xf numFmtId="170" fontId="26" fillId="0" borderId="9" xfId="0" applyNumberFormat="1" applyFont="1" applyBorder="1" applyAlignment="1">
      <alignment vertical="top" wrapText="1"/>
    </xf>
    <xf numFmtId="170" fontId="27" fillId="0" borderId="9" xfId="0" applyNumberFormat="1" applyFont="1" applyBorder="1" applyAlignment="1">
      <alignment horizontal="center" vertical="center" wrapText="1"/>
    </xf>
    <xf numFmtId="170" fontId="28" fillId="0" borderId="9" xfId="0" applyNumberFormat="1" applyFont="1" applyBorder="1" applyAlignment="1">
      <alignment horizontal="right" vertical="center"/>
    </xf>
    <xf numFmtId="168" fontId="28" fillId="0" borderId="9" xfId="0" applyNumberFormat="1" applyFont="1" applyBorder="1" applyAlignment="1">
      <alignment horizontal="right" vertical="center" wrapText="1"/>
    </xf>
    <xf numFmtId="0" fontId="27" fillId="4" borderId="18" xfId="0" applyFont="1" applyFill="1" applyBorder="1" applyAlignment="1">
      <alignment horizontal="center" vertical="center"/>
    </xf>
    <xf numFmtId="170" fontId="27" fillId="4" borderId="18" xfId="0" applyNumberFormat="1" applyFont="1" applyFill="1" applyBorder="1" applyAlignment="1">
      <alignment horizontal="center" vertical="center" wrapText="1"/>
    </xf>
    <xf numFmtId="170" fontId="27" fillId="4" borderId="18" xfId="0" quotePrefix="1" applyNumberFormat="1" applyFont="1" applyFill="1" applyBorder="1" applyAlignment="1">
      <alignment horizontal="center" vertical="center" wrapText="1"/>
    </xf>
    <xf numFmtId="0" fontId="27" fillId="4" borderId="18" xfId="0" quotePrefix="1" applyFont="1" applyFill="1" applyBorder="1" applyAlignment="1">
      <alignment horizontal="center" vertical="center" wrapText="1"/>
    </xf>
    <xf numFmtId="0" fontId="27" fillId="4" borderId="18" xfId="0" applyFont="1" applyFill="1" applyBorder="1" applyAlignment="1">
      <alignment horizontal="left" vertical="center"/>
    </xf>
    <xf numFmtId="170" fontId="27" fillId="4" borderId="18" xfId="0" applyNumberFormat="1" applyFont="1" applyFill="1" applyBorder="1" applyAlignment="1">
      <alignment vertical="center"/>
    </xf>
    <xf numFmtId="170" fontId="26" fillId="4" borderId="18" xfId="0" applyNumberFormat="1" applyFont="1" applyFill="1" applyBorder="1" applyAlignment="1">
      <alignment vertical="center"/>
    </xf>
    <xf numFmtId="0" fontId="26" fillId="4" borderId="18" xfId="0" applyFont="1" applyFill="1" applyBorder="1" applyAlignment="1">
      <alignment horizontal="center" vertical="center"/>
    </xf>
    <xf numFmtId="0" fontId="29" fillId="0" borderId="18" xfId="0" applyFont="1" applyBorder="1"/>
    <xf numFmtId="2" fontId="26" fillId="0" borderId="18" xfId="0" applyNumberFormat="1" applyFont="1" applyBorder="1" applyAlignment="1">
      <alignment horizontal="center" vertical="center"/>
    </xf>
    <xf numFmtId="170" fontId="26" fillId="0" borderId="18" xfId="0" applyNumberFormat="1" applyFont="1" applyBorder="1" applyAlignment="1">
      <alignment vertical="center"/>
    </xf>
    <xf numFmtId="169" fontId="13" fillId="0" borderId="18" xfId="0" applyNumberFormat="1" applyFont="1" applyBorder="1" applyAlignment="1">
      <alignment horizontal="center" vertical="center"/>
    </xf>
    <xf numFmtId="170" fontId="13" fillId="0" borderId="18" xfId="0" applyNumberFormat="1" applyFont="1" applyBorder="1" applyAlignment="1">
      <alignment vertical="center"/>
    </xf>
    <xf numFmtId="179" fontId="13" fillId="0" borderId="18" xfId="0" applyNumberFormat="1" applyFont="1" applyBorder="1" applyAlignment="1">
      <alignment horizontal="center" vertical="center"/>
    </xf>
    <xf numFmtId="0" fontId="26" fillId="4" borderId="18" xfId="0" applyFont="1" applyFill="1" applyBorder="1" applyAlignment="1">
      <alignment vertical="center" wrapText="1"/>
    </xf>
    <xf numFmtId="2" fontId="26" fillId="4" borderId="18" xfId="0" applyNumberFormat="1" applyFont="1" applyFill="1" applyBorder="1" applyAlignment="1">
      <alignment horizontal="center" vertical="center"/>
    </xf>
    <xf numFmtId="169" fontId="26" fillId="4" borderId="18" xfId="0" applyNumberFormat="1" applyFont="1" applyFill="1" applyBorder="1" applyAlignment="1">
      <alignment horizontal="center" vertical="center"/>
    </xf>
    <xf numFmtId="179" fontId="26" fillId="4" borderId="18" xfId="0" applyNumberFormat="1" applyFont="1" applyFill="1" applyBorder="1" applyAlignment="1">
      <alignment horizontal="center" vertical="center"/>
    </xf>
    <xf numFmtId="179" fontId="26" fillId="4" borderId="18" xfId="0" applyNumberFormat="1" applyFont="1" applyFill="1" applyBorder="1" applyAlignment="1">
      <alignment vertical="center"/>
    </xf>
    <xf numFmtId="0" fontId="26" fillId="0" borderId="18" xfId="0" quotePrefix="1" applyFont="1" applyBorder="1" applyAlignment="1">
      <alignment horizontal="left" vertical="center" wrapText="1"/>
    </xf>
    <xf numFmtId="170" fontId="13" fillId="0" borderId="18" xfId="0" applyNumberFormat="1" applyFont="1" applyBorder="1" applyAlignment="1">
      <alignment horizontal="center" vertical="center"/>
    </xf>
    <xf numFmtId="0" fontId="27" fillId="4" borderId="18" xfId="0" quotePrefix="1" applyFont="1" applyFill="1" applyBorder="1" applyAlignment="1">
      <alignment horizontal="left" vertical="center"/>
    </xf>
    <xf numFmtId="170" fontId="27" fillId="4" borderId="18" xfId="0" quotePrefix="1" applyNumberFormat="1" applyFont="1" applyFill="1" applyBorder="1" applyAlignment="1">
      <alignment horizontal="center" vertical="center"/>
    </xf>
    <xf numFmtId="179" fontId="27" fillId="4" borderId="18" xfId="0" applyNumberFormat="1" applyFont="1" applyFill="1" applyBorder="1" applyAlignment="1">
      <alignment horizontal="center" vertical="center" wrapText="1"/>
    </xf>
    <xf numFmtId="0" fontId="26" fillId="0" borderId="18" xfId="0" applyFont="1" applyBorder="1" applyAlignment="1">
      <alignment horizontal="center" vertical="center"/>
    </xf>
    <xf numFmtId="9" fontId="26" fillId="0" borderId="18" xfId="4" applyFont="1" applyBorder="1" applyAlignment="1">
      <alignment horizontal="right" vertical="center"/>
    </xf>
    <xf numFmtId="169" fontId="26" fillId="0" borderId="18" xfId="0" applyNumberFormat="1" applyFont="1" applyBorder="1" applyAlignment="1">
      <alignment horizontal="center" vertical="center"/>
    </xf>
    <xf numFmtId="179" fontId="26" fillId="0" borderId="18" xfId="0" applyNumberFormat="1" applyFont="1" applyBorder="1" applyAlignment="1">
      <alignment vertical="center"/>
    </xf>
    <xf numFmtId="0" fontId="26" fillId="0" borderId="18" xfId="0" quotePrefix="1" applyFont="1" applyBorder="1" applyAlignment="1">
      <alignment horizontal="left" vertical="center"/>
    </xf>
    <xf numFmtId="168" fontId="26" fillId="0" borderId="18" xfId="0" applyNumberFormat="1" applyFont="1" applyBorder="1" applyAlignment="1">
      <alignment horizontal="right" vertical="center"/>
    </xf>
    <xf numFmtId="170" fontId="26" fillId="4" borderId="17" xfId="0" applyNumberFormat="1" applyFont="1" applyFill="1" applyBorder="1" applyAlignment="1">
      <alignment vertical="center"/>
    </xf>
    <xf numFmtId="170" fontId="27" fillId="4" borderId="17" xfId="0" applyNumberFormat="1" applyFont="1" applyFill="1" applyBorder="1" applyAlignment="1">
      <alignment vertical="center"/>
    </xf>
    <xf numFmtId="179" fontId="27" fillId="4" borderId="17" xfId="0" applyNumberFormat="1" applyFont="1" applyFill="1" applyBorder="1" applyAlignment="1">
      <alignment vertical="center"/>
    </xf>
    <xf numFmtId="0" fontId="26" fillId="0" borderId="18" xfId="0" applyFont="1" applyBorder="1" applyAlignment="1">
      <alignment horizontal="left" wrapText="1"/>
    </xf>
    <xf numFmtId="0" fontId="26" fillId="0" borderId="18" xfId="0" applyFont="1" applyBorder="1" applyAlignment="1">
      <alignment horizontal="center" vertical="center" wrapText="1"/>
    </xf>
    <xf numFmtId="10" fontId="26" fillId="0" borderId="14" xfId="0" applyNumberFormat="1" applyFont="1" applyBorder="1" applyAlignment="1">
      <alignment horizontal="center"/>
    </xf>
    <xf numFmtId="169" fontId="26" fillId="0" borderId="38" xfId="4" applyNumberFormat="1" applyFont="1" applyBorder="1" applyAlignment="1">
      <alignment vertical="center"/>
    </xf>
    <xf numFmtId="170" fontId="26" fillId="0" borderId="38" xfId="0" applyNumberFormat="1" applyFont="1" applyBorder="1" applyAlignment="1">
      <alignment vertical="center"/>
    </xf>
    <xf numFmtId="0" fontId="26" fillId="0" borderId="18" xfId="0" applyFont="1" applyBorder="1" applyAlignment="1">
      <alignment horizontal="left" vertical="center" wrapText="1"/>
    </xf>
    <xf numFmtId="0" fontId="26" fillId="0" borderId="14" xfId="0" applyFont="1" applyBorder="1" applyAlignment="1">
      <alignment horizontal="left" vertical="center" wrapText="1"/>
    </xf>
    <xf numFmtId="0" fontId="26" fillId="4" borderId="14" xfId="0" applyFont="1" applyFill="1" applyBorder="1" applyAlignment="1">
      <alignment horizontal="left" vertical="center" wrapText="1"/>
    </xf>
    <xf numFmtId="0" fontId="26" fillId="4" borderId="15" xfId="0" applyFont="1" applyFill="1" applyBorder="1" applyAlignment="1">
      <alignment horizontal="center" vertical="center" wrapText="1"/>
    </xf>
    <xf numFmtId="10" fontId="26" fillId="4" borderId="15" xfId="0" applyNumberFormat="1" applyFont="1" applyFill="1" applyBorder="1" applyAlignment="1">
      <alignment horizontal="center" vertical="center"/>
    </xf>
    <xf numFmtId="9" fontId="26" fillId="4" borderId="9" xfId="0" applyNumberFormat="1" applyFont="1" applyFill="1" applyBorder="1" applyAlignment="1">
      <alignment vertical="center"/>
    </xf>
    <xf numFmtId="170" fontId="26" fillId="4" borderId="9" xfId="0" applyNumberFormat="1" applyFont="1" applyFill="1" applyBorder="1" applyAlignment="1">
      <alignment vertical="center"/>
    </xf>
    <xf numFmtId="0" fontId="27" fillId="4" borderId="14" xfId="0" quotePrefix="1" applyFont="1" applyFill="1" applyBorder="1" applyAlignment="1">
      <alignment horizontal="left" vertical="center"/>
    </xf>
    <xf numFmtId="0" fontId="27" fillId="4" borderId="15" xfId="0" applyFont="1" applyFill="1" applyBorder="1" applyAlignment="1">
      <alignment horizontal="center" vertical="center"/>
    </xf>
    <xf numFmtId="0" fontId="26" fillId="4" borderId="15" xfId="0" applyFont="1" applyFill="1" applyBorder="1" applyAlignment="1">
      <alignment vertical="center"/>
    </xf>
    <xf numFmtId="170" fontId="27" fillId="4" borderId="15" xfId="0" applyNumberFormat="1" applyFont="1" applyFill="1" applyBorder="1" applyAlignment="1">
      <alignment vertical="center"/>
    </xf>
    <xf numFmtId="0" fontId="27" fillId="2" borderId="8" xfId="0" applyFont="1" applyFill="1" applyBorder="1" applyAlignment="1">
      <alignment vertical="center"/>
    </xf>
    <xf numFmtId="0" fontId="27" fillId="2" borderId="9" xfId="0" applyFont="1" applyFill="1" applyBorder="1" applyAlignment="1">
      <alignment horizontal="center" vertical="center"/>
    </xf>
    <xf numFmtId="0" fontId="26" fillId="2" borderId="9" xfId="0" applyFont="1" applyFill="1" applyBorder="1" applyAlignment="1">
      <alignment vertical="center"/>
    </xf>
    <xf numFmtId="170" fontId="27" fillId="2" borderId="9" xfId="0" applyNumberFormat="1" applyFont="1" applyFill="1" applyBorder="1" applyAlignment="1">
      <alignment vertical="center"/>
    </xf>
    <xf numFmtId="170" fontId="27" fillId="2" borderId="10" xfId="0" applyNumberFormat="1" applyFont="1" applyFill="1" applyBorder="1" applyAlignment="1">
      <alignment vertical="center"/>
    </xf>
    <xf numFmtId="0" fontId="26" fillId="4" borderId="14" xfId="0" quotePrefix="1" applyFont="1" applyFill="1" applyBorder="1" applyAlignment="1">
      <alignment horizontal="left" vertical="center"/>
    </xf>
    <xf numFmtId="0" fontId="26" fillId="4" borderId="15" xfId="0" applyFont="1" applyFill="1" applyBorder="1" applyAlignment="1">
      <alignment horizontal="center" vertical="center"/>
    </xf>
    <xf numFmtId="170" fontId="26" fillId="4" borderId="15" xfId="0" applyNumberFormat="1" applyFont="1" applyFill="1" applyBorder="1" applyAlignment="1">
      <alignment vertical="center"/>
    </xf>
    <xf numFmtId="10" fontId="26" fillId="4" borderId="16" xfId="0" applyNumberFormat="1" applyFont="1" applyFill="1" applyBorder="1" applyAlignment="1">
      <alignment vertical="center"/>
    </xf>
    <xf numFmtId="0" fontId="26" fillId="0" borderId="11" xfId="0" applyFont="1" applyBorder="1"/>
    <xf numFmtId="170" fontId="26" fillId="0" borderId="13" xfId="0" applyNumberFormat="1" applyFont="1" applyBorder="1"/>
    <xf numFmtId="0" fontId="26" fillId="0" borderId="14" xfId="0" quotePrefix="1" applyFont="1" applyBorder="1" applyAlignment="1">
      <alignment horizontal="left" vertical="center"/>
    </xf>
    <xf numFmtId="0" fontId="26" fillId="0" borderId="15" xfId="0" applyFont="1" applyBorder="1" applyAlignment="1">
      <alignment horizontal="center" vertical="center"/>
    </xf>
    <xf numFmtId="0" fontId="26" fillId="0" borderId="15" xfId="0" applyFont="1" applyBorder="1" applyAlignment="1">
      <alignment vertical="center"/>
    </xf>
    <xf numFmtId="170" fontId="26" fillId="0" borderId="15" xfId="0" applyNumberFormat="1" applyFont="1" applyBorder="1" applyAlignment="1">
      <alignment vertical="center"/>
    </xf>
    <xf numFmtId="10" fontId="26" fillId="0" borderId="16" xfId="0" applyNumberFormat="1" applyFont="1" applyBorder="1" applyAlignment="1">
      <alignment vertical="center"/>
    </xf>
    <xf numFmtId="10" fontId="27" fillId="4" borderId="16" xfId="0" applyNumberFormat="1" applyFont="1" applyFill="1" applyBorder="1" applyAlignment="1">
      <alignment vertical="center"/>
    </xf>
    <xf numFmtId="170" fontId="26" fillId="0" borderId="51" xfId="0" applyNumberFormat="1" applyFont="1" applyBorder="1"/>
    <xf numFmtId="44" fontId="26" fillId="4" borderId="18" xfId="2" applyFont="1" applyFill="1" applyBorder="1" applyAlignment="1">
      <alignment vertical="center"/>
    </xf>
    <xf numFmtId="44" fontId="13" fillId="0" borderId="18" xfId="2" applyFont="1" applyBorder="1" applyAlignment="1">
      <alignment vertical="center"/>
    </xf>
    <xf numFmtId="44" fontId="27" fillId="4" borderId="18" xfId="2" applyFont="1" applyFill="1" applyBorder="1" applyAlignment="1">
      <alignment vertical="center"/>
    </xf>
    <xf numFmtId="44" fontId="27" fillId="4" borderId="18" xfId="2" applyFont="1" applyFill="1" applyBorder="1" applyAlignment="1">
      <alignment horizontal="center" vertical="center" wrapText="1"/>
    </xf>
    <xf numFmtId="44" fontId="13" fillId="0" borderId="16" xfId="2" applyFont="1" applyBorder="1" applyAlignment="1">
      <alignment vertical="center"/>
    </xf>
    <xf numFmtId="44" fontId="27" fillId="4" borderId="16" xfId="2" applyFont="1" applyFill="1" applyBorder="1" applyAlignment="1">
      <alignment vertical="center"/>
    </xf>
    <xf numFmtId="44" fontId="26" fillId="0" borderId="18" xfId="2" applyFont="1" applyBorder="1" applyAlignment="1">
      <alignment vertical="center"/>
    </xf>
    <xf numFmtId="180" fontId="28" fillId="0" borderId="18" xfId="0" applyNumberFormat="1" applyFont="1" applyBorder="1" applyAlignment="1">
      <alignment horizontal="right" vertical="center" wrapText="1"/>
    </xf>
    <xf numFmtId="10" fontId="0" fillId="0" borderId="0" xfId="0" applyNumberFormat="1"/>
    <xf numFmtId="10" fontId="0" fillId="0" borderId="0" xfId="4" applyNumberFormat="1" applyFont="1"/>
    <xf numFmtId="0" fontId="24" fillId="0" borderId="0" xfId="0" applyFont="1" applyAlignment="1">
      <alignment horizontal="left" vertical="center" wrapText="1"/>
    </xf>
    <xf numFmtId="0" fontId="22" fillId="0" borderId="0" xfId="0" applyFont="1" applyAlignment="1">
      <alignment horizontal="left" vertical="center"/>
    </xf>
    <xf numFmtId="0" fontId="0" fillId="0" borderId="52" xfId="0" applyBorder="1" applyAlignment="1">
      <alignment horizontal="center" vertical="center"/>
    </xf>
    <xf numFmtId="44" fontId="2" fillId="0" borderId="0" xfId="2" applyFont="1" applyAlignment="1">
      <alignment horizontal="center" vertical="center"/>
    </xf>
    <xf numFmtId="44" fontId="0" fillId="0" borderId="0" xfId="2" applyFont="1" applyAlignment="1">
      <alignment horizontal="center" vertical="center"/>
    </xf>
    <xf numFmtId="0" fontId="23" fillId="0" borderId="0" xfId="0" applyFont="1" applyAlignment="1">
      <alignment horizontal="left" vertical="center"/>
    </xf>
    <xf numFmtId="0" fontId="7" fillId="5" borderId="14" xfId="0" applyFont="1" applyFill="1" applyBorder="1" applyAlignment="1">
      <alignment horizontal="center" vertical="center" wrapText="1"/>
    </xf>
    <xf numFmtId="0" fontId="6" fillId="0" borderId="15" xfId="0" applyFont="1" applyBorder="1"/>
    <xf numFmtId="0" fontId="6" fillId="0" borderId="16" xfId="0" applyFont="1" applyBorder="1"/>
    <xf numFmtId="0" fontId="4" fillId="4" borderId="14"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6" fillId="0" borderId="12" xfId="0" applyFont="1" applyBorder="1"/>
    <xf numFmtId="0" fontId="6" fillId="0" borderId="13" xfId="0" applyFont="1" applyBorder="1"/>
    <xf numFmtId="0" fontId="4" fillId="4" borderId="14" xfId="0" quotePrefix="1" applyFont="1" applyFill="1" applyBorder="1" applyAlignment="1">
      <alignment horizontal="center" vertical="center" wrapText="1"/>
    </xf>
    <xf numFmtId="0" fontId="7" fillId="7" borderId="14" xfId="0" applyFont="1" applyFill="1" applyBorder="1" applyAlignment="1">
      <alignment horizontal="center" vertical="center" wrapText="1"/>
    </xf>
    <xf numFmtId="0" fontId="27" fillId="0" borderId="0" xfId="0" quotePrefix="1" applyFont="1" applyAlignment="1">
      <alignment horizontal="center" vertical="center" wrapText="1"/>
    </xf>
    <xf numFmtId="0" fontId="0" fillId="0" borderId="0" xfId="0"/>
    <xf numFmtId="0" fontId="26" fillId="0" borderId="1" xfId="0" applyFont="1" applyBorder="1" applyAlignment="1">
      <alignment horizontal="center" vertical="center"/>
    </xf>
    <xf numFmtId="0" fontId="6" fillId="0" borderId="3" xfId="0" applyFont="1" applyBorder="1"/>
    <xf numFmtId="0" fontId="6" fillId="0" borderId="4" xfId="0" applyFont="1" applyBorder="1"/>
    <xf numFmtId="0" fontId="6" fillId="0" borderId="11" xfId="0" applyFont="1" applyBorder="1"/>
    <xf numFmtId="0" fontId="6" fillId="0" borderId="8" xfId="0" applyFont="1" applyBorder="1"/>
    <xf numFmtId="0" fontId="6" fillId="0" borderId="9" xfId="0" applyFont="1" applyBorder="1"/>
    <xf numFmtId="0" fontId="6" fillId="0" borderId="10" xfId="0" applyFont="1" applyBorder="1"/>
    <xf numFmtId="0" fontId="0" fillId="0" borderId="0" xfId="0" applyAlignment="1">
      <alignment horizontal="center" vertical="center"/>
    </xf>
    <xf numFmtId="0" fontId="22" fillId="0" borderId="0" xfId="0" applyFont="1" applyAlignment="1">
      <alignment horizontal="center" vertical="center"/>
    </xf>
    <xf numFmtId="44" fontId="1" fillId="0" borderId="0" xfId="2" applyFont="1" applyAlignment="1">
      <alignment horizontal="center" vertical="center"/>
    </xf>
    <xf numFmtId="0" fontId="0" fillId="0" borderId="24" xfId="0" applyBorder="1" applyAlignment="1" applyProtection="1">
      <alignment horizontal="center" vertical="center"/>
      <protection hidden="1"/>
    </xf>
    <xf numFmtId="0" fontId="0" fillId="0" borderId="25" xfId="0" applyBorder="1" applyAlignment="1" applyProtection="1">
      <alignment horizontal="center" vertical="center"/>
      <protection hidden="1"/>
    </xf>
    <xf numFmtId="0" fontId="0" fillId="0" borderId="26" xfId="0" applyBorder="1" applyAlignment="1" applyProtection="1">
      <alignment horizontal="center" vertical="center"/>
      <protection hidden="1"/>
    </xf>
    <xf numFmtId="0" fontId="25" fillId="9" borderId="54" xfId="0" applyFont="1" applyFill="1" applyBorder="1" applyAlignment="1" applyProtection="1">
      <alignment horizontal="left" vertical="center" wrapText="1"/>
      <protection hidden="1"/>
    </xf>
    <xf numFmtId="0" fontId="25" fillId="9" borderId="55" xfId="0" applyFont="1" applyFill="1" applyBorder="1" applyAlignment="1" applyProtection="1">
      <alignment horizontal="left" vertical="center" wrapText="1"/>
      <protection hidden="1"/>
    </xf>
    <xf numFmtId="0" fontId="25" fillId="9" borderId="56" xfId="0" applyFont="1" applyFill="1" applyBorder="1" applyAlignment="1" applyProtection="1">
      <alignment horizontal="left" vertical="center" wrapText="1"/>
      <protection hidden="1"/>
    </xf>
    <xf numFmtId="0" fontId="25" fillId="9" borderId="59" xfId="0" applyFont="1" applyFill="1" applyBorder="1" applyAlignment="1" applyProtection="1">
      <alignment horizontal="left" vertical="center" wrapText="1"/>
      <protection hidden="1"/>
    </xf>
    <xf numFmtId="0" fontId="25" fillId="9" borderId="51" xfId="0" applyFont="1" applyFill="1" applyBorder="1" applyAlignment="1" applyProtection="1">
      <alignment horizontal="left" vertical="center" wrapText="1"/>
      <protection hidden="1"/>
    </xf>
    <xf numFmtId="0" fontId="25" fillId="9" borderId="60" xfId="0" applyFont="1" applyFill="1" applyBorder="1" applyAlignment="1" applyProtection="1">
      <alignment horizontal="left" vertical="center" wrapText="1"/>
      <protection hidden="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left" vertical="center" wrapText="1"/>
    </xf>
    <xf numFmtId="0" fontId="12" fillId="0" borderId="25" xfId="0" applyFont="1" applyBorder="1" applyAlignment="1">
      <alignment horizontal="left" vertical="center" wrapText="1"/>
    </xf>
    <xf numFmtId="0" fontId="13" fillId="0" borderId="24" xfId="0" quotePrefix="1"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4" fillId="0" borderId="27" xfId="0" applyFont="1" applyBorder="1" applyAlignment="1">
      <alignment horizontal="left" vertical="center" wrapText="1"/>
    </xf>
    <xf numFmtId="0" fontId="14" fillId="0" borderId="28" xfId="0" applyFont="1" applyBorder="1" applyAlignment="1">
      <alignment horizontal="left" vertical="center" wrapText="1"/>
    </xf>
    <xf numFmtId="0" fontId="14" fillId="0" borderId="29" xfId="0" applyFont="1" applyBorder="1" applyAlignment="1">
      <alignment horizontal="left" vertical="center" wrapText="1"/>
    </xf>
    <xf numFmtId="0" fontId="11" fillId="0" borderId="12" xfId="0" applyFont="1" applyBorder="1" applyAlignment="1">
      <alignment horizontal="center" vertical="center" wrapText="1"/>
    </xf>
    <xf numFmtId="0" fontId="13" fillId="0" borderId="12" xfId="0" applyFont="1" applyBorder="1" applyAlignment="1">
      <alignment horizontal="center" vertical="center" wrapText="1"/>
    </xf>
    <xf numFmtId="0" fontId="14" fillId="0" borderId="12" xfId="0" applyFont="1" applyBorder="1" applyAlignment="1">
      <alignment horizontal="left" vertical="center" wrapText="1"/>
    </xf>
    <xf numFmtId="42" fontId="19" fillId="0" borderId="12" xfId="3" applyFont="1" applyBorder="1" applyAlignment="1">
      <alignment vertical="center"/>
    </xf>
    <xf numFmtId="42" fontId="16" fillId="0" borderId="12" xfId="3" applyFont="1" applyFill="1" applyBorder="1" applyAlignment="1">
      <alignment vertical="center"/>
    </xf>
    <xf numFmtId="171" fontId="16" fillId="0" borderId="12" xfId="3" applyNumberFormat="1" applyFont="1" applyFill="1" applyBorder="1" applyAlignment="1">
      <alignment vertical="center"/>
    </xf>
    <xf numFmtId="0" fontId="30" fillId="10" borderId="0" xfId="0" applyFont="1" applyFill="1"/>
    <xf numFmtId="0" fontId="24" fillId="0" borderId="0" xfId="0" applyFont="1" applyAlignment="1">
      <alignment vertical="center" wrapText="1"/>
    </xf>
    <xf numFmtId="0" fontId="24" fillId="0" borderId="0" xfId="0" applyFont="1" applyAlignment="1">
      <alignment horizontal="center" vertical="center" wrapText="1"/>
    </xf>
    <xf numFmtId="44" fontId="0" fillId="0" borderId="0" xfId="2" applyFont="1" applyAlignment="1">
      <alignment vertical="center"/>
    </xf>
    <xf numFmtId="0" fontId="5" fillId="0" borderId="2" xfId="0" applyFont="1" applyBorder="1" applyAlignment="1">
      <alignment vertical="center"/>
    </xf>
    <xf numFmtId="0" fontId="3" fillId="6" borderId="18" xfId="0" applyFont="1" applyFill="1" applyBorder="1" applyAlignment="1">
      <alignment vertical="center" wrapText="1"/>
    </xf>
    <xf numFmtId="0" fontId="4" fillId="0" borderId="18" xfId="0" applyFont="1" applyBorder="1" applyAlignment="1">
      <alignment vertical="center" wrapText="1"/>
    </xf>
  </cellXfs>
  <cellStyles count="7">
    <cellStyle name="Millares" xfId="1" builtinId="3"/>
    <cellStyle name="Millares 3 2" xfId="6" xr:uid="{24E45AA5-58A0-45C5-AAA8-B9817A1DB705}"/>
    <cellStyle name="Moneda" xfId="2" builtinId="4"/>
    <cellStyle name="Moneda [0]" xfId="3" builtinId="7"/>
    <cellStyle name="Normal" xfId="0" builtinId="0"/>
    <cellStyle name="Normal 5" xfId="5" xr:uid="{469F0377-DA64-4ED7-B539-C2BBCCE6873D}"/>
    <cellStyle name="Porcentaje" xfId="4" builtinId="5"/>
  </cellStyles>
  <dxfs count="6">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customschemas.google.com/relationships/workbookmetadata" Target="metadata"/><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1</xdr:col>
      <xdr:colOff>152400</xdr:colOff>
      <xdr:row>6</xdr:row>
      <xdr:rowOff>142875</xdr:rowOff>
    </xdr:from>
    <xdr:ext cx="771525" cy="609600"/>
    <xdr:pic>
      <xdr:nvPicPr>
        <xdr:cNvPr id="2" name="image1.jpg" descr="Logo solo SDR">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586740</xdr:colOff>
      <xdr:row>107</xdr:row>
      <xdr:rowOff>89123</xdr:rowOff>
    </xdr:from>
    <xdr:to>
      <xdr:col>2</xdr:col>
      <xdr:colOff>2811780</xdr:colOff>
      <xdr:row>112</xdr:row>
      <xdr:rowOff>203851</xdr:rowOff>
    </xdr:to>
    <xdr:pic>
      <xdr:nvPicPr>
        <xdr:cNvPr id="3" name="Imagen 2" descr="Dibujo en blanco y negro&#10;&#10;Descripción generada automáticamente">
          <a:extLst>
            <a:ext uri="{FF2B5EF4-FFF2-40B4-BE49-F238E27FC236}">
              <a16:creationId xmlns:a16="http://schemas.microsoft.com/office/drawing/2014/main" id="{9D0D67B0-02BF-450C-9774-B1A8E7A0B55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2960" y="126619223"/>
          <a:ext cx="2865120" cy="1753028"/>
        </a:xfrm>
        <a:prstGeom prst="rect">
          <a:avLst/>
        </a:prstGeom>
        <a:noFill/>
        <a:ln>
          <a:noFill/>
        </a:ln>
      </xdr:spPr>
    </xdr:pic>
    <xdr:clientData/>
  </xdr:twoCellAnchor>
  <xdr:twoCellAnchor editAs="oneCell">
    <xdr:from>
      <xdr:col>4</xdr:col>
      <xdr:colOff>290649</xdr:colOff>
      <xdr:row>106</xdr:row>
      <xdr:rowOff>105810</xdr:rowOff>
    </xdr:from>
    <xdr:to>
      <xdr:col>6</xdr:col>
      <xdr:colOff>1331324</xdr:colOff>
      <xdr:row>112</xdr:row>
      <xdr:rowOff>176077</xdr:rowOff>
    </xdr:to>
    <xdr:pic>
      <xdr:nvPicPr>
        <xdr:cNvPr id="4" name="Imagen 3">
          <a:extLst>
            <a:ext uri="{FF2B5EF4-FFF2-40B4-BE49-F238E27FC236}">
              <a16:creationId xmlns:a16="http://schemas.microsoft.com/office/drawing/2014/main" id="{289A6901-E6BF-4C66-BBCA-2FC4426893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615249" y="126468270"/>
          <a:ext cx="2823755" cy="187620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365760</xdr:colOff>
      <xdr:row>44</xdr:row>
      <xdr:rowOff>127223</xdr:rowOff>
    </xdr:from>
    <xdr:to>
      <xdr:col>1</xdr:col>
      <xdr:colOff>2933700</xdr:colOff>
      <xdr:row>53</xdr:row>
      <xdr:rowOff>67741</xdr:rowOff>
    </xdr:to>
    <xdr:pic>
      <xdr:nvPicPr>
        <xdr:cNvPr id="2" name="Imagen 1" descr="Dibujo en blanco y negro&#10;&#10;Descripción generada automáticamente">
          <a:extLst>
            <a:ext uri="{FF2B5EF4-FFF2-40B4-BE49-F238E27FC236}">
              <a16:creationId xmlns:a16="http://schemas.microsoft.com/office/drawing/2014/main" id="{6CCEC5D6-3FED-4AD6-A309-38D52EC628C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7899623"/>
          <a:ext cx="2567940" cy="1571198"/>
        </a:xfrm>
        <a:prstGeom prst="rect">
          <a:avLst/>
        </a:prstGeom>
        <a:noFill/>
        <a:ln>
          <a:noFill/>
        </a:ln>
      </xdr:spPr>
    </xdr:pic>
    <xdr:clientData/>
  </xdr:twoCellAnchor>
  <xdr:twoCellAnchor editAs="oneCell">
    <xdr:from>
      <xdr:col>4</xdr:col>
      <xdr:colOff>153489</xdr:colOff>
      <xdr:row>44</xdr:row>
      <xdr:rowOff>136290</xdr:rowOff>
    </xdr:from>
    <xdr:to>
      <xdr:col>6</xdr:col>
      <xdr:colOff>662940</xdr:colOff>
      <xdr:row>53</xdr:row>
      <xdr:rowOff>74419</xdr:rowOff>
    </xdr:to>
    <xdr:pic>
      <xdr:nvPicPr>
        <xdr:cNvPr id="3" name="Imagen 2">
          <a:extLst>
            <a:ext uri="{FF2B5EF4-FFF2-40B4-BE49-F238E27FC236}">
              <a16:creationId xmlns:a16="http://schemas.microsoft.com/office/drawing/2014/main" id="{00842BA3-4B36-4EA4-8969-9A4C6082EA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11289" y="7908690"/>
          <a:ext cx="2361111" cy="156880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365760</xdr:colOff>
      <xdr:row>44</xdr:row>
      <xdr:rowOff>154118</xdr:rowOff>
    </xdr:from>
    <xdr:to>
      <xdr:col>1</xdr:col>
      <xdr:colOff>2933700</xdr:colOff>
      <xdr:row>53</xdr:row>
      <xdr:rowOff>117496</xdr:rowOff>
    </xdr:to>
    <xdr:pic>
      <xdr:nvPicPr>
        <xdr:cNvPr id="2" name="Imagen 1" descr="Dibujo en blanco y negro&#10;&#10;Descripción generada automáticamente">
          <a:extLst>
            <a:ext uri="{FF2B5EF4-FFF2-40B4-BE49-F238E27FC236}">
              <a16:creationId xmlns:a16="http://schemas.microsoft.com/office/drawing/2014/main" id="{20951916-14E3-467A-888B-32E551ED7B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7926518"/>
          <a:ext cx="2567940" cy="1594058"/>
        </a:xfrm>
        <a:prstGeom prst="rect">
          <a:avLst/>
        </a:prstGeom>
        <a:noFill/>
        <a:ln>
          <a:noFill/>
        </a:ln>
      </xdr:spPr>
    </xdr:pic>
    <xdr:clientData/>
  </xdr:twoCellAnchor>
  <xdr:twoCellAnchor editAs="oneCell">
    <xdr:from>
      <xdr:col>4</xdr:col>
      <xdr:colOff>153489</xdr:colOff>
      <xdr:row>45</xdr:row>
      <xdr:rowOff>1820</xdr:rowOff>
    </xdr:from>
    <xdr:to>
      <xdr:col>6</xdr:col>
      <xdr:colOff>693420</xdr:colOff>
      <xdr:row>53</xdr:row>
      <xdr:rowOff>147034</xdr:rowOff>
    </xdr:to>
    <xdr:pic>
      <xdr:nvPicPr>
        <xdr:cNvPr id="3" name="Imagen 2">
          <a:extLst>
            <a:ext uri="{FF2B5EF4-FFF2-40B4-BE49-F238E27FC236}">
              <a16:creationId xmlns:a16="http://schemas.microsoft.com/office/drawing/2014/main" id="{539F41B7-FE75-43DF-BBCD-54FF99879F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11289" y="7934240"/>
          <a:ext cx="2361111" cy="159301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792480</xdr:colOff>
      <xdr:row>1687</xdr:row>
      <xdr:rowOff>150083</xdr:rowOff>
    </xdr:from>
    <xdr:to>
      <xdr:col>1</xdr:col>
      <xdr:colOff>3657600</xdr:colOff>
      <xdr:row>1693</xdr:row>
      <xdr:rowOff>127651</xdr:rowOff>
    </xdr:to>
    <xdr:pic>
      <xdr:nvPicPr>
        <xdr:cNvPr id="2" name="Imagen 1" descr="Dibujo en blanco y negro&#10;&#10;Descripción generada automáticamente">
          <a:extLst>
            <a:ext uri="{FF2B5EF4-FFF2-40B4-BE49-F238E27FC236}">
              <a16:creationId xmlns:a16="http://schemas.microsoft.com/office/drawing/2014/main" id="{11A75B17-2507-47B4-B8FC-9A3D3BD06C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7137" y="393244112"/>
          <a:ext cx="2865120" cy="1751939"/>
        </a:xfrm>
        <a:prstGeom prst="rect">
          <a:avLst/>
        </a:prstGeom>
        <a:noFill/>
        <a:ln>
          <a:noFill/>
        </a:ln>
      </xdr:spPr>
    </xdr:pic>
    <xdr:clientData/>
  </xdr:twoCellAnchor>
  <xdr:twoCellAnchor editAs="oneCell">
    <xdr:from>
      <xdr:col>4</xdr:col>
      <xdr:colOff>443049</xdr:colOff>
      <xdr:row>1687</xdr:row>
      <xdr:rowOff>159150</xdr:rowOff>
    </xdr:from>
    <xdr:to>
      <xdr:col>6</xdr:col>
      <xdr:colOff>576944</xdr:colOff>
      <xdr:row>1693</xdr:row>
      <xdr:rowOff>259897</xdr:rowOff>
    </xdr:to>
    <xdr:pic>
      <xdr:nvPicPr>
        <xdr:cNvPr id="3" name="Imagen 2">
          <a:extLst>
            <a:ext uri="{FF2B5EF4-FFF2-40B4-BE49-F238E27FC236}">
              <a16:creationId xmlns:a16="http://schemas.microsoft.com/office/drawing/2014/main" id="{EA540E0E-0FBA-4854-ACE1-AB918F3428B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51963" y="393253179"/>
          <a:ext cx="2833552" cy="1875118"/>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868680</xdr:colOff>
      <xdr:row>104</xdr:row>
      <xdr:rowOff>335141</xdr:rowOff>
    </xdr:from>
    <xdr:to>
      <xdr:col>1</xdr:col>
      <xdr:colOff>3733800</xdr:colOff>
      <xdr:row>109</xdr:row>
      <xdr:rowOff>116765</xdr:rowOff>
    </xdr:to>
    <xdr:pic>
      <xdr:nvPicPr>
        <xdr:cNvPr id="2" name="Imagen 1" descr="Dibujo en blanco y negro&#10;&#10;Descripción generada automáticamente">
          <a:extLst>
            <a:ext uri="{FF2B5EF4-FFF2-40B4-BE49-F238E27FC236}">
              <a16:creationId xmlns:a16="http://schemas.microsoft.com/office/drawing/2014/main" id="{6E8D8223-6F85-49EF-9642-97DAAC19025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61160" y="39296201"/>
          <a:ext cx="2865120" cy="1686624"/>
        </a:xfrm>
        <a:prstGeom prst="rect">
          <a:avLst/>
        </a:prstGeom>
        <a:noFill/>
        <a:ln>
          <a:noFill/>
        </a:ln>
      </xdr:spPr>
    </xdr:pic>
    <xdr:clientData/>
  </xdr:twoCellAnchor>
  <xdr:twoCellAnchor editAs="oneCell">
    <xdr:from>
      <xdr:col>4</xdr:col>
      <xdr:colOff>403860</xdr:colOff>
      <xdr:row>104</xdr:row>
      <xdr:rowOff>112618</xdr:rowOff>
    </xdr:from>
    <xdr:to>
      <xdr:col>5</xdr:col>
      <xdr:colOff>1813560</xdr:colOff>
      <xdr:row>109</xdr:row>
      <xdr:rowOff>283845</xdr:rowOff>
    </xdr:to>
    <xdr:pic>
      <xdr:nvPicPr>
        <xdr:cNvPr id="4" name="Imagen 3">
          <a:extLst>
            <a:ext uri="{FF2B5EF4-FFF2-40B4-BE49-F238E27FC236}">
              <a16:creationId xmlns:a16="http://schemas.microsoft.com/office/drawing/2014/main" id="{68EE70E2-9FFF-28E9-5528-D616D914027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69480" y="39073678"/>
          <a:ext cx="3253740" cy="207622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Administrador\Desktop\POAI2017\05044420_RecreaInicFormDep_2017\05044420_Vr1\05044420%20Vr_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DR%202016\PLANEACION%202016\PLANTILLAS%20CADENA%20DE%20VALOR\JULITA%20REVISADOS%202017\POAI2017\05044379_AdecC16_2017\05044379_Vr1\05044379_Vr\05044379_Vr.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Patricia/Documents/PCA%20SDR/SDR%20IMERY/Trabajos%202020/Estudios%20previos/Aseo/PRESUPUESTO%20ASEO%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Users\cervi\Documents\ANDRES%20CERVINO%20ARQUITECTO\SECRETARIA%20DE%20DEPORTES%20CALI\SUBSECRETARIO%202018\1&#170;%20ADICION%202018\PPTOS%20SOPORTES%20ADICION\COMUNITARIOS\Presupuesto%20Via%20Dapa%20Yumbo(Cronogram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E8794B8/DATA%202010%20"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Users/jenny.gomez/Desktop/BP-05044531_006.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Applications\Microsoft%20Office%202011\Microsoft%20Excel.app\Contents\MacOS\192.168.0.1\amezquita\proyectos\HOGARES%20INFANTILES\Presupuestos%20hogares%20infantiles%20PRIMERA%20DAM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sers\cervi\Downloads\LICITACI-A62314\Documentos%20c\ARCHIVO%20GENERAL\SAGUT%203.0%20%202009%20v2\Presupuestos\MEJORAMIENTO%20DE%2010%20VIVIENDAS%20JARDIN%20DE%20LAS%20MERCEDES%20CORREGIMIENTO%20DE%20SANTA%20LUCIA%20MUNICIPIO%20DE%20TULU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Applications\Microsoft%20Office%202011\Microsoft%20Excel.app\Contents\MacOS\LICITACI-A62314\Documentos%20c\SAGUT%203.0%20%202009%20v2\Presupuestos\REF.ESTRUCTURAL%20HUV%20FASE%20I%20PPTO%20OFICI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Users\Administrador\Desktop\PLANTILLA%20FINAL%202017.xlsx"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https://forsapruebas-my.sharepoint.com/personal/jameslarranaga_forsa_net_co/Documents/GRARCO%20S.A.S/2024/Escenarios%20Deportivos%20Cali/Propuesta/30.Propuesta%20Economica%20Grarco.xlsx" TargetMode="External"/><Relationship Id="rId1" Type="http://schemas.openxmlformats.org/officeDocument/2006/relationships/externalLinkPath" Target="/personal/jameslarranaga_forsa_net_co/Documents/GRARCO%20S.A.S/2024/Escenarios%20Deportivos%20Cali/Propuesta/30.Propuesta%20Economica%20Grar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ÓN"/>
      <sheetName val="PRESUPUESTO_2017"/>
      <sheetName val="Listados"/>
    </sheetNames>
    <sheetDataSet>
      <sheetData sheetId="0">
        <row r="2">
          <cell r="A2" t="str">
            <v>41010010001 - Beneficiarios en educación inicial, en el marco de la atención integral con enfoque diverso, diferencial y de género</v>
          </cell>
        </row>
        <row r="3">
          <cell r="A3" t="str">
            <v>41010010002 - Beneficiarios de las estrategias de fomento de la educación inicial en el marco de la atención integral</v>
          </cell>
        </row>
        <row r="4">
          <cell r="A4" t="str">
            <v xml:space="preserve">41010010003 - Instituciones Educativas Oficiales con grado de transición integral </v>
          </cell>
        </row>
        <row r="5">
          <cell r="A5" t="str">
            <v>41010010004 - Niñas y niños de primera infancia con experiencias lúdicas</v>
          </cell>
        </row>
        <row r="6">
          <cell r="A6" t="str">
            <v>41010010005 - Espacios lúdicos adecuados para la primera infancia en comunas y corregimientos</v>
          </cell>
        </row>
        <row r="7">
          <cell r="A7" t="str">
            <v>41010010006 - Niñas y niños de primera infancia que participan en procesos de promoción de los derechos culturales</v>
          </cell>
        </row>
        <row r="8">
          <cell r="A8" t="str">
            <v>41010010007 - Rincones de primera infancia adecuados en las bibliotecas públicas</v>
          </cell>
        </row>
        <row r="9">
          <cell r="A9" t="str">
            <v>41010010008 - Lograr cobertura de vacunación en niños de 1 año</v>
          </cell>
        </row>
        <row r="10">
          <cell r="A10" t="str">
            <v>41010010009 - Atención integral en salud a la primera infancia en IPS públicas implementada</v>
          </cell>
        </row>
        <row r="11">
          <cell r="A11" t="str">
            <v>41010010010 - Profesionales cualificados y cuidadores capacitados en habilidades parentales, cuidado y crianza con enfoque de equidad de géneros.</v>
          </cell>
        </row>
        <row r="12">
          <cell r="A12" t="str">
            <v>41010020001 - Niñas, niños y adolescentes (incluidos con discapacidad) beneficiados con programas de iniciación, formación y énfasis deportivo y recreativo en comunas y corregimientos.</v>
          </cell>
        </row>
        <row r="13">
          <cell r="A13" t="str">
            <v>41010020002 - Juegos Inter-escolares deportivos y recreativos en comunas y corregimientos para el buen uso del tiempo libre.</v>
          </cell>
        </row>
        <row r="14">
          <cell r="A14" t="str">
            <v>41010020003 - Jóvenes (incluidos jóvenes con discapacidad) beneficiados con programas deportivos en disciplinas tradicionales y de nuevas tendencias en comunas y corregimientos.</v>
          </cell>
        </row>
        <row r="15">
          <cell r="A15" t="str">
            <v>41010020004 - Niñas, niños, adolescentes y jóvenes (incluidas personas con discapacidad) beneficiados con programa de rendimiento deportivo</v>
          </cell>
        </row>
        <row r="16">
          <cell r="A16" t="str">
            <v>41010020005 - Niñas, niños, adolescentes y jóvenes (incluidas personas con discapacidad) beneficiados con programas lúdicos y recreativos, en temporada de estudio y vacaciones, con enfoque diferencial</v>
          </cell>
        </row>
        <row r="17">
          <cell r="A17" t="str">
            <v>41010020006 - Juegos deportivos y recreativos intercolegiados, universitarios y municipales realizados.</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row>
        <row r="19">
          <cell r="A19" t="str">
            <v>41010020008 - Jóvenes participando en la prevención y promoción de procesos de gestión social y comunitaria desde la metodología experiencial con enfoque diferencial en los Centros de Integración Social (CIS)</v>
          </cell>
        </row>
        <row r="20">
          <cell r="A20" t="str">
            <v>41010020009 - Iniciativas para la innovación social en organizaciones juveniles apoyadas</v>
          </cell>
        </row>
        <row r="21">
          <cell r="A21" t="str">
            <v xml:space="preserve">41010020010 - Personas jurídicas y naturales sensibilizadas en la promoción y prevención hacia la erradicación del trabajo infantil </v>
          </cell>
        </row>
        <row r="22">
          <cell r="A22" t="str">
            <v xml:space="preserve">41010020011 - Jóvenes en situación de vulnerabilidad con acompañamiento social y productivo </v>
          </cell>
        </row>
        <row r="23">
          <cell r="A23" t="str">
            <v>41010020012 - Adolescentes, jóvenes y padres capacitados en prevención del consumo de sustancias psicoactivas – SPA en Instituciones Educativas Oficiales.</v>
          </cell>
        </row>
        <row r="24">
          <cell r="A24" t="str">
            <v xml:space="preserve">41010020013 - Zonas de orientación escolar operando en instituciones educativas para prevenir el consumo de sustancias psicoactivas – SPA en 21 comunas y 2 corregimientos </v>
          </cell>
        </row>
        <row r="25">
          <cell r="A25" t="str">
            <v>41010020014 - Centros de escucha comunitarios operando</v>
          </cell>
        </row>
        <row r="26">
          <cell r="A26" t="str">
            <v>41010020015 - Adolescentes y jóvenes atendidos en consulta de planificación familiar en servicios amigables</v>
          </cell>
        </row>
        <row r="27">
          <cell r="A27" t="str">
            <v>41010020016 - Sedes educativas públicas y privadas que promocionan y ofertan alimentos de alto valor nutricional en sus tiendas escolares</v>
          </cell>
        </row>
        <row r="28">
          <cell r="A28" t="str">
            <v>41010020017 - Jóvenes en procesos de formación en áreas artísticas y culturales como formación para el trabajo</v>
          </cell>
        </row>
        <row r="29">
          <cell r="A29" t="str">
            <v>41010020018 - Grupos artísticos y culturales juveniles apoyados en áreas de arte y cultura para fortalecer su capacidad de generación de ingresos</v>
          </cell>
        </row>
        <row r="30">
          <cell r="A30" t="str">
            <v>41010020019 - Niñas, niños y adolescentes beneficiados con los programas de fomento a la lectura y la escritura a través de la Red de bibliotecas.</v>
          </cell>
        </row>
        <row r="31">
          <cell r="A31" t="str">
            <v>41010020020 - Instituciones Educativas que participan en la implementación del Sistema de Investigación y Monitoreo de situaciones de riesgo y vulneración de los derechos humanos, sexuales y reproductivos.</v>
          </cell>
        </row>
        <row r="32">
          <cell r="A32" t="str">
            <v>41010020021 - Niños, niñas y adolescentes que participan en el reconocimiento de los museos con temas de interés infantil existentes en el municipio</v>
          </cell>
        </row>
        <row r="33">
          <cell r="A33" t="str">
            <v xml:space="preserve">41010030001 - Redes del Buen Trato operando </v>
          </cell>
        </row>
        <row r="34">
          <cell r="A34" t="str">
            <v>41010030002 - Centros sociales y comunitarios implementados para la vida (incluye intervención de pacientes policonsultantes)</v>
          </cell>
        </row>
        <row r="35">
          <cell r="A35" t="str">
            <v xml:space="preserve">41010030003 - Instituciones Educativas con Centros de Orientación y Atención Psicosocial que implementan estrategias de salud mental con la comunidad educativa. </v>
          </cell>
        </row>
        <row r="36">
          <cell r="A36" t="str">
            <v xml:space="preserve">41010030004 - Instituciones Educativas que implementan la Estrategia Escuelas de Familias con enfoque de género y diferencial. </v>
          </cell>
        </row>
        <row r="37">
          <cell r="A37" t="str">
            <v xml:space="preserve">41010030005 - Centros de orientación familiar funcionando en equipamientos existentes del municipio </v>
          </cell>
        </row>
        <row r="38">
          <cell r="A38" t="str">
            <v>41010030006 - Padres, madres, cuidadores y cabeza de hogar formados en promoción para la vida y prevención de factores de riesgo</v>
          </cell>
        </row>
        <row r="39">
          <cell r="A39" t="str">
            <v>41010030007 - Actores sociales formados en intervención social para el fortalecimiento del tejido social y la integración familiar y comunitaria</v>
          </cell>
        </row>
        <row r="40">
          <cell r="A40" t="str">
            <v xml:space="preserve">41010030008 - Familias intervenidas para la prevención de la violencia familiar y la generación de ingresos </v>
          </cell>
        </row>
        <row r="41">
          <cell r="A41" t="str">
            <v>41010040001 - Atención psicosocial, personal y familiar a la población adulta mayor de comunas y corregimientos.</v>
          </cell>
        </row>
        <row r="42">
          <cell r="A42" t="str">
            <v xml:space="preserve">41010040002 - Personas adultas mayores atendidas en modalidad centro vida, larga estancia y hogar de paso </v>
          </cell>
        </row>
        <row r="43">
          <cell r="A43" t="str">
            <v>41010040003 - Cuidadores de personas con discapacidad y adultos mayores formados en cuidado, manejo, proyecto de vida y derechos</v>
          </cell>
        </row>
        <row r="44">
          <cell r="A44" t="str">
            <v>41010040004 - Encuentros intergeneracionales realizados</v>
          </cell>
        </row>
        <row r="45">
          <cell r="A45" t="str">
            <v>41010040005 - Adultos mayores vinculados en actividades que promueven el estilo de vida saludable, autocuidado y acondicionamiento físico</v>
          </cell>
        </row>
        <row r="46">
          <cell r="A46" t="str">
            <v xml:space="preserve">41010040006 - Adultos mayores que recuperan la memoria y tradiciones culturales del municipio, en comunas y corregimientos apoyados </v>
          </cell>
        </row>
        <row r="47">
          <cell r="A47" t="str">
            <v>41010040007 - Eventos deportivos y recreativos para adultos y adultos mayores en actividades deportivas y recreativas de comunas y corregimientos.</v>
          </cell>
        </row>
        <row r="48">
          <cell r="A48" t="str">
            <v>41010040008 - Adulto mayor beneficiado con gimnasia dirigida y aeróbicos.</v>
          </cell>
        </row>
        <row r="49">
          <cell r="A49" t="str">
            <v>41010040009 - Política pública del adulto mayor formulada y aprobada</v>
          </cell>
        </row>
        <row r="50">
          <cell r="A50" t="str">
            <v>41010040010 - Política pública del adulto mayor implementada</v>
          </cell>
        </row>
        <row r="51">
          <cell r="A51" t="str">
            <v>41010040011 - Eventos artísticos y culturales anuales para los adultos mayores en las comunas y corregimientos</v>
          </cell>
        </row>
        <row r="52">
          <cell r="A52" t="str">
            <v>41020010001 - Cuidadores, comunidad e integrantes de redes de apoyo capacitados en acciones colectivas, deberes y derechos y no discriminación a las personas con discapacidad.</v>
          </cell>
        </row>
        <row r="53">
          <cell r="A53" t="str">
            <v>41020010002 - Ayudas técnicas y tecnológicas de asistencia a personas con discapacidad sensorial y de movilidad reducida, suministradas.</v>
          </cell>
        </row>
        <row r="54">
          <cell r="A54" t="str">
            <v xml:space="preserve">41020010003 - Equipamientos comunitarios (sedes comunales, tertuliaderos, casas de la juventud, centros de desarrollo comunitario) y CALI, accesibles con las normas de señalización en braille y avisos. </v>
          </cell>
        </row>
        <row r="55">
          <cell r="A55" t="str">
            <v>41020010004 - Personas con discapacidad identificadas en el Registro de Localización y Caracterización de Personas con Discapacidad – SISPRO</v>
          </cell>
        </row>
        <row r="56">
          <cell r="A56" t="str">
            <v>41020010005 - Personas con discapacidad con apoyo para su movilidad urbana en el SITM MIO</v>
          </cell>
        </row>
        <row r="57">
          <cell r="A57" t="str">
            <v>41020010006 - Estudiantes con discapacidad y capacidad y/o talento excepcional vinculados a educación formal, Educación para el trabajo y el desarrollo Humano y Educación adecuada para la integración social</v>
          </cell>
        </row>
        <row r="58">
          <cell r="A58" t="str">
            <v xml:space="preserve">41020010007 - Personas con discapacidad que participan en procesos artísticos o culturales </v>
          </cell>
        </row>
        <row r="59">
          <cell r="A59" t="str">
            <v>41020010008 - Campaña implementada para afectar imaginarios sociales de exclusión e irrespeto a las personas con discapacidad</v>
          </cell>
        </row>
        <row r="60">
          <cell r="A60" t="str">
            <v>41020010009 - Personas con discapacidad, beneficiadas con actividades deportivas y recreativas.</v>
          </cell>
        </row>
        <row r="61">
          <cell r="A61" t="str">
            <v xml:space="preserve">41020010010 - Eventos deportivos y recreativos realizados con participación de personas con discapacidad. </v>
          </cell>
        </row>
        <row r="62">
          <cell r="A62" t="str">
            <v>41020010011 - Personas con discapacidad o en riesgo, intervenidas en la estrategia de Rehabilitación Basada en la Comunidad – (RBC)</v>
          </cell>
        </row>
        <row r="63">
          <cell r="A63" t="str">
            <v>41020020001 - Política Pública Cali CaliAfro formulada y aprobada</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row>
        <row r="65">
          <cell r="A65" t="str">
            <v>41020020003 - Plan de vida étnico-territorial para los consejos comunitarios (El Hormiguero, Playa Renaciente y Cascajal) formulados.</v>
          </cell>
        </row>
        <row r="66">
          <cell r="A66" t="str">
            <v xml:space="preserve">41020020004 - Eventos deportivos y recreativos realizados para la población afro descendiente. </v>
          </cell>
        </row>
        <row r="67">
          <cell r="A67" t="str">
            <v xml:space="preserve">41020020005 - Organizaciones culturales que revitalicen las identidades y valores culturales afrodescendientes apoyadas </v>
          </cell>
        </row>
        <row r="68">
          <cell r="A68" t="str">
            <v>41020020006 - Iniciativas etno-culturales promovidas por organizaciones sociales e instituciones educativas oficiales, apoyadas</v>
          </cell>
        </row>
        <row r="69">
          <cell r="A69" t="str">
            <v xml:space="preserve">41020020007 - Instituciones Educativas Oficiales fortalecidas con procesos etno-educativos afrodescendientes implementados </v>
          </cell>
        </row>
        <row r="70">
          <cell r="A70" t="str">
            <v>41020020008 - Política Pública Cali CaliAfro implementada</v>
          </cell>
        </row>
        <row r="71">
          <cell r="A71" t="str">
            <v>41020030001 - Personas de las comunidades indígenas capacitadas en el reconocimiento, promoción y restitución de los derechos especiales.</v>
          </cell>
        </row>
        <row r="72">
          <cell r="A72" t="str">
            <v>41020030002 - Integrantes de las comunidades indígenas empoderadas y fortalecidas desde cada una de sus identidades culturales para generación de productos y servicios diferenciales para una autonomía integral.</v>
          </cell>
        </row>
        <row r="73">
          <cell r="A73" t="str">
            <v>41020030003 - Personas pertenecientes a comunidades indígenas formadas y sensibilizadas para la recuperación de lenguas, saberes y prácticas tradicionales indígenas (SISPI)</v>
          </cell>
        </row>
        <row r="74">
          <cell r="A74" t="str">
            <v>41020030004 - Ceremonias, fiestas y rituales tradicionales de las comunidades indígenas presentes en el municipio, realizadas anualmente</v>
          </cell>
        </row>
        <row r="75">
          <cell r="A75" t="str">
            <v>41020030005 - Mujeres indígenas con las cuales se promueve el auto reconocimiento cultural y de género</v>
          </cell>
        </row>
        <row r="76">
          <cell r="A76" t="str">
            <v xml:space="preserve">41020030006 - Eventos recreativos dirigidos a la población indígena, con énfasis en la preservación de los juegos tradicionales. </v>
          </cell>
        </row>
        <row r="77">
          <cell r="A77" t="str">
            <v>41020030007 - Modelo intercultural de cuidado en salud propio para comunidades étnicas concertado y consultado</v>
          </cell>
        </row>
        <row r="78">
          <cell r="A78" t="str">
            <v>41020030008 - Instituciones Educativas Oficiales fortalecidas en procesos etnoeducativos indígenas</v>
          </cell>
        </row>
        <row r="79">
          <cell r="A79" t="str">
            <v>41020040001 - Población LGBTI con atención psicosocial, orientación y fortalecimiento al proyecto de vida.</v>
          </cell>
        </row>
        <row r="80">
          <cell r="A80" t="str">
            <v>41020040002 - Población con identidad y orientación sexual y diversa vinculada a capacitación para el trabajo y la empleabilidad, con acompañamiento para la creación de unidades productivas</v>
          </cell>
        </row>
        <row r="81">
          <cell r="A81" t="str">
            <v>41020040003 - Población con identidad y orientación sexual y diversa capacitada en liderazgo participativo.</v>
          </cell>
        </row>
        <row r="82">
          <cell r="A82" t="str">
            <v>41020040004 - Campaña y eventos institucionales para incidir en imaginarios que favorecen el respeto y reconocimiento de la población LGBTI, realizados</v>
          </cell>
        </row>
        <row r="83">
          <cell r="A83" t="str">
            <v>41020040005 - Política Pública de la población con identidad y orientación sexual diversa, formulada y adoptada por el Municipio de Santiago de Cali</v>
          </cell>
        </row>
        <row r="84">
          <cell r="A84" t="str">
            <v>41020040006 - Política Pública de la población con identidad y orientación sexual diversa, implementada</v>
          </cell>
        </row>
        <row r="85">
          <cell r="A85" t="str">
            <v xml:space="preserve">41030010001 - Intervenciones de inspección en sumideros </v>
          </cell>
        </row>
        <row r="86">
          <cell r="A86" t="str">
            <v>41030010002 - Sujetos de interés controlados respecto a requisitos sanitarios.</v>
          </cell>
        </row>
        <row r="87">
          <cell r="A87" t="str">
            <v xml:space="preserve">41030010003 - Índice de eficacia del Sistema de vigilancia en salud pública </v>
          </cell>
        </row>
        <row r="88">
          <cell r="A88" t="str">
            <v>41030010004 - Organizaciones que promueven vida saludable y mitigan el impacto de las enfermedades no transmisibles aumentadas</v>
          </cell>
        </row>
        <row r="89">
          <cell r="A89" t="str">
            <v>41030010005 - Dosis de vacunas no PAI – Programa Ampliado de Inmunizaciones-, aplicadas.</v>
          </cell>
        </row>
        <row r="90">
          <cell r="A90" t="str">
            <v>41030010006 - Personas curadas de TB pulmonar</v>
          </cell>
        </row>
        <row r="91">
          <cell r="A91" t="str">
            <v xml:space="preserve">41030010007 - Personas de la población clave (privados de la libertad, habitantes de la calle, usuarios de drogas intravenosas, trabajadores sexuales, LGTBI) tamizadas con prueba rápida de VIH o sífilis </v>
          </cell>
        </row>
        <row r="92">
          <cell r="A92" t="str">
            <v>41030010008 - Grupos operativos que implementan la Estrategia de Atención Primaria en Salud en zona urbana y rural</v>
          </cell>
        </row>
        <row r="93">
          <cell r="A93" t="str">
            <v>41030010009 - Puesta en funcionamiento del sistema de historia clínica unificada y electrónica, desarrollado en la vigencia 2015 - 2016</v>
          </cell>
        </row>
        <row r="94">
          <cell r="A94" t="str">
            <v>41030010010 - Estrategias masivas de educación y comunicación para prevenir enfermedades de interés en salud pública, implementadas</v>
          </cell>
        </row>
        <row r="95">
          <cell r="A95" t="str">
            <v xml:space="preserve">41030020001 - Población pobre no asegurada atendida en las Empresas Sociales del Estado </v>
          </cell>
        </row>
        <row r="96">
          <cell r="A96" t="str">
            <v>41030020002 - IPS públicas y privadas priorizadas, auditadas.</v>
          </cell>
        </row>
        <row r="97">
          <cell r="A97" t="str">
            <v>41030020003 - Personas atendidas en el servicio de atención a la comunidad.</v>
          </cell>
        </row>
        <row r="98">
          <cell r="A98" t="str">
            <v>41030020004 - Afiliaciones efectivas al régimen subsidiado</v>
          </cell>
        </row>
        <row r="99">
          <cell r="A99" t="str">
            <v>41030020005 - Gestantes que ingresan a consulta de control prenatal de primera vez antes de las 12 semanas de gestación</v>
          </cell>
        </row>
        <row r="100">
          <cell r="A100" t="str">
            <v xml:space="preserve">41030020006 - Instituciones prestadoras de servicios de salud públicas y privadas que implementan los lineamientos del plan decenal para el control del cáncer </v>
          </cell>
        </row>
        <row r="101">
          <cell r="A101" t="str">
            <v>41030020007 - Puestos de Salud de la zona rural con servicios de telemedicina</v>
          </cell>
        </row>
        <row r="102">
          <cell r="A102" t="str">
            <v>41030020008 - Mesa Técnica Municipal de enfermedades huérfanas conformada</v>
          </cell>
        </row>
        <row r="103">
          <cell r="A103" t="str">
            <v>41040010001 - Estudiantes vinculados al sistema educativo oficial en los niveles de preescolar, básica primaria, secundaria y media</v>
          </cell>
        </row>
        <row r="104">
          <cell r="A104" t="str">
            <v xml:space="preserve">41040010002 - Estudiantes en condición de extra edad vinculados al sistema educativo oficial </v>
          </cell>
        </row>
        <row r="105">
          <cell r="A105" t="str">
            <v>41040010003 - Jóvenes y adultos matriculados en ciclos lectivos especiales integrados</v>
          </cell>
        </row>
        <row r="106">
          <cell r="A106" t="str">
            <v xml:space="preserve">41040010004 - Estudiantes beneficiados con estrategia de transporte escolar </v>
          </cell>
        </row>
        <row r="107">
          <cell r="A107" t="str">
            <v xml:space="preserve">41040010005 - Estudiantes en condición de vulnerabilidad beneficiados con la estrategia de paquetes escolares </v>
          </cell>
        </row>
        <row r="108">
          <cell r="A108" t="str">
            <v xml:space="preserve">41040010006 - Instituciones Educativas Oficiales que desarrollan estrategias para promover el arte, la cultura, el deporte. </v>
          </cell>
        </row>
        <row r="109">
          <cell r="A109" t="str">
            <v>41040010007 - Comités escolares de convivencia que atienden los riesgos de violencia sexual y discriminación por orientación sexual e identidad de género</v>
          </cell>
        </row>
        <row r="110">
          <cell r="A110" t="str">
            <v>41040010008 - Estudiantes de Incolballet apoyados para mejorar cobertura</v>
          </cell>
        </row>
        <row r="111">
          <cell r="A111" t="str">
            <v>41040020001 - Estudiantes de las Instituciones Educativas oficiales beneficiados con el Programa de Jornada Única</v>
          </cell>
        </row>
        <row r="112">
          <cell r="A112" t="str">
            <v>41040020002 - Instituciones Educativas Oficiales acompañadas para el fortalecimiento de competencias básicas</v>
          </cell>
        </row>
        <row r="113">
          <cell r="A113" t="str">
            <v>41040020003 - Instituciones Educativas Oficiales con planes de lectura y escritura implementados</v>
          </cell>
        </row>
        <row r="114">
          <cell r="A114" t="str">
            <v>41040020004 - Instituciones Educativas Oficiales que implementan un sistema de evaluación para el mejoramiento de la calidad educativa</v>
          </cell>
        </row>
        <row r="115">
          <cell r="A115" t="str">
            <v>41040020005 - Instituciones Educativas rurales con currículos pertinentes, tales como proyectos pedagógicos productivos al turismo rural, encadenamiento productivo y manejo ambiental en la cuenca.</v>
          </cell>
        </row>
        <row r="116">
          <cell r="A116" t="str">
            <v>41040020006 - Docentes y directivos docentes de Instituciones Educativas Oficiales que inician y/o continúan procesos de formación e investigación pedagógica.</v>
          </cell>
        </row>
        <row r="117">
          <cell r="A117" t="str">
            <v>41040020007 - Instituciones Educativas Públicas beneficiadas con Pre-Icfes gratuito para los estudiantes de grado 11</v>
          </cell>
        </row>
        <row r="118">
          <cell r="A118" t="str">
            <v>41040030001 - Instituciones Educativas Oficiales con PEI ajustado para el mejoramiento de la gestión curricular</v>
          </cell>
        </row>
        <row r="119">
          <cell r="A119" t="str">
            <v xml:space="preserve">41040030002 - Instituciones Educativas oficiales que implementan un modelo de gestión de calidad </v>
          </cell>
        </row>
        <row r="120">
          <cell r="A120" t="str">
            <v>41040030003 - Inspección y control a establecimiento de educación formal, educación para el trabajo y desarrollo humano ( ETDH) por parte de la SEM</v>
          </cell>
        </row>
        <row r="121">
          <cell r="A121" t="str">
            <v>41040030004 - Intervenciones (mantenimiento, adecuación de infraestructura) realizadas a sedes educativas oficiales</v>
          </cell>
        </row>
        <row r="122">
          <cell r="A122" t="str">
            <v>41040030005 - Intervenciones con nueva infraestructura para las sedes educativas</v>
          </cell>
        </row>
        <row r="123">
          <cell r="A123" t="str">
            <v xml:space="preserve">41040030006 - Centros de desarrollo infantil construidos </v>
          </cell>
        </row>
        <row r="124">
          <cell r="A124" t="str">
            <v>41040030007 - Instituciones Educativas Oficiales dotadas con mobiliario escolar, materiales y suministros</v>
          </cell>
        </row>
        <row r="125">
          <cell r="A125" t="str">
            <v>41040030008 - Plataforma de Gestión Educativa, incluyendo elementos LMS, LCMS, componentes de comunicación y administración, que brinda un componente virtual al fortalecimiento de la calidad educativa</v>
          </cell>
        </row>
        <row r="126">
          <cell r="A126" t="str">
            <v>41040030009 - Instituciones educativas oficiales fortalecidas en gestión tecnológica</v>
          </cell>
        </row>
        <row r="127">
          <cell r="A127" t="str">
            <v>41040030010 - Instituciones Educativas Oficiales que incorporan en el PEI el enfoque de género y no violencia contra las mujeres.</v>
          </cell>
        </row>
        <row r="128">
          <cell r="A128" t="str">
            <v xml:space="preserve">41040030011 - Instituciones Educativas Oficiales que promueven estilos de vida saludable y la protección del ambiente, a través de los proyectos escolares ambientales - PRAE. </v>
          </cell>
        </row>
        <row r="129">
          <cell r="A129" t="str">
            <v>41040030012 - Implementación de auditoría virtual biométrica para la matrícula y asistencia estudiantil en el sistema educativo oficial</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row>
        <row r="131">
          <cell r="A131" t="str">
            <v xml:space="preserve">41040040001 - Estudiantes de grado 11 de instituciones educativas oficiales beneficiados con becas para la educación superior </v>
          </cell>
        </row>
        <row r="132">
          <cell r="A132" t="str">
            <v>41040040002 - Estudiantes beneficiados con programas de articulación entre la media y la educación terciaria.</v>
          </cell>
        </row>
        <row r="133">
          <cell r="A133" t="str">
            <v>41040040003 - Proyectos pedagógicos productivos implementados en las instituciones educativas oficiales</v>
          </cell>
        </row>
        <row r="134">
          <cell r="A134" t="str">
            <v>41040040004 - Instituciones educativas que fortalecen el inglés a través de estrategias curriculares validadas institucionalmente</v>
          </cell>
        </row>
        <row r="135">
          <cell r="A135" t="str">
            <v>41040040005 - Docentes y Directivos Docentes con acompañamiento didáctico y curricular en estrategias pedagógicas mediadas por TIC.</v>
          </cell>
        </row>
        <row r="136">
          <cell r="A136" t="str">
            <v>41040040006 - Instituciones Educativas oficiales con semilleros TIC funcionando</v>
          </cell>
        </row>
        <row r="137">
          <cell r="A137" t="str">
            <v>41040040007 - Política pública de bilingüismo formulada</v>
          </cell>
        </row>
        <row r="138">
          <cell r="A138" t="str">
            <v>41040040008 - Política pública de bilingüismo implementada</v>
          </cell>
        </row>
        <row r="139">
          <cell r="A139" t="str">
            <v>41040040009 - Fortalecimiento del proceso de transformación del IPC en Institución de Educación Superior, con los 4 programas presentados ante el Ministerio</v>
          </cell>
        </row>
        <row r="140">
          <cell r="A140" t="str">
            <v xml:space="preserve">41050010001 - Carreras/caminatas recreativas realizadas en comunas y corregimientos </v>
          </cell>
        </row>
        <row r="141">
          <cell r="A141" t="str">
            <v xml:space="preserve">41050010002 - Líderes, entrenadores, autoridades y dirigentes deportivos beneficiados con capacitaciones. </v>
          </cell>
        </row>
        <row r="142">
          <cell r="A142" t="str">
            <v>41050010003 - Eventos recreativos tradicionales</v>
          </cell>
        </row>
        <row r="143">
          <cell r="A143" t="str">
            <v>41050010004 - Beneficiados con programas recreativos dirigidos a población tradicionalmente excluida</v>
          </cell>
        </row>
        <row r="144">
          <cell r="A144" t="str">
            <v xml:space="preserve">41050010005 - Beneficiados con el proyecto de gimnasia dirigida y aeróbicos. </v>
          </cell>
        </row>
        <row r="145">
          <cell r="A145" t="str">
            <v xml:space="preserve">41050010006 - Jornadas dominicales de Ciclovías realizadas. </v>
          </cell>
        </row>
        <row r="146">
          <cell r="A146" t="str">
            <v>41050010007 - Eventos deportivos y recreativos en diferentes disciplinas tradicionales y no tradicionales dirigido a población joven y adulta en las comunas y corregimientos</v>
          </cell>
        </row>
        <row r="147">
          <cell r="A147" t="str">
            <v xml:space="preserve">41050010008 - Clubes deportivos categorizados, reglamentados y asesorados. </v>
          </cell>
        </row>
        <row r="148">
          <cell r="A148" t="str">
            <v>41050010009 - Eventos deportivos y recreativos dirigidos a recicladores y su grupo familiar</v>
          </cell>
        </row>
        <row r="149">
          <cell r="A149" t="str">
            <v xml:space="preserve">41050010010 - Clubes, ligas y deportistas apoyados con enfoque diferencial y equidad de género </v>
          </cell>
        </row>
        <row r="150">
          <cell r="A150" t="str">
            <v xml:space="preserve">41050010011 - Deportistas de clubes beneficiados con tarjeta de transporte MIO </v>
          </cell>
        </row>
        <row r="151">
          <cell r="A151" t="str">
            <v xml:space="preserve">41050010012 - Personas adultas (incluidas personas con discapacidad) beneficiadas con programas lúdicos y recreativos </v>
          </cell>
        </row>
        <row r="152">
          <cell r="A152" t="str">
            <v>41050010013 - Personas adultas (incluidas personas con discapacidad) beneficiadas con programas de iniciación, formación y énfasis deportivo en comunas y corregimientos.</v>
          </cell>
        </row>
        <row r="153">
          <cell r="A153" t="str">
            <v>41050010014 - Mujeres adultas vinculadas a práctica continua de actividad física y deportiva como componente esencial de la salud integral.</v>
          </cell>
        </row>
        <row r="154">
          <cell r="A154" t="str">
            <v>41050010015 - Monitores capacitados en las reglas básicas de urbanidad, para tratar con personas con discapacidad con enfoque diferencial y equidad de género</v>
          </cell>
        </row>
        <row r="155">
          <cell r="A155" t="str">
            <v>41050020001 - Programa de preservación, conservación y restauración del patrimonio material mueble implementado</v>
          </cell>
        </row>
        <row r="156">
          <cell r="A156" t="str">
            <v xml:space="preserve">41050020002 - Bienes inmuebles patrimoniales o de interés cultural intervenidos </v>
          </cell>
        </row>
        <row r="157">
          <cell r="A157" t="str">
            <v>41050020003 - Plan para la recuperación de la memoria cultural formulado e implementado</v>
          </cell>
        </row>
        <row r="158">
          <cell r="A158" t="str">
            <v>41050020004 - Inventario de bienes muebles de interés cultural actualizado y con seguimiento, realizado</v>
          </cell>
        </row>
        <row r="159">
          <cell r="A159" t="str">
            <v xml:space="preserve">41050020005 - Encuentros para recuperar y difundir la tradición oral, la memoria y la cultura, realizados </v>
          </cell>
        </row>
        <row r="160">
          <cell r="A160" t="str">
            <v>41050020006 - Festivales culturales que promueven la interculturalidad y la integración social de los caleños apoyados</v>
          </cell>
        </row>
        <row r="161">
          <cell r="A161" t="str">
            <v>41050020007 - Procesos de artes escénicas de organizaciones sociales e instituciones apoyados</v>
          </cell>
        </row>
        <row r="162">
          <cell r="A162" t="str">
            <v>41050020008 - Procesos de artes plásticas de organizaciones sociales, de artistas y de instituciones apoyados</v>
          </cell>
        </row>
        <row r="163">
          <cell r="A163" t="str">
            <v>41050020009 - Creaciones artísticas de jóvenes promovidas en las comunas realizadas</v>
          </cell>
        </row>
        <row r="164">
          <cell r="A164" t="str">
            <v>41050020010 - Personas capacitadas en procesos de iniciación y sensibilización artística</v>
          </cell>
        </row>
        <row r="165">
          <cell r="A165" t="str">
            <v xml:space="preserve">41050020011 - Personas vinculadas a procesos de iniciación artística en comunas y corregimientos </v>
          </cell>
        </row>
        <row r="166">
          <cell r="A166" t="str">
            <v>41050020012 - Personas fortalecidas con formación artística.</v>
          </cell>
        </row>
        <row r="167">
          <cell r="A167" t="str">
            <v xml:space="preserve">41050020013 - Espacios públicos para el goce y disfrute periódico de las diferentes manifestaciones artísticas promovidos </v>
          </cell>
        </row>
        <row r="168">
          <cell r="A168" t="str">
            <v>41050020014 - Organizaciones del municipio dedicadas a la producción audiovisual y/o cinematográfica apoyadas</v>
          </cell>
        </row>
        <row r="169">
          <cell r="A169" t="str">
            <v xml:space="preserve">41050020015 - Intercolegiados artísticos a nivel municipal e intercomunas realizados </v>
          </cell>
        </row>
        <row r="170">
          <cell r="A170" t="str">
            <v>41050020016 - Mujeres que participan en procesos de formación artística y cultural.</v>
          </cell>
        </row>
        <row r="171">
          <cell r="A171" t="str">
            <v xml:space="preserve">41050020017 - Artistas y gestores culturales del municipio apoyados con seguridad social </v>
          </cell>
        </row>
        <row r="172">
          <cell r="A172" t="str">
            <v>41050020018 - Artistas del municipio beneficiados con el proceso de profesionalización</v>
          </cell>
        </row>
        <row r="173">
          <cell r="A173" t="str">
            <v>41050020019 - Jóvenes, adultos y adultos mayores con los cuales se promueven hábitos de lectura y escritura</v>
          </cell>
        </row>
        <row r="174">
          <cell r="A174" t="str">
            <v>41050020020 - Inventario de bienes de interés cultural material BIC actualizado y registrado en el SIPA, y debidamente anotados en la matrícula inmobiliaria</v>
          </cell>
        </row>
        <row r="175">
          <cell r="A175" t="str">
            <v>41050020021 - Manifestaciones de patrimonio cultural inmaterial salvaguardadas</v>
          </cell>
        </row>
        <row r="176">
          <cell r="A176" t="str">
            <v>41050020022 - Proceso artesanal de la Loma de la Cruz fortalecido</v>
          </cell>
        </row>
        <row r="177">
          <cell r="A177" t="str">
            <v>41050020023 - Niños, niñas y adultos que hacen parte de la red de orquestas sinfónicas de Cali</v>
          </cell>
        </row>
        <row r="178">
          <cell r="A178" t="str">
            <v>41050020024 - Organizaciones teatrales que desarrollan su oferta artística con apoyo</v>
          </cell>
        </row>
        <row r="179">
          <cell r="A179" t="str">
            <v>41050020025 - Temporadas de artes líricas realizadas</v>
          </cell>
        </row>
        <row r="180">
          <cell r="A180" t="str">
            <v>41050020026 - Eventos de ciudad con bailarines de salsa realizados</v>
          </cell>
        </row>
        <row r="181">
          <cell r="A181" t="str">
            <v>41050020027 - Creaciones artísticas apoyadas para su circulación local e internacional</v>
          </cell>
        </row>
        <row r="182">
          <cell r="A182" t="str">
            <v>41050020028 - Inventario descriptivo de los bienes inmuebles de interés cultural, patrimonial, arquitectónico del barrio San Antonio</v>
          </cell>
        </row>
        <row r="183">
          <cell r="A183" t="str">
            <v>41060010001 - Personas habitantes de y en calle atendidas anualmente en la modalidad de hogares y en su sitio de permanencia desde un enfoque diferencial y de derechos.</v>
          </cell>
        </row>
        <row r="184">
          <cell r="A184" t="str">
            <v>41060010002 - Política pública social municipal para los habitantes de y en situación calle formulada y adoptada.</v>
          </cell>
        </row>
        <row r="185">
          <cell r="A185" t="str">
            <v>41060010003 - Adecuación de inmueble como hogar de paso para la atención básica y psicosocial, de los habitantes de y en calle</v>
          </cell>
        </row>
        <row r="186">
          <cell r="A186" t="str">
            <v xml:space="preserve">41060010004 - NNA con vulneración de derechos reciben atención básica en los hogares de paso. </v>
          </cell>
        </row>
        <row r="187">
          <cell r="A187" t="str">
            <v xml:space="preserve">41060010005 - Familias vinculadas a los beneficios de los programas “Más familias en acción” y “Jóvenes en Acción”. </v>
          </cell>
        </row>
        <row r="188">
          <cell r="A188" t="str">
            <v>41060010006 - Hogares insertados en la estrategia “Red Unidos” orientados para el acceso a la oferta de servicios del Municipio.</v>
          </cell>
        </row>
        <row r="189">
          <cell r="A189" t="str">
            <v>41060020001 - Instituciones educadas en elección y consumo de alimentos saludables.</v>
          </cell>
        </row>
        <row r="190">
          <cell r="A190" t="str">
            <v xml:space="preserve">41060020002 - Empresas Sociales del Estado que implementan el Programa de recuperación nutricional </v>
          </cell>
        </row>
        <row r="191">
          <cell r="A191" t="str">
            <v>41060020003 - Mercados campesinos y encuentro de productores realizados.</v>
          </cell>
        </row>
        <row r="192">
          <cell r="A192" t="str">
            <v>41060020004 - Huertas caseras en comunas y corregimientos, con al menos el 20% de la meta, a través de cultivos hidropónicos, implementadas.</v>
          </cell>
        </row>
        <row r="193">
          <cell r="A193" t="str">
            <v>41060020005 - Población vulnerable atendida diariamente en comedores comunitarios de comunas y corregimientos.</v>
          </cell>
        </row>
        <row r="194">
          <cell r="A194" t="str">
            <v xml:space="preserve">41060020006 - Estudiantes de las Instituciones Educativas Oficiales beneficiados con Programa de Alimentación Escolar </v>
          </cell>
        </row>
        <row r="195">
          <cell r="A195" t="str">
            <v xml:space="preserve">41060020007 - Centro de acopio y comercialización de productos del campo, adecuado y funcionando </v>
          </cell>
        </row>
        <row r="196">
          <cell r="A196" t="str">
            <v xml:space="preserve">42010010001 - Estudios y diseños para el mejoramiento de corredores peatonales de largo alcance realizados </v>
          </cell>
        </row>
        <row r="197">
          <cell r="A197" t="str">
            <v>42010010002 - Soluciones peatonales construidas.</v>
          </cell>
        </row>
        <row r="198">
          <cell r="A198" t="str">
            <v>42010010003 - Soluciones peatonales urbanas y rurales mantenidas.</v>
          </cell>
        </row>
        <row r="199">
          <cell r="A199" t="str">
            <v>42010010004 - Soluciones peatonales a nivel desde y hacia el centro histórico habilitadas</v>
          </cell>
        </row>
        <row r="200">
          <cell r="A200" t="str">
            <v xml:space="preserve">42010010005 - Andenes en el Centro Histórico: mejorados </v>
          </cell>
        </row>
        <row r="201">
          <cell r="A201" t="str">
            <v>42010010006 - Andenes de la red peatonal zona urbana y rural mejorados</v>
          </cell>
        </row>
        <row r="202">
          <cell r="A202" t="str">
            <v>42010010007 - Espacio público generado y recuperado</v>
          </cell>
        </row>
        <row r="203">
          <cell r="A203" t="str">
            <v xml:space="preserve">42010020001 - Red de ciclo-infraestructura (ciclo-ruta, bici-carril, bici-bus) construidas </v>
          </cell>
        </row>
        <row r="204">
          <cell r="A204" t="str">
            <v>42010020002 - Corredor de ciclo-infraestructura mejorado</v>
          </cell>
        </row>
        <row r="205">
          <cell r="A205" t="str">
            <v>42010020003 - Sistema de bicicletas públicas en al menos una zona implementado (incluye unidades adaptadas para personas con discapacidad).</v>
          </cell>
        </row>
        <row r="206">
          <cell r="A206" t="str">
            <v xml:space="preserve">42010020004 - Puntos de ciclo-parqueaderos instalados en bienes inmuebles del municipio con servicios de atención al ciudadano </v>
          </cell>
        </row>
        <row r="207">
          <cell r="A207" t="str">
            <v>42010020005 - Promoción del uso de la bicicleta como medio de transporte sostenible y saludable</v>
          </cell>
        </row>
        <row r="208">
          <cell r="A208" t="str">
            <v>42010020006 - Política Pública de movilidad en bicicleta formulada</v>
          </cell>
        </row>
        <row r="209">
          <cell r="A209" t="str">
            <v>42010020007 - Estudiantes beneficiados mediante transporte escolar en bicicleta</v>
          </cell>
        </row>
        <row r="210">
          <cell r="A210" t="str">
            <v>42010030001 - Terminal de Cabecera del Sistema Integrado de Transporte Masivo MIO (Terminal de Cabecera Sur, Terminal de Cabecera Paso del Comercio, Terminal de Cabecera Agua Blanca) construidas</v>
          </cell>
        </row>
        <row r="211">
          <cell r="A211" t="str">
            <v>42010030002 - Terminales Intermedias del Sistema Integrado de Transporte Masivo MIO construidas</v>
          </cell>
        </row>
        <row r="212">
          <cell r="A212" t="str">
            <v>42010030003 - Patio Talleres del Sistema de Transporte Masivo MIO construidos</v>
          </cell>
        </row>
        <row r="213">
          <cell r="A213" t="str">
            <v>42010030004 - Carriles preferenciales en corredores pretroncales del SITM – MIO</v>
          </cell>
        </row>
        <row r="214">
          <cell r="A214" t="str">
            <v>42010030005 - Corredores troncales construidos</v>
          </cell>
        </row>
        <row r="215">
          <cell r="A215" t="str">
            <v>42010030006 - Corredores pretroncales adecuados y recuperados</v>
          </cell>
        </row>
        <row r="216">
          <cell r="A216" t="str">
            <v xml:space="preserve">42010030007 - Buses (articulados, padrones y complementarios) con accesibilidad universal vinculados </v>
          </cell>
        </row>
        <row r="217">
          <cell r="A217" t="str">
            <v>42010030008 - Campaña anual de posicionamiento del MIO implementada</v>
          </cell>
        </row>
        <row r="218">
          <cell r="A218" t="str">
            <v>42010030009 - Espacio público asociado directamente a las Terminales y Estaciones del SITM MIO mantenido</v>
          </cell>
        </row>
        <row r="219">
          <cell r="A219" t="str">
            <v>42010030010 - Corredor Oriental (Calle 25 – Calle 36 – Calle 70) intervenido</v>
          </cell>
        </row>
        <row r="220">
          <cell r="A220" t="str">
            <v>42010030011 - Corredor Avenida Ciudad de Cali intervenido</v>
          </cell>
        </row>
        <row r="221">
          <cell r="A221" t="str">
            <v>42010030012 - Modelo del Sistema de Transporte Intermodal para la ciudad</v>
          </cell>
        </row>
        <row r="222">
          <cell r="A222" t="str">
            <v>42010040001 - Intersecciones a desnivel construidas.</v>
          </cell>
        </row>
        <row r="223">
          <cell r="A223" t="str">
            <v>42010040002 - Vías y obras de drenaje en zona urbana y rural construidas</v>
          </cell>
        </row>
        <row r="224">
          <cell r="A224" t="str">
            <v>42010040003 - Vías zona urbana y rural mejoradas</v>
          </cell>
        </row>
        <row r="225">
          <cell r="A225" t="str">
            <v>42010040004 - Puentes vehiculares zona urbana y rural mantenidos</v>
          </cell>
        </row>
        <row r="226">
          <cell r="A226" t="str">
            <v>42010040005 - Obras de estabilización y contención en zona urbana y rural construidas</v>
          </cell>
        </row>
        <row r="227">
          <cell r="A227" t="str">
            <v xml:space="preserve">42010040006 - Mantenimiento rutinario de vías rurales realizado con participación ciudadana. </v>
          </cell>
        </row>
        <row r="228">
          <cell r="A228" t="str">
            <v>42010040007 - Frentes de trabajo de las 21 Megaobras a realizar por el sistema contribución por valorización ejecutadas</v>
          </cell>
        </row>
        <row r="229">
          <cell r="A229" t="str">
            <v>42010040008 - Sistema de gestión de infraestructura vial implementado</v>
          </cell>
        </row>
        <row r="230">
          <cell r="A230" t="str">
            <v>42010050001 - Plan Integral de Movilidad Urbana – PIMU, actualizado</v>
          </cell>
        </row>
        <row r="231">
          <cell r="A231" t="str">
            <v>42010050002 - Zonas de Gestión de la Demanda de Transporte (ZGDT): Universidades Sur y Centro Histórico implementadas.</v>
          </cell>
        </row>
        <row r="232">
          <cell r="A232" t="str">
            <v>42010050003 - Zonas de Estacionamiento Regulado implementadas (ZER).</v>
          </cell>
        </row>
        <row r="233">
          <cell r="A233" t="str">
            <v>42010050004 - Observatorio de Movilidad Sostenible operando.</v>
          </cell>
        </row>
        <row r="234">
          <cell r="A234" t="str">
            <v>42010050005 - Conexión de los equipos de control semafórico en intersecciones con la central de tráfico.</v>
          </cell>
        </row>
        <row r="235">
          <cell r="A235" t="str">
            <v>42010050006 - Cámaras para visualización de tráfico en tiempo real implementadas</v>
          </cell>
        </row>
        <row r="236">
          <cell r="A236" t="str">
            <v xml:space="preserve">42010050007 - Sensores de tráfico instalados. </v>
          </cell>
        </row>
        <row r="237">
          <cell r="A237" t="str">
            <v>42010050008 - Estrategia para la seguridad vial implementada</v>
          </cell>
        </row>
        <row r="238">
          <cell r="A238" t="str">
            <v>42010050009 - Sistema de Información Geográfico para la planificación de la señalización vial implementado, articulado con la IDESC</v>
          </cell>
        </row>
        <row r="239">
          <cell r="A239" t="str">
            <v>42010050010 - Señalización horizontal de la red vial instaladas</v>
          </cell>
        </row>
        <row r="240">
          <cell r="A240" t="str">
            <v>42010050011 - Señalización vertical vial instaladas</v>
          </cell>
        </row>
        <row r="241">
          <cell r="A241" t="str">
            <v>42010050012 - Intersecciones de la red semaforizada con mantenimiento</v>
          </cell>
        </row>
        <row r="242">
          <cell r="A242" t="str">
            <v>42010050013 - Vehículos de tracción animal sustituidos por vehículos de tracción mecánica (Censo 2005)</v>
          </cell>
        </row>
        <row r="243">
          <cell r="A243" t="str">
            <v>42010050014 - Estudios para la Movilidad elaborados</v>
          </cell>
        </row>
        <row r="244">
          <cell r="A244" t="str">
            <v>42010050015 - Plan Especial de Estacionamiento en Vía y Fuera de Vía Pública formulado</v>
          </cell>
        </row>
        <row r="245">
          <cell r="A245" t="str">
            <v xml:space="preserve">42010050016 - Centro de Enseñanza Automovilística Municipio de Cali fortalecido </v>
          </cell>
        </row>
        <row r="246">
          <cell r="A246" t="str">
            <v xml:space="preserve">42010050017 - Infraestructura física y tecnológica para atención de la movilidad mejoradas </v>
          </cell>
        </row>
        <row r="247">
          <cell r="A247" t="str">
            <v>42010050018 - Plan local de seguridad vial formulado</v>
          </cell>
        </row>
        <row r="248">
          <cell r="A248" t="str">
            <v>42010050019 - Política pública de movilidad segura, saludable, sostenible y accesible formulada</v>
          </cell>
        </row>
        <row r="249">
          <cell r="A249" t="str">
            <v>42020010001 - Solicitudes en el Ordenamiento Urbanístico del Territorio atendidas</v>
          </cell>
        </row>
        <row r="250">
          <cell r="A250" t="str">
            <v xml:space="preserve">42020010002 - Nomenclatura urbana de Santiago de Cali mejorada </v>
          </cell>
        </row>
        <row r="251">
          <cell r="A251" t="str">
            <v>42020010003 - Base de datos de nomenclatura urbana actualizada</v>
          </cell>
        </row>
        <row r="252">
          <cell r="A252" t="str">
            <v>42020010004 - Actividades de urbanización, construcción, autoconstrucción y enajenación de inmuebles destinados a vivienda en Cali inspeccionadas</v>
          </cell>
        </row>
        <row r="253">
          <cell r="A253" t="str">
            <v>42020010005 - Licencias Urbanísticas del Municipio de Santiago de Cali controladas</v>
          </cell>
        </row>
        <row r="254">
          <cell r="A254" t="str">
            <v>42020010006 - Estudios de hechos generadores de Plusvalía identificados en instrumentos de planificación adoptados</v>
          </cell>
        </row>
        <row r="255">
          <cell r="A255" t="str">
            <v xml:space="preserve">42020010007 - Planes Parciales adoptados </v>
          </cell>
        </row>
        <row r="256">
          <cell r="A256" t="str">
            <v>42020010008 - Estatuto de Servicios Públicos formulado</v>
          </cell>
        </row>
        <row r="257">
          <cell r="A257" t="str">
            <v>42020010009 - Instrumentos derivados del POT reglamentados</v>
          </cell>
        </row>
        <row r="258">
          <cell r="A258" t="str">
            <v>42020010010 - Unidades de planificación urbana y rural formuladas y adoptadas</v>
          </cell>
        </row>
        <row r="259">
          <cell r="A259" t="str">
            <v>42020010011 - Plan Maestro de servicios públicos domiciliarios y TIC formulado y adoptado.</v>
          </cell>
        </row>
        <row r="260">
          <cell r="A260" t="str">
            <v>42020010012 - Plan Maestro de Vivienda, formulado y adoptado.</v>
          </cell>
        </row>
        <row r="261">
          <cell r="A261" t="str">
            <v>42020010013 - Suelo habilitado para el desarrollo de proyectos habitacionales VIP y VIS</v>
          </cell>
        </row>
        <row r="262">
          <cell r="A262" t="str">
            <v xml:space="preserve">42020010014 - Diagnóstico registral de predios del Parque Nacional Natural Farallones realizado </v>
          </cell>
        </row>
        <row r="263">
          <cell r="A263" t="str">
            <v xml:space="preserve">42020010015 - Regularizaciones viales y urbanísticas actualizadas </v>
          </cell>
        </row>
        <row r="264">
          <cell r="A264" t="str">
            <v>42020010016 - Establecimientos de comercio controlados para el cumplimiento de normas de funcionamiento</v>
          </cell>
        </row>
        <row r="265">
          <cell r="A265" t="str">
            <v xml:space="preserve">42020010017 - Establecimientos de comercio controlados para el cumplimiento de los derechos del consumidor </v>
          </cell>
        </row>
        <row r="266">
          <cell r="A266" t="str">
            <v xml:space="preserve">42020010018 - Política Pública de Desarrollo Rural formulada </v>
          </cell>
        </row>
        <row r="267">
          <cell r="A267" t="str">
            <v>42020010019 - Política Pública de Desarrollo Rural implementada</v>
          </cell>
        </row>
        <row r="268">
          <cell r="A268" t="str">
            <v>42020010020 - Plan de Gestión Ambiental Municipal -PGAM actualizado y adoptado</v>
          </cell>
        </row>
        <row r="269">
          <cell r="A269" t="str">
            <v>42020010021 - Proyecto de reubicación de familias localizadas en el Centro Poblado de Navarro, tomando en cuenta lo establecido en el POT sobre viviendas productivas rurales</v>
          </cell>
        </row>
        <row r="270">
          <cell r="A270" t="str">
            <v>42020020001 - Municipios cercanos a la ciudad de Santiago de Cali interconectados con sistemas de video vigilancia</v>
          </cell>
        </row>
        <row r="271">
          <cell r="A271" t="str">
            <v>42020020002 - Corredor Verde construido</v>
          </cell>
        </row>
        <row r="272">
          <cell r="A272" t="str">
            <v>42020020003 - Prolongación Avenida Ciudad de Cali entre la carrera 80, hasta la vía a Puerto Tejada construida (incluyen construcción puente sobre el río Lili)</v>
          </cell>
        </row>
        <row r="273">
          <cell r="A273" t="str">
            <v>42020020004 - Plan Especial de Transporte de Carga y Logística para Cali, elaborado</v>
          </cell>
        </row>
        <row r="274">
          <cell r="A274" t="str">
            <v>42020020005 - Plan Estratégico de Movilidad Sostenible de la ciudad región elaborado</v>
          </cell>
        </row>
        <row r="275">
          <cell r="A275" t="str">
            <v>42020020006 - Estudios de factibilidad de proyectos de interés común de la ciudad-región realizados</v>
          </cell>
        </row>
        <row r="276">
          <cell r="A276" t="str">
            <v>42020020007 - Estudios técnicos y financieros de factibilidad del tren de cercanías realizados</v>
          </cell>
        </row>
        <row r="277">
          <cell r="A277" t="str">
            <v>42030010001 - Soluciones habitacionales VIP y VIS generadas</v>
          </cell>
        </row>
        <row r="278">
          <cell r="A278" t="str">
            <v>42030010002 - Predios titulados</v>
          </cell>
        </row>
        <row r="279">
          <cell r="A279" t="str">
            <v xml:space="preserve">42030010003 - Viviendas mejoradas </v>
          </cell>
        </row>
        <row r="280">
          <cell r="A280" t="str">
            <v xml:space="preserve">42030010004 - Instrumento para Mejoramiento Integral formulado y adoptado </v>
          </cell>
        </row>
        <row r="281">
          <cell r="A281" t="str">
            <v>42030010005 - Política de mejoramiento integral implementada</v>
          </cell>
        </row>
        <row r="282">
          <cell r="A282" t="str">
            <v>42030010006 - Vías y andenes en adoquín adecuados con participación ciudadana</v>
          </cell>
        </row>
        <row r="283">
          <cell r="A283" t="str">
            <v xml:space="preserve">42030010007 - Territorios intervenidos intersectorialmente con acciones educativas y operativas para la promoción de entornos saludables con participación comunitaria </v>
          </cell>
        </row>
        <row r="284">
          <cell r="A284" t="str">
            <v xml:space="preserve">42030010008 - Eventos recreativos realizados en parques, dirigidos a las familias en comunas y corregimientos. </v>
          </cell>
        </row>
        <row r="285">
          <cell r="A285" t="str">
            <v>42030010009 - Cambio gradual a luz blanca del sistema de alumbrado público.</v>
          </cell>
        </row>
        <row r="286">
          <cell r="A286" t="str">
            <v xml:space="preserve">42030010010 - Acuerdo No. 049 de 1999 modificado y presentado </v>
          </cell>
        </row>
        <row r="287">
          <cell r="A287" t="str">
            <v>42030010011 - Proyecto de Acuerdo de titulación de la zona rural presentado</v>
          </cell>
        </row>
        <row r="288">
          <cell r="A288" t="str">
            <v>42030010012 - Soluciones de vivienda “Mi segunda casa”, según Programa del Gobierno Nacional</v>
          </cell>
        </row>
        <row r="289">
          <cell r="A289" t="str">
            <v>42030010013 - Ferias de servicios y ofertas sobre soluciones habitacionales para población de estrato 1 y 2</v>
          </cell>
        </row>
        <row r="290">
          <cell r="A290" t="str">
            <v>42030020001 - Plan Maestro de silvicultura urbana formulado, adoptado e implementado</v>
          </cell>
        </row>
        <row r="291">
          <cell r="A291" t="str">
            <v>42030020002 - Vegetación de las zonas verdes y jardines urbanos con mantenimiento</v>
          </cell>
        </row>
        <row r="292">
          <cell r="A292" t="str">
            <v>42030020003 - Individuos vegetales producidos en el Vivero Municipal</v>
          </cell>
        </row>
        <row r="293">
          <cell r="A293" t="str">
            <v>42030020004 - Áreas de espacio público adoptado</v>
          </cell>
        </row>
        <row r="294">
          <cell r="A294" t="str">
            <v>42030020005 - Parques emblemáticos urbanos mayores a 20.000 metros, adecuados</v>
          </cell>
        </row>
        <row r="295">
          <cell r="A295" t="str">
            <v>42030020006 - Accesos de la ciudad diseñados y adecuados urbanísticamente</v>
          </cell>
        </row>
        <row r="296">
          <cell r="A296" t="str">
            <v xml:space="preserve">42030020007 - Manual de construcción sostenible formulado, adoptado y divulgado </v>
          </cell>
        </row>
        <row r="297">
          <cell r="A297" t="str">
            <v>42030020008 - Corredores ambientales urbanos (Cali, Meléndez, aguas del Sur y Cañaveralejo) diseñados y adecuados</v>
          </cell>
        </row>
        <row r="298">
          <cell r="A298" t="str">
            <v xml:space="preserve">42030020009 - Canales de aguas lluvias priorizados en POT, adecuados ambiental y paisajísticamente y dotados como espacio público. </v>
          </cell>
        </row>
        <row r="299">
          <cell r="A299" t="str">
            <v>42030020010 - Zonas críticas de espacios públicos recuperados</v>
          </cell>
        </row>
        <row r="300">
          <cell r="A300" t="str">
            <v>42030020011 - Comerciantes informales regulados en sistemas modulares</v>
          </cell>
        </row>
        <row r="301">
          <cell r="A301" t="str">
            <v>42030020012 - Zonas críticas y emblemáticas con descontaminación visual</v>
          </cell>
        </row>
        <row r="302">
          <cell r="A302" t="str">
            <v>42030020013 - Bienes de uso público restituidos</v>
          </cell>
        </row>
        <row r="303">
          <cell r="A303" t="str">
            <v>42030020014 - Zonas blandas de separadores viales, parques y zonas verdes recuperadas ambiental y paisajísticamente con empoderamiento ciudadano a través de intervenciones recreativas y de estrategias artísticas y lúdicas</v>
          </cell>
        </row>
        <row r="304">
          <cell r="A304" t="str">
            <v xml:space="preserve">42030020015 - Fuentes y monumentos localizados en espacio público con mantenimiento. </v>
          </cell>
        </row>
        <row r="305">
          <cell r="A305" t="str">
            <v xml:space="preserve">42030020016 - Mobiliario urbano concesionado con mantenimiento y reposición </v>
          </cell>
        </row>
        <row r="306">
          <cell r="A306" t="str">
            <v>42030020017 - Política Pública de espacio público municipal formulada y adoptada</v>
          </cell>
        </row>
        <row r="307">
          <cell r="A307" t="str">
            <v>42030020018 - Inventario de zonas verdes públicas actualizado</v>
          </cell>
        </row>
        <row r="308">
          <cell r="A308" t="str">
            <v>42030030001 - Planes parciales de renovación urbana implementados</v>
          </cell>
        </row>
        <row r="309">
          <cell r="A309" t="str">
            <v>42030030002 - Planes parciales de renovación urbana adoptados.</v>
          </cell>
        </row>
        <row r="310">
          <cell r="A310" t="str">
            <v>42030030003 - Proyectos Urbanos formulados en áreas con tratamiento de renovación urbana R3.</v>
          </cell>
        </row>
        <row r="311">
          <cell r="A311" t="str">
            <v>42030030004 - Proyectos del Plan Especial de Manejo y Protección del Centro Histórico - PEMP-CH, gestionados para su ejecución.</v>
          </cell>
        </row>
        <row r="312">
          <cell r="A312" t="str">
            <v>42030030005 - Formulación del Proyecto de vivienda compartida en el centro de Cali, adecuada para los hogares provenientes de renovación urbana.</v>
          </cell>
        </row>
        <row r="313">
          <cell r="A313" t="str">
            <v>42030030006 - Implementación componentes de planes de gestión social con población vulnerable habitantes en las áreas de renovación urbana – Ciudad Paraíso</v>
          </cell>
        </row>
        <row r="314">
          <cell r="A314" t="str">
            <v xml:space="preserve">42030030007 - Formulación e implementación de proyecto de intervención integral de espacio público y peatonalización en zonas estratégicas de la ciudad </v>
          </cell>
        </row>
        <row r="315">
          <cell r="A315" t="str">
            <v>42030040001 - Equipamientos comunitarios, sedes comunales, Centro de Integración Social, Casa Matria y centro de desarrollo comunitario con mantenimiento y adecuación.</v>
          </cell>
        </row>
        <row r="316">
          <cell r="A316" t="str">
            <v>42030040002 - Nuevos equipamientos comunitarios para la atención a las poblaciones, sedes comunales urbanas y rurales construidas.</v>
          </cell>
        </row>
        <row r="317">
          <cell r="A317" t="str">
            <v>42030040003 - Centros de Administración Local Integrado – CALI construidos.</v>
          </cell>
        </row>
        <row r="318">
          <cell r="A318" t="str">
            <v xml:space="preserve">42030040004 - Centros de Administración Local Integrado – CALI, con mantenimiento y adecuación. </v>
          </cell>
        </row>
        <row r="319">
          <cell r="A319" t="str">
            <v>42030040005 - Escenarios deportivos y recreativos construidos en comunas y corregimientos</v>
          </cell>
        </row>
        <row r="320">
          <cell r="A320" t="str">
            <v>42030040006 - Escenarios deportivos en comunas y corregimientos mantenidos, adecuados, rehabilitados y mejorados.</v>
          </cell>
        </row>
        <row r="321">
          <cell r="A321" t="str">
            <v>42030040007 - Equipamientos culturales del municipio con mantenimiento y adecuación</v>
          </cell>
        </row>
        <row r="322">
          <cell r="A322" t="str">
            <v>42030040008 - Equipamientos culturales construidos.</v>
          </cell>
        </row>
        <row r="323">
          <cell r="A323" t="str">
            <v>42030040009 - IPS de la red pública mejorada</v>
          </cell>
        </row>
        <row r="324">
          <cell r="A324" t="str">
            <v>42030040010 - Unidades móviles / ambulancias adquiridas para uso de las Empresas Sociales del Estado de primer nivel</v>
          </cell>
        </row>
        <row r="325">
          <cell r="A325" t="str">
            <v>42040010001 - Nacimientos o fuentes de agua en proceso de restauración</v>
          </cell>
        </row>
        <row r="326">
          <cell r="A326" t="str">
            <v xml:space="preserve">42040010002 - Áreas con implementación de barreras vivas con pasto vetiver en zonas estratégicas de la Cuenca Río Cali que contribuyan a la retención de suelo, producción de agua y de alimentos </v>
          </cell>
        </row>
        <row r="327">
          <cell r="A327" t="str">
            <v>42040010003 - Áreas en proceso de reconversión agrícola y tecnológica hacia sistemas agroforestales y silvopastoriles en la zona rural</v>
          </cell>
        </row>
        <row r="328">
          <cell r="A328" t="str">
            <v>42040010004 - Familias asistidas para la implementación de cercas vivas y herramientas de manejo del paisaje (HMP)</v>
          </cell>
        </row>
        <row r="329">
          <cell r="A329" t="str">
            <v xml:space="preserve">42040010005 - Semilleros de cultura ciudadana conformados y consolidados en la zona rural para la protección del ambiente y los nacimientos de agua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row>
        <row r="331">
          <cell r="A331" t="str">
            <v>42040010007 - Plan de restauración ecológica formulado, adoptado y con plan operativo trianual implementado</v>
          </cell>
        </row>
        <row r="332">
          <cell r="A332" t="str">
            <v xml:space="preserve">42040010008 - Instrumentos económicos de conservación ambiental reglamentados </v>
          </cell>
        </row>
        <row r="333">
          <cell r="A333" t="str">
            <v>42040010009 - Sistema de manejo, conservación y custodia para los predios de conservación del Municipio en cuencas abastecedoras de acueducto, implementado.</v>
          </cell>
        </row>
        <row r="334">
          <cell r="A334" t="str">
            <v>42040010010 - Sistema Municipal de Áreas Protegidas (SIMAP) reglamentado y operando</v>
          </cell>
        </row>
        <row r="335">
          <cell r="A335" t="str">
            <v>42040010011 - Predios rurales privados con acompañamiento técnico piloto para el manejo del agua</v>
          </cell>
        </row>
        <row r="336">
          <cell r="A336" t="str">
            <v>42040010012 - Ecoparques de Santiago de Cali con planes de manejo adoptados y en implementación</v>
          </cell>
        </row>
        <row r="337">
          <cell r="A337" t="str">
            <v>42040010013 - Planes de manejo de humedales formulados, adoptados e implementados</v>
          </cell>
        </row>
        <row r="338">
          <cell r="A338" t="str">
            <v>42040010014 - Rondas hídricas acotadas</v>
          </cell>
        </row>
        <row r="339">
          <cell r="A339" t="str">
            <v>42040010015 - Plan de manejo de acuíferos elaborado y adoptado</v>
          </cell>
        </row>
        <row r="340">
          <cell r="A340" t="str">
            <v>42040010016 - Planes de ordenamiento del recurso hídrico – PORH formulado, adoptados y en implementación</v>
          </cell>
        </row>
        <row r="341">
          <cell r="A341" t="str">
            <v>42040010017 - Sistema de vigilancia y control del recurso hídrico fortalecido y operando</v>
          </cell>
        </row>
        <row r="342">
          <cell r="A342" t="str">
            <v xml:space="preserve">42040010018 - Plan de acciones de reducción de carga contaminante a fuentes hídricas superficiales, ejecutado. </v>
          </cell>
        </row>
        <row r="343">
          <cell r="A343" t="str">
            <v>42040010019 - Intervenciones de protección del medio ambiente efectuadas, debido a los efectos negativos que genera la presencia del caracol africano en las 22 comunas del Municipio</v>
          </cell>
        </row>
        <row r="344">
          <cell r="A344" t="str">
            <v xml:space="preserve">42040010020 - Baldíos del municipio localizados en área rural con vocación ecosistémica, administrados </v>
          </cell>
        </row>
        <row r="345">
          <cell r="A345" t="str">
            <v>42040020001 - Bocaminas ilegales cerradas conforme a resoluciones de la mesa interinstitucional.</v>
          </cell>
        </row>
        <row r="346">
          <cell r="A346" t="str">
            <v>42040020002 - Infraestructura de control y vigilancia ambiental en las Cuencas Cali y Pance construidos y en funcionamiento</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row>
        <row r="348">
          <cell r="A348" t="str">
            <v>42040020004 - Gestión ambiental en el sector empresarial promovida e implementada, direccionada a la reducción de la huella de carbono, mercados verdes y producción más limpia</v>
          </cell>
        </row>
        <row r="349">
          <cell r="A349" t="str">
            <v>42040020005 - Sistema de Vigilancia de Calidad del Aire, SVCASC fortalecido y en operación</v>
          </cell>
        </row>
        <row r="350">
          <cell r="A350" t="str">
            <v>42040020006 - Plan de Aire Limpio, definido, adoptado e implementado</v>
          </cell>
        </row>
        <row r="351">
          <cell r="A351" t="str">
            <v>42040020007 - Plan de Adaptación y Mitigación al Cambio Climático, diseñado, adoptado y en implementación.</v>
          </cell>
        </row>
        <row r="352">
          <cell r="A352" t="str">
            <v>42040020008 - Plan de reducción de impactos ambientales en el sector industrial, comercial y de servicios en ejecución</v>
          </cell>
        </row>
        <row r="353">
          <cell r="A353" t="str">
            <v>42040020009 - Usos del suelo y procesos urbanísticos sujetos a esquemas de implantación y regularización, con impactos ambientales controlados</v>
          </cell>
        </row>
        <row r="354">
          <cell r="A354" t="str">
            <v>42040020010 - Plan de mejora del ambiente sonoro, formulado, adoptado e implementado</v>
          </cell>
        </row>
        <row r="355">
          <cell r="A355" t="str">
            <v>42040020011 - Empresas que realizan aprovechamiento de flora y fauna silvestre controladas y en proceso de regulación</v>
          </cell>
        </row>
        <row r="356">
          <cell r="A356" t="str">
            <v>42040020012 - Centro de atención y valoración de fauna silvestre, diseñado, construido y en operación.</v>
          </cell>
        </row>
        <row r="357">
          <cell r="A357" t="str">
            <v>42040020013 - Centro de atención y valoración de flora silvestre diseñado, construido y en operación.</v>
          </cell>
        </row>
        <row r="358">
          <cell r="A358" t="str">
            <v xml:space="preserve">42040020014 - Red de monitoreo de ruido ambiental diseñada, implementada y operando </v>
          </cell>
        </row>
        <row r="359">
          <cell r="A359" t="str">
            <v xml:space="preserve">42040030001 - Política y plan municipal de educación ambiental institucionalizados. </v>
          </cell>
        </row>
        <row r="360">
          <cell r="A360" t="str">
            <v>42040030002 - Proyectos ciudadanos de educación ambiental –PROCEDA, desarrollados en las comunas y corregimientos del Municipio de Cali, para fortalecer la cultura ambiental ciudadana.</v>
          </cell>
        </row>
        <row r="361">
          <cell r="A361" t="str">
            <v>42040030003 - Sistema de gestión ambiental comunitario – SIGAC, operando</v>
          </cell>
        </row>
        <row r="362">
          <cell r="A362" t="str">
            <v>42040030004 - Sistema de caracterización y seguimiento de la cultura ambiental, implementado.</v>
          </cell>
        </row>
        <row r="363">
          <cell r="A363" t="str">
            <v>42040040001 - Índice de eficacia de acciones de prevención, vigilancia y control de enfermedades zoonóticas</v>
          </cell>
        </row>
        <row r="364">
          <cell r="A364" t="str">
            <v>42040040002 - Fases de construcción e implementación del Centro de prevención de zoonosis, protección, bienestar y atención integral animal (Hospital Animal)</v>
          </cell>
        </row>
        <row r="365">
          <cell r="A365" t="str">
            <v>42040040003 - Personas educadas en buenas prácticas de tenencia de animales domésticos</v>
          </cell>
        </row>
        <row r="366">
          <cell r="A366" t="str">
            <v xml:space="preserve">42050010001 - Evaluación de riesgo por sismos y movimientos en masa elaborada </v>
          </cell>
        </row>
        <row r="367">
          <cell r="A367" t="str">
            <v xml:space="preserve">42050010002 - Evaluación de riesgo por inundaciones de los tributarios del Río Cauca, elaboradas </v>
          </cell>
        </row>
        <row r="368">
          <cell r="A368" t="str">
            <v>42050010003 - Evaluación de riesgo por inundaciones pluviales elaboradas.</v>
          </cell>
        </row>
        <row r="369">
          <cell r="A369" t="str">
            <v xml:space="preserve">42050010004 - Evaluación de riesgo por inundaciones del Río Cauca en El Hormiguero, elaborada. </v>
          </cell>
        </row>
        <row r="370">
          <cell r="A370" t="str">
            <v xml:space="preserve">42050010005 - Evaluaciones de riesgo por fenómenos de origen tecnológico y humano no intencional elaboradas </v>
          </cell>
        </row>
        <row r="371">
          <cell r="A371" t="str">
            <v>42050010006 - Redes para el monitoreo de fenómenos de origen natural y humano no intencional en operación</v>
          </cell>
        </row>
        <row r="372">
          <cell r="A372" t="str">
            <v>42050010007 - Diseño e instalación de mapas de riesgo didácticos por comuna y corregimiento, donde se especifique las acciones preventivas frente a cada desastre</v>
          </cell>
        </row>
        <row r="373">
          <cell r="A373" t="str">
            <v>42050010008 - Estudio de ubicación, diseño e instalación de sistemas de señalización para los puntos de encuentro en caso de desastres por comuna</v>
          </cell>
        </row>
        <row r="374">
          <cell r="A374" t="str">
            <v>42050020001 - Plan Municipal de Gestión del Riesgo de Desastres actualizado y adoptado.</v>
          </cell>
        </row>
        <row r="375">
          <cell r="A375" t="str">
            <v xml:space="preserve">42050020002 - Flujo hidráulico de los afluentes del Río Cauca, restaurado </v>
          </cell>
        </row>
        <row r="376">
          <cell r="A376" t="str">
            <v xml:space="preserve">42050020003 - Obras del sistema de drenaje oriental ejecutadas. </v>
          </cell>
        </row>
        <row r="377">
          <cell r="A377" t="str">
            <v>42050020004 - Reglamentación sobre Sistemas de Drenaje Urbano Sostenible –SUDS adoptada</v>
          </cell>
        </row>
        <row r="378">
          <cell r="A378" t="str">
            <v>42050020005 - Área de ladera recuperada y estabilizada</v>
          </cell>
        </row>
        <row r="379">
          <cell r="A379" t="str">
            <v>42050020006 - Área de asentamientos humanos en riesgo mitigable por movimientos en masa estabilizada</v>
          </cell>
        </row>
        <row r="380">
          <cell r="A380" t="str">
            <v>42050020007 - Edificaciones adscritas al municipio de Santiago de Cali con panoramas de riesgo, sismo resistencia y adecuaciones.</v>
          </cell>
        </row>
        <row r="381">
          <cell r="A381" t="str">
            <v xml:space="preserve">42050030001 - Plan municipal de repuesta a emergencias formulado e implementado </v>
          </cell>
        </row>
        <row r="382">
          <cell r="A382" t="str">
            <v>42050030002 - Organismos de socorro coordinados con la Administración Municipal</v>
          </cell>
        </row>
        <row r="383">
          <cell r="A383" t="str">
            <v>42050030003 - Plan de contingencia para el manejo de residuos sólidos en situación de desastre formulado</v>
          </cell>
        </row>
        <row r="384">
          <cell r="A384" t="str">
            <v>42050030004 - Planes escolares de emergencia en sedes educativas oficiales implementados</v>
          </cell>
        </row>
        <row r="385">
          <cell r="A385" t="str">
            <v>42050030005 - Jornadas de adiestramiento para la preparación en la atención de emergencia realizadas</v>
          </cell>
        </row>
        <row r="386">
          <cell r="A386" t="str">
            <v>42050030006 - Plan para la continuidad del negocio y preparación en situaciones de desastres en la Administración Municipal, formulado</v>
          </cell>
        </row>
        <row r="387">
          <cell r="A387" t="str">
            <v xml:space="preserve">42050040001 - Hogares localizados en zonas de riesgo no mitigable por inundaciones reasentados en zonas urbanas y rurales </v>
          </cell>
        </row>
        <row r="388">
          <cell r="A388" t="str">
            <v>42050040002 - Hogares con subsidio municipal de vivienda de interés social modalidad arrendamiento-proceso reasentamiento</v>
          </cell>
        </row>
        <row r="389">
          <cell r="A389" t="str">
            <v>42050040003 - Jarillones Rio Cauca, Rio Cali y Canal Interceptor Sur, vigilados</v>
          </cell>
        </row>
        <row r="390">
          <cell r="A390" t="str">
            <v xml:space="preserve">42050040004 - Sistema de alerta temprana por inundaciones del rio Cauca, implementado </v>
          </cell>
        </row>
        <row r="391">
          <cell r="A391" t="str">
            <v>42050040005 - Plan de reasentamiento de los hogares ubicados en las zonas del Corregimiento de Navarro aledañas al Jarillón del Rio Cauca, diseñado y ejecutado</v>
          </cell>
        </row>
        <row r="392">
          <cell r="A392" t="str">
            <v>42050040006 - Vías Ciudadela CaliDa y marginal del Jarillón construidas</v>
          </cell>
        </row>
        <row r="393">
          <cell r="A393" t="str">
            <v>42050040007 - Puente sobre el Canal Interceptor Sur – construido</v>
          </cell>
        </row>
        <row r="394">
          <cell r="A394" t="str">
            <v xml:space="preserve">42050040008 - Área de espacio público del Jarillón, lagunas El Pondaje y Charco Azul recuperados </v>
          </cell>
        </row>
        <row r="395">
          <cell r="A395" t="str">
            <v>42050040009 - Corredor ambiental Rio Cauca diseñado y adecuado</v>
          </cell>
        </row>
        <row r="396">
          <cell r="A396" t="str">
            <v>42050040010 - Obras de protección de la infraestructura indispensable (PTAP Puerto Mallarino y PTAR Cañaveralejo) construidas</v>
          </cell>
        </row>
        <row r="397">
          <cell r="A397" t="str">
            <v xml:space="preserve">42050040011 - Lagunas Pondaje y Charco Azul con mantenimiento una vez sean recibidas por EMCALI </v>
          </cell>
        </row>
        <row r="398">
          <cell r="A398" t="str">
            <v>42050040012 - Investigación sociocultural para la recuperación de la memoria colectiva de la población del Jarillón, realizada por fases</v>
          </cell>
        </row>
        <row r="399">
          <cell r="A399" t="str">
            <v>42050040013 - Espacios para el goce, representación y expresión de la cultura en sitios de reasentamiento de la población del Jarillón, adaptados</v>
          </cell>
        </row>
        <row r="400">
          <cell r="A400" t="str">
            <v xml:space="preserve">42050040014 - Personas vinculadas al plan Jarillón que participan en procesos de formación artística </v>
          </cell>
        </row>
        <row r="401">
          <cell r="A401" t="str">
            <v>42050040015 - Estrategias de empleabilidad y de generación de ingresos con hogares objeto del proyecto, diseñada e implementada.</v>
          </cell>
        </row>
        <row r="402">
          <cell r="A402" t="str">
            <v>42050040016 - Centro de desarrollo comunitario, construido, equipado y funcionando</v>
          </cell>
        </row>
        <row r="403">
          <cell r="A403" t="str">
            <v>42060010001 - Pago del déficit de subsidios a las empresas de servicios públicos (acueducto, alcantarillado y aseo), de los usuarios de los estratos 1, 2 y 3, que cumplan con las condiciones establecidas en la Ley 142 de 1994.</v>
          </cell>
        </row>
        <row r="404">
          <cell r="A404" t="str">
            <v xml:space="preserve">42060010002 - Pago del mínimo vital de agua potable a las empresas de servicios públicos para los usuarios de los estratos 1 y 2 </v>
          </cell>
        </row>
        <row r="405">
          <cell r="A405" t="str">
            <v>42060010003 - Intervenciones de espacio público para provisión de Servicios Públicos Domiciliarios y TIC aprobadas y ejecutadas.</v>
          </cell>
        </row>
        <row r="406">
          <cell r="A406" t="str">
            <v>42060010004 - Sistemas de suministro de agua potable en el área rural construidos</v>
          </cell>
        </row>
        <row r="407">
          <cell r="A407" t="str">
            <v xml:space="preserve">42060010005 - Sistema de tratamiento de aguas residuales en el área rural construidos </v>
          </cell>
        </row>
        <row r="408">
          <cell r="A408" t="str">
            <v>42060010006 - Reposición red de acueducto en el área de prestación de servicio</v>
          </cell>
        </row>
        <row r="409">
          <cell r="A409" t="str">
            <v>42060010007 - Índice de agua no contabilizada en el área de prestación de servicio, reducida</v>
          </cell>
        </row>
        <row r="410">
          <cell r="A410" t="str">
            <v>42060010008 - Reposición red de alcantarillado en el área de prestación del servicio.</v>
          </cell>
        </row>
        <row r="411">
          <cell r="A411" t="str">
            <v>42060010009 - Sistema de tratamiento primario de la PTAR Cañaveralejo de la ciudad mejorado</v>
          </cell>
        </row>
        <row r="412">
          <cell r="A412" t="str">
            <v>42060010010 - Fuente alternativa de agua potable para el Municipio definida</v>
          </cell>
        </row>
        <row r="413">
          <cell r="A413" t="str">
            <v xml:space="preserve">42060010011 - Reducción de pérdidas no técnicas energía </v>
          </cell>
        </row>
        <row r="414">
          <cell r="A414" t="str">
            <v>42060010012 - Disponibilidad del servicio de energía</v>
          </cell>
        </row>
        <row r="415">
          <cell r="A415" t="str">
            <v>42060010013 - Cobertura legal del servicio de energía</v>
          </cell>
        </row>
        <row r="416">
          <cell r="A416" t="str">
            <v>42060010014 - Subterranización de redes de energía</v>
          </cell>
        </row>
        <row r="417">
          <cell r="A417" t="str">
            <v xml:space="preserve">42060010015 - Usuarios beneficiados con energía renovable, intervenidos </v>
          </cell>
        </row>
        <row r="418">
          <cell r="A418" t="str">
            <v>42060010016 - Plan alternativo de fuentes no convencionales de energía renovables (FNCER) elaborado</v>
          </cell>
        </row>
        <row r="419">
          <cell r="A419" t="str">
            <v>42060010017 - Implementar el gobierno corporativo</v>
          </cell>
        </row>
        <row r="420">
          <cell r="A420" t="str">
            <v>42060010018 - Proyecto piloto de cambio gradual a lámparas inteligentes implementado</v>
          </cell>
        </row>
        <row r="421">
          <cell r="A421" t="str">
            <v>42060010019 - Estudio para definir la viabilidad de la prestación del servicio de alumbrado público y su implementación</v>
          </cell>
        </row>
        <row r="422">
          <cell r="A422" t="str">
            <v>42060010020 - Plantas individuales de tratamiento de aguas residuales construidas</v>
          </cell>
        </row>
        <row r="423">
          <cell r="A423" t="str">
            <v>42060020001 - Sitios impactados por disposición inadecuada de residuos sólidos en espacio público con inspección, vigilancia y control - IVC.</v>
          </cell>
        </row>
        <row r="424">
          <cell r="A424" t="str">
            <v>42060020002 - Estación de transferencia y tecnología de aprovechamiento para el manejo de residuos de construcción y demolición – RCD, operando.</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row>
        <row r="426">
          <cell r="A426" t="str">
            <v xml:space="preserve">42060020004 - Volumen de lixiviados del antiguo sitio de disposición final de Navarro, tratado. </v>
          </cell>
        </row>
        <row r="427">
          <cell r="A427" t="str">
            <v xml:space="preserve">42060020005 - Sistema de aprovechamiento de residuos sólidos orgánicos de grandes generadores, en implementación </v>
          </cell>
        </row>
        <row r="428">
          <cell r="A428" t="str">
            <v>42060020006 - Política Pública y Plan de Inclusión de Recicladores de Oficio a la economía formal del aseo con estrategia de seguimiento y evaluación implementada.</v>
          </cell>
        </row>
        <row r="429">
          <cell r="A429" t="str">
            <v>42060020007 - Post-clausura del antiguo sitio de disposición final de Navarro.</v>
          </cell>
        </row>
        <row r="430">
          <cell r="A430" t="str">
            <v>42060020008 - Política pública y plan de inclusión de los recicladores informales a la economía formal del aseo en la ciudad de Santiago de Cali adoptado mediante Decreto Municipal No. 411.0.20.0133 de marzo 19 de 2010, actualizada</v>
          </cell>
        </row>
        <row r="431">
          <cell r="A431" t="str">
            <v xml:space="preserve">42060020009 - Estudios de caracterización de residuos sólidos y escombros realizados. </v>
          </cell>
        </row>
        <row r="432">
          <cell r="A432" t="str">
            <v>42060020010 - Esquemas de aprovechamiento de residuos sólidos domiciliarios con inclusión de recicladores de oficio beneficiarios de la Sentencia T-291 como prestadores de la actividad de aprovechamiento definido</v>
          </cell>
        </row>
        <row r="433">
          <cell r="A433" t="str">
            <v>42060020011 - Esquema de aprovechamiento de Construcción y Demolición -RCD para el Municipio de Santiago de Cali definidos</v>
          </cell>
        </row>
        <row r="434">
          <cell r="A434" t="str">
            <v>42060020012 - Parque Ambiental y Tecnológico para la Gestión Integral de Residuos Sólidos con factibilidad y diseños.</v>
          </cell>
        </row>
        <row r="435">
          <cell r="A435" t="str">
            <v>42060020013 - Mecanismos de Información, Educación y Comunicación en el marco del Plan de Gestión Integral de Residuos Sólidos – PGIRS del Municipio diseñadas</v>
          </cell>
        </row>
        <row r="436">
          <cell r="A436" t="str">
            <v>42060020014 - Plan de Gestión Integral de Residuos Sólidos –PGIRS con seguimiento y evaluación realizada</v>
          </cell>
        </row>
        <row r="437">
          <cell r="A437" t="str">
            <v xml:space="preserve">43010010001 - Cuadrantes de policía dotados </v>
          </cell>
        </row>
        <row r="438">
          <cell r="A438" t="str">
            <v>43010010002 - Organismos de seguridad apoyados para su operatividad</v>
          </cell>
        </row>
        <row r="439">
          <cell r="A439" t="str">
            <v>43010010003 - Infraestructura policial mejorada</v>
          </cell>
        </row>
        <row r="440">
          <cell r="A440" t="str">
            <v xml:space="preserve">43010010004 - Infraestructura policial (CAI, UPJ, Estación de Policía) construida y dotada </v>
          </cell>
        </row>
        <row r="441">
          <cell r="A441" t="str">
            <v>43010010005 - Sistema de video vigilancia instalados</v>
          </cell>
        </row>
        <row r="442">
          <cell r="A442" t="str">
            <v>43010010006 - Sistema de video vigilancia con mantenimiento</v>
          </cell>
        </row>
        <row r="443">
          <cell r="A443" t="str">
            <v>43010010007 - Policías capacitados para el acopio de pruebas, judicialización de los delitos y en equidad de género</v>
          </cell>
        </row>
        <row r="444">
          <cell r="A444" t="str">
            <v xml:space="preserve">43010010008 - Sistema de información y seguimiento de la Política de Convivencia y Seguridad implementada </v>
          </cell>
        </row>
        <row r="445">
          <cell r="A445" t="str">
            <v xml:space="preserve">43010010009 - Comités de vecinos constituidos y vigilantes de cuadra capacitados y dotados para la convivencia y la seguridad </v>
          </cell>
        </row>
        <row r="446">
          <cell r="A446" t="str">
            <v>43010020001 - Espacios que faciliten el acceso a la justicia (Casas de Justicia, Comisarias de familia e inspecciones de policía) mejorados</v>
          </cell>
        </row>
        <row r="447">
          <cell r="A447" t="str">
            <v xml:space="preserve">43010020002 - Comisarias 24 horas para la atención de la violencia </v>
          </cell>
        </row>
        <row r="448">
          <cell r="A448" t="str">
            <v>43010020003 - Casa de Justicia construida</v>
          </cell>
        </row>
        <row r="449">
          <cell r="A449" t="str">
            <v>43010020004 - Despachos de las casas de justicia, comisarías de familia e inspecciones que reportan en línea eventos de su competencia</v>
          </cell>
        </row>
        <row r="450">
          <cell r="A450" t="str">
            <v xml:space="preserve">43010020005 - Adolescentes y Jóvenes del Sistema de Responsabilidad Penal en Adolescentes vinculados a proceso de justicia reparativa </v>
          </cell>
        </row>
        <row r="451">
          <cell r="A451" t="str">
            <v>43010020006 - Centro de formación para menores infractores ampliados mejorando cobertura</v>
          </cell>
        </row>
        <row r="452">
          <cell r="A452" t="str">
            <v>43010020007 - Centro penitenciario de Cali mejorado</v>
          </cell>
        </row>
        <row r="453">
          <cell r="A453" t="str">
            <v>43010020008 - Capacitaciones para la resocialización de población mayor y menor infractora realizadas</v>
          </cell>
        </row>
        <row r="454">
          <cell r="A454" t="str">
            <v xml:space="preserve">43010020009 - Jueces de Paz electos participando en las acciones de la estrategia de fortalecimiento de la justicia de paz </v>
          </cell>
        </row>
        <row r="455">
          <cell r="A455" t="str">
            <v>43010020010 - Inspecciones de Policía Urbana Categoría Especial, creadas</v>
          </cell>
        </row>
        <row r="456">
          <cell r="A456" t="str">
            <v>43010030001 - Mujeres víctimas de violencias basadas en género y su núcleo familiar, con atención y orientación primaria, con enfoque e intervención en salud pública</v>
          </cell>
        </row>
        <row r="457">
          <cell r="A457" t="str">
            <v>43010030002 - Personas vinculadas a la estrategia de prevención de violencias contra la mujer e intervención social.</v>
          </cell>
        </row>
        <row r="458">
          <cell r="A458" t="str">
            <v>43010030003 - Servidores públicos y contratistas reciben lineamientos para la transversalización de la perspectiva de género y enfoque diferencial para la atención a la ciudadanía.</v>
          </cell>
        </row>
        <row r="459">
          <cell r="A459" t="str">
            <v>43010030004 - Investigaciones sobre el tema de género y de violencias contra las mujeres en contextos educativos y sociales</v>
          </cell>
        </row>
        <row r="460">
          <cell r="A460" t="str">
            <v>43010030005 - Muestras artístico culturales implementadas para promover la no violencia contra la mujer y la equidad de género.</v>
          </cell>
        </row>
        <row r="461">
          <cell r="A461" t="str">
            <v>43020010001 - Adolescentes y jóvenes sensibilizados para la prevención de los delitos de desaparición, trata y reclutamiento de menores</v>
          </cell>
        </row>
        <row r="462">
          <cell r="A462" t="str">
            <v>43020010002 - Personas que participan de la estrategia de derechos humanos y prevención de la trata de personas</v>
          </cell>
        </row>
        <row r="463">
          <cell r="A463" t="str">
            <v>43020010003 - Acceso y permanencia de los jóvenes vinculados al Sistema de Responsabilidad Penal para Adolescentes que soliciten atención educativa</v>
          </cell>
        </row>
        <row r="464">
          <cell r="A464" t="str">
            <v>43020020001 - Gestores de paz formados en estrategias de convivencia y cultura de paz.</v>
          </cell>
        </row>
        <row r="465">
          <cell r="A465" t="str">
            <v>43020020002 - Iniciativas comunitarias que promueven cultura ciudadana para la paz y la convivencia</v>
          </cell>
        </row>
        <row r="466">
          <cell r="A466" t="str">
            <v>43020020003 - Eventos de ciudad que promueven la convivencia pacífica, cultura de paz, reconciliación y cultura ciudadana realizados</v>
          </cell>
        </row>
        <row r="467">
          <cell r="A467" t="str">
            <v>43020020004 - Plan de paz y convivencia pacífica implementado</v>
          </cell>
        </row>
        <row r="468">
          <cell r="A468" t="str">
            <v>43020020005 - Observatorio de paz y convivencia con enfoque territorial, poblacional y de desarrollo de capacidades y en perspectiva de ciudad-región creado.</v>
          </cell>
        </row>
        <row r="469">
          <cell r="A469" t="str">
            <v xml:space="preserve">43020020006 - Instituciones educativas oficiales que implementan programas de formación ciudadana y construcción de paz </v>
          </cell>
        </row>
        <row r="470">
          <cell r="A470" t="str">
            <v>43020020007 - Instituciones educativas oficiales que implementan la cátedra de paz</v>
          </cell>
        </row>
        <row r="471">
          <cell r="A471" t="str">
            <v>43020020008 - Instituciones educativas oficiales que implementan el modelo de justicia restaurativa</v>
          </cell>
        </row>
        <row r="472">
          <cell r="A472" t="str">
            <v>43020030001 - Desvinculados y desmovilizados con orientación y/o acompañamiento complementario para la reintegración social, económica y comunitaria</v>
          </cell>
        </row>
        <row r="473">
          <cell r="A473" t="str">
            <v>43020030002 - Atención a la población adulta desvinculada del conflicto armado matriculada en el sector educativo.</v>
          </cell>
        </row>
        <row r="474">
          <cell r="A474" t="str">
            <v xml:space="preserve">43020030003 - Personas desvinculadas, desmovilizadas y sus familias atendidos a través de programas de inclusión social, laboral y de generación de ingresos </v>
          </cell>
        </row>
        <row r="475">
          <cell r="A475" t="str">
            <v>43020030004 - Soluciones habitacionales nuevas o usadas asignadas a hogares de desmovilizados</v>
          </cell>
        </row>
        <row r="476">
          <cell r="A476" t="str">
            <v>43020030005 - Desvinculados y desmovilizados del conflicto armado que reciben formación artística y cultural</v>
          </cell>
        </row>
        <row r="477">
          <cell r="A477" t="str">
            <v>43020030006 - Personas en proceso de desarme, desmovilización y reintegración-DDR intervenidos con acciones complejas desde la promoción social en salud</v>
          </cell>
        </row>
        <row r="478">
          <cell r="A478" t="str">
            <v>43020030007 - Iniciativas universitarias para la formación profesional de los reinsertados</v>
          </cell>
        </row>
        <row r="479">
          <cell r="A479" t="str">
            <v xml:space="preserve">43030010001 - Encuentros ciudadanos para fortalecer el diálogo intercultural y la construcción de paz, realizados </v>
          </cell>
        </row>
        <row r="480">
          <cell r="A480" t="str">
            <v>43030010002 - Propuestas para el fortalecimiento de la convivencia y la diversidad a partir de la caracterización de las comunidades étnicas, culturas urbanas y cultos, implementadas</v>
          </cell>
        </row>
        <row r="481">
          <cell r="A481" t="str">
            <v>43030010003 - Personas formadas en cultura ciudadana</v>
          </cell>
        </row>
        <row r="482">
          <cell r="A482" t="str">
            <v xml:space="preserve">43030010004 - Personas formadas en buenas prácticas ciudadanas para la protección del ambiente y los nacimientos de agua en la zona rural </v>
          </cell>
        </row>
        <row r="483">
          <cell r="A483" t="str">
            <v>43030010005 - Iniciativas institucionales y/o comunitarias exitosas de promoción de buenas prácticas de cultura ciudadana y de construcción de paz replicadas</v>
          </cell>
        </row>
        <row r="484">
          <cell r="A484" t="str">
            <v xml:space="preserve">43030010006 - Niños y niñas formados en convivencia escolar y ciudadana desde los juegos y las artes </v>
          </cell>
        </row>
        <row r="485">
          <cell r="A485" t="str">
            <v>43030010007 - Corredores que concentran actividades de vida nocturna intervenidos con oferta cultural y pedagógica de cultura ciudadana</v>
          </cell>
        </row>
        <row r="486">
          <cell r="A486" t="str">
            <v>43030010008 - Estudios de medición de cultura ciudadana del municipio de Santiago de Cali realizado.</v>
          </cell>
        </row>
        <row r="487">
          <cell r="A487" t="str">
            <v>43030010009 - Política Pública de Cultura Ciudadana formulada con el Consejo Consultivo de Cultura ciudadana</v>
          </cell>
        </row>
        <row r="488">
          <cell r="A488" t="str">
            <v xml:space="preserve">43030010010 - Establecimientos nocturnos regulados integralmente </v>
          </cell>
        </row>
        <row r="489">
          <cell r="A489" t="str">
            <v xml:space="preserve">43040010001 - Familias víctimas del conflicto atendidas en el programa de prevención y protección </v>
          </cell>
        </row>
        <row r="490">
          <cell r="A490" t="str">
            <v xml:space="preserve">43040010002 - Personas víctimas del conflicto beneficiadas con programas preventivos en el marco del deporte y la recreación </v>
          </cell>
        </row>
        <row r="491">
          <cell r="A491" t="str">
            <v>43040020001 - Puntos de información y orientación a las víctimas del conflicto en la ciudad.</v>
          </cell>
        </row>
        <row r="492">
          <cell r="A492" t="str">
            <v>43040020002 - Hogares víctimas del conflicto que tienen garantizada la subsistencia mínima en el marco de la atención inmediata antes de la decisión sobre la inclusión en el RUV</v>
          </cell>
        </row>
        <row r="493">
          <cell r="A493" t="str">
            <v>43040020003 - Acceso y permanencia de los estudiantes víctimas del conflicto armado interno matriculados en las Instituciones Educativas Oficiales</v>
          </cell>
        </row>
        <row r="494">
          <cell r="A494" t="str">
            <v>43040030001 - Hogares víctimas de desplazamiento incluidas en el RUV apoyados en la medida de retorno y/o reubicación.</v>
          </cell>
        </row>
        <row r="495">
          <cell r="A495" t="str">
            <v xml:space="preserve">43040030002 - Víctimas del conflicto orientados hacia las ofertas de generación de ingresos </v>
          </cell>
        </row>
        <row r="496">
          <cell r="A496" t="str">
            <v>43040030003 - Soluciones Habitacionales Nuevas o Usadas Asignadas a hogares en situación de desplazamiento forzoso.</v>
          </cell>
        </row>
        <row r="497">
          <cell r="A497" t="str">
            <v xml:space="preserve">43040030004 - Nuevas víctimas del conflicto atendidas en el marco del programa de atención psicosocial integral - PAPSIVI </v>
          </cell>
        </row>
        <row r="498">
          <cell r="A498" t="str">
            <v>43040030005 - Víctimas del conflicto capacitadas para la empleabilidad, emprendimiento y fortalecidas en procesos productivos</v>
          </cell>
        </row>
        <row r="499">
          <cell r="A499" t="str">
            <v>43040030006 - Personas beneficiadas con eventos deportivos recreativos realizados, dirigidos a víctimas del conflicto.</v>
          </cell>
        </row>
        <row r="500">
          <cell r="A500" t="str">
            <v xml:space="preserve">43040030007 - Personas víctimas del conflicto beneficiadas en procesos artísticos y culturales </v>
          </cell>
        </row>
        <row r="501">
          <cell r="A501" t="str">
            <v>43040040001 - Museo Regional de Memoria Histórica del Conflicto y la Reconciliación</v>
          </cell>
        </row>
        <row r="502">
          <cell r="A502" t="str">
            <v>43040040002 - Eventos conmemorativos para reivindicación de derechos, la paz y la reconciliación.</v>
          </cell>
        </row>
        <row r="503">
          <cell r="A503" t="str">
            <v>43040050001 - Sistema de información y comunicación para población víctima del conflicto interno implementado</v>
          </cell>
        </row>
        <row r="504">
          <cell r="A504" t="str">
            <v xml:space="preserve">43040050002 - Acciones de fortalecimiento a la Mesa municipal de participación efectiva de las víctimas </v>
          </cell>
        </row>
        <row r="505">
          <cell r="A505" t="str">
            <v xml:space="preserve">44010010001 - Emprendimientos de sectores con activa demanda puestos en marcha </v>
          </cell>
        </row>
        <row r="506">
          <cell r="A506" t="str">
            <v xml:space="preserve">44010010002 - Personas vulnerables capacitadas para la generación de ingresos y el emprendimiento con acompañamiento, asistencia técnica, administrativa, financiera y contable </v>
          </cell>
        </row>
        <row r="507">
          <cell r="A507" t="str">
            <v>44010010003 - Emprendimientos productivos con o para mujeres, jóvenes y trabajadores informales que obtienen acompañamiento integral de orden financiero, administrativo, técnico y comercial</v>
          </cell>
        </row>
        <row r="508">
          <cell r="A508" t="str">
            <v xml:space="preserve">44010010004 - Negocios productivos tradicionales urbanos y rurales fortalecidos en sus capacidades técnicas, administrativas y comerciales </v>
          </cell>
        </row>
        <row r="509">
          <cell r="A509" t="str">
            <v>44010010005 - Jóvenes artistas fortalecidos en su capacidad de generar ingresos con sus productos y servicios culturales</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row>
        <row r="511">
          <cell r="A511" t="str">
            <v>44010010007 - Grupos organizados de trabajadores informales - GOTIS que han implementado programas de seguridad y salud en el trabajo</v>
          </cell>
        </row>
        <row r="512">
          <cell r="A512" t="str">
            <v>44010020001 - Emprendimientos innovadores y de alto impacto creados en sectores estratégicos.</v>
          </cell>
        </row>
        <row r="513">
          <cell r="A513" t="str">
            <v>44010020002 - Emprendimientos innovadores y de alto impacto pertenecientes a sectores estratégicos, fortalecidos en capacidades técnicas.</v>
          </cell>
        </row>
        <row r="514">
          <cell r="A514" t="str">
            <v xml:space="preserve">44010020003 - Vehículos de financiación tradicionales y no tradicionales desarrollados para apoyar emprendimientos innovadores y de alto impacto en etapa temprana </v>
          </cell>
        </row>
        <row r="515">
          <cell r="A515" t="str">
            <v>44010020004 - Emprendimientos asociativos vinculados a programas de acompañamiento social y empresarial</v>
          </cell>
        </row>
        <row r="516">
          <cell r="A516" t="str">
            <v>44010030001 - Iniciativas de co creación entre emprendedores fomentadas para impulsar la cultura emprendedora en la ciudad</v>
          </cell>
        </row>
        <row r="517">
          <cell r="A517" t="str">
            <v>44010030002 - Iniciativas productivas acompañadas para la presentación a mecanismos de financiación (microcrédito, capital semilla, presentación de proyectos a convocatorias, inversión empresa privada)</v>
          </cell>
        </row>
        <row r="518">
          <cell r="A518" t="str">
            <v>44010030003 - Iniciativas de innovación y transferencias de conocimiento para el fomento de la actividad emprendedora implementadas</v>
          </cell>
        </row>
        <row r="519">
          <cell r="A519" t="str">
            <v xml:space="preserve">44010030004 - Instituciones Educativas que desarrollan la cultura del emprendimiento. </v>
          </cell>
        </row>
        <row r="520">
          <cell r="A520" t="str">
            <v>44010030005 - Semilleros de emprendimiento e innovación creados e implementados.</v>
          </cell>
        </row>
        <row r="521">
          <cell r="A521" t="str">
            <v>44010030006 - Subsectores que conforman la cadena de productos afropacífico, organizadas y fortalecidas</v>
          </cell>
        </row>
        <row r="522">
          <cell r="A522" t="str">
            <v xml:space="preserve">44010030007 - Bankomunales conformados para la autogestión de comunidades vulnerables. </v>
          </cell>
        </row>
        <row r="523">
          <cell r="A523" t="str">
            <v>44010030008 - Artistas del municipio que circulan en eventos y escenarios estratégicos</v>
          </cell>
        </row>
        <row r="524">
          <cell r="A524" t="str">
            <v>44010030009 - Grupos artísticos locales que circulan en el mercado musical.</v>
          </cell>
        </row>
        <row r="525">
          <cell r="A525" t="str">
            <v xml:space="preserve">44010030010 - Estímulos entregados a artistas, y/o grupos de emprendedores culturales </v>
          </cell>
        </row>
        <row r="526">
          <cell r="A526" t="str">
            <v xml:space="preserve">44020010001 - Mipymes fortalecidas en capacidades técnicas y comerciales en sectores estratégicos </v>
          </cell>
        </row>
        <row r="527">
          <cell r="A527" t="str">
            <v>44020010002 - Empresas apoyadas a través de programas de incubación y aceleración</v>
          </cell>
        </row>
        <row r="528">
          <cell r="A528" t="str">
            <v>44020010003 - Grandes y medianas empresas de sectores estratégicos apoyadas por medio de programas de innovación</v>
          </cell>
        </row>
        <row r="529">
          <cell r="A529" t="str">
            <v>44020010004 - Iniciativas de responsabilidad social empresarial e innovación social, articuladas con iniciativas de empleabilidad (ruedas de demanda y oferta laboral) y la generación de ingresos de la Alcaldía</v>
          </cell>
        </row>
        <row r="530">
          <cell r="A530" t="str">
            <v>44020010005 - Mipymes apoyadas por medio de proyectos de ciencia, tecnología e innovación en alianza con centros de investigación y oficinas de transferencia tecnológica.</v>
          </cell>
        </row>
        <row r="531">
          <cell r="A531" t="str">
            <v xml:space="preserve">44020010006 - Micros y pequeñas empresas de la zona rural fortalecidas con asesoría y asistencia administrativa y comercial </v>
          </cell>
        </row>
        <row r="532">
          <cell r="A532" t="str">
            <v xml:space="preserve">44020010007 - Iniciativas clústeres fortalecidas en capacidades asociativas, técnicas y comerciales </v>
          </cell>
        </row>
        <row r="533">
          <cell r="A533" t="str">
            <v>44020010008 - Fomento a nuevas iniciativas clúster de los sectores estratégicos</v>
          </cell>
        </row>
        <row r="534">
          <cell r="A534" t="str">
            <v>44020010009 - Cadena productiva fílmica y audiovisual implementada.</v>
          </cell>
        </row>
        <row r="535">
          <cell r="A535" t="str">
            <v>44020010010 - Mipymes portadoras de tradición de la gastronomía local y regional, formadas, fortalecidas y generando empleo en procesos de gestión y atención del turismo nacional e internacional.</v>
          </cell>
        </row>
        <row r="536">
          <cell r="A536" t="str">
            <v>44020010011 - Programa de articulación con almacenes de cadena, para facilitar el mercadeo de la producción local y fortalecimiento de Mipymes</v>
          </cell>
        </row>
        <row r="537">
          <cell r="A537" t="str">
            <v>44020010012 - Mipymes y organizaciones culturales vinculadas con la cadena de valor del producto turístico salsa, formadas en procesos de gestión y atención del turismo nacional e internacional</v>
          </cell>
        </row>
        <row r="538">
          <cell r="A538" t="str">
            <v xml:space="preserve">44030010001 - Sitios con potencial de turismo rural adecuados </v>
          </cell>
        </row>
        <row r="539">
          <cell r="A539" t="str">
            <v xml:space="preserve">44030010002 - Circuitos metropolitanos de turismo implementados </v>
          </cell>
        </row>
        <row r="540">
          <cell r="A540" t="str">
            <v>44030010003 - Plan estratégico de promoción nacional e internacional del turismo de Cali y sus productos turísticos (salsa, turismo de naturaleza, gastronomía y patrimonio cultural) implementado, fortaleciendo las Mipymes</v>
          </cell>
        </row>
        <row r="541">
          <cell r="A541" t="str">
            <v xml:space="preserve">44030010004 - Guías turísticos y taxistas formados en guianza turística bilingüe </v>
          </cell>
        </row>
        <row r="542">
          <cell r="A542" t="str">
            <v>44030010005 - Iniciativas turísticas en Parque temático Cristo Rey y Las tres Cruces apoyadas</v>
          </cell>
        </row>
        <row r="543">
          <cell r="A543" t="str">
            <v>44030010006 - Política pública municipal de turismo formulada e implementada</v>
          </cell>
        </row>
        <row r="544">
          <cell r="A544" t="str">
            <v xml:space="preserve">44030010007 - Estudios técnicos y económicos para establecer núcleos de servicios turísticos realizados </v>
          </cell>
        </row>
        <row r="545">
          <cell r="A545" t="str">
            <v>44030010008 - Operadores de turismo sensibilizados en la práctica de turismo responsable, solidario y accesible</v>
          </cell>
        </row>
        <row r="546">
          <cell r="A546" t="str">
            <v xml:space="preserve">44030010009 - Plan estratégico de turismo rural formulado e implementado </v>
          </cell>
        </row>
        <row r="547">
          <cell r="A547" t="str">
            <v>44030010010 - Personas de grupos vulnerables de las comunas y corregimientos vinculadas a recorridos de turismo de naturaleza</v>
          </cell>
        </row>
        <row r="548">
          <cell r="A548" t="str">
            <v>44030020001 - Eventos deportivos internacionales realizados.</v>
          </cell>
        </row>
        <row r="549">
          <cell r="A549" t="str">
            <v>44030020002 - Congresos y exposiciones referentes a la actividad física y la recreación realizados.</v>
          </cell>
        </row>
        <row r="550">
          <cell r="A550" t="str">
            <v>44030020003 - Investigaciones sobre el deporte y la recreación realizadas</v>
          </cell>
        </row>
        <row r="551">
          <cell r="A551" t="str">
            <v>44030020004 - Centro de ciencias deportivas diseñado, en coordinación con la Escuela Nacional del Deporte.</v>
          </cell>
        </row>
        <row r="552">
          <cell r="A552" t="str">
            <v xml:space="preserve">44030020005 - Festivales y encuentros culturales y artísticos de talla internacional realizados anualmente </v>
          </cell>
        </row>
        <row r="553">
          <cell r="A553" t="str">
            <v>44030020006 - Plan estratégico de cooperación y marketing de ciudad formulado</v>
          </cell>
        </row>
        <row r="554">
          <cell r="A554" t="str">
            <v>44030020007 - Eventos y ferias desarrolladas para promover los sectores de inversión de la ciudad región</v>
          </cell>
        </row>
        <row r="555">
          <cell r="A555" t="str">
            <v>44040010001 - Personas vulnerables vinculadas a programas de inclusión laboral, que incluye capacitación, intermediación laboral, orientación ocupacional y acompañamiento.</v>
          </cell>
        </row>
        <row r="556">
          <cell r="A556" t="str">
            <v>44040010002 - Plataforma de registro automatizado de personas o empresas beneficiadas por la Alcaldía a través de los programas de empleabilidad, emprendimiento, fortalecimiento y aceleración empresarial.</v>
          </cell>
        </row>
        <row r="557">
          <cell r="A557" t="str">
            <v xml:space="preserve">44040010003 - Proyectos de fortalecimiento social, organizacional y empresarial que fortalezcan las capacidades de los recicladores de oficio y sus organizaciones. </v>
          </cell>
        </row>
        <row r="558">
          <cell r="A558" t="str">
            <v>44040020001 - Política pública municipal para promover el desarrollo económico del municipio formulada</v>
          </cell>
        </row>
        <row r="559">
          <cell r="A559" t="str">
            <v>44040020002 - Beneficiarios de los programas promovidos por la alcaldía, en creación y fortalecimiento empresarial cualificados en temas responsabilidad social y ambiental.</v>
          </cell>
        </row>
        <row r="560">
          <cell r="A560" t="str">
            <v>44040020003 - Instituciones educativas o centros de desarrollo tecnológico y productivos vinculados a negocios y/o Mipymes.</v>
          </cell>
        </row>
        <row r="561">
          <cell r="A561" t="str">
            <v>44040020004 - Metodología para priorizar población vulnerable a beneficiar con programas de inversión del Municipio TIO.</v>
          </cell>
        </row>
        <row r="562">
          <cell r="A562" t="str">
            <v>44040020005 - Centro de desarrollo para el trabajo, la empleabilidad y el fomento empresarial existente, fortalecidos</v>
          </cell>
        </row>
        <row r="563">
          <cell r="A563" t="str">
            <v>45010010001 - Recuperación de la cartera morosa de infracciones de tránsito.</v>
          </cell>
        </row>
        <row r="564">
          <cell r="A564" t="str">
            <v>45010010002 - Cartera recuperada</v>
          </cell>
        </row>
        <row r="565">
          <cell r="A565" t="str">
            <v>45010010003 - Recuperación de la cartera por crédito de vivienda VIP - VIS</v>
          </cell>
        </row>
        <row r="566">
          <cell r="A566" t="str">
            <v>45010010004 - Estatuto presupuestal actualizado</v>
          </cell>
        </row>
        <row r="567">
          <cell r="A567" t="str">
            <v>45010010005 - Pasivo pensional racionalizado</v>
          </cell>
        </row>
        <row r="568">
          <cell r="A568" t="str">
            <v>45010010006 - Módulos de SAP adicionales implementados y puestos en productivo en el Sistema de Gestión Administrativa Financiero Territorial.</v>
          </cell>
        </row>
        <row r="569">
          <cell r="A569" t="str">
            <v>45010010007 - Proyectos presentados a OCAD y entes cofinanciantes</v>
          </cell>
        </row>
        <row r="570">
          <cell r="A570" t="str">
            <v>45010020001 - Planes de Desarrollo de nivel territorial y municipal formulados</v>
          </cell>
        </row>
        <row r="571">
          <cell r="A571" t="str">
            <v>45010020002 - Planes de Desarrollo de nivel territorial y municipal con seguimiento y evaluación</v>
          </cell>
        </row>
        <row r="572">
          <cell r="A572" t="str">
            <v>45010020003 - Solicitudes de encuesta Sisbén atendidas</v>
          </cell>
        </row>
        <row r="573">
          <cell r="A573" t="str">
            <v>45010020004 - Base de datos de estratificación actualizada</v>
          </cell>
        </row>
        <row r="574">
          <cell r="A574" t="str">
            <v>45010020005 - Dependencias con asistencia técnica en gestión de proyectos</v>
          </cell>
        </row>
        <row r="575">
          <cell r="A575" t="str">
            <v>45010020006 - Herramienta computacional del Banco de Proyectos Modernizada</v>
          </cell>
        </row>
        <row r="576">
          <cell r="A576" t="str">
            <v>45010020007 - Infraestructura de Datos Espaciales de Santiago de Cali – IDESC implementada</v>
          </cell>
        </row>
        <row r="577">
          <cell r="A577" t="str">
            <v>45010020008 - Red de Control Geodésico de Santiago de Cali operando</v>
          </cell>
        </row>
        <row r="578">
          <cell r="A578" t="str">
            <v xml:space="preserve">45010020009 - Documentos con estadísticas básicas del municipio publicados </v>
          </cell>
        </row>
        <row r="579">
          <cell r="A579" t="str">
            <v>45010020010 - Plan Estadístico Territorial implementado</v>
          </cell>
        </row>
        <row r="580">
          <cell r="A580" t="str">
            <v>45010020011 - Expediente municipal actualizado anualmente</v>
          </cell>
        </row>
        <row r="581">
          <cell r="A581" t="str">
            <v xml:space="preserve">45010020012 - Sistema de información catastral implementado </v>
          </cell>
        </row>
        <row r="582">
          <cell r="A582" t="str">
            <v>45010020013 - Actualización catastral urbana</v>
          </cell>
        </row>
        <row r="583">
          <cell r="A583" t="str">
            <v>45010020014 - Predios actualizados por conservación catastral</v>
          </cell>
        </row>
        <row r="584">
          <cell r="A584" t="str">
            <v>45010020015 - Contribuyentes que pagaron oportunamente los impuestos municipales Predial e Industria y Comercio</v>
          </cell>
        </row>
        <row r="585">
          <cell r="A585" t="str">
            <v>45010020016 - Información de los bienes inmuebles urbanos y rural actualizada</v>
          </cell>
        </row>
        <row r="586">
          <cell r="A586" t="str">
            <v>45010020017 - Inventario de bienes muebles del municipio actualizados.</v>
          </cell>
        </row>
        <row r="587">
          <cell r="A587" t="str">
            <v>45010020018 - Observatorio de Políticas Sociales y de participación con enfoque poblacional y diferencial, diseñado e implementado</v>
          </cell>
        </row>
        <row r="588">
          <cell r="A588" t="str">
            <v xml:space="preserve">45010020019 - Observatorio Ambiental, como un instrumento de reporte y seguimiento a la calidad de los recursos naturales, operando </v>
          </cell>
        </row>
        <row r="589">
          <cell r="A589" t="str">
            <v>45020010001 - Trámites y servicios automatizados</v>
          </cell>
        </row>
        <row r="590">
          <cell r="A590" t="str">
            <v>45020010002 - Data center de la alcaldía mejorado</v>
          </cell>
        </row>
        <row r="591">
          <cell r="A591" t="str">
            <v>45020010003 - Portal Web Municipal mejorado</v>
          </cell>
        </row>
        <row r="592">
          <cell r="A592" t="str">
            <v xml:space="preserve">45020010004 - Plataforma integradora de sistemas de información </v>
          </cell>
        </row>
        <row r="593">
          <cell r="A593" t="str">
            <v xml:space="preserve">45020010005 - Planoteca digital de Planeación, implementada. </v>
          </cell>
        </row>
        <row r="594">
          <cell r="A594" t="str">
            <v>45020010006 - Soluciones TIC al servicio del ciudadano implementadas</v>
          </cell>
        </row>
        <row r="595">
          <cell r="A595" t="str">
            <v xml:space="preserve">45020010007 - Centros de apropiación (infocalis, pvd, pvd+, vivelab) operando </v>
          </cell>
        </row>
        <row r="596">
          <cell r="A596" t="str">
            <v>45020010008 - Ciudadanos capacitados en el uso de tecnologías de la información y la comunicación TIC</v>
          </cell>
        </row>
        <row r="597">
          <cell r="A597" t="str">
            <v>45020010009 - Conexiones físicas de Instituciones municipales pertenecientes a REMI con mantenimiento y adecuación</v>
          </cell>
        </row>
        <row r="598">
          <cell r="A598" t="str">
            <v>45020010010 - Zonas de espacio público con accesibilidad a internet habilitadas</v>
          </cell>
        </row>
        <row r="599">
          <cell r="A599" t="str">
            <v>45020010011 - Diagnóstico de Ciudad Inteligente realizado</v>
          </cell>
        </row>
        <row r="600">
          <cell r="A600" t="str">
            <v xml:space="preserve">45020010012 - Estrategia Anti tramites implementada </v>
          </cell>
        </row>
        <row r="601">
          <cell r="A601" t="str">
            <v>45020020001 - Modelo Estándar de Control Interno Implementado</v>
          </cell>
        </row>
        <row r="602">
          <cell r="A602" t="str">
            <v>45020020002 - Sistema de Gestión de la Calidad implementado</v>
          </cell>
        </row>
        <row r="603">
          <cell r="A603" t="str">
            <v>45020020003 - Sistemas de información normativo y judicial de la Administración Central Municipal de Santiago de Cali mejorados</v>
          </cell>
        </row>
        <row r="604">
          <cell r="A604" t="str">
            <v>45020020004 - Modelo de Gerencia Jurídica Pública optimizado</v>
          </cell>
        </row>
        <row r="605">
          <cell r="A605" t="str">
            <v>45020020005 - Auditorías Internas realizadas</v>
          </cell>
        </row>
        <row r="606">
          <cell r="A606" t="str">
            <v xml:space="preserve">45020020006 - Espacio físico para el almacenamiento y acopio de elementos dados de baja en estado de obsolescencia, desuso o destrucción </v>
          </cell>
        </row>
        <row r="607">
          <cell r="A607" t="str">
            <v>45020020007 - Visibilidad y transparencia en la contratación</v>
          </cell>
        </row>
        <row r="608">
          <cell r="A608" t="str">
            <v>45020020008 - Bienes inmuebles municipales con estado de los servicios públicos mejorados.</v>
          </cell>
        </row>
        <row r="609">
          <cell r="A609" t="str">
            <v>45020020009 - Sistema de gestión de seguridad y salud en el trabajo en la alcaldía implementado</v>
          </cell>
        </row>
        <row r="610">
          <cell r="A610" t="str">
            <v xml:space="preserve">45020020010 - Edificaciones de propiedad del municipio mantenidas y en condiciones óptimas para su funcionamiento </v>
          </cell>
        </row>
        <row r="611">
          <cell r="A611" t="str">
            <v>45020020011 - Plan de seguridad vial en el parque automotor de la Administración Municipal de Santiago de Cali implementado</v>
          </cell>
        </row>
        <row r="612">
          <cell r="A612" t="str">
            <v>45020020012 - Espacio físico para el funcionamiento de la Secretaría de Educación gestionado y adecuado.</v>
          </cell>
        </row>
        <row r="613">
          <cell r="A613" t="str">
            <v>45020020013 - Inmueble para el funcionamiento del Archivo General del Municipio de Santiago de Cali.</v>
          </cell>
        </row>
        <row r="614">
          <cell r="A614" t="str">
            <v>45020020014 - Cultura de la Legalidad y la Integridad implementada</v>
          </cell>
        </row>
        <row r="615">
          <cell r="A615" t="str">
            <v xml:space="preserve">45020020015 - Sistema de gestión documental modernizado </v>
          </cell>
        </row>
        <row r="616">
          <cell r="A616" t="str">
            <v>45020020016 - Puntos de atención con cultura del servicio orientado al ciudadano operando</v>
          </cell>
        </row>
        <row r="617">
          <cell r="A617" t="str">
            <v>45020020017 - Rendición de cuentas a la comunidad realizadas</v>
          </cell>
        </row>
        <row r="618">
          <cell r="A618" t="str">
            <v>45020020018 - Servidores públicos y ciudadanos orientados en Código Disciplinario Único / Ley 734 de 2002.</v>
          </cell>
        </row>
        <row r="619">
          <cell r="A619" t="str">
            <v xml:space="preserve">45020020019 - Acción disciplinaria modernizada. </v>
          </cell>
        </row>
        <row r="620">
          <cell r="A620" t="str">
            <v>45020020020 - Investigaciones en el marco del observatorio de la gestión pública en temas de gestión pública, prácticas de buen gobierno y conducta del servidor público, realizadas.</v>
          </cell>
        </row>
        <row r="621">
          <cell r="A621" t="str">
            <v>45020020021 - Espacio físico del Concejo Municipal mejorado</v>
          </cell>
        </row>
        <row r="622">
          <cell r="A622" t="str">
            <v>45020030001 - Sensibilizar y hacer seguimiento a servidores públicos para fomentar la cultura del autocontrol</v>
          </cell>
        </row>
        <row r="623">
          <cell r="A623" t="str">
            <v>45020030002 - Reforma administrativa integral diseñada, aprobada e implementada.</v>
          </cell>
        </row>
        <row r="624">
          <cell r="A624" t="str">
            <v>45020030003 - Ampliar la cobertura en el desarrollo de competencias en el talento humano de la Administración municipal en función de los procesos.</v>
          </cell>
        </row>
        <row r="625">
          <cell r="A625" t="str">
            <v>45020030004 - Clima y la cultura organizacional diagnosticado, intervenido y medido</v>
          </cell>
        </row>
        <row r="626">
          <cell r="A626" t="str">
            <v xml:space="preserve">45020030005 - Puestos de trabajo renovados en condiciones óptimas para la prestación de un servicio adecuado </v>
          </cell>
        </row>
        <row r="627">
          <cell r="A627" t="str">
            <v>45020030006 - Prueba piloto de puestos de teletrabajo implementad</v>
          </cell>
        </row>
        <row r="628">
          <cell r="A628" t="str">
            <v xml:space="preserve">45030010001 - Instancias y espacios de participación apoyados para el ejercicio de sus funciones. </v>
          </cell>
        </row>
        <row r="629">
          <cell r="A629" t="str">
            <v>45030010002 - Personas integrantes de organizaciones sociales y comunitarias e instancias de participación, de discapacidad, adultas mayores, mujeres, población con identidad y orientación sexual diversa capacitadas.</v>
          </cell>
        </row>
        <row r="630">
          <cell r="A630" t="str">
            <v>45030010003 - Personas pertenecientes a instancias de participación comunitaria de Comunas y Corregimientos, acompañados para su organización y ejercicio de sus funciones.</v>
          </cell>
        </row>
        <row r="631">
          <cell r="A631" t="str">
            <v>45030010004 - Organismos comunales en el territorio, supervisados en cumplimiento de la normatividad comunal</v>
          </cell>
        </row>
        <row r="632">
          <cell r="A632" t="str">
            <v xml:space="preserve">45030010005 - Diálogos ciudadanos en comunas y corregimientos realizados </v>
          </cell>
        </row>
        <row r="633">
          <cell r="A633" t="str">
            <v xml:space="preserve">45030010006 - Jornadas informativas y de sensibilización en democracia, mecanismos y espacios de participación realizadas con la comunidad y estudiantes de últimos grados de colegio </v>
          </cell>
        </row>
        <row r="634">
          <cell r="A634" t="str">
            <v xml:space="preserve">45030010007 - Mesas de sensibilización para la participación en la construcción de paz. </v>
          </cell>
        </row>
        <row r="635">
          <cell r="A635" t="str">
            <v>45030010008 - Política Pública de Participación Ciudadana implementada</v>
          </cell>
        </row>
        <row r="636">
          <cell r="A636" t="str">
            <v xml:space="preserve">45030010009 - Política pública para la mujer y la equidad de género evaluada y ajustada </v>
          </cell>
        </row>
        <row r="637">
          <cell r="A637" t="str">
            <v xml:space="preserve">45030010010 - Política Pública de Convivencia Familiar evaluada y ajustada </v>
          </cell>
        </row>
        <row r="638">
          <cell r="A638" t="str">
            <v xml:space="preserve">45030010011 - Política Pública Municipal de Libertad de Cultos y Conciencia y fortalecimiento de la acción social de las comunidades y organizaciones basadas en la fe, formulada </v>
          </cell>
        </row>
        <row r="639">
          <cell r="A639" t="str">
            <v>45030010012 - Organizaciones de la sociedad civil que realizan control a la gestión pública y sus resultados, capacitadas</v>
          </cell>
        </row>
        <row r="640">
          <cell r="A640" t="str">
            <v>45030010013 - Organizaciones sociales y comunitarias capacitadas en el manejo de metodologías para la formulación de presupuesto participativo</v>
          </cell>
        </row>
        <row r="641">
          <cell r="A641" t="str">
            <v xml:space="preserve">45030010014 - Comunas y corregimientos con instancias de participación social que gestionan acciones comunitarias en salud pública. </v>
          </cell>
        </row>
        <row r="642">
          <cell r="A642" t="str">
            <v>45030010015 - Sistema Municipal de Cultura funcionando</v>
          </cell>
        </row>
        <row r="643">
          <cell r="A643" t="str">
            <v xml:space="preserve">45030010016 - Política Pública Municipal de Libertad de Cultos y Conciencia y fortalecimiento de la acción social de las comunidades y organizaciones basadas en la fe, implementada </v>
          </cell>
        </row>
        <row r="644">
          <cell r="A644" t="str">
            <v>45030010017 - Eventos para la promoción de la participación ciudadana</v>
          </cell>
        </row>
      </sheetData>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ÓN"/>
    </sheetNames>
    <sheetDataSet>
      <sheetData sheetId="0">
        <row r="2">
          <cell r="A2" t="str">
            <v>41010010001 - Beneficiarios en educación inicial, en el marco de la atención integral con enfoque diverso, diferencial y de género</v>
          </cell>
          <cell r="F2" t="str">
            <v>41050020011-0101   A diciembre de 2019, se han vinculado en iniciación artística 1200 personas de los diferentes grupos poblacionales.</v>
          </cell>
        </row>
        <row r="3">
          <cell r="F3" t="str">
            <v>41050020012-0102   A diciembre de 2019, se ha fortalecido la formación artística de 1600 personas de diferentes grupos poblacionales.</v>
          </cell>
        </row>
        <row r="4">
          <cell r="F4" t="str">
            <v>44030010010-0103   A diciembre de 2019, 200 personas de grupos vulnerables han participado de actividades de turismo de naturaleza en la zona rural del municipio</v>
          </cell>
        </row>
        <row r="5">
          <cell r="F5" t="str">
            <v>41010020001-0104   A diciembre de 2019, se han vinculado 2000 niños, niñas y adolescentes en procesos de iniciación deportiva._x000D__x000D_</v>
          </cell>
        </row>
        <row r="6">
          <cell r="F6" t="str">
            <v>41050020015-0105   A diciembre de 2019, se han realizado 4 encuentros artísticos intercolegiados _x000D_</v>
          </cell>
        </row>
        <row r="7">
          <cell r="F7" t="str">
            <v>41050010007-0106   A diciembre de 2019, se han realizado 4 juegos deportivos tradicionales y no tradicionales _x000D_</v>
          </cell>
        </row>
        <row r="8">
          <cell r="F8" t="str">
            <v>41010020002-0107   A diciembre de 2019, se han realizado 4 juegos deportivos intercolegiados</v>
          </cell>
        </row>
        <row r="9">
          <cell r="F9" t="str">
            <v>42030010008-0108   A diciembre de 2019, se ha promovido el desarrollo de valores al interior de la familia a 150 personas, que incluye 4 jornadas lúdicas recreativas en los barrios seleccionados_x000D_</v>
          </cell>
        </row>
        <row r="10">
          <cell r="F10" t="str">
            <v>41040030004-0109   A diciembre de 2019, se han realizado 4 estudios y diseños para intervenir las sedes educativas de la comuna</v>
          </cell>
        </row>
        <row r="11">
          <cell r="F11" t="str">
            <v>41040030004-0110   A diciembre de 2019, se han realizado 12 intervenciones (mantenimiento, adecuación y/o construcción de espacios, previo concepto técnico) en las sedes educativas de la comuna._x000D_</v>
          </cell>
        </row>
        <row r="12">
          <cell r="F12" t="str">
            <v>41040030007-0111   A diciembre de 2019, se ha realizado la dotación de 12 sedes educativas. _x000D__x000D_</v>
          </cell>
        </row>
        <row r="13">
          <cell r="F13" t="str">
            <v>42030020014-0112   A diciembre de 2019, se ha recuperado ambiental y paisajísticamente 12 zonas blandas de separadores viales, parques y zonas verdes, con empoderamiento de la comunidad._x000D_</v>
          </cell>
        </row>
        <row r="14">
          <cell r="F14" t="str">
            <v>42030020014-0113   A diciembre de 2019, se han ejecutado 4 eventos de recreación en cada una de las zonas recuperadas, para generar cultura ciudadana._x000D__x000D__x000D_</v>
          </cell>
        </row>
        <row r="15">
          <cell r="F15" t="str">
            <v>42030020014-0114   A diciembre de 2019, se han realizado 4 estrategias artísticas y culturales la cultura se toma tu comuna, promoviendo sentido de pertenencia en las zonas recuperadas_x000D_</v>
          </cell>
        </row>
        <row r="16">
          <cell r="F16" t="str">
            <v>42010040003-0115   A diciembre de 2019, se ha realizado el mantenimiento de 1 kilómetro lineal de vía en la comuna, previo concepto de viabilidad técnica._x000D_</v>
          </cell>
        </row>
        <row r="17">
          <cell r="F17" t="str">
            <v>42010040002-0116   A diciembre de 2019, se han construido 0,1 kilómetro lineales de pavimento, previo concepto de viabilidad técnica</v>
          </cell>
        </row>
        <row r="18">
          <cell r="F18" t="str">
            <v>42010010006-0117   A diciembre de 2019, se ha realizado el mantenimiento y/o construcción de 1500 metros cuadrados de andén, previo concepto de viabilidad técnica y esquema básico</v>
          </cell>
        </row>
        <row r="19">
          <cell r="F19" t="str">
            <v>42010010003-0118   A diciembre de 2019, se ha realizado el mantenimiento y adecuación de 4 puentes peatonales, previo concepto de viabilidad técnica_x000D__x000D_</v>
          </cell>
        </row>
        <row r="20">
          <cell r="F20" t="str">
            <v>42010010006-0119   A diciembre de 2019, se han construido 500 metros cuadrados de grada andén en la comunas, previo concepto de viabilidad técnica</v>
          </cell>
        </row>
        <row r="21">
          <cell r="F21" t="str">
            <v>42030040005-0120   A diciembre de 2019, se ha construido 1 escenario deportivo y recreativo, siempre y cuando existan lotes de propiedad del municipio que se puedan utilizar para esta actividad_x000D_</v>
          </cell>
        </row>
        <row r="22">
          <cell r="F22" t="str">
            <v>42030040006-0121   A diciembre de 2019, se ha realizado la adecuación o mantenimiento de 12 escenarios deportivos y recreativos.</v>
          </cell>
        </row>
        <row r="23">
          <cell r="F23" t="str">
            <v>42030040007-0122   A diciembre de 2019, se ha realizado mantenimiento y adecuación 4 equipamientos culturales._x000D_</v>
          </cell>
        </row>
        <row r="24">
          <cell r="F24" t="str">
            <v>41010010005-0123   A diciembre de 2019, se han adecuado 2 equipamientos recreativos para la primera infancia en el marco de la Política Nacional de Cero a Siempre_x000D__x000D_</v>
          </cell>
        </row>
        <row r="25">
          <cell r="F25" t="str">
            <v>42030040004-0124   A diciembre de 2019, se ha realizado la adecuación del CALI 1, que posibilite la participación comunitaria en diferentes procesos. _x000D_</v>
          </cell>
        </row>
        <row r="26">
          <cell r="F26" t="str">
            <v>43010010009-0201   A diciembre de 2019, se ha constituido y capacitado 1 comité de vecinos para la convivencia para la comuna 2 y dotado los barrios de la comuna con 16 sistemas de alerta y monitoreo</v>
          </cell>
        </row>
        <row r="27">
          <cell r="F27" t="str">
            <v>41010030006-0202   A diciembre de 2019, se han formado 160 padres, madres, cuidadores y cabeza de hogar, en pautas de crianza para el desarrollo de competencias para la convivencia, el autocuidado y la prevención del consumo de SPA y el uso inadecuado del</v>
          </cell>
        </row>
        <row r="28">
          <cell r="F28" t="str">
            <v>41010030005-0203   A diciembre de 2019, han participado 100 personas de organizaciones comunitarias en estrategias pedagógicas orientadas a promover el respeto a la diversidad, el desarrollo de competencias para la convivencia, el autocuidado, la prevenci</v>
          </cell>
        </row>
        <row r="29">
          <cell r="F29" t="str">
            <v>42030020014-0204   A diciembre de 2019, se ha recuperado ambiental y paisajísticamente 12 zonas blandas de separadores viales, parques y zonas verdes, con empoderamiento de la comunidad a través de estrategias lúdicas y artísticas._x000D_</v>
          </cell>
        </row>
        <row r="30">
          <cell r="F30" t="str">
            <v>42050030005-0205   A diciembre de 2019, se han capacitado 100 personas en prevención de emergencias por fenómenos naturales y antrópicos_x000D_</v>
          </cell>
        </row>
        <row r="31">
          <cell r="F31" t="str">
            <v>41010020001-0206   A diciembre de 2019, se han vinculado 4000 niños, niñas y adolescentes en procesos de iniciación deportiva _x000D_</v>
          </cell>
        </row>
        <row r="32">
          <cell r="F32" t="str">
            <v>41020010010-0207   A diciembre de 2019, se han beneficiado 100 personas en situación de discapacidad, a través de la realización de 2 juegos deportivos y recreativos tradicionales y no tradicionales _x000D_</v>
          </cell>
        </row>
        <row r="33">
          <cell r="F33" t="str">
            <v>41010020002-0208   A diciembre de 2019, se han realizado 2 juegos deportivos intercolegiados _x000D_</v>
          </cell>
        </row>
        <row r="34">
          <cell r="F34" t="str">
            <v>42030040005-0209   A diciembre de 2019, se ha construido 1 equipamiento deportivo y recreativo, siempre y cuando existan lotes de propiedad del municipio que se puedan utilizar para esta actividad_x000D_</v>
          </cell>
        </row>
        <row r="35">
          <cell r="F35" t="str">
            <v>42030040006-0210   A diciembre de 2019, se ha realizado la adecuación o mantenimiento de 12 escenarios deportivos y recreativos en la comuna_x000D_</v>
          </cell>
        </row>
        <row r="36">
          <cell r="F36" t="str">
            <v>41010010005-0211   A diciembre de 2019, se ha adecuado 1 equipamiento recreativo para la primera infancia en el marco de la Política Nacional de Cero a Siempre_x000D_</v>
          </cell>
        </row>
        <row r="37">
          <cell r="F37" t="str">
            <v>44030010010-0212   A diciembre de 2019, 160 personas de grupos vulnerables han participado de actividades de turismo de naturaleza en la zona rural del municipio</v>
          </cell>
        </row>
        <row r="38">
          <cell r="F38" t="str">
            <v>41010040005-0213   A diciembre de 2019, se han vinculado 200 adultos mayores en actividades que promueven el estilo de vida saludable, autocuidado y acondicionamiento físico._x000D_</v>
          </cell>
        </row>
        <row r="39">
          <cell r="F39" t="str">
            <v>41010040004-0214   A diciembre de 2019, se han realizado 1 encuentro intergeneracional._x000D_</v>
          </cell>
        </row>
        <row r="40">
          <cell r="F40" t="str">
            <v>41040030004-0215   A diciembre de 2019, se han realizado 2 estudios y diseños para intervenir las sedes educativas de la comuna_x000D_</v>
          </cell>
        </row>
        <row r="41">
          <cell r="F41" t="str">
            <v>41040030004-0216   A diciembre de 2019, se han realizado 2 intervenciones (mantenimientos, adecuaciones y/o construcción de espacios, previo concepto técnico) en las sedes educativas de la comuna_x000D_</v>
          </cell>
        </row>
        <row r="42">
          <cell r="F42" t="str">
            <v>41040030007-0217   A diciembre de 2019, se ha realizado la dotación de 1 sede educativa _x000D_</v>
          </cell>
        </row>
        <row r="43">
          <cell r="F43" t="str">
            <v>42010040003-0218   A diciembre de 2019, se ha realizado el mantenimiento 1,5 kilómetros lineales de vía en la comuna, previo concepto de viabilidad técnica_x000D_</v>
          </cell>
        </row>
        <row r="44">
          <cell r="F44" t="str">
            <v>42010040002-0219   A diciembre de 2019, se han construido 0,2 kilómetros lineales de pavimento, previo concepto de viabilidad técnica_x000D_</v>
          </cell>
        </row>
        <row r="45">
          <cell r="F45" t="str">
            <v>42010010006-0220   A diciembre de 2019, se han construido 500 metros cuadrados de andén, previo concepto de viabilidad técnica y esquema básico_x000D_</v>
          </cell>
        </row>
        <row r="46">
          <cell r="F46" t="str">
            <v>43010010009-0301   A diciembre de 2019, se han constituido y capacitado 36 comités de vecinos para la convivencia y dotado los barrios de la comuna con 60 sistemas de alerta y monitoreo.</v>
          </cell>
        </row>
        <row r="47">
          <cell r="F47" t="str">
            <v>41010030006-0302   A diciembre de 2019, se han formado 1800 padres, madres, cuidadores y cabeza de hogar, en pautas de crianza para el desarrollo de competencias para la convivencia, el autocuidado y la prevención del consumo de SPA y el uso inadecuado de</v>
          </cell>
        </row>
        <row r="48">
          <cell r="F48" t="str">
            <v>41010030005-0303   A diciembre de 2019, han participado 150 personas de organizaciones comunitarias y Red del Buen Trato en estrategias pedagógicas orientadas a promover el respeto a la diversidad, el desarrollo de competencias para la convivencia, el aut</v>
          </cell>
        </row>
        <row r="49">
          <cell r="F49" t="str">
            <v>42010040003-0304   A diciembre de 2019, se ha realizado el mantenimiento de 1,5 kilómetros lineales de vía en la comuna, previo concepto de viabilidad técnica</v>
          </cell>
        </row>
        <row r="50">
          <cell r="F50" t="str">
            <v>42010010006-0305   A diciembre de 2019, se han construido 500 metros cuadrados de andén, previo concepto de viabilidad técnica y esquema básico_x000D_</v>
          </cell>
        </row>
        <row r="51">
          <cell r="F51" t="str">
            <v>42030020014-0306   A diciembre de 2019, se ha recuperado ambiental y paisajísticamente, 32 zonas blandas de separadores viales, parques y zonas verdes, con empoderamiento de la comunidad</v>
          </cell>
        </row>
        <row r="52">
          <cell r="F52" t="str">
            <v>42030020014-0307   A diciembre de 2019, se han ejecutado 4 eventos de recreación en cada una de las zonas recuperadas, para generar cultura ciudadana</v>
          </cell>
        </row>
        <row r="53">
          <cell r="F53" t="str">
            <v>42030020014-0308   A diciembre de 2019, se han realizado 6 estrategias artísticas y culturales la cultura se toma tu comuna, promoviendo sentido de pertenencia en las zonas recuperadas_x000D_</v>
          </cell>
        </row>
        <row r="54">
          <cell r="F54" t="str">
            <v>44040010001-0309   A diciembre de 2019, se han cualificado a 2500 personas vulnerables con acompañamiento, intermediación laboral y orientación ocupacional con entidades idóneas con un mínimo de capacitación 180 horas._x000D_</v>
          </cell>
        </row>
        <row r="55">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v>
          </cell>
        </row>
        <row r="56">
          <cell r="F56" t="str">
            <v>41050020011-0311   A diciembre de 2019, se han vinculado en iniciación artística 3000 personas de los diferentes grupos poblacionales._x000D_</v>
          </cell>
        </row>
        <row r="57">
          <cell r="F57" t="str">
            <v>41050020012-0312   A diciembre de 2019, se ha fortalecido la formación artística de 2500 personas de diferentes grupos poblacionales _x000D_</v>
          </cell>
        </row>
        <row r="58">
          <cell r="F58" t="str">
            <v xml:space="preserve">41010020001-0313   A diciembre de 2019, se han vinculado 4000 niños, niñas y adolescentes en procesos de iniciación y formación deportiva </v>
          </cell>
        </row>
        <row r="59">
          <cell r="F59" t="str">
            <v>41050010007-0314   A diciembre de 2019, se han realizado 4 juegos deportivos y recreativos tradicionales y no tradicionales_x000D_</v>
          </cell>
        </row>
        <row r="60">
          <cell r="F60" t="str">
            <v>41010020002-0315   A diciembre de 2019, se han realizado 4 juegos deportivos intercolegiados</v>
          </cell>
        </row>
        <row r="61">
          <cell r="F61" t="str">
            <v>41050020015-0316   A diciembre de 2019, se han realizado 6 encuentros artísticos intercolegiados _x000D_</v>
          </cell>
        </row>
        <row r="62">
          <cell r="F62" t="str">
            <v>42030040005-0317   A diciembre de 2019, se ha construido 1 escenario deportivo y recreativo, siempre y cuando existan lotes de propiedad del municipio que se puedan utilizar para esta actividad_x000D_</v>
          </cell>
        </row>
        <row r="63">
          <cell r="F63" t="str">
            <v xml:space="preserve">42030040006-0318   A diciembre de 2019, se ha realizado la adecuación o mantenimiento de 6 escenarios deportivos y recreativos </v>
          </cell>
        </row>
        <row r="64">
          <cell r="F64" t="str">
            <v>42030040007-0319   A diciembre de 2019, se ha relazado mantenimiento y adecuación 6 equipamientos culturales._x000D_</v>
          </cell>
        </row>
        <row r="65">
          <cell r="F65" t="str">
            <v>41010010005-0320   A diciembre de 2019, se ha adecuado 1 equipamiento  recreativo para la primera infancia en el marco de la Política Nacional de Cero a Siempre_x000D_</v>
          </cell>
        </row>
        <row r="66">
          <cell r="F66" t="str">
            <v>41010010007-0321   A diciembre de 2019, se ha adecuado 1 equipamiento cultural para la primera infancia en el marco de la Política Nacional de Cero a Siempre_x000D_</v>
          </cell>
        </row>
        <row r="67">
          <cell r="F67" t="str">
            <v>41040030004-0322   A diciembre de 2019, se han realizado 4 estudios y diseños para intervenir las sedes educativas de la comuna_x000D_</v>
          </cell>
        </row>
        <row r="68">
          <cell r="F68" t="str">
            <v>41040030004-0323   A diciembre de 2019, se han realizado 14 intervenciones (mantenimiento, adecuación y/o construcción de espacios, previo concepto técnico) en las sedes educativas de la comuna_x000D__x000D__x000D_</v>
          </cell>
        </row>
        <row r="69">
          <cell r="F69" t="str">
            <v>41040030007-0324   A diciembre de 2019, se ha realizado la dotación de 14 sedes educativas _x000D_</v>
          </cell>
        </row>
        <row r="70">
          <cell r="F70" t="str">
            <v>44030010010-0325   A diciembre de 2019, 400 personas de grupos vulnerables han participado de actividades de turismo de naturaleza en la zona rural del municipio_x000D_</v>
          </cell>
        </row>
        <row r="71">
          <cell r="F71" t="str">
            <v>42030040001-0326   A diciembre de 2019, se ha realizado el mantenimiento y adecuación de 5 sedes comunales_x000D_</v>
          </cell>
        </row>
        <row r="72">
          <cell r="F72" t="str">
            <v>42030040004-0327   A diciembre de 2019, se han realizado 4 intervenciones para ejecutar el mantenimiento y adecuación del CALI _x000D_</v>
          </cell>
        </row>
        <row r="73">
          <cell r="F73" t="str">
            <v>41050020005-0328   A diciembre de 2019, se han realizado 4 estrategias de difusión a través actividades lúdicas, artísticas y culturales que permitan el reconocimiento del patrimonio cultural de la comuna.</v>
          </cell>
        </row>
        <row r="74">
          <cell r="F74" t="str">
            <v>41050020005-0329   A diciembre de 2019, han participado 1000 personas de diferentes grupos poblacionales en encuentros intergeneracionales para la recuperación de la tradición oral y la memoria cultural de la comuna</v>
          </cell>
        </row>
        <row r="75">
          <cell r="F75" t="str">
            <v>41050020005-0330   A diciembre de 2019, se han capacitado 200 personas en talleres sobre la conservación y preservación del patrimonio cultural de la comuna</v>
          </cell>
        </row>
        <row r="76">
          <cell r="F76" t="str">
            <v>43010010009-0401   A diciembre de 2019, se han constituido y capacitado de 10 comités de vecinos para la convivencia y dotado los barrios de la comuna con 28 sistemas de alerta y monitoreo.</v>
          </cell>
        </row>
        <row r="77">
          <cell r="F77" t="str">
            <v>41010030006-0402   A diciembre de 2019, se han formado 200 padres, madres, cuidadores y cabeza de hogar, en pautas de crianza para el desarrollo de competencias para la convivencia, el autocuidado y la prevención del consumo de SPA y alcohol.</v>
          </cell>
        </row>
        <row r="78">
          <cell r="F78" t="str">
            <v>41010030005-0403   A diciembre de 2019, han participado 100 personas de organizaciones comunitarias y Red del Buen Trato en estrategias pedagógicas orientadas a promover el respeto a la diversidad, el desarrollo de competencias para la convivencia, el aut</v>
          </cell>
        </row>
        <row r="79">
          <cell r="F79" t="str">
            <v>41040030004-0404   A diciembre de 2019, se han realizado 3 estudios y diseños para intervenir las sedes educativas de la comuna_x000D_</v>
          </cell>
        </row>
        <row r="80">
          <cell r="F80" t="str">
            <v>41040030004-0405   A diciembre de 2019, se han realizado 3 intervenciones (mantenimiento, adecuación y/o construcción de espacios, previo concepto técnico) en las sedes educativas de la comuna_x000D__x000D_</v>
          </cell>
        </row>
        <row r="81">
          <cell r="F81" t="str">
            <v>42030020014-0406   A diciembre de 2019, se ha recuperado ambiental y paisajísticamente 10 zonas blandas de separadores viales, parques y zonas verdes, con empoderamiento de la comunidad_x000D_</v>
          </cell>
        </row>
        <row r="82">
          <cell r="F82" t="str">
            <v>42030020014-0407   A diciembre de 2019, se han ejecutado 2 eventos de recreación en cada una de las zonas recuperadas, para generar cultura ciudadana</v>
          </cell>
        </row>
        <row r="83">
          <cell r="F83" t="str">
            <v>42030020014-0408   A diciembre de 2019, se han realizado 4 estrategias artísticas y culturales "la cultura se toma tu comuna", promoviendo sentido de pertenencia en las zonas recuperadas._x000D_</v>
          </cell>
        </row>
        <row r="84">
          <cell r="F84" t="str">
            <v>41050020011-0409   A diciembre de 2019, se han vinculado en iniciación artística 300 personas de los diferentes grupos poblacionales.</v>
          </cell>
        </row>
        <row r="85">
          <cell r="F85" t="str">
            <v>41050020012-0410   A diciembre de 2019, se ha fortalecido la formación artística de 4000 personas de diferentes grupos poblacionales._x000D_</v>
          </cell>
        </row>
        <row r="86">
          <cell r="F86" t="str">
            <v>44030010010-0411   A diciembre de 2019, 140 personas de grupos vulnerables han participado de actividades de turismo de naturaleza en la zona rural del municipio_x000D_</v>
          </cell>
        </row>
        <row r="87">
          <cell r="F87" t="str">
            <v>41010020001-0412   A diciembre de 2019, se han vinculado 2000 niños, niñas y adolescentes en procesos de iniciación deportiva _x000D_</v>
          </cell>
        </row>
        <row r="88">
          <cell r="F88" t="str">
            <v>41050010007-0413   A diciembre de 2019, se han realizado 2 juegos deportivos y recreativos tradicionales y no tradicionales _x000D_</v>
          </cell>
        </row>
        <row r="89">
          <cell r="F89" t="str">
            <v>42030040005-0414   A diciembre de 2019, se ha construido 1 equipamiento deportivo y recreativo, siempre y cuando existan lotes de propiedad del municipio que se puedan utilizar para esta actividad.</v>
          </cell>
        </row>
        <row r="90">
          <cell r="F90" t="str">
            <v>42030040006-0415   A diciembre de 2019, se ha realizado la adecuación o mantenimiento de 12 equipamientos deportivos y recreativos en la comuna_x000D_</v>
          </cell>
        </row>
        <row r="91">
          <cell r="F91" t="str">
            <v>41010010005-0416   A Diciembre de 2019 se ha adecuado 1 equipamiento deportivo, recreativo para la primera infacia en el marco de la Política Nacional de Cero a Siempre</v>
          </cell>
        </row>
        <row r="92">
          <cell r="F92" t="str">
            <v>41010010007-0417   A Diciembre de 2019 se ha adecuado 1 equipamiento cultural para la primera infacia en el marco de la Política Nacional de Cero a Siempre</v>
          </cell>
        </row>
        <row r="93">
          <cell r="F93" t="str">
            <v>44040010001-0418   A diciembre de 2019, se han cualificado a 2500 personas vulnerables con acompañamiento, intermediación laboral y orientación ocupacional con entidades idóneas con un mínimo de capacitación 180 horas._x000D_</v>
          </cell>
        </row>
        <row r="94">
          <cell r="F94" t="str">
            <v>44010010002-0419   A diciembre de 2019, se han cualificado a 200 personas vulnerables para el emprendimiento con entidades idóneas y con acompañamiento y asistencia técnica en mercadeo, componente administrativo y contable y articulación con la economía f</v>
          </cell>
        </row>
        <row r="95">
          <cell r="F95" t="str">
            <v>44010010003-0420   A diciembre de 2019, se ha realizado 1 feria empresarial con muestras de iniciativas de emprendimiento de los habitantes de la comuna._x000D_</v>
          </cell>
        </row>
        <row r="96">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F97" t="str">
            <v>45030010003-0422   A diciembre de 2019, se han capacitado 100 personas pertenecientes a grupos vulnerables para su organización y participación en las diferentes instancias de decisión local</v>
          </cell>
        </row>
        <row r="98">
          <cell r="F98" t="str">
            <v>42030040001-0423   A diciembre de 2019, se ha realizado el mantenimiento y adecuación de 9 sedes comunales_x000D_</v>
          </cell>
        </row>
        <row r="99">
          <cell r="F99" t="str">
            <v>43010010009-0501   A diciembre de 2019, se han constituido y capacitado 48 comités de vecinos para la convivencia y dotado los barrios de la comuna con 12 sistemas de alerta y monitoreo.</v>
          </cell>
        </row>
        <row r="100">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v>
          </cell>
        </row>
        <row r="101">
          <cell r="F101" t="str">
            <v xml:space="preserve">41010030005-0503   A diciembre de 2019, han participado de 100 personas de organizaciones comunitarias y Red del Buen Trato en estrategias pedagógicas orientadas a promover el respeto a la diversidad, el desarrollo de competencias para la convivencia, el </v>
          </cell>
        </row>
        <row r="102">
          <cell r="F102" t="str">
            <v>41040030004-0504   A diciembre de 2019, se han realizado 2 estudios y diseños para intervenir las sedes educativas de la comuna_x000D_</v>
          </cell>
        </row>
        <row r="103">
          <cell r="F103" t="str">
            <v>41040030004-0505   A diciembre de 2019, se han realizado 2 intervenciones (mantenimiento, adecuación y/o construcción de espacios, previo concepto técnico) en las sedes educativas de la comuna</v>
          </cell>
        </row>
        <row r="104">
          <cell r="F104" t="str">
            <v>42030020014-0506   A diciembre de 2019, se ha recuperado ambiental y paisajísticamente 28 zonas blandas de separadores viales, parques y zonas verdes, con empoderamiento de la comunidad, a través de estrategias artísticas o lúdicas que permitan la apropia</v>
          </cell>
        </row>
        <row r="105">
          <cell r="F105" t="str">
            <v>41010020001-0507   A diciembre de 2019, se han vinculado 1400 niños, niñas y adolescentes en procesos de iniciación deportiva_x000D_</v>
          </cell>
        </row>
        <row r="106">
          <cell r="F106" t="str">
            <v>44030010010-0508   A diciembre de 2019, 120 personas de grupos vulnerables han participado de actividades de turismo de naturaleza en la zona rural del municipio_x000D_</v>
          </cell>
        </row>
        <row r="107">
          <cell r="F107" t="str">
            <v>41050010007-0509   A diciembre de 2019, se han realizado 4 juegos deportivos tradicionales y no tradicionales en la comuna_x000D_</v>
          </cell>
        </row>
        <row r="108">
          <cell r="F108" t="str">
            <v>41010020002-0510   A diciembre de 2019, se han realizado 4 juegos deportivos intercolegiados _x000D_</v>
          </cell>
        </row>
        <row r="109">
          <cell r="F109" t="str">
            <v>42030040005-0511   A diciembre de 2019, se han construido 2 escenarios deportivos y recreativos en la comuna siempre y cuando existan lotes de propiedad del municipio que se puedan utilizar para esta actividad._x000D__x000D_</v>
          </cell>
        </row>
        <row r="110">
          <cell r="F110" t="str">
            <v>42030040006-0512   A diciembre de 2019, se ha realizado la adecuación o mantenimiento de 50 escenarios deportivos y recreativos en la comuna_x000D_</v>
          </cell>
        </row>
        <row r="111">
          <cell r="F111" t="str">
            <v>41010010005-0513   A diciembre de 2019, se han adecuado 4 equipamientos recreativos para la primera infancia en el marco de la Política Nacional de Cero a Siempre_x000D__x000D_</v>
          </cell>
        </row>
        <row r="112">
          <cell r="F112" t="str">
            <v>42030040004-0514   A diciembre de 2019, se ha adecuado el CALI 5 para facilitar la accesibilidad y participación de las personas vulnerables._x000D_</v>
          </cell>
        </row>
        <row r="113">
          <cell r="F113" t="str">
            <v>42030040001-0515   A diciembre de 2019, se han adecuado 5 equipamientos públicos comunitarios (sedes comunales) para facilitar la accesibilidad y la participación de las personas vulnerables. _x000D_</v>
          </cell>
        </row>
        <row r="114">
          <cell r="F114" t="str">
            <v>41020010003-0516   A diciembre de 2019, se ha realizado la instalación de señalética en braile y formatos de fácil lectura y comprensión en el CALI 5_x000D_</v>
          </cell>
        </row>
        <row r="115">
          <cell r="F115" t="str">
            <v>41010040003-0517   A diciembre de 2019, se ha realizado formación en el cuidado, manejo, proyecto de vida y derechos a 150 cuidadores de personas con discapacidad y adultos mayores._x000D_</v>
          </cell>
        </row>
        <row r="116">
          <cell r="F116" t="str">
            <v>41010040005-0518   A diciembre de 2019, se han vinculado 400 adultos mayores en actividades que promueven el estilo de vida saludable, autocuidado y acondicionamiento físico._x000D_</v>
          </cell>
        </row>
        <row r="117">
          <cell r="F117" t="str">
            <v>41010040004-0519   A diciembre de 2019, se han realizado 4 encuentros intergeneracionales._x000D_</v>
          </cell>
        </row>
        <row r="118">
          <cell r="F118" t="str">
            <v>44040010001-0520   A diciembre de 2019, se han cualificado a 320 personas vulnerables con acompañamiento, intermediación laboral y orientación ocupacional con entidades idóneas con un mínimo de capacitación 180 horas._x000D_</v>
          </cell>
        </row>
        <row r="119">
          <cell r="F119" t="str">
            <v>44010010002-0521   A diciembre de 2019, se han cualificado a 100 personas vulnerables para el emprendimiento con entidades idóneas y con acompañamiento y asistencia técnica en mercadeo, componente administrativo y contable y articulación con la economía f</v>
          </cell>
        </row>
        <row r="120">
          <cell r="F120" t="str">
            <v>41050020011-0522   A diciembre de 2019, se han capacitado en iniciación artística 400 personas de diferentes grupos poblacionales_x000D_</v>
          </cell>
        </row>
        <row r="121">
          <cell r="F121" t="str">
            <v>41050020012-0523   A diciembre de 2019, se ha fortalecido la formación artística de 800 personas de diferentes grupos poblacionales_x000D_</v>
          </cell>
        </row>
        <row r="122">
          <cell r="F122" t="str">
            <v>41050020005-0524   A diciembre de 2019, se han realizado 4 eventos artísticos y culturales para promover la identidad y vocación cultural de la comuna_x000D_</v>
          </cell>
        </row>
        <row r="123">
          <cell r="F123" t="str">
            <v>41010040011-0525   A diciembre de 2019, se han realizado 4 eventos del carnaval del adulto mayor , en el marco legal del mes del adulto mayor</v>
          </cell>
        </row>
        <row r="124">
          <cell r="F124" t="str">
            <v>42030040007-0526   A diciembre de 2019, se han realizado el mantenimiento de 1 biblioteca pública comunitaria de propiedad del municipio._x000D_</v>
          </cell>
        </row>
        <row r="125">
          <cell r="F125" t="str">
            <v>43010010009-0601   A diciembre de 2019, se han constituido y capacitado de 5 comités de vecinos para la convivencia y dotado los barrios de a comuna con 25 sistemas de alerta y monitoreo</v>
          </cell>
        </row>
        <row r="126">
          <cell r="F126" t="str">
            <v>41010030005-0602   A diciembre de 2019, se han formado 200 padres, madres, cuidadores y cabeza de hogar, en pautas de crianza para el desarrollo de competencias para la convivencia, el autocuidado y la prevención del consumo de SPA y alcohol. _x000D_</v>
          </cell>
        </row>
        <row r="127">
          <cell r="F127" t="str">
            <v>41010030005-0603   A diciembre de 2019, han participado 400 personas de organizaciones comunitarias y Red del Buen Trato en estrategias pedagógicas orientadas a promover el respeto a la diversidad, el desarrollo de competencias para la convivencia, el aut</v>
          </cell>
        </row>
        <row r="128">
          <cell r="F128" t="str">
            <v xml:space="preserve">41010020011-0604   A diciembre de 2019, 200 adolescentes y jóvenes vinculados a factores de riesgo, participan de procesos culturales </v>
          </cell>
        </row>
        <row r="129">
          <cell r="F129" t="str">
            <v xml:space="preserve">41010020001-0605   A diciembre de 2019, 200 adolescentes y jóvenes vinculados a factores de riesgo, participan de procesos deportivos </v>
          </cell>
        </row>
        <row r="130">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v>
          </cell>
        </row>
        <row r="131">
          <cell r="F131" t="str">
            <v>42030020014-0607   A diciembre de 2019, se ha recuperado ambiental y paisajísticamente, 30 zonas blandas de separadores viales, parques y zonas verdes, con empoderamiento de la comunidad</v>
          </cell>
        </row>
        <row r="132">
          <cell r="F132" t="str">
            <v>42030020014-0608   A diciembre de 2019, se ha ejecutado 1 evento de recreación en cada una de las zonas recuperadas, para generar cultura ciudadana</v>
          </cell>
        </row>
        <row r="133">
          <cell r="F133" t="str">
            <v>42030020014-0609   A diciembre de 2019, se han realizado 6 estrategias artísticas y culturales "la cultura se toma tu comuna", promoviendo sentido de pertenencia en las zonas recuperadas</v>
          </cell>
        </row>
        <row r="134">
          <cell r="F134" t="str">
            <v>41040030004-0610   A diciembre de 2019, se han realizado 8 estudios y diseños para intervenir las sedes educativas de la comuna</v>
          </cell>
        </row>
        <row r="135">
          <cell r="F135" t="str">
            <v>41040030004-0611   A diciembre de 2019, se han realizado 11 intervenciones (mantenimiento, adecuación y/o construcción de espacios, previo concepto técnico) en las sedes educativas de la comuna</v>
          </cell>
        </row>
        <row r="136">
          <cell r="F136" t="str">
            <v xml:space="preserve">41040030007-0612   A diciembre de 2019, se ha realizado la dotación de 11 sedes educativas </v>
          </cell>
        </row>
        <row r="137">
          <cell r="F137" t="str">
            <v>41050020011-0613   A diciembre de 2019, se han vinculado en iniciación artística 600 personas de los diferentes grupos poblacionales.</v>
          </cell>
        </row>
        <row r="138">
          <cell r="F138" t="str">
            <v xml:space="preserve">41050020012-0614   A diciembre de 2019, se ha fortalecido la formación artística de 1500 personas de diferentes grupos poblacionales </v>
          </cell>
        </row>
        <row r="139">
          <cell r="F139" t="str">
            <v xml:space="preserve">41010020001-0615   A diciembre de 2019, se han vinculado 5000 niños, niñas y adolescentes en procesos de iniciación deportiva </v>
          </cell>
        </row>
        <row r="140">
          <cell r="F140" t="str">
            <v>44030010010-0616   A diciembre de 2019, 400 personas de grupos vulnerables han participado de actividades de turismo de naturaleza en la zona rural del municipio</v>
          </cell>
        </row>
        <row r="141">
          <cell r="F141" t="str">
            <v>41050010007-0617   A diciembre de 2019, se han realizado 4 juegos deportivos y recreativos tradicionales y no tradicionales_x000D_</v>
          </cell>
        </row>
        <row r="142">
          <cell r="F142" t="str">
            <v>41010020002-0618   A diciembre de 2019, se han realizado 2 juegos deportivos intercolegiados</v>
          </cell>
        </row>
        <row r="143">
          <cell r="F143" t="str">
            <v>41050020015-0619   A diciembre de 2019, se han realizado 2 encuentros artísticos intercolegiados _x000D_</v>
          </cell>
        </row>
        <row r="144">
          <cell r="F144" t="str">
            <v>42030040005-0620   A diciembre de 2019, se han construido 4 escenarios deportivos y recreativos en la comuna, siempre y cuando existan lotes de propiedad del municipio que se puedan utilizar para esta actividad._x000D_</v>
          </cell>
        </row>
        <row r="145">
          <cell r="F145" t="str">
            <v>42030040006-0621   A diciembre de 2019, se ha realizado la adecuación o mantenimiento de 30 escenario deportivos y recreativos en la comuna</v>
          </cell>
        </row>
        <row r="146">
          <cell r="F146" t="str">
            <v>42030040007-0622   A diciembre de 2019, se ha realizado mantenimiento y adecuación 4 equipamientos culturales.</v>
          </cell>
        </row>
        <row r="147">
          <cell r="F147" t="str">
            <v>41010010005-0623   A diciembre de 2019, se han adecuado 2 equipamientos recreativos para la primera infancia en el marco de la Política Nacional de Cero a Siempre</v>
          </cell>
        </row>
        <row r="148">
          <cell r="F148" t="str">
            <v>41010010007-0624   A diciembre de 2019, se ha adecuado 1 equipamiento cultural para la primera infancia en el marco de la Política Nacional de Cero a Siempre</v>
          </cell>
        </row>
        <row r="149">
          <cell r="F149" t="str">
            <v>44040010001-0625   A diciembre de 2019, se han cualificado a 400 personas, con acompañamiento, intermediación laboral y orientación ocupacional con entidades idóneas con un mínimo de capacitación 180 horas.</v>
          </cell>
        </row>
        <row r="150">
          <cell r="F150" t="str">
            <v>44010010002-0626   A diciembre de 2019, se han cualificado a 400 personas para el emprendimiento con entidades idóneas y con acompañamiento y asistencia técnica en mercadeo, componente administrativo y contable y articulación con la economía formal con un</v>
          </cell>
        </row>
        <row r="151">
          <cell r="F151" t="str">
            <v>42010040003-0627   A diciembre de 2019, se ha realizado el mantenimiento de 1,5 kilómetros  lineales de vía en la comuna, previo concepto de viabilidad técnica</v>
          </cell>
        </row>
        <row r="152">
          <cell r="F152" t="str">
            <v>42010040002-0628   A diciembre de 2019, se han construido 0,5 kilómetros lineales de pavimento, previo concepto de viabilidad técnica</v>
          </cell>
        </row>
        <row r="153">
          <cell r="F153" t="str">
            <v>42010010006-0629   A diciembre de 2019, se ha realizado el mantenimiento y/o construcción de 500 metros cuadrados de andén, previo concepto de viabilidad técnica y esquema básico</v>
          </cell>
        </row>
        <row r="154">
          <cell r="F154" t="str">
            <v>42010010003-0630   A diciembre de 2019, se han realizado el mantenimiento a 4 puentes peatonales, previo concepto de viabilidad técnica</v>
          </cell>
        </row>
        <row r="155">
          <cell r="F155" t="str">
            <v>43010010009-0701   A diciembre de 2019, se han constituido y capacitado 5 comités de vecinos para la convivencia y dotado los barrios de la comuna con 5 sistema de alarma y monitoreo</v>
          </cell>
        </row>
        <row r="156">
          <cell r="F156" t="str">
            <v xml:space="preserve">41010030006-0702   A diciembre de 2019, se han capacitado 300 personas en convivencia, en violencia familiar y sexual </v>
          </cell>
        </row>
        <row r="157">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F158" t="str">
            <v>41010030005-0704   A diciembre de 2019, han participado 400 personas de organizaciones comunitarias y Red de Buen Trato en estrategias pedagógicas orientadas a promover el respeto a la diversidad, el desarrollo de competencias para la convivencia, el auto</v>
          </cell>
        </row>
        <row r="159">
          <cell r="F159" t="str">
            <v>43010010003-0705   A diciembre de 2019, se ha realizado mantenimiento o adecuación a la estación de policía para facilitar la accesibilidad de las personas vulnerables.</v>
          </cell>
        </row>
        <row r="160">
          <cell r="F160" t="str">
            <v>41020010003-0706   A diciembre de 2019, se ha adecuado la instalación del CALI con señalética en braile y formatos de fácil lectura y comprensión</v>
          </cell>
        </row>
        <row r="161">
          <cell r="F161" t="str">
            <v>42010010006-0707   A diciembre de 2019, se han reparado 500 metros cuadrados de andenes en la comuna 7 previo concepto de viabilidad técnica.</v>
          </cell>
        </row>
        <row r="162">
          <cell r="F162" t="str">
            <v>42010040003-0708   A diciembre de 2019, se ha realizado el mantenimiento a 0,8 kilómetros lineales en vías de la comuna 7 previo concepto de viabilidad técnica y esquema básico.</v>
          </cell>
        </row>
        <row r="163">
          <cell r="F163" t="str">
            <v>41010040003-0709   A diciembre de 2019, se ha realizado formación en el cuidado, manejo, proyecto de vida, y derechos a 600 cuidadores de personas con discapacidad y adultos mayores</v>
          </cell>
        </row>
        <row r="164">
          <cell r="F164" t="str">
            <v>41010040005-0710   A diciembre de 2019, se han vinculado 500 adultos mayores en actividades que promueven el estilo de vida saludable, auto cuidado y acondicionamiento físico.</v>
          </cell>
        </row>
        <row r="165">
          <cell r="F165" t="str">
            <v>41010040004-0711   A diciembre de 2019, se han realizado 4 encuentros intergeneracionales.</v>
          </cell>
        </row>
        <row r="166">
          <cell r="F166" t="str">
            <v>41010040007-0712   A diciembre de 2019, se han realizado 4 juegos deportivos y recreativos para personas con discapacidad y adultos mayores</v>
          </cell>
        </row>
        <row r="167">
          <cell r="F167" t="str">
            <v>44040010001-0713   A diciembre de 2019, se han cualificado a 1000 personas vulnerables con acompañamiento, intermediación laboral y orientación ocupacional con entidades idóneas con un mínimo de capacitación 180 horas.</v>
          </cell>
        </row>
        <row r="168">
          <cell r="F168" t="str">
            <v xml:space="preserve">44010010002-0714   A diciembre de 2019, se han cualificado a 1000 personas vulnerables para el emprendimiento con entidades idóneas y con acompañamiento y asistencia técnica en mercadeo, componente administrativo y contable y articulación con la economía </v>
          </cell>
        </row>
        <row r="169">
          <cell r="F169" t="str">
            <v xml:space="preserve">41010020001-0715   A diciembre de 2019, se han vinculado 4000 niños, niñas y adolescentes en procesos de iniciación deportiva </v>
          </cell>
        </row>
        <row r="170">
          <cell r="F170" t="str">
            <v xml:space="preserve">41050010007-0716   A diciembre de 2019, se han realizado 4 juegos deportivos y recreativos tradicionales y no tradicionales </v>
          </cell>
        </row>
        <row r="171">
          <cell r="F171" t="str">
            <v>41010020002-0717   A diciembre de 2019, se han realizado 4 juegos deportivos intercolegiados</v>
          </cell>
        </row>
        <row r="172">
          <cell r="F172" t="str">
            <v>42030040005-0718   A diciembre de 2019, se ha construido 1 equipamiento deportivo y recreativo en la comuna, siempre y cuando existan lotes de propiedad del municipio que se puedan utilizar para esta actividad</v>
          </cell>
        </row>
        <row r="173">
          <cell r="F173" t="str">
            <v>42030040006-0719   A diciembre de 2019, se ha realizado la adecuación o mantenimiento de 40 escenarios deportivos y recreativos en la comuna</v>
          </cell>
        </row>
        <row r="174">
          <cell r="F174" t="str">
            <v>41010010005-0720   A diciembre de 2019, se ha adecuado 1 equipamiento recreativo para la primera infancia en el marco de la Política Nacional de Cero a Siempre</v>
          </cell>
        </row>
        <row r="175">
          <cell r="F175" t="str">
            <v>44030010010-0721   A diciembre de 2019, 400 personas de grupos vulnerables han participado de actividades de turismo de naturaleza en la zona rural del municipio</v>
          </cell>
        </row>
        <row r="176">
          <cell r="F176" t="str">
            <v>42030020014-0722   A diciembre de 2019, se ha recuperado ambiental y paisajísticamente, 12 zonas blandas de separadores viales, parques y zonas verdes, con empoderamiento de la comunidad</v>
          </cell>
        </row>
        <row r="177">
          <cell r="F177" t="str">
            <v>42030020014-0723   A diciembre de 2019, se ha ejecutado 4 evento de recreación en cada una de las zonas recuperadas, para generar cultura ciudadana</v>
          </cell>
        </row>
        <row r="178">
          <cell r="F178" t="str">
            <v>42030020014-0724   A diciembre de 2019, se han realizado 4 estrategias artísticas y culturales "la cultura se toma tu comuna", promoviendo sentido de pertenencia en las zonas recuperadas</v>
          </cell>
        </row>
        <row r="179">
          <cell r="F179" t="str">
            <v>41050020011-0725   A diciembre de 2019, se han vinculado en iniciación artística 2500 personas de diferentes grupos poblacionales</v>
          </cell>
        </row>
        <row r="180">
          <cell r="F180" t="str">
            <v>41050020012-0726   A diciembre de 2019, se ha fortalecido la formación artística de 4000 personas de diferentes grupos poblacionales</v>
          </cell>
        </row>
        <row r="181">
          <cell r="F181" t="str">
            <v>42030020014-0727   A diciembre de 2019, se han realizado 8 estrategias artísticas y culturales "la cultura se toma tu comuna", promoviendo sentido de pertenencia</v>
          </cell>
        </row>
        <row r="182">
          <cell r="F182" t="str">
            <v>42030040007-0728   A diciembre de 2019, se ha realizado el mantenimiento y adecuación de 3 equipamientos culturales de propiedad del municipio</v>
          </cell>
        </row>
        <row r="183">
          <cell r="F183" t="str">
            <v>41040030004-0729   A diciembre de 2019, se han realizado 10 estudios y diseños para intervenir las sedes educativas de la comuna</v>
          </cell>
        </row>
        <row r="184">
          <cell r="F184" t="str">
            <v>41040030004-0730   A diciembre de 2019, se han realizado 20 intervenciones (mantenimiento, adecuación y/o construcción de espacios, previo concepto técnico) en las sedes educativas de la comuna</v>
          </cell>
        </row>
        <row r="185">
          <cell r="F185" t="str">
            <v xml:space="preserve">41040030007-0731   A diciembre de 2019, se ha realizado la dotación de 15 sedes educativas </v>
          </cell>
        </row>
        <row r="186">
          <cell r="F186" t="str">
            <v>42030020014-0801   A diciembre 2019, se han recuperado ambiental y paisajísticamente 16 zonas blandas  de separadores viales, parques y zonas verdes,  con sensibilización de  800 líderes ambientales y empoderamiento de la comunidad</v>
          </cell>
        </row>
        <row r="187">
          <cell r="F187" t="str">
            <v xml:space="preserve">41010020001-0802   A diciembre de 2019, se han vinculado 4000 niños, niñas y adolescentes en procesos de  iniciación deportiva y recreativa </v>
          </cell>
        </row>
        <row r="188">
          <cell r="F188" t="str">
            <v xml:space="preserve">41050010007-0803   A diciembre de 2019 se han  realizado 4 juegos deportivos tradicionales y no tradicionales </v>
          </cell>
        </row>
        <row r="189">
          <cell r="F189" t="str">
            <v xml:space="preserve">41050010007-0803   A diciembre de 2019 se han  realizado 4 juegos deportivos tradicionales y no tradicionales </v>
          </cell>
        </row>
        <row r="190">
          <cell r="F190" t="str">
            <v xml:space="preserve">42030040005-0804   A diciembre de 2019,  se  ha construido 1 escenarios deportivo y recreativo en la comuna siempre y cuando existan lotes de propiedad del municipio que se puedan utilizar para esta actividad. </v>
          </cell>
        </row>
        <row r="191">
          <cell r="F191" t="str">
            <v>42030040006-0805   A diciembre de 2019, se ha efectuado la adecuación de  4 escenarios deportivos y recreativos de la comuna.</v>
          </cell>
        </row>
        <row r="192">
          <cell r="F192" t="str">
            <v>42030040006-0806   A diciembre de 2019, se ha efectuado el mantenimiento de 10 escenarios deportivos y recreativos de la comuna.</v>
          </cell>
        </row>
        <row r="193">
          <cell r="F193" t="str">
            <v>45030010003-0807   A diciembre de 2019 se han fortalecido las organizaciones comunitarias, incluyendo JAL y JAC, a través de la capacitación en liderazgo de  200 personas en mediación, autorregulación y solución pacífica de conflictos</v>
          </cell>
        </row>
        <row r="194">
          <cell r="F194" t="str">
            <v>45030010003-0808   A diciembre de 2019, se han capacitado 200 personas pertenecientes a grupos vulnerables para su organización y participación en las diferentes instancias de decisión local</v>
          </cell>
        </row>
        <row r="195">
          <cell r="F195" t="str">
            <v>42030040001-0809   A diciembre de 2019 se ha realizado el mantenimiento y adecuación de 10 sedes comunales</v>
          </cell>
        </row>
        <row r="196">
          <cell r="F196" t="str">
            <v xml:space="preserve">42030040004-0810   A diciembre de 2019 se ha realizado el mantenimiento y adecuación del CALI </v>
          </cell>
        </row>
        <row r="197">
          <cell r="F197" t="str">
            <v>41040030004-0811   A diciembre 2019 se han realizado 10 estudios y diseños para intervenir las sedes educativas de la comuna.</v>
          </cell>
        </row>
        <row r="198">
          <cell r="F198" t="str">
            <v>41040030004-0812   A diciembre de 2019, se han realizado 15 intervenciones (mantenimiento, adecuación y/o construcción de espacios, previo concepto técnico) en las sedes educativas de la comuna.</v>
          </cell>
        </row>
        <row r="199">
          <cell r="F199" t="str">
            <v>41040030007-0813    A diciembre de 2019, se ha realizado la dotación de 15 sedes educativas</v>
          </cell>
        </row>
        <row r="200">
          <cell r="F200" t="str">
            <v>41050020011-0814   A diciembre de 2019 se han  vinculado en iniciación artística 2000 personas de diferentes grupos poblacionales</v>
          </cell>
        </row>
        <row r="201">
          <cell r="F201" t="str">
            <v>41050020012-0815   A diciembre de 2019 se han  vinculado en  formación artística 2000 personas de diferentes grupos poblacionales</v>
          </cell>
        </row>
        <row r="202">
          <cell r="F202" t="str">
            <v>41050020009-0816   A diciembre de 2019, se han elaborado y publicado 4 documentos escritos y 4 producciones audiovisuales sobre la historia, las problemáticas culturales / vocación cultural de la comuna y sus barrios.</v>
          </cell>
        </row>
        <row r="203">
          <cell r="F203" t="str">
            <v>41010020012-0901   A diciembre de 2019, se han capacitado 600 lideres comunitarios y personas vinculadas a familias, en factores de riesgo y estrategias de apoyo a la prevención del consumo de sustancias psicoactivas y consumo de alcohol _x000D_</v>
          </cell>
        </row>
        <row r="204">
          <cell r="F204" t="str">
            <v>41010030005-0902   A diciembre de 2019, se han realizado 4 estrategias que eleven la capacidad de conciencia frente a los riesgos del consumo de sustancia psicoactivas y el alcohol, orientados a la escuela, familia y comunidad en general_x000D_</v>
          </cell>
        </row>
        <row r="205">
          <cell r="F205" t="str">
            <v>41010020011-0903   A diciembre de 2019, 1200 niños, niñas y adolescentes vinculados a factores de riesgo participan estrategias artísticas y culturales</v>
          </cell>
        </row>
        <row r="206">
          <cell r="F206" t="str">
            <v>41010020001-0904   A diciembre de 2019, 2400 jóvenes vinculados a factores de riesgo participan en estrategias deportivas y recreativas_x000D_</v>
          </cell>
        </row>
        <row r="207">
          <cell r="F207" t="str">
            <v>42030020014-0905   A diciembre de 2019, se ha recuperado ambiental y paisajísticamente 5 zonas blandas de separadores viales, parques y zonas verdes, con empoderamiento de la comunidad</v>
          </cell>
        </row>
        <row r="208">
          <cell r="F208" t="str">
            <v>42030020014-0906   A diciembre de 2019, se han realizado 4 eventos de recreación en zonas recuperadas, para generar cultura ciudadana _x000D_</v>
          </cell>
        </row>
        <row r="209">
          <cell r="F209" t="str">
            <v>42030020014-0907   A diciembre de 2019, se han realizado 8 estrategias artísticas y culturales "la cultura se toma tu comuna", promoviendo sentido de pertenencia en las zonas recuperadas</v>
          </cell>
        </row>
        <row r="210">
          <cell r="F210" t="str">
            <v>41040030004-0908   A diciembre de 2019, se han realizado 4 estudios y diseños para intervenir las sedes educativas de la comuna_x000D_</v>
          </cell>
        </row>
        <row r="211">
          <cell r="F211" t="str">
            <v>41040030004-0909   A diciembre de 2019, se han realizado 12 intervenciones (mantenimiento, adecuación y/o construcción de espacios, previo concepto técnico) en las sedes educativas de la comuna_x000D_</v>
          </cell>
        </row>
        <row r="212">
          <cell r="F212" t="str">
            <v>42030040004-0910   A diciembre de 2019, se ha adecuado el CALI para facilitar la accesibilidad de las personas vulnerables.</v>
          </cell>
        </row>
        <row r="213">
          <cell r="F213" t="str">
            <v>43010020001-0911   A diciembre de 2019, se ha adecuado 1 equipamiento público de seguridad y justicia para facilitar la accesibilidad de las personas vulnerables.</v>
          </cell>
        </row>
        <row r="214">
          <cell r="F214" t="str">
            <v>42010040003-0912   A diciembre de 2019, se ha realizado el mantenimiento de 1 kilómetros linealesde vía en la comuna, previo concepto de viabilidad técnica</v>
          </cell>
        </row>
        <row r="215">
          <cell r="F215" t="str">
            <v>42010010006-0913   A diciembre de 2019, se ha realizado el mantenimiento y/o construcción 1000 metros cuadrados de andén, previo concepto de viabilidad técnica y esquema básico_x000D_</v>
          </cell>
        </row>
        <row r="216">
          <cell r="F216" t="str">
            <v>41010040003-0914   A diciembre de 2019, se ha realizado formación en el cuidado, manejo, proyecto de vida y derechos a 80 cuidadores de personas con discapacidad y adultos mayores</v>
          </cell>
        </row>
        <row r="217">
          <cell r="F217" t="str">
            <v>41010040005-0915   A diciembre de 2019, se han vinculado 200 adultos mayores en actividades que promueven el estilo de vida saludable, autocuidado y acondicionamiento físico.</v>
          </cell>
        </row>
        <row r="218">
          <cell r="F218" t="str">
            <v>41010040004-0916   A diciembre de 2019, se han realizado 12 encuentros intergeneracionales.</v>
          </cell>
        </row>
        <row r="219">
          <cell r="F219" t="str">
            <v>41010040007-0917   A diciembre de 2019, se han realizado 4 juegos recreativos y deportivos para personas con discapacidad y adultos mayores</v>
          </cell>
        </row>
        <row r="220">
          <cell r="F220" t="str">
            <v>44030010010-0918   A diciembre de 2019, 200 personas de grupos vulnerables han participado de actividades de turismo de naturaleza en la zona rural del municipio</v>
          </cell>
        </row>
        <row r="221">
          <cell r="F221" t="str">
            <v>44040010001-0919   A diciembre de 2019, se han cualificado a 1200 personas vulnerables con acompañamiento, intermediación laboral y orientación ocupacional con entidades idóneas con un mínimo de capacitación 180 horas.</v>
          </cell>
        </row>
        <row r="222">
          <cell r="F222" t="str">
            <v>44010010002-0920   A diciembre de 2019, se han cualificado a 200 personas vulnerables para el emprendimiento con entidades idóneas y con acompañamiento y asistencia técnica en mercadeo, componente administrativo y contable y articulación con la economía f</v>
          </cell>
        </row>
        <row r="223">
          <cell r="F223" t="str">
            <v>41050020011-0921   A diciembre de 2019, se han vinculado en iniciación artística 3000 personas de diferentes grupos poblacionales</v>
          </cell>
        </row>
        <row r="224">
          <cell r="F224" t="str">
            <v>41050020012-0922   A diciembre de 2019, se ha fortalecido la formación artística de 2000 personas de diferentes grupos poblacionales</v>
          </cell>
        </row>
        <row r="225">
          <cell r="F225" t="str">
            <v xml:space="preserve">41050020005-0923   A diciembre de 2019, se han realizado 8 estrategias artísticas y culturales para promover la identidad y vocación cultural </v>
          </cell>
        </row>
        <row r="226">
          <cell r="F226" t="str">
            <v xml:space="preserve">41010020001-0924   A diciembre de 2019, se han vinculado 5000 niños, niñas y adolescentes en procesos de iniciación deportiva y recreativa </v>
          </cell>
        </row>
        <row r="227">
          <cell r="F227" t="str">
            <v xml:space="preserve">41050010007-0925   A diciembre de 2019, se han realizado 4 juegos deportivos y recreativos en disciplinas tradicionales y no tradicionales </v>
          </cell>
        </row>
        <row r="228">
          <cell r="F228" t="str">
            <v>41010020002-0926   A diciembre de 2019, se han realizado 2 juegos deportivos intercolegiados</v>
          </cell>
        </row>
        <row r="229">
          <cell r="F229" t="str">
            <v>42030040005-0927   A diciembre de 2019, se han construido 2 escenarios deportivos y recreativos en la comuna, siempre y cuando existan lotes de propiedad del municipio que se puedan utilizar para esta actividad.</v>
          </cell>
        </row>
        <row r="230">
          <cell r="F230" t="str">
            <v>42030040006-0928   A diciembre de 2019, se ha realizado la adecuación o mantenimiento de 10 escenarios deportivos y recreativos en la comuna</v>
          </cell>
        </row>
        <row r="231">
          <cell r="F231" t="str">
            <v>41010010005-0929   A diciembre de 2019, se han adecuado 2 equipamientos recreativos para la primera infancia en el marco de la Política Nacional de Cero a Siempre</v>
          </cell>
        </row>
        <row r="232">
          <cell r="F232" t="str">
            <v>42030040001-0930   A diciembre de 2019, se ha realizado el mantenimiento y adecuación de 4 sedes comunales</v>
          </cell>
        </row>
        <row r="233">
          <cell r="F233" t="str">
            <v>42030040004-0931   A diciembre de 2019, se ha realizado el mantenimiento y adecuación del CALI 9</v>
          </cell>
        </row>
        <row r="234">
          <cell r="F234" t="str">
            <v>42030020014-1001   A diciembre de 2019, se ha recuperado ambiental y paisajísticamente 25 zonas blandas de separadores viales, parques y zonas verdes, con empoderamiento de la comunidad</v>
          </cell>
        </row>
        <row r="235">
          <cell r="F235" t="str">
            <v>42030020014-1002   A diciembre de 2019, se han realizado 4 eventos de recreación en zonas recuperadas, para generar cultura ciudadana</v>
          </cell>
        </row>
        <row r="236">
          <cell r="F236" t="str">
            <v>42030020014-1003   A diciembre de 2019, se han realizado 6 estrategias artísticas y culturales "la cultura se toma tu comuna", promoviendo sentido de pertenencia en las áreas recuperadas.</v>
          </cell>
        </row>
        <row r="237">
          <cell r="F237" t="str">
            <v>41050020011-1004   A diciembre de 2019, se han vinculado en iniciación artística 3000 personas de los diferentes grupos poblacionales.</v>
          </cell>
        </row>
        <row r="238">
          <cell r="F238" t="str">
            <v>41050020012-1005   A diciembre de 2019, se ha fortalecido la formación artística de 2500 personas de diferentes grupos poblacionales</v>
          </cell>
        </row>
        <row r="239">
          <cell r="F239" t="str">
            <v>41050020015-1006   A diciembre de 2019, se han realizado 4 encuentros artísticos intercolegiados_x000D_</v>
          </cell>
        </row>
        <row r="240">
          <cell r="F240" t="str">
            <v xml:space="preserve">41050020005-1007   A diciembre de 2019, se han realizado 8 estrategias artísticas y culturales en los barrios de la comuna, para promover su identidad y vocación cultural </v>
          </cell>
        </row>
        <row r="241">
          <cell r="F241" t="str">
            <v>42030040007-1008   A diciembre de 2019, se ha realizado mantenimiento y adecuación a 2 equipamientos culturales.</v>
          </cell>
        </row>
        <row r="242">
          <cell r="F242" t="str">
            <v>41010010007-1009   A diciembre de 2019, se han adecuado 2 equipamientos culturales para la primera infancia en el marco de la Política Nacional de Cero a Siempre</v>
          </cell>
        </row>
        <row r="243">
          <cell r="F243" t="str">
            <v xml:space="preserve">41010020001-1010   A diciembre de 2019, se han vinculado 6000 niños, niñas y adolescentes en procesos de iniciación deportiva </v>
          </cell>
        </row>
        <row r="244">
          <cell r="F244" t="str">
            <v>44030010010-1011   A diciembre de 2019,400 personas de grupos vulnerables han participado de actividades de turismo de naturaleza en la zona rural del municipio</v>
          </cell>
        </row>
        <row r="245">
          <cell r="F245" t="str">
            <v xml:space="preserve">41050010007-1012   A diciembre de 2019, se han realizado 4 juegos deportivos y recreativos tradicionales y no tradicionales </v>
          </cell>
        </row>
        <row r="246">
          <cell r="F246" t="str">
            <v xml:space="preserve">41010020002-1013   A diciembre de 2019, se han realizado 4 juegos deportivos intercolegiados </v>
          </cell>
        </row>
        <row r="247">
          <cell r="F247" t="str">
            <v>42030040005-1014   A diciembre de 2019, se ha construido 1 equipamiento deportivo y recreativo en la comuna, siempre y cuando existan lotes de propiedad del municipio que se puedan utilizar para esta actividad</v>
          </cell>
        </row>
        <row r="248">
          <cell r="F248" t="str">
            <v>42030040006-1015   A diciembre de 2019, se ha realizado la adecuación y mantenimiento de 40 equipamientos deportivos y recreativos en la comuna</v>
          </cell>
        </row>
        <row r="249">
          <cell r="F249" t="str">
            <v>41010010005-1016   A diciembre de 2019, se han adecuado 2 equipamientos recreativos para la primera infancia en el marco de la Política Nacional de Cero a Siempre</v>
          </cell>
        </row>
        <row r="250">
          <cell r="F250" t="str">
            <v>41040030004-1017   A diciembre de 2019, se ha realizado 1 estudio y diseño para intervenir las sedes educativas de la comuna</v>
          </cell>
        </row>
        <row r="251">
          <cell r="F251" t="str">
            <v>41040030004-1018   A diciembre de 2019, se han realizado 1 intervenciones (mantenimiento, adecuación y/o construcción de espacios, previo concepto técnico) en las sedes educativas de la comuna</v>
          </cell>
        </row>
        <row r="252">
          <cell r="F252" t="str">
            <v xml:space="preserve">41040030007-1019   A diciembre de 2019, se ha realizado la dotación de 1 sede educativa </v>
          </cell>
        </row>
        <row r="253">
          <cell r="F253" t="str">
            <v>43010010009-1020   A diciembre de 2019, se han constituido y capacitado 22 comités de vecinos para la convivencia y dotado los barrios de la comuna con 100 sistemas de alerta y monitoreo</v>
          </cell>
        </row>
        <row r="254">
          <cell r="F254" t="str">
            <v>41010030006-1021   A diciembre de 2019, se han formado 600 padres, madres, cuidadores y cabeza de hogar, en pautas de crianza para el desarrollo de competencias para la convivencia, el autocuidado y la prevención del consumo de SPA y el uso inadecuado del</v>
          </cell>
        </row>
        <row r="255">
          <cell r="F255" t="str">
            <v>41010030005-1022   A diciembre de 2019, han participado 300 personas de organizaciones comunitarias en estrategias pedagógicas orientadas a promover el respeto a la diversidad, el desarrollo de competencias para la convivencia, el autocuidado, la prevenci</v>
          </cell>
        </row>
        <row r="256">
          <cell r="F256" t="str">
            <v>42010040003-1023   A diciembre de 2019, se ha realizado el mantenimiento de 1,5 kilómetros linealesde vía en la comuna, previo concepto de viabilidad técnica</v>
          </cell>
        </row>
        <row r="257">
          <cell r="F257" t="str">
            <v>42010010006-1024   A diciembre de 2019, se ha realizado el mantenimiento y/o construcción de 500 metros cuadrados de andén, previo concepto de viabilidad técnica y esquema básico</v>
          </cell>
        </row>
        <row r="258">
          <cell r="F258" t="str">
            <v>44040010001-1025   A diciembre de 2019, se han cualificado a 1800 personas vulnerables con acompañamiento, intermediación laboral y orientación ocupacional con entidades idóneas con un mínimo de capacitación 180 horas.</v>
          </cell>
        </row>
        <row r="259">
          <cell r="F259" t="str">
            <v xml:space="preserve">44010010002-1026   A diciembre de 2019, se han cualificado a 1800 personas vulnerables para el emprendimiento con entidades idóneas y con acompañamiento y asistencia técnica en mercadeo, componente administrativo y contable y articulación con la economía </v>
          </cell>
        </row>
        <row r="260">
          <cell r="F260" t="str">
            <v xml:space="preserve">41050020011-1101   A diciembre de 2019, se han vinculado en iniciación artística 3000 personas de diferentes grupos poblacionales </v>
          </cell>
        </row>
        <row r="261">
          <cell r="F261" t="str">
            <v xml:space="preserve">41050020012-1102   A diciembre de 2019, se ha fortalecido la formación artística de 3000 personas de diferentes grupos poblacionales </v>
          </cell>
        </row>
        <row r="262">
          <cell r="F262" t="str">
            <v>41050020005-1103   A diciembre de 2019, se han realizado 6 estrategias artísticas y culturales para promover la identidad y vocación cultural de la comuna incluyendo el nucleo familiar</v>
          </cell>
        </row>
        <row r="263">
          <cell r="F263" t="str">
            <v>42030040007-1104   A diciembre de 2019, se ha realizado el mantenimiento y adecuación 2 equipamientos culturales de propiedad del municipio</v>
          </cell>
        </row>
        <row r="264">
          <cell r="F264" t="str">
            <v>41010010002-1105   A diciembre de 2019, se han cualificado 200 personas vulnerables para el fortalecimiento del emprendimiento cultural y su cadena productiva con entidades idoneas y con acompañamiento y asistencia técnica en mercadeo, componente administ</v>
          </cell>
        </row>
        <row r="265">
          <cell r="F265" t="str">
            <v>41010010007-1106   A diciembre de 2019, se han adecuado 2 equipamientos culturales para la primera infancia en el marco de la Política Nacional de Cero a Siempre</v>
          </cell>
        </row>
        <row r="266">
          <cell r="F266" t="str">
            <v>42030040005-1107   A diciembre de 2019, se ha construido 2 equipamientos deportivos y recreativos en la comuna, siemrpe y cuando existan lotes de propiedad del municipio que se puedan utilizar para esta actividad</v>
          </cell>
        </row>
        <row r="267">
          <cell r="F267" t="str">
            <v>42030040006-1108   A diciembre de 2019, se ha realizado la adecuación o mantenimiento de 40 escenarios deportivos y recreativos en la comuna</v>
          </cell>
        </row>
        <row r="268">
          <cell r="F268" t="str">
            <v>41010010005-1109   A diciembre de 2019, se han adecuado 5 equipamientos recreativos y culturales para la primera infancia en el marco de la Política Nacional de Cero a Siempre</v>
          </cell>
        </row>
        <row r="269">
          <cell r="F269" t="str">
            <v>42030020014-1110   A diciembre de 2019, se han recuperado ambiental y paisajísticamente, 20 zonas blandas de separadores viales, parques y zonas verdes, con empoderamiento de la comunidad</v>
          </cell>
        </row>
        <row r="270">
          <cell r="F270" t="str">
            <v>42040010019-1111   A diciembre de 2019, se han realizado 4 intervervenciones de protección del medio ambiente, debido a los efectos negativos que genera la presencia del Caracol Africano</v>
          </cell>
        </row>
        <row r="271">
          <cell r="F271" t="str">
            <v>42030020014-1112   A diciembre de 2019, se han ejecutado 4 eventos de recreación en cada una de las zonas recuperadas, para generar cultura ciudadana</v>
          </cell>
        </row>
        <row r="272">
          <cell r="F272" t="str">
            <v>42030020014-1113   A diciembre de 2019, se han realizado 6 estrategias artísticas y culturales "la cultura se toma tu comuna", promoviendo sentido de pertenencia de las zonas recuperadas</v>
          </cell>
        </row>
        <row r="273">
          <cell r="F273" t="str">
            <v>41010020001-1114   A diciembre de 2019, se han vinculado 5000 niños, niñas y adolescentes en procesos de iniciación deportiva</v>
          </cell>
        </row>
        <row r="274">
          <cell r="F274" t="str">
            <v>41050010007-1115   A diciembre de 2019, se han realizado 4 juegos deportivos  y recreativos tradicionales y no tradicionales_x000D_</v>
          </cell>
        </row>
        <row r="275">
          <cell r="F275" t="str">
            <v>41010020002-1116   A diciembre de 2019, se han realizado 4 juegos deportivos intercolegiados</v>
          </cell>
        </row>
        <row r="276">
          <cell r="F276" t="str">
            <v>42030010008-1117   A diciembre de 2019 se han integrado 500 familias en programas de actividades deportivas y recreativas</v>
          </cell>
        </row>
        <row r="277">
          <cell r="F277" t="str">
            <v>44030010010-1118   A diciembre de 2019, 200 personas de grupos vulnerables ha participado de actividades de turismo de naturaleza en la zona rural del municipio</v>
          </cell>
        </row>
        <row r="278">
          <cell r="F278" t="str">
            <v>42010040003-1119   A diciembre de 2019, se ha realizado el mantenimiento de 2,4 kilómetros lineales de vía en la comuna, previo concepto de viabilidad técnica_x000D_</v>
          </cell>
        </row>
        <row r="279">
          <cell r="F279" t="str">
            <v>42010040002-1120   A diciembre de 2019, se han construido 0,5 kilómetros lineales de pavimento, previo concepto de viabilidad técnica_x000D_</v>
          </cell>
        </row>
        <row r="280">
          <cell r="F280" t="str">
            <v>42010010003-1121   A diciembre de 2019, se ha realizado el mantenimiento y adecuación de 4 puentes peatonales, previo concepto de viabilidad técnica</v>
          </cell>
        </row>
        <row r="281">
          <cell r="F281" t="str">
            <v>42010010006-1122   A diciembre de 2019, se ha construido 500 metros cuadrados de andén, de zonas publicas, previo concepto de viabilidad técnica y esquema básico_x000D_</v>
          </cell>
        </row>
        <row r="282">
          <cell r="F282" t="str">
            <v>41010020001-1201   A diciembre de 2019, se han vinculado 6000 niños, niñas y adolescentes en procesos de iniciación deportiva _x000D_</v>
          </cell>
        </row>
        <row r="283">
          <cell r="F283" t="str">
            <v xml:space="preserve">41050010007-1202   A diciembre de 2019, se han realizado 4 juegos deportivos y recreativos tradicionales y no tradicionales_x000D_ </v>
          </cell>
        </row>
        <row r="284">
          <cell r="F284" t="str">
            <v>41010020002-1203   A diciembre de 2019, se han realizado 4 juegos deportivos intercolegiados</v>
          </cell>
        </row>
        <row r="285">
          <cell r="F285" t="str">
            <v>41050020011-1204   A diciembre de 2019, se han vinculado en iniciación artística 3000 personas de los diferentes grupos poblacionales.</v>
          </cell>
        </row>
        <row r="286">
          <cell r="F286" t="str">
            <v>41050020012-1205   A diciembre de 2019, se ha fortalecido la formación artística de 3000 personas de diferentes grupos poblacionales</v>
          </cell>
        </row>
        <row r="287">
          <cell r="F287" t="str">
            <v>44030010010-1206   A diciembre de 2019, 500 personas de grupos vulnerables han participado de actividades de turismo de naturaleza en la zona rural del municipio</v>
          </cell>
        </row>
        <row r="288">
          <cell r="F288" t="str">
            <v>41050020015-1207   A diciembre de 2019, se han realizado 4 encuentros artísticos intercolegiados _x000D_</v>
          </cell>
        </row>
        <row r="289">
          <cell r="F289" t="str">
            <v xml:space="preserve">41050020005-1208   A diciembre de 2019, se han realizado 5 estrategias artísticas y culturales en los barrios de la comuna, para promover su identidad y vocación cultural </v>
          </cell>
        </row>
        <row r="290">
          <cell r="F290" t="str">
            <v>44040010001-1209   A diciembre de 2019, se han cualificado 2000 personas con acompañamiento, intermediación laboral y orientación ocupacional con entidades idóneas con un mínimo de capacitación 180 horas. _x000D_</v>
          </cell>
        </row>
        <row r="291">
          <cell r="F291" t="str">
            <v>41010010002-1210   A diciembre de 2019, se han cualificado 2000 personas para el emprendimiento con entidades idóneas y con acompañamiento y asistencia técnica en mercadeo, componente administrativo y contable y formalización con un mínimo de capacitación</v>
          </cell>
        </row>
        <row r="292">
          <cell r="F292" t="str">
            <v>43010010009-1211   A diciembre de 2019, se han constituido y capacitado 48 comités de vecinos para la convivencia y dotado los barrios de la comuna 12 sistemas de alerta y monitoreo_x000D_</v>
          </cell>
        </row>
        <row r="293">
          <cell r="F293" t="str">
            <v>42030020014-1212   A diciembre de 2019, se ha recuperado ambiental y paisajísticamente 20 zonas blandas de separadores viales, parques y zonas verdes, con empoderamiento de la comunidad</v>
          </cell>
        </row>
        <row r="294">
          <cell r="F294" t="str">
            <v>42030020014-1213   A diciembre de 2019, se han ejecutado 4 eventos de recreación en cada uno de las zonas recuperadas, para generar cultura ciudadana_x000D_</v>
          </cell>
        </row>
        <row r="295">
          <cell r="F295" t="str">
            <v>42030020014-1214   A diciembre de 2019, se han realizado 4 estrategias artísticas y culturales "la cultura se toma tu comuna", promoviendo sentido de pertenencia en las zonas recuperadas._x000D_</v>
          </cell>
        </row>
        <row r="296">
          <cell r="F296" t="str">
            <v>41040030004-1215   A diciembre de 2019, se han realizado 15 estudios y diseños para intervenir las sedes educativas de la comuna</v>
          </cell>
        </row>
        <row r="297">
          <cell r="F297" t="str">
            <v>41040030004-1216   A diciembre de 2019, se han realizado 15 intervenciones (mantenimiento, adecuación y/o construcción de espacios, previo concepto técnico) en las sedes educativas de la comuna_x000D_</v>
          </cell>
        </row>
        <row r="298">
          <cell r="F298" t="str">
            <v>41010030006-1217   A diciembre de 2019, se han formado 5000 padres, madres, cuidadores y cabeza de hogar, en pautas de crianza para el desarrollo de competencias para la convivencia, el autocuidado y la prevención del consumo de SPA y el uso inadecuado de</v>
          </cell>
        </row>
        <row r="299">
          <cell r="F299" t="str">
            <v>41010030005-1218   A diciembre de 2019, han participado 150 personas de organizaciones comunitarias y la Red del Buen Trato en estrategias pedagógicas orientas a promover el respeto a la diversidad, el desarrollo de competencias para la convivencia, el au</v>
          </cell>
        </row>
        <row r="300">
          <cell r="F300" t="str">
            <v xml:space="preserve">41010020011-1219   A diciembre de 2019, 160 adolescentes y jóvenes vinculados a factores de riesgo, participan de procesos culturales </v>
          </cell>
        </row>
        <row r="301">
          <cell r="F301" t="str">
            <v>41010020001-1220   A diciembre de 2019, 160 adolescentes y jóvenes vinculados a factores de riesgo, participan de procesos deportivos</v>
          </cell>
        </row>
        <row r="302">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v>
          </cell>
        </row>
        <row r="303">
          <cell r="F303" t="str">
            <v>42010040003-1222   A diciembre de 2019, se ha realizado el mantenimiento de 1,5 kilómetros lineales de vía en la comuna, previo concepto de viabilidad técnica_x000D_</v>
          </cell>
        </row>
        <row r="304">
          <cell r="F304" t="str">
            <v>42010040002-1223   A diciembre de 2019, se han construido 0,7 kilómetros lineales de pavimento, previo concepto de viabilidad técnica_x000D_</v>
          </cell>
        </row>
        <row r="305">
          <cell r="F305" t="str">
            <v xml:space="preserve">42010010006-1224   A diciembre de 2019, se han mantenido y/o construido 500 metros cuadrados de andén, previo concepto de viabilidad técnica y esquema básico </v>
          </cell>
        </row>
        <row r="306">
          <cell r="F306" t="str">
            <v>42010010003-1225   A diciembre de 2019, se ha realizado el mantenimiento de 4 puentes peatonales, previo concepto de viabilidad técnica_x000D_</v>
          </cell>
        </row>
        <row r="307">
          <cell r="F307" t="str">
            <v>42030040005-1226   A diciembre de 2019, se ha construido 1 equipamiento deportivo y recreativo en la comuna, siempre y cuando existan lotes de propiedad del municipio que se puedan utilizar para esta actividad</v>
          </cell>
        </row>
        <row r="308">
          <cell r="F308" t="str">
            <v>42030040006-1227   A diciembre de 2019, se ha realizado la adecuación o mantenimiento de 25 escenarios deportivos y recreativos en la comuna</v>
          </cell>
        </row>
        <row r="309">
          <cell r="F309" t="str">
            <v>42030040007-1228   A diciembre de 2019, se ha realizado el mantenimiento a 1 equipamiento cultural._x000D_</v>
          </cell>
        </row>
        <row r="310">
          <cell r="F310" t="str">
            <v>41010010005-1229   A diciembre de 2019, se ha adecuado 1 equipamiento  recreativo para la primera infancia en el marco de la Política Nacional de Cero a Siempre_x000D_</v>
          </cell>
        </row>
        <row r="311">
          <cell r="F311" t="str">
            <v>41010010007-1230   A diciembre de 2019, se han adecuado 2 equipamientos culturales para la primera infancia en el marco de la Política Nacional de Cero a Siempre_x000D_</v>
          </cell>
        </row>
        <row r="312">
          <cell r="F312" t="str">
            <v>42030040001-1231   A diciembre de 2019, se ha realizado el mantenimiento y adecuación de 4 sedes comunales_x000D_</v>
          </cell>
        </row>
        <row r="313">
          <cell r="F313" t="str">
            <v>42030040004-1232   A diciembre de 2019, se ha realizado el mantenimiento del CALI _x000D_</v>
          </cell>
        </row>
        <row r="314">
          <cell r="F314" t="str">
            <v>42030040005-1301   A diciembre de 2019, se han construido 2 escenarios deportivos y recreativos en la comuna, siempre y cuando existan lotes de propiedad del municipio que se puedan utilizar para esta actividad.</v>
          </cell>
        </row>
        <row r="315">
          <cell r="F315" t="str">
            <v>42030040006-1302   A diciembre de 2019, se ha realizado la adecuación o mantenimiento de 30 equipamientos deportivos y recreativos en la comuna</v>
          </cell>
        </row>
        <row r="316">
          <cell r="F316" t="str">
            <v>42030040007-1303   A diciembre de 2019, se ha realizado el mantenimiento y adecuación de 1 equipamientos culturales.</v>
          </cell>
        </row>
        <row r="317">
          <cell r="F317" t="str">
            <v>41010010005-1304   A diciembre de 2019, se han adecuado 4 equipamientos recreativos para la primera infancia en el marco de la Política Nacional de Cero a Siempre_x000D_</v>
          </cell>
        </row>
        <row r="318">
          <cell r="F318" t="str">
            <v>41010010007-1305   A diciembre de 2019, se han adecuado 2 equipamientos culturales para la primera infancia en el marco de la Política Nacional de Cero a Siempre_x000D_</v>
          </cell>
        </row>
        <row r="319">
          <cell r="F319" t="str">
            <v>41010020001-1306   A diciembre de 2019, se han vinculado 6000 niños, niñas y adolescentes en procesos de iniciación deportiva_x000D_</v>
          </cell>
        </row>
        <row r="320">
          <cell r="F320" t="str">
            <v xml:space="preserve">41050010007-1307   A diciembre de 2019, se han realizado 4 juegos deportivos y recreativos tradicionales y no tradicionales </v>
          </cell>
        </row>
        <row r="321">
          <cell r="F321" t="str">
            <v>41010020002-1308   A diciembre de 2019, se han realizado 4 juegos deportivos intercolegiados</v>
          </cell>
        </row>
        <row r="322">
          <cell r="F322" t="str">
            <v>41050020011-1309   A diciembre de 2019, se han vinculado en iniciación artística 2000 personas de los diferentes grupos poblacionales y étnicos en cualquier edad._x000D_</v>
          </cell>
        </row>
        <row r="323">
          <cell r="F323" t="str">
            <v>41050020012-1310   A diciembre de 2019, se ha fortalecido la formación artística de 2000 personas de diferentes grupos poblacionales y étnicos en cualquier edad._x000D_</v>
          </cell>
        </row>
        <row r="324">
          <cell r="F324" t="str">
            <v>41050020015-1311   A diciembre de 2019, se han realizado 6 encuentros artísticos intercolegiados _x000D_</v>
          </cell>
        </row>
        <row r="325">
          <cell r="F325" t="str">
            <v>41050020005-1312   A diciembre de 2019, se han realizado 6 estrategias artísticas y culturales en los barrios de la comuna, para promover su identidad y vocación cultural _x000D_</v>
          </cell>
        </row>
        <row r="326">
          <cell r="F326" t="str">
            <v>44030010010-1313   A diciembre de 2019, 200 personas de grupos vulnerables han participado de actividades de turismo de naturaleza en la zona rural y urbana con fines educativos y ecológicos _x000D_</v>
          </cell>
        </row>
        <row r="327">
          <cell r="F327" t="str">
            <v>41050020011-1314   A diciembre de 2019, se han conformado y dotado 6 bandas marciales en la Comuna</v>
          </cell>
        </row>
        <row r="328">
          <cell r="F328" t="str">
            <v>42030020014-1315   A diciembre de 2019, se han recuperado ambiental y paisajísticamente 20 zonas blandas de separadores viales, parques y zonas verdes, con empoderamiento de la comunidad a través de estrategias lúdicas y artísticas _x000D_</v>
          </cell>
        </row>
        <row r="329">
          <cell r="F329" t="str">
            <v>42010040003-1316   A diciembre de 2019, se ha realizado el mantenimiento de 1,5 kilómetros lineales de vía en la comuna, previo concepto de viabilidad técnica_x000D_</v>
          </cell>
        </row>
        <row r="330">
          <cell r="F330" t="str">
            <v>42010010006-1317   A diciembre de 2019, se han construido 700 metros cuadrados de anden en zonas de espacio público , previo concepto de viabilidad técnica y esquema básico_x000D_</v>
          </cell>
        </row>
        <row r="331">
          <cell r="F331" t="str">
            <v>44040010001-1318   A diciembre de 2019, se han cualificado 400 personas con acompañamiento, intermediación laboral y orientación ocupacional con entidades idóneas con un mínimo de capacitación 180 horas._x000D_</v>
          </cell>
        </row>
        <row r="332">
          <cell r="F332" t="str">
            <v>44010010002-1319   A diciembre de 2019, se han cualificado 400 personas para el emprendimiento con entidades idóneas y con acompañamiento y asistencia técnica en mercadeo, componente administrativo y contable y articulación con la economía formal con un m</v>
          </cell>
        </row>
        <row r="333">
          <cell r="F333" t="str">
            <v>42030040001-1320   A diciembre de 2019, se ha realizado el mantenimiento y adecuación de 16 Equipamientos Comunitarios _x000D_</v>
          </cell>
        </row>
        <row r="334">
          <cell r="F334" t="str">
            <v>42030040004-1321   A diciembre de 2019, se ha realizado el mantenimiento del CALI _x000D_</v>
          </cell>
        </row>
        <row r="335">
          <cell r="F335" t="str">
            <v>41040030004-1322   A diciembre de 2019, se han realizado 14 estudios y diseños para intervenir las sedes educativas principales y sus respectivas sedes, de la comuna._x000D_</v>
          </cell>
        </row>
        <row r="336">
          <cell r="F336" t="str">
            <v>41040030004-1323   A diciembre de 2019, se han realizado 14 intervenciones (mantenimiento, adecuación y/o construcción de espacios, previo concepto técnico) en las sedes educativas de la comuna_x000D_</v>
          </cell>
        </row>
        <row r="337">
          <cell r="F337" t="str">
            <v xml:space="preserve">41040030007-1324   A diciembre de 2019, se ha realizado la dotación de 14 sedes educativas_x000D_ </v>
          </cell>
        </row>
        <row r="338">
          <cell r="F338" t="str">
            <v xml:space="preserve">43010010009-1401   A diciembre de 2019, se han constituido y capacitado 12 comités de vecinos para la convivencia y dotado los barrios de la comuna con 12 sistemas de alerta y monitoreo </v>
          </cell>
        </row>
        <row r="339">
          <cell r="F339" t="str">
            <v>41010020011-1402   A diciembre de 2019, 400 niños, niñas y adolescentes vinculados a factores de riesgo participan en estrategias artísticas, culturales, que posibiliten la construcción de su proyecto de vida _x000D_</v>
          </cell>
        </row>
        <row r="340">
          <cell r="F340" t="str">
            <v>41010020001-1403   A diciembre de 2019, 400 adolescentes y jóvenes vinculados a factores de riesgo participan en estrategias deportivos y recreativas</v>
          </cell>
        </row>
        <row r="341">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F342" t="str">
            <v>44040010001-1405   A diciembre de 2019, se han cualificado a 90 personas con discapacidad, con acompañamiento, intermediación laboral y orientación ocupacional con entidades idóneas con un mínimo de capacitación 180 horas.</v>
          </cell>
        </row>
        <row r="343">
          <cell r="F343" t="str">
            <v>44010010002-1406   A diciembre de 2019, se han cualificado a 200 personas para el emprendimiento con entidades idóneas y con acompañamiento y asistencia técnica en mercadeo, componente administrativo y contable y formalización con un mínimo de capacitació</v>
          </cell>
        </row>
        <row r="344">
          <cell r="F344" t="str">
            <v>41010040003-1407   A diciembre de 2019, se ha realizado formación en el cuidado, manejo, proyecto de vida y derechos a 100 cuidadores de personas con discapacidad y adultos mayores</v>
          </cell>
        </row>
        <row r="345">
          <cell r="F345" t="str">
            <v>41010040005-1408   A diciembre de 2019, se han vinculado 400 adultos mayores en actividades que promueven el estilo de vida saludable, autocuidado y acondicionamiento físico.</v>
          </cell>
        </row>
        <row r="346">
          <cell r="F346" t="str">
            <v>41010040004-1409   A diciembre de 2019, se han realizado 2 encuentros intergeneracionales._x000D_</v>
          </cell>
        </row>
        <row r="347">
          <cell r="F347" t="str">
            <v>42030040004-1410   A diciembre de 2019, se ha adecuado el CALI para facilitar la accesibilidad de las personas vulnerables.</v>
          </cell>
        </row>
        <row r="348">
          <cell r="F348" t="str">
            <v>43010020001-1411   A diciembre de 2019, se ha adecuado 1 equipamiento público de seguridad y justicia para facilitar la accesibilidad de las personas vulnerables._x000D_</v>
          </cell>
        </row>
        <row r="349">
          <cell r="F349" t="str">
            <v xml:space="preserve">41020010002-1412   A diciembre de 2019, se han entregado 100 dotaciones técnicas a población con diversidad funcional de la Comuna 14 </v>
          </cell>
        </row>
        <row r="350">
          <cell r="F350" t="str">
            <v>42030040006-1413   A diciembre de 2019, se ha adecuado el espacio del centro multifuncional CIMPADF para la población con diversidad funcional de la comuna 14, siempre y cuando sea propiedad del municipio.</v>
          </cell>
        </row>
        <row r="351">
          <cell r="F351" t="str">
            <v>41020010010-1414   A diciembre de 2019, se ha realizado 1 juego recreativo a personas con diversidad funcional</v>
          </cell>
        </row>
        <row r="352">
          <cell r="F352" t="str">
            <v>42030040005-1415   A diciembre de 2019, se han construido 1 escenarios deportivos y recreativos en la comuna, siempre y cuando existan lotes de propiedad del municipio que se puedan utilizar para esta actividad_x000D__x000D_</v>
          </cell>
        </row>
        <row r="353">
          <cell r="F353" t="str">
            <v>42030040006-1416   A diciembre de 2019, se ha realizado la adecuación o mantenimiento de 23 equipamientos deportivos y recreativos en la comuna_x000D__x000D_</v>
          </cell>
        </row>
        <row r="354">
          <cell r="F354" t="str">
            <v>42030040007-1417   A diciembre de 2019, se ha realizado el mantenimiento y adecuación de 2 equipamiento cultural._x000D_</v>
          </cell>
        </row>
        <row r="355">
          <cell r="F355" t="str">
            <v>41010010005-1418   A diciembre de 2019, se han adecuado 2 escenarios  recreativos para la primera infancia en el marco de la Política Nacional de Cero a Siempre_x000D_</v>
          </cell>
        </row>
        <row r="356">
          <cell r="F356" t="str">
            <v>41010010007-1419   A diciembre de 2019, se han adecuado 2 equipamientos culturales para la primera infancia en el marco de la Política Nacional de Cero a Siempre_x000D_</v>
          </cell>
        </row>
        <row r="357">
          <cell r="F357" t="str">
            <v>41010020001-1420   A diciembre de 2019, se han vinculado 6000 niños, niñas y adolescentes en iniciación deportiva_x000D__x000D_</v>
          </cell>
        </row>
        <row r="358">
          <cell r="F358" t="str">
            <v>41050010007-1421   A diciembre de 2019, se han realizado 2 juegos deportivos y recreativos tradicionales y no tradicionales_x000D_</v>
          </cell>
        </row>
        <row r="359">
          <cell r="F359" t="str">
            <v>41050020011-1422   A diciembre de 2019, se han vinculado en iniciación artística 1500 personas de los diferentes grupos poblacionales.</v>
          </cell>
        </row>
        <row r="360">
          <cell r="F360" t="str">
            <v>41050020012-1423   A diciembre de 2019, se ha fortalecido la formación artística de 1000 personas de diferentes grupos poblacionales_x000D__x000D_</v>
          </cell>
        </row>
        <row r="361">
          <cell r="F361" t="str">
            <v>41050020005-1424   A diciembre de 2019, se han realizado 2 estrategias artísticas y culturales en los barrios de la comuna, para promover su identidad y vocación cultural _x000D__x000D_</v>
          </cell>
        </row>
        <row r="362">
          <cell r="F362" t="str">
            <v>44030010010-1425   A diciembre de 2019, 60 personas de grupos vulnerables han participado de actividades de turismo de naturaleza en la zona rural del municipio_x000D_</v>
          </cell>
        </row>
        <row r="363">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F364" t="str">
            <v>42030020014-1427   A diciembre de 2019, se ha recuperado ambiental y paisajísticamente 10 zonas blandas de separadores viales, parques y zonas verdes, con empoderamiento de la comunidad_x000D_</v>
          </cell>
        </row>
        <row r="365">
          <cell r="F365" t="str">
            <v>42030020014-1428   A diciembre de 2019, se han ejecutado 4 eventos de recreación en cada una de las zonas recuperadas, para generar cultura ciudadana_x000D_</v>
          </cell>
        </row>
        <row r="366">
          <cell r="F366" t="str">
            <v>42030020014-1429   A diciembre de 2019, se han realizado 2 estrategias artísticas y culturales "la cultura se toma tu comuna", promoviendo sentido de pertenencia en las zonas recuperadas_x000D_</v>
          </cell>
        </row>
        <row r="367">
          <cell r="F367" t="str">
            <v>41040030004-1430   A diciembre de 2019, se han realizado 4 estudios y diseños para intervenir las sedes educativas de la comuna_x000D_</v>
          </cell>
        </row>
        <row r="368">
          <cell r="F368" t="str">
            <v>41040030004-1431   A diciembre de 2019, se han realizado 6 intervenciones (mantenimiento, adecuación y/o construcción de espacios, previo concepto técnico) en las sedes educativas de la comuna</v>
          </cell>
        </row>
        <row r="369">
          <cell r="F369" t="str">
            <v>41040030005-1432   A diciembre de 2019, se ha realizado la adquisición de 2 lotes para la ampliación de las sedes educativas de la comuna</v>
          </cell>
        </row>
        <row r="370">
          <cell r="F370" t="str">
            <v>41040030007-1433   A diciembre de 2019, se ha realizado la dotación de 9 sedes educativas _x000D_</v>
          </cell>
        </row>
        <row r="371">
          <cell r="F371" t="str">
            <v>42010040003-1434   A diciembre de 2019, se ha realizado el mantenimiento de 1,5 kilómetros  lineales de vía en la comuna, previo concepto de viabilidad técnica</v>
          </cell>
        </row>
        <row r="372">
          <cell r="F372" t="str">
            <v>42010040002-1435   A diciembre de 2019, se han construido 2 kilómetros lineales de pavimento en la comuna, previo concepto de viabilidad técnica</v>
          </cell>
        </row>
        <row r="373">
          <cell r="F373" t="str">
            <v>42010010006-1436   A diciembre de 2019, se ha realizado el mantenimiento y/o construcción de 500 metros cuadrados de andén en la comuna, previo concepto de viabilidad técnica y esquema básico_x000D__x000D__x000D_</v>
          </cell>
        </row>
        <row r="374">
          <cell r="F374" t="str">
            <v>42010010003-1437   A diciembre de 2019, se ha realizado el mantenimiento de 30 puentes peatonales, previo concepto de viabilidad técnica_x000D_</v>
          </cell>
        </row>
        <row r="375">
          <cell r="F375" t="str">
            <v>42030040004-1501   A diciembre de 2019, se ha adecuado el CALI para facilitar la accesibilidad de las personas vulnerables.</v>
          </cell>
        </row>
        <row r="376">
          <cell r="F376" t="str">
            <v>43010020001-1502   A diciembre de 2019, se ha adecuado 1 equipamiento público de seguridad y justicia para facilitar la accesibilidad de las personas vulnerables.</v>
          </cell>
        </row>
        <row r="377">
          <cell r="F377" t="str">
            <v>41020010003-1503   A diciembre de 2019, se ha realizado la instalación de señalética en braile y formatos de fácil lectura y comprensión en el CALI _x000D_</v>
          </cell>
        </row>
        <row r="378">
          <cell r="F378" t="str">
            <v>41020010007-1504   A diciembre de 2019, 300 personas con discapacidad se han fortalecido a través de la formación artística, con entidades idóneas</v>
          </cell>
        </row>
        <row r="379">
          <cell r="F379" t="str">
            <v xml:space="preserve">41010040003-1505   A diciembre de 2019, se ha realizado formación en el cuidado, manejo, proyecto de vida y derechos a 200 cuidadores de personas con discapacidad </v>
          </cell>
        </row>
        <row r="380">
          <cell r="F380" t="str">
            <v>41020010010-1506   A diciembre de 2019, se han realizado 4 juegos recreativos y deportivos para personas con discapacidad</v>
          </cell>
        </row>
        <row r="381">
          <cell r="F381" t="str">
            <v xml:space="preserve">41020010010-1507   A diciembre de 2019, se ha vinculado en procesos deportivos a 160 personas con discapacidad </v>
          </cell>
        </row>
        <row r="382">
          <cell r="F382" t="str">
            <v>44040010001-1508   A diciembre de 2019, se han cualificado 200 personas con acompañamiento, intermediación laboral y orientación ocupacional con entidades idóneas con un mínimo de capacitación 180 horas.</v>
          </cell>
        </row>
        <row r="383">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v>
          </cell>
        </row>
        <row r="384">
          <cell r="F384" t="str">
            <v>43010010009-1510   A diciembre de 2019, se han constituido y capacitado de 20 comités de vecinos para la convivencia y dotado los barrios de la comuna con 3 sistemas de alerta y monitoreo</v>
          </cell>
        </row>
        <row r="385">
          <cell r="F385" t="str">
            <v>43010010009-1510   A diciembre de 2019, se han constituido y capacitado de 20 comités de vecinos para la convivencia y dotado los barrios de la comuna con 3 sistemas de alerta y monitoreo</v>
          </cell>
        </row>
        <row r="386">
          <cell r="F386" t="str">
            <v>41010030006-1511   A diciembre de 2019, se han formado 200 padres, madres, cuidadores y cabeza de hogar, en pautas de crianza para el desarrollo de competencias para la convivencia, el autocuidado y la prevención del consumo de SPA y el uso inadecuado del</v>
          </cell>
        </row>
        <row r="387">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v>
          </cell>
        </row>
        <row r="388">
          <cell r="F388" t="str">
            <v xml:space="preserve">41010020011-1513   A diciembre de 2019, 120 niños, niñas y adolescentes vinculados a factores de riesgo, participan de procesos culturales </v>
          </cell>
        </row>
        <row r="389">
          <cell r="F389" t="str">
            <v xml:space="preserve">41050020009-1514   A diciembre de 2019, se han realizado 3 producciones artísticas y culturales, con jóvenes vinculados a factores de riesgo, destinadas a transformar imaginarios y prácticas culturales que “naturalizan” la violencia, la criminalidad y la </v>
          </cell>
        </row>
        <row r="390">
          <cell r="F390" t="str">
            <v>41050020011-1515   A diciembre de 2019, se han vinculado en iniciación artística 1000 personas de los diferentes grupos poblacionales</v>
          </cell>
        </row>
        <row r="391">
          <cell r="F391" t="str">
            <v>41050020012-1516   A diciembre de 2019, se ha fortalecido la formación artística de 500 personas de diferentes grupos poblacionales</v>
          </cell>
        </row>
        <row r="392">
          <cell r="F392" t="str">
            <v>41010020001-1517   A diciembre de 2019, se han vinculado 4000 niños, niñas y adolescentes en iniciación deportiva _x000D_</v>
          </cell>
        </row>
        <row r="393">
          <cell r="F393" t="str">
            <v>41050010007-1518   A diciembre de 2019, se han realizado 4 juegos deportivos y recreativos tradicionales y no tradicionales _x000D__x000D_</v>
          </cell>
        </row>
        <row r="394">
          <cell r="F394" t="str">
            <v xml:space="preserve">41010020002-1519   A diciembre de 2019, se han realizado 4 juegos deportivos intercolegiados </v>
          </cell>
        </row>
        <row r="395">
          <cell r="F395" t="str">
            <v>42030040005-1520   A diciembre de 2019, se ha construido 1 equipamiento deportivo y recreativo en la comuna, siempre y cuando existan lotes de propiedad del municipio que se puedan utilizar para esta actividad</v>
          </cell>
        </row>
        <row r="396">
          <cell r="F396" t="str">
            <v>42030040006-1521   A diciembre de 2019, se ha realizado la adecuación o mantenimiento de 38 escenarios deportivos y recreativos en la comuna_x000D_</v>
          </cell>
        </row>
        <row r="397">
          <cell r="F397" t="str">
            <v>41040030004-1522   A diciembre de 2019, se han realizado 3 estudios y diseños para intervenir las sedes educativas de la comuna_x000D_</v>
          </cell>
        </row>
        <row r="398">
          <cell r="F398" t="str">
            <v>41040030004-1523   A diciembre de 2019, se han realizado 9 intervenciones (mantenimiento, adecuación y/o construcción de espacios, previo concepto técnico) en las sedes educativas de la comuna_x000D_</v>
          </cell>
        </row>
        <row r="399">
          <cell r="F399" t="str">
            <v>42030040007-1524   A diciembre de 2019, se ha realizado mantenimiento y adecuación 3 equipamientos culturales._x000D_</v>
          </cell>
        </row>
        <row r="400">
          <cell r="F400" t="str">
            <v>41010010005-1525   A diciembre de 2019, se ha adecuado 1 equipamiento recreativo para la primera infancia en el marco de la Política Nacional de Cero a Siempre_x000D_</v>
          </cell>
        </row>
        <row r="401">
          <cell r="F401" t="str">
            <v>44030010010-1526   A diciembre de 2019, 200 personas de grupos vulnerables han participado de actividades de turismo de naturaleza en la zona rural del municipio_x000D_</v>
          </cell>
        </row>
        <row r="402">
          <cell r="F402" t="str">
            <v>42010040003-1527   A diciembre de 2019, se ha realizado el mantenimiento de 1,5 kilómetros lineales de vía en la comuna, previo concepto de viabilidad técnica</v>
          </cell>
        </row>
        <row r="403">
          <cell r="F403" t="str">
            <v>42010040002-1528   A diciembre de 2019, se ha construido 1 kilómetro lineal de pavimento, previo concepto de viabilidad técnica_x000D_</v>
          </cell>
        </row>
        <row r="404">
          <cell r="F404" t="str">
            <v>42010010006-1529   A diciembre de 2019, se han construido 500 metros cuadrados de andén, previo concepto de viabilidad técnica y esquema básico_x000D_</v>
          </cell>
        </row>
        <row r="405">
          <cell r="F405" t="str">
            <v>42010010003-1530   A diciembre de 2019, se ha realizado el mantenimiento de 3 puentes peatonales, previo concepto de viabilidad técnica_x000D_</v>
          </cell>
        </row>
        <row r="406">
          <cell r="F406" t="str">
            <v>41050020005-1531   A diciembre de 2019, se han realizado 4 estrategias artísticas y culturales para promover la identidad y vocación cultural _x000D_</v>
          </cell>
        </row>
        <row r="407">
          <cell r="F407" t="str">
            <v>42030020014-1532   A diciembre de 2019, se ha recuperado ambiental y paisajísticamente 25 zonas blandas de separadores viales, parques y zonas verdes, con empoderamiento de la comunidad_x000D_</v>
          </cell>
        </row>
        <row r="408">
          <cell r="F408" t="str">
            <v>42030020014-1533   A diciembre de 2019, se han ejecutado 4 eventos de recreación en cada una de las zonas recuperadas, para generar cultura ciudadana_x000D_</v>
          </cell>
        </row>
        <row r="409">
          <cell r="F409" t="str">
            <v>42030020014-1534   A diciembre de 2019, se han realizado 4 estrategias artísticas y culturales "la cultura se toma tu comuna", promoviendo sentido de pertenencia en las zonas impactadas_x000D_</v>
          </cell>
        </row>
        <row r="410">
          <cell r="F410" t="str">
            <v>43010010009-1601   A diciembre de 2019, se han constituido y capacitado de 8 Comités de vecinos para la convivencia y dotado los barrios de la comuna con 8 sistemas de alerta y monitoreo</v>
          </cell>
        </row>
        <row r="411">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F412" t="str">
            <v>41010030005-1603   A diciembre de 2019, han participado 200 personas de organizaciones comunitarias orientadas a promover el respeto a la diversidad, el desarrollo de competencias para la convivencia, el autocuidado, la prevención del consumo de SPA y alc</v>
          </cell>
        </row>
        <row r="413">
          <cell r="F413" t="str">
            <v xml:space="preserve">41010020011-1604   A diciembre de 2019, 50 adolescentes y jóvenes vinculados a factores de riesgo, participan de procesos culturales </v>
          </cell>
        </row>
        <row r="414">
          <cell r="F414" t="str">
            <v>41010020001-1605   A diciembre de 2019, 50 adolescentes y jóvenes vinculados a factores de riesgo, participan de procesos deportivos</v>
          </cell>
        </row>
        <row r="415">
          <cell r="F415" t="str">
            <v>41050020009-1606   A diciembre de 2019, se han realizado 8 producciones artísticas y culturales( una por barrio ) , con jóvenes vinculados a factores de riesgo, destinadas a transformar imaginarios y prácticas culturales que “naturalizan” la violencia, la</v>
          </cell>
        </row>
        <row r="416">
          <cell r="F416" t="str">
            <v>41050020011-1607   A diciembre de 2019, se han vinculado en iniciación artística 200 personas de los diferentes grupos poblacionales</v>
          </cell>
        </row>
        <row r="417">
          <cell r="F417" t="str">
            <v>41050020012-1608   A diciembre de 2019, se ha fortalecido la formación artística de 2000 personas de diferentes grupos poblacionales</v>
          </cell>
        </row>
        <row r="418">
          <cell r="F418" t="str">
            <v>41010020001-1609   A diciembre de 2019, se han vinculado 1000 niños, niñas y adolescentes en procesos de iniciación deportiva</v>
          </cell>
        </row>
        <row r="419">
          <cell r="F419" t="str">
            <v>41050010007-1610   A diciembre de 2019, se han realizado 2 juegos deportivos y recreativos tradicionales y no tradicionales</v>
          </cell>
        </row>
        <row r="420">
          <cell r="F420" t="str">
            <v>41010020002-1611   A diciembre de 2019, se han realizado 2 juegos deportivos  intercolegiados</v>
          </cell>
        </row>
        <row r="421">
          <cell r="F421" t="str">
            <v>41050020015-1612   A diciembre de 2019, se han realizado 2 encuentros artísticos intercolegiados</v>
          </cell>
        </row>
        <row r="422">
          <cell r="F422" t="str">
            <v>42030040005-1613   A diciembre de 2019, se han construido 2 escenarios deportivos y recreativos en la comuna, siempre y cuando existan lotes de propiedad del municipio que se puedan utilizar para esta actividad.</v>
          </cell>
        </row>
        <row r="423">
          <cell r="F423" t="str">
            <v>42030040006-1614   A diciembre de 2019, se ha realizado la adecuación o mantenimiento de 16 escenarios deportivos y recreativos en la comuna</v>
          </cell>
        </row>
        <row r="424">
          <cell r="F424" t="str">
            <v>42030040007-1615   A diciembre de 2019, se ha realizado adecuación y mantenimiento 3 equipamientos culturales.</v>
          </cell>
        </row>
        <row r="425">
          <cell r="F425" t="str">
            <v>41040030004-1616   A diciembre de 2019, se han realizado 6 estudios y diseños para intervenir las sedes educativas de la comuna</v>
          </cell>
        </row>
        <row r="426">
          <cell r="F426" t="str">
            <v>41040030004-1617   A diciembre de 2019, se han realizado 19 intervenciones (mantenimiento, adecuación y/o construcción de espacios, previo concepto técnico) en las sedes educativas de la comuna</v>
          </cell>
        </row>
        <row r="427">
          <cell r="F427" t="str">
            <v>41040030007-1618   A diciembre de 2019, se ha realizado la dotación de 19 sedes educativas</v>
          </cell>
        </row>
        <row r="428">
          <cell r="F428" t="str">
            <v>42030020014-1619   A diciembre de 2019, se ha recuperado ambiental y paisajísticamente 30 zonas blandas de separadores viales, parques y zonas verdes, con empoderamiento de la comunidad</v>
          </cell>
        </row>
        <row r="429">
          <cell r="F429" t="str">
            <v>42030020014-1620   A diciembre de 2019, se han ejecutado 4 eventos de recreación en cada una de las zonas recuperadas, para generar cultura ciudadana</v>
          </cell>
        </row>
        <row r="430">
          <cell r="F430" t="str">
            <v>42030020014-1621   A diciembre de 2019, se han realizado 4 estrategias artísticas y culturales "la cultura se toma tu comuna", promoviendo el sentido de pertenencia en las zonas recuperadas</v>
          </cell>
        </row>
        <row r="431">
          <cell r="F431" t="str">
            <v>44040010001-1622   A diciembre de 2019, se han cualificado 500 personas vulnerables con acompañamiento, intermediación laboral y orientación ocupacional con entidades idóneas con un mínimo de capacitación de 180 horas.</v>
          </cell>
        </row>
        <row r="432">
          <cell r="F432" t="str">
            <v>41010010002-1623   A diciembre de 2019, se han cualificado 200 personas vulnerables para el emprendimiento con entidades idóneas y con acompañamiento y asistencia técnica en mercadeo, componente administrativo y contable y articulación con la economía for</v>
          </cell>
        </row>
        <row r="433">
          <cell r="F433" t="str">
            <v>42030040004-1624   A diciembre de 2019, se ha adecuado el CALI para facilitar la accesibilidad de las personas vulnerables.</v>
          </cell>
        </row>
        <row r="434">
          <cell r="F434" t="str">
            <v>43010020001-1625   A diciembre de 2019, se ha adecuado 1 equipamiento púbico de seguridad y justicia para facilitar la accesibilidad de las personas vulnerables</v>
          </cell>
        </row>
        <row r="435">
          <cell r="F435" t="str">
            <v>41020010003-1626   A diciembre de 2019, se ha adecuado la instalaciones del CALI con señalética en braile y formatos de fácil lectura y comprensión</v>
          </cell>
        </row>
        <row r="436">
          <cell r="F436" t="str">
            <v>41010040003-1627   A diciembre de 2019, se ha realizado formación en el cuidado, manejo, proyecto de vida, y derechos de 120 cuidadores de personas con discapacidad y adultos mayores_x000D_</v>
          </cell>
        </row>
        <row r="437">
          <cell r="F437" t="str">
            <v>41010040005-1628   A diciembre de 2019, se han vinculado 120 adultos mayores en actividades que promueven el estilo de vida saludable, autocuidado y acondicionamiento físico._x000D_</v>
          </cell>
        </row>
        <row r="438">
          <cell r="F438" t="str">
            <v>41010040004-1629   A diciembre de 2019, se han realizado 2 encuentros intergeneracionales._x000D_</v>
          </cell>
        </row>
        <row r="439">
          <cell r="F439" t="str">
            <v>41020010010-1630   A diciembre de 2019, se han realizado 2 juegos recreativos y deportivos para personas con discapacidad_x000D_</v>
          </cell>
        </row>
        <row r="440">
          <cell r="F440" t="str">
            <v>41010040007-1631   A diciembre de 2019, se han realizado 2 juegos recreativos para el adulto mayor</v>
          </cell>
        </row>
        <row r="441">
          <cell r="F441" t="str">
            <v>44030010010-1632   A diciembre de 2019, 120 personas de grupos vulnerables han participado de actividades de turismo de naturaleza en la zona rural del municipio_x000D_</v>
          </cell>
        </row>
        <row r="442">
          <cell r="F442" t="str">
            <v>41010010005-1633   A diciembre de 2019, se han adecuado 2 equipamientos  recreativos para la primera infancia en el marco de la Política Nacional de Cero a Siempre</v>
          </cell>
        </row>
        <row r="443">
          <cell r="F443" t="str">
            <v>41010010007-1634   A diciembre de 2019, se han adecuado 2 equipamientos culturales para la primera infancia en el marco de la Política Nacional de Cero a Siempre</v>
          </cell>
        </row>
        <row r="444">
          <cell r="F444" t="str">
            <v>42010040003-1635   A diciembre de 2019, se ha realizado el mantenimiento de 0,5 kilómetros lineales de vía en la comuna 16, previo concepto de viabilidad técnica_x000D_</v>
          </cell>
        </row>
        <row r="445">
          <cell r="F445" t="str">
            <v>42010040002-1636   A diciembre de 2019, se han construido 0,4 kilómetros lineales de pavimento en la comuna 16, previo concepto de viabilidad técnica_x000D_</v>
          </cell>
        </row>
        <row r="446">
          <cell r="F446" t="str">
            <v>42010010006-1637   A diciembre de 2019, se han construido 500 metros cuadrados de andenes en la comuna 16, previo concepto de viabilidad técnica_x000D_</v>
          </cell>
        </row>
        <row r="447">
          <cell r="F447" t="str">
            <v xml:space="preserve">42010010003-1638   A diciembre de 2019, se ha realizado el mantenimiento de 6 puentes peatonales en la comuna 16, previo concepto de viabilidad técnica </v>
          </cell>
        </row>
        <row r="448">
          <cell r="F448" t="str">
            <v>43010010009-1701   A diciembre de 2019, se han constituido y capacitado 25 comités de vecinos para la convivencia y dotado los barrios de la comuna con 50 sistemas de alerta y monitoreo (cámaras).</v>
          </cell>
        </row>
        <row r="449">
          <cell r="F449" t="str">
            <v>41040030004-1702   A diciembre de 2019, se han realizado 2 intervenciones (mantenimiento, adecuación y/o construcción de espacios, previo concepto técnico) en las sedes educativas de la comuna_x000D_</v>
          </cell>
        </row>
        <row r="450">
          <cell r="F450" t="str">
            <v>42030040005-1703   A diciembre de 2019, se han construido entre 3 escenarios deportivos y recreativos en la comuna, siempre y cuando existan lotes de propiedad del municipio que se puedan utilizar para esta actividad._x000D_</v>
          </cell>
        </row>
        <row r="451">
          <cell r="F451" t="str">
            <v>42030040006-1704   A diciembre de 2019, se ha realizado la adecuación o mantenimiento de 15 escenarios deportivos y recreativos en la comuna_x000D_</v>
          </cell>
        </row>
        <row r="452">
          <cell r="F452" t="str">
            <v>41010010005-1705   A diciembre de 2019, se han adecuado 3 equipamientos recreativos para la primera infancia en el marco de la Política Nacional de Cero a Siempre_x000D_</v>
          </cell>
        </row>
        <row r="453">
          <cell r="F453" t="str">
            <v>41010020001-1706   A diciembre de 2019, se han vinculado 5000 niños, niñas y adolescentes en procesos de iniciación deportiva y recreativa _x000D_</v>
          </cell>
        </row>
        <row r="454">
          <cell r="F454" t="str">
            <v>41050010007-1707   A diciembre de 2019, se han realizado 4 juegos deportivos y recreativos tradicionales y no tradicionales en la comuna _x000D_</v>
          </cell>
        </row>
        <row r="455">
          <cell r="F455" t="str">
            <v>41010020002-1708   A diciembre de 2019, se han realizado 2 juegos deportivos intercolegiados interbarriales_x000D_</v>
          </cell>
        </row>
        <row r="456">
          <cell r="F456" t="str">
            <v>41050020011-1709   A diciembre de 2019, se han vinculado en iniciación artística 1200 personas de los diferentes grupos poblacionales._x000D_</v>
          </cell>
        </row>
        <row r="457">
          <cell r="F457" t="str">
            <v>41050020012-1710   A diciembre de 2019, se ha fortalecido la formación artística de 600 personas de diferentes grupos poblacionales</v>
          </cell>
        </row>
        <row r="458">
          <cell r="F458" t="str">
            <v>41050020015-1711   A diciembre de 2019, se han realizado 2 encuentros artísticos intercolegiados _x000D_</v>
          </cell>
        </row>
        <row r="459">
          <cell r="F459" t="str">
            <v>42030040004-1712   A diciembre de 2019, se han realizado 4 mantenimiento o adecuación de las instalaciones del CALI 17 como escenario para las actividades culturales.</v>
          </cell>
        </row>
        <row r="460">
          <cell r="F460" t="str">
            <v>41050020005-1713   A diciembre de 2019, se han realizado 3 estrategias artísticas y culturales en los barrios de la comuna, para promover su identidad y vocación cultural _x000D_</v>
          </cell>
        </row>
        <row r="461">
          <cell r="F461" t="str">
            <v>41010030006-1714   A diciembre de 2019, se han formado 600 padres, madres, cuidadores y cabeza de hogar, en pautas de crianza para el desarrollo de competencias para la convivencia familiar, el autocuidado y la prevención del consumo de SPA y el uso inade</v>
          </cell>
        </row>
        <row r="462">
          <cell r="F462" t="str">
            <v>42030010008-1715   A diciembre de 2019, se ha promovido el desarrollo de valores al  interior de la  familia, a través de 4 jornadas lúdicas recreativas barriales._x000D_</v>
          </cell>
        </row>
        <row r="463">
          <cell r="F463" t="str">
            <v>41010040004-1716   A diciembre de 2019, se han realizado 4 encuentros intergeneracionales.</v>
          </cell>
        </row>
        <row r="464">
          <cell r="F464" t="str">
            <v>41010030005-1717   A diciembre de 2019, han participado de 25 personas de organizaciones comunitarias y Red del Buen Trato en estrategias pedagógicas orientadas a promover el respeto a la diversidad, el desarrollo de competencias para la convivencia, el a</v>
          </cell>
        </row>
        <row r="465">
          <cell r="F465" t="str">
            <v>42030020014-1718   A diciembre de 2019, se ha recuperado ambiental y paisajísticamente 25 zonas blandas de separadores viales, parques, zonas verdes, humedales empoderamiento de la comunidad_x000D_</v>
          </cell>
        </row>
        <row r="466">
          <cell r="F466" t="str">
            <v>42030020014-1719   A diciembre de 2019, se han ejecutado 4 eventos de recreación en cada una de las zonas recuperadas, para generar cultura ciudadana</v>
          </cell>
        </row>
        <row r="467">
          <cell r="F467" t="str">
            <v>42030020014-1720   A diciembre de 2019, se ha realizado 4 estrategias artísticas y culturales "la cultura se toma tu comuna", promoviendo sentido de pertenencia en las zonas recuperadas_x000D_</v>
          </cell>
        </row>
        <row r="468">
          <cell r="F468" t="str">
            <v>42050030005-1721   A diciembre de 2019, se han capacitado 200 personas en prevención de emergencias por fenómenos naturales y antrópicos_x000D_</v>
          </cell>
        </row>
        <row r="469">
          <cell r="F469" t="str">
            <v>41040030004-1801   A diciembre de 2019, se han realizado 6 estudios y diseños para intervenir las sedes educativas de la comuna_x000D_</v>
          </cell>
        </row>
        <row r="470">
          <cell r="F470" t="str">
            <v xml:space="preserve">41040030004-1802   A diciembre de 2019, se han realizado 15 intervenciones (mantenimiento, adecuación y/o construcción espacios, previo concepto técnico) en las sedes educativas de la comuna _x000D_ </v>
          </cell>
        </row>
        <row r="471">
          <cell r="F471" t="str">
            <v>41040030005-1803   A diciembre de 2019, se ha realizado la adquisición de 1 lote para la ampliación de las sedes educativas de la comuna_x000D_</v>
          </cell>
        </row>
        <row r="472">
          <cell r="F472" t="str">
            <v>41040030007-1804   A diciembre de 2019, se ha realizado la dotación de 10 sedes educativas _x000D_</v>
          </cell>
        </row>
        <row r="473">
          <cell r="F473" t="str">
            <v>44040010001-1805   A diciembre de 2019, se han cualificado 100 personas con acompañamiento, intermediación laboral y orientación ocupacional con entidades idóneas con un mínimo de capacitación 180 horas _x000D_</v>
          </cell>
        </row>
        <row r="474">
          <cell r="F474" t="str">
            <v>41010010002-1806   A diciembre de 2019, se han cualificado 100 personas para el emprendimiento con entidades idóneas y con acompañamiento y asistencia técnica en mercadeo, componente administrativo y contable y articulación con la economía formal con un m</v>
          </cell>
        </row>
        <row r="475">
          <cell r="F475" t="str">
            <v>42030040004-1807   A diciembre de 2019, se han adecuado el CALI y de 2 sedes comunales para facilitar la accesibilidad de las personas vulnerables</v>
          </cell>
        </row>
        <row r="476">
          <cell r="F476" t="str">
            <v>42030020014-1808   A diciembre de 2019, se ha recuperado ambiental y paisajísticamente 12 zonas blandas de separadores viales, parques y zonas verdes, con empoderamiento de la comunidad_x000D_</v>
          </cell>
        </row>
        <row r="477">
          <cell r="F477" t="str">
            <v>41020010003-1809   A diciembre de 2019, se ha realizado la instalación de señalética en braile y formatos de fácil lectura y comprensión en el CALI _x000D_</v>
          </cell>
        </row>
        <row r="478">
          <cell r="F478" t="str">
            <v>42010040003-1810   A diciembre de 2019, se ha realizado el mantenimiento de 1 kilómetro lineal de vía en la comuna, previo concepto de viabilidad técnica_x000D_</v>
          </cell>
        </row>
        <row r="479">
          <cell r="F479" t="str">
            <v>42010040002-1811   A diciembre de 2019, se ha construido 1 kilómetro lineal de pavimento, previo concepto de viabilidad técnica_x000D_</v>
          </cell>
        </row>
        <row r="480">
          <cell r="F480" t="str">
            <v>42010010006-1812   A diciembre de 2019, se han construido 1000 metros cuadrados de andén, previo concepto de viabilidad técnica y esquema básico_x000D__x000D__x000D__x000D_</v>
          </cell>
        </row>
        <row r="481">
          <cell r="F481" t="str">
            <v>41010040003-1813   A diciembre de 2019, se ha realizado formación en el cuidado, manejo, proyecto de vida y derechos a 70 cuidadores de personas con discapacidad _x000D_</v>
          </cell>
        </row>
        <row r="482">
          <cell r="F482" t="str">
            <v>41020010010-1814   A diciembre de 2019, se han realizado 2 juegos recreativos y deportivos para personas con discapacidad_x000D_</v>
          </cell>
        </row>
        <row r="483">
          <cell r="F483" t="str">
            <v>41050020011-1815   A diciembre de 2019, se han vinculado en iniciación artística 2000 personas de los diferentes grupos poblacionales._x000D_</v>
          </cell>
        </row>
        <row r="484">
          <cell r="F484" t="str">
            <v xml:space="preserve">41050020015-1816   A diciembre de 2019, se han identificado 1 redes de emprendedores culturales comunitarias y alternativas. </v>
          </cell>
        </row>
        <row r="485">
          <cell r="F485" t="str">
            <v>41050020005-1817   A diciembre de 2019, se han realizado 2 estrategias artísticas y culturales en los barrios de la comuna, para promover su identidad y vocación cultural _x000D_</v>
          </cell>
        </row>
        <row r="486">
          <cell r="F486" t="str">
            <v>41050020015-1818   A diciembre de 2019, se ha realizado 1 encuentro artístico intercolegiado _x000D_</v>
          </cell>
        </row>
        <row r="487">
          <cell r="F487" t="str">
            <v>41050020012-1819   A diciembre de 2019, se ha fortalecido la formación artística de 1500 personas de diferentes grupos poblacionales_x000D_</v>
          </cell>
        </row>
        <row r="488">
          <cell r="F488" t="str">
            <v>41010020001-1820   A diciembre de 2019, se han vinculado 6000 niños, niñas y adolescentes en procesos de iniciación deportiva _x000D_</v>
          </cell>
        </row>
        <row r="489">
          <cell r="F489" t="str">
            <v xml:space="preserve">41050010007-1821   A diciembre de 2019, se han realizado 2 juegos deportivos y recreativos tradicionales y no tradicionales </v>
          </cell>
        </row>
        <row r="490">
          <cell r="F490" t="str">
            <v>41010020002-1822   A diciembre de 2019, se han realizado 2 juegos deportivos intercolegiados</v>
          </cell>
        </row>
        <row r="491">
          <cell r="F491" t="str">
            <v>42030020014-1823   A diciembre de 2019, se ha realizado 1 estrategias artísticas y culturales "la cultura se toma tu comuna", promoviendo sentido de pertenencia y cultura ciudadana</v>
          </cell>
        </row>
        <row r="492">
          <cell r="F492" t="str">
            <v>44030010010-1824   A diciembre de 2019, 300 personas de grupos vulnerables han participado de actividades de turismo de naturaleza en la zona rural del municipio_x000D_</v>
          </cell>
        </row>
        <row r="493">
          <cell r="F493" t="str">
            <v>42030040005-1825   A diciembre de 2019, se han construido 2 escenarios deportivos y recreativos en la comuna, siempre y cuando existan lotes de propiedad del municipio que se puedan utilizar para esta actividad_x000D_</v>
          </cell>
        </row>
        <row r="494">
          <cell r="F494" t="str">
            <v>42030040006-1826   A diciembre de 2019, se ha realizado la adecuación o mantenimiento de 20 equipamientos deportivos y recreativos en la comuna_x000D__x000D_</v>
          </cell>
        </row>
        <row r="495">
          <cell r="F495" t="str">
            <v>42030040007-1827   A diciembre de 2019, se ha realizado el mantenimiento y adecuación de 2 equipamiento cultural._x000D_</v>
          </cell>
        </row>
        <row r="496">
          <cell r="F496" t="str">
            <v>43010010009-1901   A diciembre de 2019 se han constituido y capacitado y dotado  36 Comités de vecinos para la convivencia y dotado los barrios de la comuna con 36 sistemas de alerta  y monitoreo.</v>
          </cell>
        </row>
        <row r="497">
          <cell r="F497" t="str">
            <v>41010030006-1902   A diciembre de 2019 se han formado 360 padres, madres, cuidadores y  cabeza de hogar, en pautas de crianza para el desarrollo de competencias  para la convivencia, el autocuidado y la prevención del consumo de SPA y el uso inadecuado de</v>
          </cell>
        </row>
        <row r="498">
          <cell r="F498" t="str">
            <v>41010030005-1903   A diciembre de 2019 han participado de 360 personas de organizaciones  comunitarias  en estrategias pedagógicas orientadas a promover el respeto a la diversidad, el desarrollo de competencias para la convivencia, el autocuidado, la prev</v>
          </cell>
        </row>
        <row r="499">
          <cell r="F499" t="str">
            <v>41010020001-1904   A diciembre de 2019, se han vinculado 2000 niños, niñas y adolescentes  en procesos de  iniciación deportiva _x000D_</v>
          </cell>
        </row>
        <row r="500">
          <cell r="F500" t="str">
            <v>41050010007-1905   A diciembre de 2019 se han  realizado 4 juegos deportivos y recreativos tradicionales y no tradicionales _x000D__x000D_</v>
          </cell>
        </row>
        <row r="501">
          <cell r="F501" t="str">
            <v>41010020002-1906   A diciembre de 2019,  se  han realizado 2 juegos deportivos intercolegiados _x000D_</v>
          </cell>
        </row>
        <row r="502">
          <cell r="F502" t="str">
            <v>42030040005-1907   A diciembre de 2019,  se  han construido 2 equipamientos deportivos y recreativos en la comuna  siempre y cuando existan lotes de propiedad del municipio que se puedan utilizar para esta actividad._x000D_</v>
          </cell>
        </row>
        <row r="503">
          <cell r="F503" t="str">
            <v>42030040006-1908   A diciembre de 2019 se ha efectuado adecuación y mantenimiento de 36 equipamientos deportivos y recreativos en la comuna</v>
          </cell>
        </row>
        <row r="504">
          <cell r="F504" t="str">
            <v>41040030004-1909   A diciembre 2019 se han realizado 3 estudios y diseños para intervenir las sedes educativas de la comuna</v>
          </cell>
        </row>
        <row r="505">
          <cell r="F505" t="str">
            <v>41040030004-1910   A diciembre de 2019, se han realizado 10 intervenciones (mantenimiento, adecuación y/o construcción de espacios, previo concepto técnico) en las  sedes educativas de la comuna_x000D_</v>
          </cell>
        </row>
        <row r="506">
          <cell r="F506" t="str">
            <v>42030040007-1911   A diciembre de 2019 se ha realizado  mantenimiento y adecuación 1 equipamientos culturales._x000D_</v>
          </cell>
        </row>
        <row r="507">
          <cell r="F507" t="str">
            <v>41050020011-1912   A diciembre de 2019, se ha vinculado en iniciación artística 3000 personas de los grupos poblacionales vulnerables _x000D_</v>
          </cell>
        </row>
        <row r="508">
          <cell r="F508" t="str">
            <v>41050020012-1913   A diciembre de 2019, se ha fortalecido a través de la formación artística 3000 personas de los grupos poblacionales vulnerables con entidades idóneas_x000D_</v>
          </cell>
        </row>
        <row r="509">
          <cell r="F509" t="str">
            <v>41010010005-1914   A diciembre de 2019 se han adecuado 2 equipamientos recreativos para la  primera infancia en el marco de la Política Nacional de Cero a Siempre_x000D_</v>
          </cell>
        </row>
        <row r="510">
          <cell r="F510" t="str">
            <v>42030040001-1915   A diciembre de 2019 se ha realizado el mantenimiento y adecuación de 1 sedes comunales_x000D_</v>
          </cell>
        </row>
        <row r="511">
          <cell r="F511" t="str">
            <v>42030040004-1916   A diciembre de 2019 se ha realizado el mantenimiento y adecuación del CALI _x000D_</v>
          </cell>
        </row>
        <row r="512">
          <cell r="F512" t="str">
            <v>45030010003-1917   A diciembre de 2019 se han fortalecido las organizaciones comunitarias, incluyendo JAL y JAC, a través de la capacitación en liderazgo de 480 personas en mediación, autorregulación y solución pacífica de conflictos_x000D_</v>
          </cell>
        </row>
        <row r="513">
          <cell r="F513" t="str">
            <v>45030010003-1918   A diciembre de 2019, se han capacitado 2400 personas pertenecientes a grupos vulnerables para su organización y participación en las diferentes instancias de decisión local_x000D_</v>
          </cell>
        </row>
        <row r="514">
          <cell r="F514" t="str">
            <v>43010020001-1919   A diciembre de 2019,  se  ha adecuado 1 equipamiento púbico de Seguridad y Justicia para facilitar la  accesibilidad  de las personas vulnerables._x000D_</v>
          </cell>
        </row>
        <row r="515">
          <cell r="F515" t="str">
            <v>41020010003-1920   A diciembre de 2019 se ha realizado la instalación de señalética en braile y formatos de fácil lectura y comprensión en el CALI _x000D__x000D_</v>
          </cell>
        </row>
        <row r="516">
          <cell r="F516" t="str">
            <v>41010040003-1921   A diciembre de 2019, se ha realizado formación en el cuidado, manejo, proyecto de vida y derechos a 80  cuidadores de personas con discapacidad y adultos mayores_x000D_</v>
          </cell>
        </row>
        <row r="517">
          <cell r="F517" t="str">
            <v>41010040005-1922   A diciembre de 2019, se han vinculado 200 adulto mayores en actividades que promueva el estilo de vida saludable, autocuidado y acondicionamiento físico.</v>
          </cell>
        </row>
        <row r="518">
          <cell r="F518" t="str">
            <v>41010040004-1923   A diciembre de 2019, se han realizado 12 encuentros intergeneracionales._x000D_</v>
          </cell>
        </row>
        <row r="519">
          <cell r="F519" t="str">
            <v>41020010010-1924   A diciembre de 2019, se han realizado 2 juegos recreativos y deportivos para personas con discapacidad_x000D_</v>
          </cell>
        </row>
        <row r="520">
          <cell r="F520" t="str">
            <v>41010040007-1925   A diciembre de 2019, se han realizado 4 juegos recreativos para el adulto mayor_x000D_</v>
          </cell>
        </row>
        <row r="521">
          <cell r="F521" t="str">
            <v>44030010010-1926   A diciembre de 2019 450 personas de grupos vulnerables han participado de actividades de turismo de naturaleza en la zona rural del municipio_x000D_</v>
          </cell>
        </row>
        <row r="522">
          <cell r="F522" t="str">
            <v>44040010001-1927   A diciembre de 2019, se han cualificado a 1200 personas vulnerables  en competencias técnico laborales con acompañamiento, intermediación laboral y orientación ocupacional con entidades idóneas con un mínimo de capacitación 180 horas._x000D_</v>
          </cell>
        </row>
        <row r="523">
          <cell r="F523" t="str">
            <v>44010010002-1928   A diciembre de 2019, se han cualificado a  640 personas vulnerables para el emprendimiento con entidades idóneas y con acompañamiento y asistencia técnica en mercadeo, componente administrativo y contable y formalización con un mínimo d</v>
          </cell>
        </row>
        <row r="524">
          <cell r="F524" t="str">
            <v>42030020014-1929   A diciembre 2019, se ha recuperado ambiental y paisajísticamente 36 zonas blandas  de separadores viales, parques y zonas verdes,  con empoderamiento de la comunidad_x000D_</v>
          </cell>
        </row>
        <row r="525">
          <cell r="F525" t="str">
            <v>42030020014-1930   A diciembre 2019, se ha ejecutado 1  eventos de recreación  en zonas recuperadas, para generar cultura ciudadana_x000D_</v>
          </cell>
        </row>
        <row r="526">
          <cell r="F526" t="str">
            <v>42030020014-1931   A diciembre 2019, se ha realizado 4 estrategias artísticas y culturales "la cultura se toma tu comuna", promoviendo sentido de pertenencia de las zonas recuperadas_x000D_</v>
          </cell>
        </row>
        <row r="527">
          <cell r="F527" t="str">
            <v>42010040003-1932   A diciembre 2019 se ha realizado el mantenimiento de 2 kilómetros lineales de vía en la comuna, previo concepto de viabilidad técnica</v>
          </cell>
        </row>
        <row r="528">
          <cell r="F528" t="str">
            <v>42010040002-1933   A diciembre 2019 se ha construido  0,2  kilómetros lineales de pavimento, previo concepto de viabilidad técnica</v>
          </cell>
        </row>
        <row r="529">
          <cell r="F529" t="str">
            <v>42010010006-1934   A diciembre 2019 se han mantenido o construido   1000 metros cuadrados de andén, previo concepto de viabilidad técnica y esquema básico</v>
          </cell>
        </row>
        <row r="530">
          <cell r="F530" t="str">
            <v>42010010003-1935   A diciembre de 2019 se han realizado  el mantenimiento  a  4 puentes peatonales, previo concepto de viabilidad técnica</v>
          </cell>
        </row>
        <row r="531">
          <cell r="F531" t="str">
            <v>43010010009-2001   A diciembre de 2019 se han constituido y  capacitado 20 Comités de vecinos para la convivencia  y dotado los barrios de la comuna con 20 sistemas de alerta y monitoreo.</v>
          </cell>
        </row>
        <row r="532">
          <cell r="F532" t="str">
            <v>42030020014-2002   A diciembre 2019, se ha recuperado ambiental y paisajísticamente 5 zonas blandas  de separadores viales, parques y zonas verdes,  con empoderamiento de la comunidad</v>
          </cell>
        </row>
        <row r="533">
          <cell r="F533" t="str">
            <v>42030020014-2003   A diciembre 2019, se ha ejecutado  4 eventos de recreación  en zonas recuperadas, para generar cultura ciudadana</v>
          </cell>
        </row>
        <row r="534">
          <cell r="F534" t="str">
            <v>42030020014-2004   A diciembre 2019, se ha realizado 6 estrategias artísticas y culturales "la cultura se toma tu comuna", promoviendo sentido de pertenencia en las zonas recuperadas</v>
          </cell>
        </row>
        <row r="535">
          <cell r="F535" t="str">
            <v>41040030004-2005   A diciembre 2019 se han realizado 7 estudios y diseños para intervenir las sedes educativas de la comuna</v>
          </cell>
        </row>
        <row r="536">
          <cell r="F536" t="str">
            <v>41040030004-2006   A diciembre de 2019, se han realizado 14 intervenciones (mantenimiento, adecuación y/o construcción de espacios, previo concepto técnico) en las  sedes educativas de la comuna</v>
          </cell>
        </row>
        <row r="537">
          <cell r="F537" t="str">
            <v>41010030006-2007   A diciembre de 2019 se han formado  400 padres, madres, cuidadores y  cabeza de hogar, en pautas de crianza para el desarrollo de competencias  para la convivencia, el autocuidado y la prevención del consumo de SPA y alcohol.</v>
          </cell>
        </row>
        <row r="538">
          <cell r="F538" t="str">
            <v>41010030005-2008   A diciembre de 2019 han participado de 200 personas de organizaciones sociales, comunitarias y Red del Buen Trato en estrategias pedagógicas orientadas a promover el respeto a la diversidad, el desarrollo de competencias para la convive</v>
          </cell>
        </row>
        <row r="539">
          <cell r="F539" t="str">
            <v xml:space="preserve">41010020011-2009   A diciembre de 2019 200   adolescentes y jóvenes vinculados a factores de riesgo, participan de  procesos culturales  </v>
          </cell>
        </row>
        <row r="540">
          <cell r="F540" t="str">
            <v>41010020001-2010   A diciembre de 2019 200  niños, niñas y adolescentes vinculados a factores de riesgo participan en estrategias deportivos y recreativas</v>
          </cell>
        </row>
        <row r="541">
          <cell r="F541" t="str">
            <v xml:space="preserve">41050020009-2011   A diciembre de 2019 se han realizado 3 producciones artísticas y culturales, con jóvenes vinculados a factores de riesgo, destinadas a transformar imaginarios y prácticas culturales que “naturalizan”  la violencia, la criminalidad y la </v>
          </cell>
        </row>
        <row r="542">
          <cell r="F542" t="str">
            <v xml:space="preserve">41010020001-2012   A diciembre de 2019, se han vinculado 2000 niños, niñas y adolescentes en procesos de  iniciación deportiva </v>
          </cell>
        </row>
        <row r="543">
          <cell r="F543" t="str">
            <v xml:space="preserve">41050010007-2013   A diciembre de 2019 se han realizado 2 juegos deportivos tradicionales y no tradicionales </v>
          </cell>
        </row>
        <row r="544">
          <cell r="F544" t="str">
            <v>44030010010-2014   A diciembre de 2019 200 personas de grupos vulnerables han participado de actividades de turismo de naturaleza en la zona rural del municipio</v>
          </cell>
        </row>
        <row r="545">
          <cell r="F545" t="str">
            <v xml:space="preserve">41010020002-2015   A diciembre de 2019 se han  realizado 2 Juegos deportivos intercolegiados </v>
          </cell>
        </row>
        <row r="546">
          <cell r="F546" t="str">
            <v>41050020011-2016   A diciembre de 2019, se han vinculado en iniciación artística 500 personas de los diferentes grupos poblacionales.</v>
          </cell>
        </row>
        <row r="547">
          <cell r="F547" t="str">
            <v>41050020012-2017   A diciembre de 2019, se ha fortalecido la formación  artística  a 1200 personas de diferentes  grupos poblacionales</v>
          </cell>
        </row>
        <row r="548">
          <cell r="F548" t="str">
            <v>41050020015-2018   A diciembre de 2019, se han realizado 4 encuentros intercolegiados artísticos interbarriales.</v>
          </cell>
        </row>
        <row r="549">
          <cell r="F549" t="str">
            <v xml:space="preserve">41050020005-2019   A diciembre de 2019 se han realizado 3 estrategias artísticas  y culturales en los barrios de la comuna, para promover su identidad y vocación cultural </v>
          </cell>
        </row>
        <row r="550">
          <cell r="F550" t="str">
            <v>41010040007-2020   A diciembre de 2019 se han realizado 2 juegos recreativos para el adulto mayor</v>
          </cell>
        </row>
        <row r="551">
          <cell r="F551" t="str">
            <v>41020010010-2021   A diciembre de 2019 se han realizado 2 juegos deportivos y recreativos para personas con discapacidad</v>
          </cell>
        </row>
        <row r="552">
          <cell r="F552" t="str">
            <v>42030040005-2022   A diciembre de 2019,  se  han construido 1 escenarios deportivos y recreativos en la comuna siempre y cuando existan lotes de propiedad del municipio que se puedan utilizar para esta actividad.</v>
          </cell>
        </row>
        <row r="553">
          <cell r="F553" t="str">
            <v>42030040006-2023   A diciembre de 2019 se ha efectuado adecuación y mantenimiento de 9 escenarios deportivos y recreativos en la comuna</v>
          </cell>
        </row>
        <row r="554">
          <cell r="F554" t="str">
            <v>41010010005-2024   A diciembre de 2019 se han adecuado 1 equipamientos recreativos y cultural para la  primera infancia en el marco de la Política Nacional de Cero a Siempre</v>
          </cell>
        </row>
        <row r="555">
          <cell r="F555" t="str">
            <v>41010010007-2025   A diciembre de 2019 se han adecuado 1 equipamientos recreativos y cultural para la  primera infancia en el marco de la Política Nacional de Cero a Siempre</v>
          </cell>
        </row>
        <row r="556">
          <cell r="F556" t="str">
            <v>42030040007-2026   A diciembre de 2019 se ha realizado  mantenimiento y adecuación 2 equipamientos culturales públicos</v>
          </cell>
        </row>
        <row r="557">
          <cell r="F557" t="str">
            <v>42010040003-2027   A diciembre 2019 se ha realizado el mantenimiento de 0,8  Kilómetros de vía en la comuna, previo concepto de viabilidad técnica</v>
          </cell>
        </row>
        <row r="558">
          <cell r="F558" t="str">
            <v>42010040002-2028   A diciembre 2019 se ha construido 0,8 kilómetros lineales de pavimento, previo concepto de viabilidad técnica</v>
          </cell>
        </row>
        <row r="559">
          <cell r="F559" t="str">
            <v>42010010006-2029   A diciembre 2019 se ha realizado el mantenimiento y construcción de 800 metros cuadrados de andén, previo concepto de viabilidad técnica y esquema básico</v>
          </cell>
        </row>
        <row r="560">
          <cell r="F560" t="str">
            <v>42010010006-2030   A diciembre 2019 se han construido 200 metros cuadrados de grada anden en la comunas, previo concepto de viabilidad técnica</v>
          </cell>
        </row>
        <row r="561">
          <cell r="F561" t="str">
            <v>42010010003-2031   A diciembre de 2019 se ha realizado mantenimiento a 8  puentes peatonales, previo concepto de viabilidad técnica</v>
          </cell>
        </row>
        <row r="562">
          <cell r="F562" t="str">
            <v>44040010001-2032   A diciembre de 2019, se han cualificado 400 personas con acompañamiento, intermediación laboral y orientación ocupacional con entidades idóneas con un mínimo de capacitación 180 horas.</v>
          </cell>
        </row>
        <row r="563">
          <cell r="F563" t="str">
            <v xml:space="preserve">44010010002-2033   A diciembre de 2019, se han cualificado 400 personas para el emprendimiento con entidades idóneas y con acompañamiento y asistencia técnica en mercadeo, componente administrativo y contable y formalización con un mínimo de capacitación </v>
          </cell>
        </row>
        <row r="564">
          <cell r="F564" t="str">
            <v>43010010009-2101   A diciembre de 2019, se han constituido y capacitado 30 comités de vecinos para la convivencia y dotado los barrios de la comuna con 60 sistemas de alerta y monitoreo.</v>
          </cell>
        </row>
        <row r="565">
          <cell r="F565" t="str">
            <v>41010030006-2102   A diciembre de 2019, se han formado 400 padres, madres, cuidadores y cabeza de hogar, en pautas de crianza para el desarrollo de competencias para la convivencia, el autocuidado y la prevención del consumo de SPA y el uso inadecuado del</v>
          </cell>
        </row>
        <row r="566">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v>
          </cell>
        </row>
        <row r="567">
          <cell r="F567" t="str">
            <v xml:space="preserve">41010020011-2104   A diciembre de 2019, 100 niños, niñas y adolescentes vinculados a factores de riesgo, participan de procesos culturales </v>
          </cell>
        </row>
        <row r="568">
          <cell r="F568" t="str">
            <v>41010020001-2105   A diciembre de 2019, 100 adolescentes y jóvenes vinculados a factores de riesgo, participan de procesos deportivos.</v>
          </cell>
        </row>
        <row r="569">
          <cell r="F569" t="str">
            <v xml:space="preserve">41050020009-2106   A diciembre de 2019, se han realizado 2 producciones artísticas y culturales, con jóvenes vinculados a factores de riesgo, destinadas a transformar imaginarios y prácticas culturales que “naturalizan” la violencia, la criminalidad y la </v>
          </cell>
        </row>
        <row r="570">
          <cell r="F570" t="str">
            <v xml:space="preserve">41010020011-2107   A diciembre de 2019, se han cualificado 300 jóvenes vinculados a factores de riesgo y acompañado en intermediación laboral, ocupacional y en la construcción su proyecto de vida </v>
          </cell>
        </row>
        <row r="571">
          <cell r="F571" t="str">
            <v>42030040004-2108   A diciembre de 2019, se ha adecuado el CALI para facilitar la accesibilidad de las personas vulnerables.</v>
          </cell>
        </row>
        <row r="572">
          <cell r="F572" t="str">
            <v>43010020001-2109   A diciembre de 2019, se ha adecuado 1 equipamiento púbico de seguridad y justicia para facilitar la accesibilidad de las personas vulnerables.</v>
          </cell>
        </row>
        <row r="573">
          <cell r="F573" t="str">
            <v>42030040007-2110   A diciembre de 2019, se han adecuado 2 equipamientos culturales públicos para facilitar la accesibilidad de las personas vulnerables.</v>
          </cell>
        </row>
        <row r="574">
          <cell r="F574" t="str">
            <v>41040030004-2111   A diciembre de 2019, se han realizado 5 intervenciones (mantenimiento, adecuación y/o construcción de espacios, previo concepto técnico) en las sedes educativas de la comuna</v>
          </cell>
        </row>
        <row r="575">
          <cell r="F575" t="str">
            <v xml:space="preserve">41020010003-2112   A diciembre de 2019, se ha realizado la instalación de señalética en braile y formatos de fácil lectura y comprensión en el CALI </v>
          </cell>
        </row>
        <row r="576">
          <cell r="F576" t="str">
            <v>41050020011-2113   A diciembre de 2019, se ha vinculado en iniciación artística 1000 personas de los diferentes grupos poblacionales vulnerables</v>
          </cell>
        </row>
        <row r="577">
          <cell r="F577" t="str">
            <v xml:space="preserve">41050020012-2114   A diciembre de 2019, se ha fortalecido a través de la formación artística de 2000 personas de los grupos poblacionales vulnerables con entidades idóneas </v>
          </cell>
        </row>
        <row r="578">
          <cell r="F578" t="str">
            <v>41010040003-2115   A diciembre de 2019, se ha realizado formación en el cuidado, manejo, proyecto de vida y derechos a 500 cuidadores de personas con discapacidad y adultos mayores.</v>
          </cell>
        </row>
        <row r="579">
          <cell r="F579" t="str">
            <v>41010040005-2116   A diciembre de 2019, se han vinculado 400 adultos mayores en actividades que promueven el estilo de vida saludable, autocuidado y acondicionamiento físico.</v>
          </cell>
        </row>
        <row r="580">
          <cell r="F580" t="str">
            <v>41020040003-2117   A diciembre de 2019, han participado 200 personas de la población LGTBI en procesos de incidencia social.</v>
          </cell>
        </row>
        <row r="581">
          <cell r="F581" t="str">
            <v>41010040007-2118   A diciembre de 2019, se han realizado 2 juegos recreativos y deportivos para personas con discapacidad y adultos mayores</v>
          </cell>
        </row>
        <row r="582">
          <cell r="F582" t="str">
            <v>44030010010-2119   A diciembre de 2019, 500 personas de grupos vulnerables han participado en actividades de turismo de naturaleza en la zona rural del municipio</v>
          </cell>
        </row>
        <row r="583">
          <cell r="F583" t="str">
            <v>41050020015-2120   A diciembre de 2019, se han realizado 2 encuentros artísticos intercolegiados_x000D_</v>
          </cell>
        </row>
        <row r="584">
          <cell r="F584" t="str">
            <v>44040010001-2121   A diciembre de 2019, se han cualificado 400 personas vulnerables con acompañamiento, intermediación laboral y orientación ocupacional con entidades idóneas por el término de 180 horas.</v>
          </cell>
        </row>
        <row r="585">
          <cell r="F585" t="str">
            <v xml:space="preserve">44010010002-2122   A diciembre de 2019, se han cualificado 400 personas vulnerables para el emprendimiento con entidades idóneas y con acompañamiento y asistencia técnica en mercadeo, componente administrativo y contable y formalización por el término de </v>
          </cell>
        </row>
        <row r="586">
          <cell r="F586" t="str">
            <v>42010040003-2123   A diciembre de 2019, se ha realizado el mantenimiento de 1,5 kilómetros lineales de vía en la comuna, previo concepto de viabilidad técnica</v>
          </cell>
        </row>
        <row r="587">
          <cell r="F587" t="str">
            <v>42010040002-2124   A diciembre de 2019, se han construido 0,5 kilómetros lineales de pavimento, previo concepto de viabilidad técnica</v>
          </cell>
        </row>
        <row r="588">
          <cell r="F588" t="str">
            <v>42010010006-2125   A diciembre de 2019, se ha realizado mantenimientoy/ o construcción de 500 metros cuadrados de andén, previo concepto de viabilidad técnica y esquema básico</v>
          </cell>
        </row>
        <row r="589">
          <cell r="F589" t="str">
            <v>42010010003-2126   A diciembre de 2019, se ha realizado el mantenimiento a 2 puentes peatonales, previo concepto de viabilidad técnica</v>
          </cell>
        </row>
        <row r="590">
          <cell r="F590" t="str">
            <v>42030040005-2127   A diciembre de 2019, se han construido 2 escenarios deportivos y recreativos en la comuna, siempre y cuando existan lotes de propiedad del municipio que se puedan utilizar para esta actividad_x000D_</v>
          </cell>
        </row>
        <row r="591">
          <cell r="F591" t="str">
            <v>42030040006-2128   A diciembre de 2019, se ha realizado la adecuación o mantenimiento de 80 escenarios deportivos y recreativos en la comuna</v>
          </cell>
        </row>
        <row r="592">
          <cell r="F592" t="str">
            <v>41010010005-2129   A diciembre de 2019, se ha adecuado 1 equipamiento recreativo para la primera infancia en el marco de la Política Nacional de Cero a Siempre</v>
          </cell>
        </row>
        <row r="593">
          <cell r="F593" t="str">
            <v xml:space="preserve">41010020001-2130   A diciembre de 2019, se han vinculado 6000 niños, niñas y adolescentes en procesos de iniciación deportiva </v>
          </cell>
        </row>
        <row r="594">
          <cell r="F594" t="str">
            <v xml:space="preserve">41050010007-2131   A diciembre de 2019, se han realizado 4 juegos deportivos y recreativos tradicionales y no tradicionales </v>
          </cell>
        </row>
        <row r="595">
          <cell r="F595" t="str">
            <v>41010020002-2132   A diciembre de 2019, se han realizado 4 juegos deportivos intercolegiados</v>
          </cell>
        </row>
        <row r="596">
          <cell r="F596" t="str">
            <v>42030020014-2133   A diciembre de 2019, se ha recuperado ambiental y paisajísticamente 20 zonas blandas de separadores viales, parques y zonas verdes, con empoderamiento de la comunidad</v>
          </cell>
        </row>
        <row r="597">
          <cell r="F597" t="str">
            <v>42030020014-2134   A diciembre de 2019, se han ejecutado 4 eventos de recreación en cada una de las zonas recuperadas, para generar cultura ciudadana</v>
          </cell>
        </row>
        <row r="598">
          <cell r="F598" t="str">
            <v>42030020014-2135   A diciembre de 2019, se ha realizado 4 estrategias artísticas y culturales "la cultura se toma tu comuna", promoviendo sentido de pertenencia en las zonas recuperadas</v>
          </cell>
        </row>
        <row r="599">
          <cell r="F599" t="str">
            <v>42030040005-2201   A diciembre de 2019, se ha construido 1 escenario deportivo y recreativo en la comuna, siempre y cuando existan lotes de propiedad del municipio que se puedan utilizar para esta actividad._x000D_</v>
          </cell>
        </row>
        <row r="600">
          <cell r="F600" t="str">
            <v>42030040006-2202   A diciembre de 2019, se ha realizado la adecuación o mantenimiento de 3 escenarios deportivos y recreativos en la comuna</v>
          </cell>
        </row>
        <row r="601">
          <cell r="F601" t="str">
            <v>41010010005-2203   A diciembre de 2019, se ha adecuado 1 equipamiento  recreativo para la primera infancia en el marco de la Política Nacional de Cero a Siempre</v>
          </cell>
        </row>
        <row r="602">
          <cell r="F602" t="str">
            <v xml:space="preserve">41010020001-2204   A diciembre de 2019, se han vinculado 1000 niños, niñas y adolescentes en iniciación y deportiva </v>
          </cell>
        </row>
        <row r="603">
          <cell r="F603" t="str">
            <v>41050020011-2205   A diciembre de 2019, se han vinculado en iniciación artística 160 personas de los diferentes grupos poblacionales.</v>
          </cell>
        </row>
        <row r="604">
          <cell r="F604" t="str">
            <v>41050020012-2206   A diciembre de 2019, se ha fortalecido la formación artística de 160 personas de diferentes grupos poblacionales</v>
          </cell>
        </row>
        <row r="605">
          <cell r="F605" t="str">
            <v xml:space="preserve">42030040004-2207   A diciembre de 2019, se ha realizado el mantenimiento y adecuación del CALI </v>
          </cell>
        </row>
        <row r="606">
          <cell r="F606" t="str">
            <v>45030010003-2208   A diciembre de 2019, se han fortalecido organizaciones comunitarias, incluyendo JAL y JAC, a través de capacitación de 50 personas en liderazgo, mediación, autorregulación y solución pacífica de conflictos</v>
          </cell>
        </row>
        <row r="607">
          <cell r="F607" t="str">
            <v xml:space="preserve">45030010003-2209   A diciembre de 2019, se han capacitado 80 personas pertenecientes a diferentes grupos poblacionales para su organización y participación en las diferentes instancias de decisión local </v>
          </cell>
        </row>
        <row r="608">
          <cell r="F608" t="str">
            <v>41010040005-2210   A diciembre de 2019, se han vinculado 30 adultos mayores en activiades que promueven el estilo de vida saludable, autocuidado y acondicionamiento físico</v>
          </cell>
        </row>
        <row r="609">
          <cell r="F609" t="str">
            <v>41010040004-2211   A diciembre de 2019, se han realizado 8 encuentros intergeneracionales._x000D_</v>
          </cell>
        </row>
        <row r="610">
          <cell r="F610" t="str">
            <v>42030020014-2212   A diciembre de 2019, se ha recuperado ambiental y paisajísticamente 8 zonas blandas de separadores viales, parques, zonas verdes, humedales y rondas hídricas con empoderamiento de la comunidad</v>
          </cell>
        </row>
        <row r="611">
          <cell r="F611" t="str">
            <v>42030020014-2213   A diciembre de 2019, se ha realizado 1 estrategia artística y cultural "la cultura se toma tu comuna", promoviendo sentido de pertenencia en las zonas recuperadas</v>
          </cell>
        </row>
        <row r="612">
          <cell r="F612" t="str">
            <v>42010040003-2214   A diciembre de 2019, se ha realizado el mantenimiento de 1 kilómetros lineales  de vía en la comuna, previo concepto de viabilidad técnica</v>
          </cell>
        </row>
        <row r="613">
          <cell r="F613" t="str">
            <v>42010040002-2215   A diciembre de 2019, se han construido 0,5 kilómetros lineales de pavimento, previo concepto de viabilidad técnica</v>
          </cell>
        </row>
        <row r="614">
          <cell r="F614" t="str">
            <v>42010010006-2216   A diciembre de 2019, se han construido 500 metros cuadrados de andén, previo concepto de viabilidad técnica y esquema básico</v>
          </cell>
        </row>
        <row r="615">
          <cell r="F615" t="str">
            <v>43010010009-2217   A diciembre de 2019, se han constituido y capacitado 1 comités de vecinos para la convivencia y dotado los barrios de la comuna con 1 sistemas de alerta y monitoreo</v>
          </cell>
        </row>
        <row r="616">
          <cell r="F616" t="str">
            <v>41050020005-5101   A diciembre de 2019 se han implementado estrategias de recuperación y difusión de la tradición oral y la memoria cultural del corregimiento, a través de encuentros intergeneracionales, vinculando 200 personas</v>
          </cell>
        </row>
        <row r="617">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F618" t="str">
            <v xml:space="preserve">41050010007-5103   A diciembre de 2019 se han realizado 4 juegos recreativos y deportivos, tradicionales y no tradicionales, integrando la participación de la comunidad local </v>
          </cell>
        </row>
        <row r="619">
          <cell r="F619" t="str">
            <v>44030010009-5104   A diciembre de 2019 se han diseñado 3 productos de turismo de naturaleza y de aventura</v>
          </cell>
        </row>
        <row r="620">
          <cell r="F620" t="str">
            <v>41010020001-5105   A diciembre de 2019, se han vinculado 500 niños, niñas y adolescentes en procesos de iniciación deportiva</v>
          </cell>
        </row>
        <row r="621">
          <cell r="F621" t="str">
            <v>42030040006-5106   A diciembre de 2019 se han efectuado 4 intervenciones para el mantenimiento de los escenarios deportivos y recreativos existentes de propiedad del municipio</v>
          </cell>
        </row>
        <row r="622">
          <cell r="F622" t="str">
            <v>41050020005-5107   A diciembre de 2019 se han realizado 3 estrategias artísticas y culturales para promover la identidad del corregimiento</v>
          </cell>
        </row>
        <row r="623">
          <cell r="F623" t="str">
            <v>41050020011-5108   A diciembre de 2019, se han vinculado en procesos de iniciación y formación artística 150 personas de diferentes grupos poblacionales</v>
          </cell>
        </row>
        <row r="624">
          <cell r="F624" t="str">
            <v>42030040007-5109   A diciembre de 2019 se ha realizado el mantenimiento y adecuación de 1 biblioteca pública  comunitaria</v>
          </cell>
        </row>
        <row r="625">
          <cell r="F625" t="str">
            <v>42030040001-5110   A diciembre de 2019 se ha realizado el mantenimiento y adecuación de 1 sede comunal pública existente</v>
          </cell>
        </row>
        <row r="626">
          <cell r="F626" t="str">
            <v>44040010001-5111   A diciembre de 2019, se han cualificado 150 personas vulnerables con acompañamiento, intermediación laboral y orientación ocupacional con entidades idóneas, con un mínimo de capacitación de 180 horas.</v>
          </cell>
        </row>
        <row r="627">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v>
          </cell>
        </row>
        <row r="628">
          <cell r="F628" t="str">
            <v>44030010009-5113   A diciembre de 2019 se han diseñado e implementado 4 estrategias de promoción, comercialización de la producción local  y asociatividad de los productores del corregimiento</v>
          </cell>
        </row>
        <row r="629">
          <cell r="F629" t="str">
            <v>44030010009-5114   A diciembre de 2019 se han diseñado 6 iniciativas de emprendimiento cultural y de turismo de naturaleza</v>
          </cell>
        </row>
        <row r="630">
          <cell r="F630" t="str">
            <v>41010030005-5115   A diciembre de 2019 han participado 100 personas de organizaciones comunitarias, de la comunidad educativa y la Red del Buen Trato, en el diseño e implementación de estrategias pedagógicas, orientadas a promover el desarrollo de compete</v>
          </cell>
        </row>
        <row r="631">
          <cell r="F631" t="str">
            <v>41010030005-5116   A diciembre de 2019 se han capacitado 50 líderes comunitarios y personas cabeza de  hogar, en la identificación de factores de riesgo,  estrategias de apoyo y orientación frente al consumo de sustancias psicoactivas y el abuso de alcoho</v>
          </cell>
        </row>
        <row r="632">
          <cell r="F632" t="str">
            <v>41050020005-5201   A diciembre de 2019 se han implementado estrategias de recuperación y difusión de la tradición oral y la memoria cultural del corregimiento, a través de encuentros intergeneracionales, vinculando 200 personas</v>
          </cell>
        </row>
        <row r="633">
          <cell r="F633" t="str">
            <v>43030010003-5202   A diciembre de 2019 se han formado como multiplicadores en cultura ciudadana 150 jóvenes, con énfasis en los temas, ambiental y turístico; con capacidad para desarrollar estrategias pedagógicas.</v>
          </cell>
        </row>
        <row r="634">
          <cell r="F634" t="str">
            <v xml:space="preserve">41050010007-5203   A diciembre de 2019 se han realizado 4 juegos deportivos y recreativos con diferentes disciplinas, tradicionales y no tradicionales, integrando la participación de la comunidad local </v>
          </cell>
        </row>
        <row r="635">
          <cell r="F635" t="str">
            <v xml:space="preserve">41010020001-5204   A diciembre de 2019, se han vinculado 600 niños, niñas y adolescentes en procesos de iniciación deportiva </v>
          </cell>
        </row>
        <row r="636">
          <cell r="F636" t="str">
            <v>42030040006-5205   A diciembre de 2019 se han efectuado 2 intervenciones para el mantenimiento o adecuación de los escenarios deportivos y recreativos existentes propiedad del municipio</v>
          </cell>
        </row>
        <row r="637">
          <cell r="F637" t="str">
            <v>41050020011-5206   A diciembre de 2019, se han vinculado en procesos de iniciación y formación artística 200 personas de diferentes grupos poblacionales</v>
          </cell>
        </row>
        <row r="638">
          <cell r="F638" t="str">
            <v>42030040007-5207   A diciembre de 2019 se ha realizado mantenimiento y adecuación de 1 biblioteca pública comunitaria</v>
          </cell>
        </row>
        <row r="639">
          <cell r="F639" t="str">
            <v>42030040001-5208   A diciembre de 2019 se ha realizado el mantenimiento y adecuación de 1 sede comunal pública existente</v>
          </cell>
        </row>
        <row r="640">
          <cell r="F640" t="str">
            <v>41040030004-5209   A diciembre de 2019 se han realizado estudios y diseños de 3 sedes educativas públicas</v>
          </cell>
        </row>
        <row r="641">
          <cell r="F641" t="str">
            <v xml:space="preserve">41040030004-5210   A diciembre de 2019 se han realizado 4 intervenciones (adecuaciones, mantenimientos y/o construcción de espacios, previo concepto de viabilidad técnica),  en las sedes educativas públicas del corregimiento </v>
          </cell>
        </row>
        <row r="642">
          <cell r="F642" t="str">
            <v>41040030007-5211   A diciembre de 2019 se han dotado 3 sedes educativas públicas</v>
          </cell>
        </row>
        <row r="643">
          <cell r="F643" t="str">
            <v>44030010009-5212   A diciembre de 2019 se han diseñado e implementado 4 estrategias de promoción, comercialización de la producción local  y asociatividad de los productores del corregimiento</v>
          </cell>
        </row>
        <row r="644">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 xml:space="preserve">41010040004-5215   A diciembre de 2019 se han cualificado en emprendimiento 100 personas vulnerables, con  acompañamiento y asistencia técnica en mercadeo, administración, contabilidad y articulación con la economía formal, con entidades idóneas y con un </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42040010001-5319   A diciembre de 2019 se han reforestado 3 nacimientos de agua en los sitios de captación de los acueducto veredales, acompañados de iniciativas de  cultura ciudadana orientadas a proteger la cuenca con participación de la comunidad local</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45030010003-5408   A diciembre de 2019 se han fortalecido  200 personas de las organizaciones comunitarias, incluyendo JAL y JAC, a través de la capacitación en liderazgo, formulación, gestión y seguimiento a la ejecución de proyectos y en temas inherente</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 xml:space="preserve">41010030005-6207   A diciembre de 2019 se han formado 150 padres, madres, cuidadores y  cabeza de hogar, en pautas de crianza para el desarrollo de competencias  para la convivencia, el autocuidado y la prevención del consumo de sustancias psicoactivas y </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44010010002-6218   A diciembre de 2019 se han cualificado en emprendimiento 100 personas, con  acompañamiento y asistencia técnica en mercadeo, administración, contabilidad y articulación con la economía formal, con entidades idóneas y con un mínimo de 18</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v>
          </cell>
        </row>
        <row r="871">
          <cell r="F871" t="str">
            <v>44010010002-6302   A diciembre de 2019 se ha acompañado a 50 jóvenes en la construcción de su proyecto de vida y en la cualificación para el emprendimiento,  brindando asistencia técnica para el plan de negocios, con entidades idóneas y con un mínimo de 1</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v>
          </cell>
        </row>
        <row r="896">
          <cell r="F896" t="str">
            <v xml:space="preserve">44010010002-6407   A diciembre de 2019 se ha acompañado a 500 jóvenes en la construcción de su proyecto de vida y en la cualificación para el emprendimiento,  brindando asistencia técnica para el plan de negocios, con entidades idóneas y con un mínimo de </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P COMP PO v2"/>
      <sheetName val="BP COMP PO v1"/>
      <sheetName val="PO COTIZAC"/>
      <sheetName val="UNSPSC"/>
      <sheetName val="COMPARA 3"/>
      <sheetName val="PPTA LOPEZ_A-Z "/>
      <sheetName val="BP AZ"/>
      <sheetName val="Proc Ferreteria 2020"/>
      <sheetName val="PPTA C LOPEZ"/>
      <sheetName val="BP 1454_2.1.1"/>
      <sheetName val="Hoja2"/>
      <sheetName val="Hoja3"/>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 val="Hoja2"/>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Listado"/>
      <sheetName val=" ACTIVIDADES PPTO GRAL"/>
      <sheetName val="DETALLE POBLACIÓN"/>
      <sheetName val="DETALLE DE PRESUPUESTO"/>
      <sheetName val="ANEXO ACTIVIDAD 1.1.2"/>
      <sheetName val="ANEXO ACTIVIDAD 1.1.3"/>
      <sheetName val="ANEXO ACTIVIDAD 1.1.4"/>
      <sheetName val="ANEXO ACTIVIDADES 2.1.25-26-27"/>
      <sheetName val="ANEXO INTERV BOMBEO Y PLANTAS "/>
      <sheetName val="ANEXO INT EQUIPAMIENTOS Y POZOS"/>
      <sheetName val="FICHA ESTRUCT ACTIVIDAD 2.1.13 "/>
      <sheetName val="ANEXO ACTIVIDAD 1.1.1 SUPERVISI"/>
    </sheetNames>
    <sheetDataSet>
      <sheetData sheetId="0"/>
      <sheetData sheetId="1"/>
      <sheetData sheetId="2"/>
      <sheetData sheetId="3"/>
      <sheetData sheetId="4"/>
      <sheetData sheetId="5"/>
      <sheetData sheetId="6"/>
      <sheetData sheetId="7"/>
      <sheetData sheetId="8">
        <row r="38">
          <cell r="E38">
            <v>83104649</v>
          </cell>
        </row>
      </sheetData>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Código Precios 2004"/>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8" refreshError="1"/>
      <sheetData sheetId="9">
        <row r="2">
          <cell r="D2" t="str">
            <v>4111 SECRETARIA GENERAL</v>
          </cell>
        </row>
      </sheetData>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 sheetId="40"/>
      <sheetData sheetId="41"/>
      <sheetData sheetId="42"/>
      <sheetData sheetId="43"/>
      <sheetData sheetId="44"/>
      <sheetData sheetId="45"/>
      <sheetData sheetId="46"/>
      <sheetData sheetId="4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2"/>
      <sheetName val="Hoja1"/>
      <sheetName val="ANEXO DETALLE POBLACIÓN"/>
    </sheetNames>
    <sheetDataSet>
      <sheetData sheetId="0"/>
      <sheetData sheetId="1"/>
      <sheetData sheetId="2"/>
      <sheetData sheetId="3">
        <row r="2">
          <cell r="A2" t="str">
            <v>2-3   INVERSION    *** NO ***</v>
          </cell>
          <cell r="C2" t="str">
            <v xml:space="preserve">A - TOTAL INVERSIÓN    *** NO *** </v>
          </cell>
        </row>
        <row r="3">
          <cell r="C3" t="str">
            <v>A.1 - EDUCACIÓN    *** NO ***</v>
          </cell>
        </row>
        <row r="4">
          <cell r="C4" t="str">
            <v>A.1.1 - COBERTURA    *** NO ***</v>
          </cell>
        </row>
        <row r="5">
          <cell r="C5" t="str">
            <v xml:space="preserve">A.1.1.1 - PAGO DE PERSONAL    *** NO *** </v>
          </cell>
        </row>
        <row r="6">
          <cell r="C6" t="str">
            <v>A.1.1.1.1 - PERSONAL DOCENTE</v>
          </cell>
        </row>
        <row r="7">
          <cell r="C7" t="str">
            <v>A.1.1.1.2 - PERSONAL DIRECTIVO - DOCENTE</v>
          </cell>
        </row>
        <row r="8">
          <cell r="C8" t="str">
            <v>A.1.1.1.3 - PERSONAL ADMINISTRATIVO DE INSTITUCIONES EDUCATIVAS</v>
          </cell>
        </row>
        <row r="9">
          <cell r="C9" t="str">
            <v>A.1.1.1.4 - ASCENSOS EN ESCALAFÓN</v>
          </cell>
        </row>
        <row r="10">
          <cell r="C10" t="str">
            <v xml:space="preserve">A.1.1.2 - APORTES PATRONALES    *** NO *** </v>
          </cell>
        </row>
        <row r="11">
          <cell r="C11" t="str">
            <v>A.1.1.2.1 - PERSONAL DOCENTE (sin situación de fondos)    *** NO ***</v>
          </cell>
        </row>
        <row r="12">
          <cell r="C12" t="str">
            <v>A.1.1.2.1.1 - APORTES DE PREVISIÓN SOCIAL    *** NO ***</v>
          </cell>
        </row>
        <row r="13">
          <cell r="C13" t="str">
            <v>A.1.1.2.1.1.1 - APORTES PARA SALUD</v>
          </cell>
        </row>
        <row r="14">
          <cell r="C14" t="str">
            <v>A.1.1.2.1.1.2 - APORTES PARA PENSIÓN</v>
          </cell>
        </row>
        <row r="15">
          <cell r="C15" t="str">
            <v>A.1.1.2.1.1.3 - APORTES ARP</v>
          </cell>
        </row>
        <row r="16">
          <cell r="C16" t="str">
            <v>A.1.1.2.1.1.4 - APORTES PARA CESANTÍAS</v>
          </cell>
        </row>
        <row r="17">
          <cell r="C17" t="str">
            <v>A.1.1.2.2 - PERSONAL DOCENTE (con situación de fondos)    *** NO ***</v>
          </cell>
        </row>
        <row r="18">
          <cell r="C18" t="str">
            <v xml:space="preserve">A.1.1.2.2.1 - APORTES DE PREVISIÓN SOCIAL    *** NO *** </v>
          </cell>
        </row>
        <row r="19">
          <cell r="C19" t="str">
            <v>A.1.1.2.2.1.1 - APORTES PARA SALUD</v>
          </cell>
        </row>
        <row r="20">
          <cell r="C20" t="str">
            <v>A.1.1.2.2.1.2 - APORTES PARA PENSIÓN</v>
          </cell>
        </row>
        <row r="21">
          <cell r="C21" t="str">
            <v>A.1.1.2.2.1.3 - APORTES ARP</v>
          </cell>
        </row>
        <row r="22">
          <cell r="C22" t="str">
            <v>A.1.1.2.2.1.4 - APORTES PARA CESANTÍAS</v>
          </cell>
        </row>
        <row r="23">
          <cell r="C23" t="str">
            <v xml:space="preserve">A.1.1.2.2.2 - APORTES PARAFISCALES    *** NO *** </v>
          </cell>
        </row>
        <row r="24">
          <cell r="C24" t="str">
            <v>A.1.1.2.2.2.1 - SENA</v>
          </cell>
        </row>
        <row r="25">
          <cell r="C25" t="str">
            <v>A.1.1.2.2.2.2 - ICBF</v>
          </cell>
        </row>
        <row r="26">
          <cell r="C26" t="str">
            <v>A.1.1.2.2.2.3 - ESAP</v>
          </cell>
        </row>
        <row r="27">
          <cell r="C27" t="str">
            <v>A.1.1.2.2.2.4 - CAJAS DE COMPENSACIÓN FAMILIAR</v>
          </cell>
        </row>
        <row r="28">
          <cell r="C28" t="str">
            <v>A.1.1.2.2.2.5 - INSTITUTOS TÉCNICOS</v>
          </cell>
        </row>
        <row r="29">
          <cell r="C29" t="str">
            <v>A.1.1.2.3 - PERSONAL DIRECTIVO - DOCENTE (sin situación de fondos)    *** NO ***</v>
          </cell>
        </row>
        <row r="30">
          <cell r="C30" t="str">
            <v xml:space="preserve">A.1.1.2.3.1 - APORTES DE PREVISIÓN SOCIAL    *** NO *** </v>
          </cell>
        </row>
        <row r="31">
          <cell r="C31" t="str">
            <v>A.1.1.2.3.1.1 - APORTES PARA SALUD</v>
          </cell>
        </row>
        <row r="32">
          <cell r="C32" t="str">
            <v>A.1.1.2.3.1.2 - APORTES PARA PENSIÓN</v>
          </cell>
        </row>
        <row r="33">
          <cell r="C33" t="str">
            <v>A.1.1.2.3.1.3 - APORTES ARP</v>
          </cell>
        </row>
        <row r="34">
          <cell r="C34" t="str">
            <v>A.1.1.2.3.1.4 - APORTES PARA CESANTÍAS</v>
          </cell>
        </row>
        <row r="35">
          <cell r="C35" t="str">
            <v>A.1.1.2.4 - PERSONAL DIRECTIVO - DOCENTE (con situación de fondos)    *** NO ***</v>
          </cell>
        </row>
        <row r="36">
          <cell r="C36" t="str">
            <v>A.1.1.2.4.1 - APORTES DE PREVISIÓN SOCIAL     *** NO ***</v>
          </cell>
        </row>
        <row r="37">
          <cell r="C37" t="str">
            <v>A.1.1.2.4.1.1 - APORTES PARA SALUD</v>
          </cell>
        </row>
        <row r="38">
          <cell r="C38" t="str">
            <v>A.1.1.2.4.1.2 - APORTES PARA PENSIÓN</v>
          </cell>
        </row>
        <row r="39">
          <cell r="C39" t="str">
            <v>A.1.1.2.4.1.3 - APORTES ARP</v>
          </cell>
        </row>
        <row r="40">
          <cell r="C40" t="str">
            <v>A.1.1.2.4.1.4 - APORTES PARA CESANTÍAS</v>
          </cell>
        </row>
        <row r="41">
          <cell r="C41" t="str">
            <v xml:space="preserve">A.1.1.2.4.2 - APORTES PARAFISCALES    *** NO *** </v>
          </cell>
        </row>
        <row r="42">
          <cell r="C42" t="str">
            <v>A.1.1.2.4.2.1 - SENA</v>
          </cell>
        </row>
        <row r="43">
          <cell r="C43" t="str">
            <v>A.1.1.2.4.2.2 - ICBF</v>
          </cell>
        </row>
        <row r="44">
          <cell r="C44" t="str">
            <v>A.1.1.2.4.2.3 - ESAP</v>
          </cell>
        </row>
        <row r="45">
          <cell r="C45" t="str">
            <v>A.1.1.2.4.2.4 - CAJAS DE COMPENSACIÓN FAMILIAR</v>
          </cell>
        </row>
        <row r="46">
          <cell r="C46" t="str">
            <v>A.1.1.2.4.2.5 - INSTITUTOS TÉCNICOS</v>
          </cell>
        </row>
        <row r="47">
          <cell r="C47" t="str">
            <v>A.1.1.2.5 - PERSONAL ADMINISTRATIVO DE INSTITUCIONES EDUCATIVAS    *** NO ***</v>
          </cell>
        </row>
        <row r="48">
          <cell r="C48" t="str">
            <v>A.1.1.2.5.1 - APORTES DE PREVISIÓN SOCIAL     *** NO ***</v>
          </cell>
        </row>
        <row r="49">
          <cell r="C49" t="str">
            <v>A.1.1.2.5.1.1 - APORTES PARA SALUD</v>
          </cell>
        </row>
        <row r="50">
          <cell r="C50" t="str">
            <v>A.1.1.2.5.1.2 - APORTES PARA PENSIÓN</v>
          </cell>
        </row>
        <row r="51">
          <cell r="C51" t="str">
            <v>A.1.1.2.5.1.3 - APORTES ARP</v>
          </cell>
        </row>
        <row r="52">
          <cell r="C52" t="str">
            <v>A.1.1.2.5.1.4 - APORTES PARA CESANTÍAS</v>
          </cell>
        </row>
        <row r="53">
          <cell r="C53" t="str">
            <v xml:space="preserve">A.1.1.2.5.2 - APORTES PARAFISCALES    *** NO *** </v>
          </cell>
        </row>
        <row r="54">
          <cell r="C54" t="str">
            <v>A.1.1.2.5.2.1 - SENA</v>
          </cell>
        </row>
        <row r="55">
          <cell r="C55" t="str">
            <v>A.1.1.2.5.2.2 - ICBF</v>
          </cell>
        </row>
        <row r="56">
          <cell r="C56" t="str">
            <v>A.1.1.2.5.2.3 - ESAP</v>
          </cell>
        </row>
        <row r="57">
          <cell r="C57" t="str">
            <v>A.1.1.2.5.2.4 - CAJAS DE COMPENSACIÓN FAMILIAR</v>
          </cell>
        </row>
        <row r="58">
          <cell r="C58" t="str">
            <v>A.1.1.2.5.2.5 - INSTITUTOS TÉCNICOS</v>
          </cell>
        </row>
        <row r="59">
          <cell r="C59" t="str">
            <v xml:space="preserve">A.1.1.3 - CONTRATOS PARA LA PRESTACIÓN DEL SERVICIO EDUCATIVO </v>
          </cell>
        </row>
        <row r="60">
          <cell r="C60" t="str">
            <v>A.1.1.4 - CONTRATOS PARA LA ADMINISTRACIÓN DE LA PRESTACIÓN DEL SERVICIO EDUCATIVO</v>
          </cell>
        </row>
        <row r="61">
          <cell r="C61" t="str">
            <v>A.1.1.5 - CONTRATACIÓN PARA EDUCACIÓN PARA JÓVENES Y ADULTOS</v>
          </cell>
        </row>
        <row r="62">
          <cell r="C62" t="str">
            <v>A.1.1.6 - CONTRATACIÓN DE ASEO A LOS ESTABLECIMIENTOS EDUCATIVOS ESTATALES</v>
          </cell>
        </row>
        <row r="63">
          <cell r="C63" t="str">
            <v>A.1.1.7 - CONTRATACIÓN DE VIGILANCIA A LOS ESTABLECIMIENTOS EDUCATIVOS ESTATALES</v>
          </cell>
        </row>
        <row r="64">
          <cell r="C64" t="str">
            <v>A.1.2 - CALIDAD - MATRÍCULA    *** NO ***</v>
          </cell>
        </row>
        <row r="65">
          <cell r="C65" t="str">
            <v>A.1.2.1 - PREINVERSIÓN: ESTUDIOS, DISEÑOS, CONSULTORIAS, ASESORIAS E INTERVENTORIAS    *** NO ***</v>
          </cell>
        </row>
        <row r="66">
          <cell r="C66" t="str">
            <v>A.1.2.1.1 - ESTUDIOS Y DISEÑOS</v>
          </cell>
        </row>
        <row r="67">
          <cell r="C67" t="str">
            <v>A.1.2.1.2 - CONSULTORIAS Y ASESORIAS</v>
          </cell>
        </row>
        <row r="68">
          <cell r="C68" t="str">
            <v>A.1.2.1.3 - INTERVENTORIAS</v>
          </cell>
        </row>
        <row r="69">
          <cell r="C69" t="str">
            <v>A.1.2.2 - CONSTRUCCIÓN AMPLIACIÓN Y ADECUACIÓN DE INFRAESTRUCTURA EDUCATIVA</v>
          </cell>
        </row>
        <row r="70">
          <cell r="C70" t="str">
            <v>A.1.2.3 - MANTENIMIENTO DE INFRAESTRUCTURA EDUCATIVA</v>
          </cell>
        </row>
        <row r="71">
          <cell r="C71" t="str">
            <v>A.1.2.4 - DOTACIÓN INSTITUCIONAL DE INFRAESTRUCTURA EDUCATIVA</v>
          </cell>
        </row>
        <row r="72">
          <cell r="C72" t="str">
            <v>A.1.2.5 - DOTACIÓN INSTITUCIONAL DE MATERIAL Y MEDIOS PEDAGÓGICOS PARA EL APRENDIZAJE</v>
          </cell>
        </row>
        <row r="73">
          <cell r="C73" t="str">
            <v>A.1.2.6 - PAGO DE SERVICIOS PÚBLICOS DE LAS INSTITUCIONES EDUCATIVAS    *** NO ***</v>
          </cell>
        </row>
        <row r="74">
          <cell r="C74" t="str">
            <v>A.1.2.6.1 - ACUEDUCTO, ALCANTARILLADO Y ASEO</v>
          </cell>
        </row>
        <row r="75">
          <cell r="C75" t="str">
            <v>A.1.2.6.2 - ENERGÍA</v>
          </cell>
        </row>
        <row r="76">
          <cell r="C76" t="str">
            <v>A.1.2.6.3 - TELÉFONO</v>
          </cell>
        </row>
        <row r="77">
          <cell r="C77" t="str">
            <v>A.1.2.6.4 - INTERNET</v>
          </cell>
        </row>
        <row r="78">
          <cell r="C78" t="str">
            <v>A.1.2.6.5 - OTROS</v>
          </cell>
        </row>
        <row r="79">
          <cell r="C79" t="str">
            <v>A.1.2.7 - TRANSPORTE ESCOLAR</v>
          </cell>
        </row>
        <row r="80">
          <cell r="C80" t="str">
            <v>A.1.2.8 - CAPACITACIÓN A DOCENTES Y DIRECTIVOS DOCENTES</v>
          </cell>
        </row>
        <row r="81">
          <cell r="C81" t="str">
            <v>A.1.2.9 - FUNCIONAMIENTO BÁSICO DE LOS ESTABLECIMIENTOS EDUCATIVOS ESTATALES</v>
          </cell>
        </row>
        <row r="82">
          <cell r="C82" t="str">
            <v>A.1.2.10 - ALIMENTACIÓN ESCOLAR    *** NO ***</v>
          </cell>
        </row>
        <row r="83">
          <cell r="C83" t="str">
            <v>A.1.2.10.1 - PRESTACIÓN DIRECTA DEL SERVICIO    *** NO ***</v>
          </cell>
        </row>
        <row r="84">
          <cell r="C84" t="str">
            <v>A.1.2.10.1.1 - COMPRA DE ALIMENTOS</v>
          </cell>
        </row>
        <row r="85">
          <cell r="C85" t="str">
            <v xml:space="preserve">A.1.2.10.1.2 - MENAJE, DOTACIÓN Y SU REPOSICIÓN PARA LA PRESTACIÓN DEL SERVICIO DE ALIMENTACIÓN ESCOLAR </v>
          </cell>
        </row>
        <row r="86">
          <cell r="C86" t="str">
            <v xml:space="preserve">A.1.2.10.1.3 - CONTRATACIÓN DE PERSONAL PARA LA PREPARACIÓN DE ALIMENTOS </v>
          </cell>
        </row>
        <row r="87">
          <cell r="C87" t="str">
            <v xml:space="preserve">A.1.2.10.1.4 - TRANSPORTE DE ALIMENTOS </v>
          </cell>
        </row>
        <row r="88">
          <cell r="C88" t="str">
            <v>A.1.2.10.1.5 - ASEO Y COMBUSTIBLE PARA LA PREPARACIÓN DE LOS ALIMENTOS</v>
          </cell>
        </row>
        <row r="89">
          <cell r="C89" t="str">
            <v>A.1.2.10.2 - CONTRATACIÓN CON TERCEROS PARA LA PROVISIÓN INTEGRAL DEL SERVICIO DE ALIMENTACIÓN ESCOLAR</v>
          </cell>
        </row>
        <row r="90">
          <cell r="C90" t="str">
            <v>A.1.2.11 - DISEÑO E IMPLEMENTACIÓN DE PLANES DE MEJORAMIENTO</v>
          </cell>
        </row>
        <row r="91">
          <cell r="C91" t="str">
            <v>A.1.3 - CALIDAD - GRATUIDAD    *** NO ***</v>
          </cell>
        </row>
        <row r="92">
          <cell r="C92" t="str">
            <v>A.1.3.8 - TRANSFERENCIAS PARA CALIDAD GRATUIDAD  (SIN SITUACIÓN DE FONDOS)</v>
          </cell>
        </row>
        <row r="93">
          <cell r="C93" t="str">
            <v>A.1.4 - EFICIENCIA EN LA ADMINISTRACIÓN DEL SERVICIO EDUCATIVO    *** NO ***</v>
          </cell>
        </row>
        <row r="94">
          <cell r="C94" t="str">
            <v>A.1.4.1 - MODERNIZACIÓN DE LA SECRETARIA DE EDUCACIÓN</v>
          </cell>
        </row>
        <row r="95">
          <cell r="C95" t="str">
            <v>A.1.4.2 - DISEÑO E IMPLEMENTACIÓN DEL SISTEMA DE INFORMACIÓN</v>
          </cell>
        </row>
        <row r="96">
          <cell r="C96" t="str">
            <v>A.1.4.3 - CONECTIVIDAD</v>
          </cell>
        </row>
        <row r="97">
          <cell r="C97" t="str">
            <v>A.1.5 - NECESIDADES EDUCATIVAS ESPECIALES    *** NO ***</v>
          </cell>
        </row>
        <row r="98">
          <cell r="C98" t="str">
            <v>A.1.5.1 - SERVICIO PERSONAL APOYO</v>
          </cell>
        </row>
        <row r="99">
          <cell r="C99" t="str">
            <v>A.1.5.2 - FORMACIÓN DE DOCENTES</v>
          </cell>
        </row>
        <row r="100">
          <cell r="C100" t="str">
            <v>A.1.5.3 - DOTACIÓN</v>
          </cell>
        </row>
        <row r="101">
          <cell r="C101" t="str">
            <v xml:space="preserve">A.1.5.4 - MEJORAMIENTO DE CONDICIONES DE ACCECIBILIDAD DE INFRAESTRUCTURA EDUCATIVA  ESTATAL </v>
          </cell>
        </row>
        <row r="102">
          <cell r="C102" t="str">
            <v>A.1.6 - INTERNADOS    *** NO ***</v>
          </cell>
        </row>
        <row r="103">
          <cell r="C103" t="str">
            <v>A.1.6.1 - ALIMENTACIÓN</v>
          </cell>
        </row>
        <row r="104">
          <cell r="C104" t="str">
            <v>A.1.6.2 - DOTACIÓN INSTITUCIONAL</v>
          </cell>
        </row>
        <row r="105">
          <cell r="C105" t="str">
            <v>A.1.6.3 - ADECUACIÓN Y MEJORAMIENTO DE INFRAESTRUCTURA</v>
          </cell>
        </row>
        <row r="106">
          <cell r="C106" t="str">
            <v>A.1.7 - OTROS GASTOS EN EDUCACIÓN NO INCLUIDOS EN LOS CONCEPTOS ANTERIORES    *** NO ***</v>
          </cell>
        </row>
        <row r="107">
          <cell r="C107" t="str">
            <v xml:space="preserve">A.1.7.1 - COMPETENCIAS LABORALES GENERALES Y FORMACIÓN PARA EL TRABAJO Y EL DESARROLLO HUMANO </v>
          </cell>
        </row>
        <row r="108">
          <cell r="C108" t="str">
            <v>A.1.7.2 - APLICACIÓN DE PROYECTOS EDUCATIVOS TRANSVERSALES</v>
          </cell>
        </row>
        <row r="109">
          <cell r="C109" t="str">
            <v>A.1.7.4 - PAGO DE DÉFICIT DE INVERSIÓN EN EDUCACIÓN - (DE CARÁCTER EXCEPCIONAL)</v>
          </cell>
        </row>
        <row r="110">
          <cell r="C110" t="str">
            <v>A.2 - SALUD    *** NO ***</v>
          </cell>
        </row>
        <row r="111">
          <cell r="C111" t="str">
            <v xml:space="preserve">A.2.1 - RÉGIMEN SUBSIDIADO    *** NO *** </v>
          </cell>
        </row>
        <row r="112">
          <cell r="C112" t="str">
            <v xml:space="preserve">A.2.1.1 - AFILIACIÓN RÉGIMEN SUBSIDIADO </v>
          </cell>
        </row>
        <row r="113">
          <cell r="C113" t="str">
            <v>A.2.1.3 - 0.4% INTERVENTORIA DEL RÉGIMEN SUBSIDIADO</v>
          </cell>
        </row>
        <row r="114">
          <cell r="C114" t="str">
            <v>A.2.1.4 - 0.4% INSPECCIÓN, VIGILANCIA Y CONTROL -SUPERINTENDENCIA DE SALUD</v>
          </cell>
        </row>
        <row r="115">
          <cell r="C115" t="str">
            <v>A.2.1.5 - PAGO A LAS IPS CUANDO SEAN OBJETO DE MEDIDA DE GIRO DIRECTO</v>
          </cell>
        </row>
        <row r="116">
          <cell r="C116" t="str">
            <v>A.2.1.9 - PAGO DE DÉFICIT DE INVERSIÓN EN RÉGIMEN SUBSIDIADO (DE CARÁCTER EXCEPCIONAL)</v>
          </cell>
        </row>
        <row r="117">
          <cell r="C117" t="str">
            <v>A.2.1.10 - TRANSFERENCIA A LOS DEPARTAMENTOS POR SALDOS DE LIQUIDACIÓN EN LA AFILIACIÓN AL RÉGIMEN SUBSIDIADO</v>
          </cell>
        </row>
        <row r="118">
          <cell r="C118" t="str">
            <v xml:space="preserve">A.2.2 - SALUD PÚBLICA    *** NO ***   </v>
          </cell>
        </row>
        <row r="119">
          <cell r="C119" t="str">
            <v xml:space="preserve">A.2.2.1 - SALUD INFANTIL    *** NO *** </v>
          </cell>
        </row>
        <row r="120">
          <cell r="C120" t="str">
            <v>A.2.2.1.1 - PROGRAMA AMPLIADO DE INMUNIZACIONES (PAI)    *** NO ***</v>
          </cell>
        </row>
        <row r="121">
          <cell r="C121" t="str">
            <v>A.2.2.1.1.1 - CONTRATACIÓN, CON LAS EMPRESAS SOCIALES DEL ESTADO.</v>
          </cell>
        </row>
        <row r="122">
          <cell r="C122" t="str">
            <v>A.2.2.1.1.2 - ADQUISICION DE INSUMOS Y ELEMENTOS, PUBLICACIONES Y EQUIPOS PARA DESARROLLAR LAS PRIORIDADES DE SALUD PUBLICA, SEGÚN COMPETENCIAS.</v>
          </cell>
        </row>
        <row r="123">
          <cell r="C123" t="str">
            <v>A.2.2.1.1.3 - CONTRATACIÓN CON PERSONAS  JURÍDICAS QUE NO SEAN ESE´S.</v>
          </cell>
        </row>
        <row r="124">
          <cell r="C124" t="str">
            <v>A.2.2.1.1.6 - TALENTO HUMANO QUE DESARROLLA FUNCIONES DE CARÁCTER OPERATIVO</v>
          </cell>
        </row>
        <row r="125">
          <cell r="C125" t="str">
            <v>A.2.2.1.2 - ATENCIÓN INTEGRAL DE ENFERMEDADES PREVALENTES EN LA INFANCIA (AIEPI)    *** NO ***</v>
          </cell>
        </row>
        <row r="126">
          <cell r="C126" t="str">
            <v>A.2.2.1.2.1 - CONTRATACIÓN, CON LAS EMPRESAS SOCIALES DEL ESTADO.</v>
          </cell>
        </row>
        <row r="127">
          <cell r="C127" t="str">
            <v>A.2.2.1.2.2 - ADQUISICION DE INSUMOS, ELEMENTOS, PUBLICACIONES Y EQUIPOS PARA DESARROLLAR LAS PRIORIDADES DE SALUD PUBLICA, SEGÚN COMPETENCIAS.</v>
          </cell>
        </row>
        <row r="128">
          <cell r="C128" t="str">
            <v>A.2.2.1.2.3 - CONTRATACIÓN CON PERSONAS  JURÍDICAS QUE NO SEAN ESE´S.</v>
          </cell>
        </row>
        <row r="129">
          <cell r="C129" t="str">
            <v>A.2.2.1.2.6 - TALENTO HUMANO QUE DESARROLLA FUNCIONES DE CARÁCTER OPERATIVO</v>
          </cell>
        </row>
        <row r="130">
          <cell r="C130" t="str">
            <v>A.2.2.1.3 - OTROS PROGRAMAS Y ESTRATEGIAS,PARA LA PROMOCIÓN DE LA SALUD INFANTIL.    *** NO ***</v>
          </cell>
        </row>
        <row r="131">
          <cell r="C131" t="str">
            <v>A.2.2.1.3.1 - CONTRATACIÓN, CON LAS EMPRESAS SOCIALES DEL ESTADO.</v>
          </cell>
        </row>
        <row r="132">
          <cell r="C132" t="str">
            <v>A.2.2.1.3.2 - ADQUISICIÓN DE INSUMOS, ELEMENTOS, PUBLICACIONES Y EQUIPOS PARA DESARROLLAR LAS PRIORIDADES DE SALUD PUBLICA, SEGÚN COMPETENCIAS</v>
          </cell>
        </row>
        <row r="133">
          <cell r="C133" t="str">
            <v>A.2.2.1.3.3 - CONTRATACIÓN CON PERSONAS  JURÍDICAS QUE NO SEAN ESE´S.</v>
          </cell>
        </row>
        <row r="134">
          <cell r="C134" t="str">
            <v>A.2.2.1.3.6 - TALENTO HUMANO QUE DESARROLLA FUNCIONES DE CARÁCTER OPERATIVO</v>
          </cell>
        </row>
        <row r="135">
          <cell r="C135" t="str">
            <v>A.2.2.2 - SALUD SEXUAL Y REPRODUCTIVA    *** NO ***</v>
          </cell>
        </row>
        <row r="136">
          <cell r="C136" t="str">
            <v>A.2.2.2.1 - SALUD MATERNA    *** NO ***</v>
          </cell>
        </row>
        <row r="137">
          <cell r="C137" t="str">
            <v>A.2.2.2.1.1 - CONTRATACIÓN, CON LAS EMPRESAS SOCIALES DEL ESTADO.</v>
          </cell>
        </row>
        <row r="138">
          <cell r="C138" t="str">
            <v>A.2.2.2.1.2 - ADQUISICIÓN DE INSUMOS ELEMENTOS, PUBLICACIONES Y EQUIPOS PARA DESARROLLAR LAS PRIORIDADES DE SALUD PUBLICA, SEGÚN COMPETENCIAS.</v>
          </cell>
        </row>
        <row r="139">
          <cell r="C139" t="str">
            <v>A.2.2.2.1.3 - CONTRATACIÓN CON PERSONAS  JURÍDICAS QUE NO SEAN ESE´S.</v>
          </cell>
        </row>
        <row r="140">
          <cell r="C140" t="str">
            <v>A.2.2.2.1.5 - TALENTO HUMANO QUE DESARROLLA FUNCIONES DE CARÁCTER OPERATIVO</v>
          </cell>
        </row>
        <row r="141">
          <cell r="C141" t="str">
            <v>A.2.2.2.2 - VIH SIDA, E INFECCIONES DE TRANSMISIÓN SEXUAL    *** NO ***</v>
          </cell>
        </row>
        <row r="142">
          <cell r="C142" t="str">
            <v>A.2.2.2.2.1 - CONTRATACIÓN, CON LAS EMPRESAS SOCIALES DEL ESTADO.</v>
          </cell>
        </row>
        <row r="143">
          <cell r="C143" t="str">
            <v>A.2.2.2.2.2 - ADQUISICIÓN DE INSUMOS, ELEMENTOS, PUBLICACIONES Y EQUIPOS PARA DESARROLLAR LAS PRIORIDADES  DE SALUD PÚBLICA, SEGÚN COMPETENCIAS.</v>
          </cell>
        </row>
        <row r="144">
          <cell r="C144" t="str">
            <v>A.2.2.2.2.3 - CONTRATACIÓN CON PERSONAS  JURÍDICAS QUE NO SEAN ESE´S.</v>
          </cell>
        </row>
        <row r="145">
          <cell r="C145" t="str">
            <v>A.2.2.2.2.5 - TALENTO HUMANO QUE DESARROLLA FUNCIONES DE CARÁCTER OPERATIVO</v>
          </cell>
        </row>
        <row r="146">
          <cell r="C146" t="str">
            <v>A.2.2.2.3 - SALUD SEXUAL Y REPRODUCTIVA EN ADOLESCENTES    *** NO ***</v>
          </cell>
        </row>
        <row r="147">
          <cell r="C147" t="str">
            <v>A.2.2.2.3.1 - CONTRATACIÓN, CON LAS EMPRESAS SOCIALES DEL ESTADO.</v>
          </cell>
        </row>
        <row r="148">
          <cell r="C148" t="str">
            <v>A.2.2.2.3.2 - ADQUSICION DE INSUMOS Y ELEMENTOS, PUBLICACIONES Y EQUIPOS PARA DESARROLLAR PROGRAMAS DE SALUD PUBLICA, SEGÚN COMPETENCIAS.</v>
          </cell>
        </row>
        <row r="149">
          <cell r="C149" t="str">
            <v>A.2.2.2.3.3 - CONTRATACIÓN CON PERSONAS  JURÍDICAS QUE NO SEAN ESE´S.</v>
          </cell>
        </row>
        <row r="150">
          <cell r="C150" t="str">
            <v>A.2.2.2.3.6 - TALENTO HUMANO QUE DESARROLLA FUNCIONES DE CARÁCTER OPERATIVO</v>
          </cell>
        </row>
        <row r="151">
          <cell r="C151" t="str">
            <v>A.2.2.2.4 - OTROS PROGRAMAS Y ESTRATEGIAS PARA SALUD SEXUAL Y REPRODUCTIVA.    *** NO ***</v>
          </cell>
        </row>
        <row r="152">
          <cell r="C152" t="str">
            <v>A.2.2.2.4.1 - CONTRATACIÓN, CON LAS EMPRESAS SOCIALES DEL ESTADO.</v>
          </cell>
        </row>
        <row r="153">
          <cell r="C153" t="str">
            <v>A.2.2.2.4.2 - ADQUISICIÓN DE INSUMOS, ELEMENTOS, PUBLICACIONES Y EQUIPOS PARA DESARROLLAR LAS PRIORIDADES  DE SALUD PÚBLICA, SEGÚN COMPETENCIAS.</v>
          </cell>
        </row>
        <row r="154">
          <cell r="C154" t="str">
            <v>A.2.2.2.4.3 - CONTRATACIÓN CON PERSONAS  JURÍDICAS QUE NO SEAN ESE´S.</v>
          </cell>
        </row>
        <row r="155">
          <cell r="C155" t="str">
            <v>A.2.2.2.4.6 - TALENTO HUMANO QUE DESARROLLA FUNCIONES DE CARÁCTER OPERATIVO</v>
          </cell>
        </row>
        <row r="156">
          <cell r="C156" t="str">
            <v>A.2.2.3 - SALUD ORAL    *** NO ***</v>
          </cell>
        </row>
        <row r="157">
          <cell r="C157" t="str">
            <v>A.2.2.3.1 - CONTRATACIÓN, CON LAS EMPRESAS SOCIALES DEL ESTADO.</v>
          </cell>
        </row>
        <row r="158">
          <cell r="C158" t="str">
            <v>A.2.2.3.2 - ADQUISICIÓN DE INSUMOS, ELEMENTOS, PUBLICACIONES Y EQUIPOS PARA DESARROLLAR LAS PRIORIDADES  DE SALUD PÚBLICA, SEGÚN COMPETENCIAS.</v>
          </cell>
        </row>
        <row r="159">
          <cell r="C159" t="str">
            <v>A.2.2.3.3 - CONTRATACIÓN CON PERSONAS  JURÍDICAS QUE NO SEAN ESE´S.</v>
          </cell>
        </row>
        <row r="160">
          <cell r="C160" t="str">
            <v>A.2.2.3.11 - TALENTO HUMANO QUE DESARROLLA FUNCIONES DE CARÁCTER OPERATIVO</v>
          </cell>
        </row>
        <row r="161">
          <cell r="C161" t="str">
            <v>A.2.2.4 - SALUD MENTAL Y LESIONES VIOLENTAS EVITABLES    *** NO ***</v>
          </cell>
        </row>
        <row r="162">
          <cell r="C162" t="str">
            <v>A.2.2.4.1 - SUSTANCIAS PSICOACTIVAS    *** NO ***</v>
          </cell>
        </row>
        <row r="163">
          <cell r="C163" t="str">
            <v>A.2.2.4.1.1 - CONTRATACIÓN, CON LAS EMPRESAS SOCIALES DEL ESTADO.</v>
          </cell>
        </row>
        <row r="164">
          <cell r="C164" t="str">
            <v>A.2.2.4.1.2 - ADQUISICIÓN DE INSUMOS, ELEMENTOS, PUBLICACIONES Y EQUIPOS PARA DESARROLLAR LAS PRIORIDADES  DE SALUD PÚBLICA, SEGÚN COMPETENCIAS.</v>
          </cell>
        </row>
        <row r="165">
          <cell r="C165" t="str">
            <v>A.2.2.4.1.3 - CONTRATACIÓN CON PERSONAS  JURÍDICAS QUE NO SEAN ESE´S.</v>
          </cell>
        </row>
        <row r="166">
          <cell r="C166" t="str">
            <v>A.2.2.4.1.5 - TALENTO HUMANO QUE DESARROLLA FUNCIONES DE CARÁCTER OPERATIVO</v>
          </cell>
        </row>
        <row r="167">
          <cell r="C167" t="str">
            <v>A.2.2.4.2 - OTROS PROGRAMAS Y ESTRATEÇIAS PARA LA PROMOCIÒN DE LA SALUD MENTAL Y LESIONES VIOLENTAS EVITABLES.    *** NO ***</v>
          </cell>
        </row>
        <row r="168">
          <cell r="C168" t="str">
            <v>A.2.2.4.2.1 - CONTRATACIÓN, CON LAS EMPRESAS SOCIALES DEL ESTADO.</v>
          </cell>
        </row>
        <row r="169">
          <cell r="C169" t="str">
            <v>A.2.2.4.2.2 - ADQUISICIÓN DE INSUMOS, ELEMENTOS, PUBLICACIONES Y EQUIPOS PARA DESARROLLAR LAS PRIORIDADES  DE SALUD PÚBLICA, SEGÚN COMPETENCIAS.</v>
          </cell>
        </row>
        <row r="170">
          <cell r="C170" t="str">
            <v>A.2.2.4.2.3 - CONTRATACIÓN CON PERSONAS  JURÍDICAS QUE NO SEAN ESE´S.</v>
          </cell>
        </row>
        <row r="171">
          <cell r="C171" t="str">
            <v>A.2.2.4.2.5 - TALENTO HUMANO QUE DESARROLLA FUNCIONES DE CARÁCTER OPERATIVO</v>
          </cell>
        </row>
        <row r="172">
          <cell r="C172" t="str">
            <v>A.2.2.5 - LAS ENFERMEDADES TRANSMISIBLES Y LAS ZOONOSIS    *** NO ***</v>
          </cell>
        </row>
        <row r="173">
          <cell r="C173" t="str">
            <v>A.2.2.5.1 - TUBERCULOSIS    *** NO ***</v>
          </cell>
        </row>
        <row r="174">
          <cell r="C174" t="str">
            <v>A.2.2.5.1.1 - CONTRATACIÓN, CON LAS EMPRESAS SOCIALES DEL ESTADO.</v>
          </cell>
        </row>
        <row r="175">
          <cell r="C175" t="str">
            <v>A.2.2.5.1.2 - ADQUISICIÓN DE INSUMOS, ELEMENTOS, PUBLICACIONES Y EQUIPOS PARA DESARROLLAR LAS PRIORIDADES  DE SALUD PÚBLICA, SEGÚN COMPETENCIAS.</v>
          </cell>
        </row>
        <row r="176">
          <cell r="C176" t="str">
            <v>A.2.2.5.1.3 - CONTRATACIÓN CON PERSONAS  JURÍDICAS QUE NO SEAN ESE´S.</v>
          </cell>
        </row>
        <row r="177">
          <cell r="C177" t="str">
            <v>A.2.2.5.1.5 - TALENTO HUMANO QUE DESARROLLA FUNCIONES DE CARÁCTER OPERATIVO</v>
          </cell>
        </row>
        <row r="178">
          <cell r="C178" t="str">
            <v>A.2.2.5.2 - LEPRA    *** NO ***</v>
          </cell>
        </row>
        <row r="179">
          <cell r="C179" t="str">
            <v>A.2.2.5.2.1 - CONTRATACIÓN, CON LAS EMPRESAS SOCIALES DEL ESTADO.</v>
          </cell>
        </row>
        <row r="180">
          <cell r="C180" t="str">
            <v>A.2.2.5.2.2 - ADQUISICIÓN DE INSUMOS, ELEMENTOS, PUBLICACIONES Y EQUIPOS PARA DESARROLLAR LAS PRIORIDADES  DE SALUD PÚBLICA, SEGÚN COMPETENCIAS.</v>
          </cell>
        </row>
        <row r="181">
          <cell r="C181" t="str">
            <v>A.2.2.5.2.3 - CONTRATACIÓN CON PERSONAS  JURÍDICAS QUE NO SEAN ESE´S.</v>
          </cell>
        </row>
        <row r="182">
          <cell r="C182" t="str">
            <v>A.2.2.5.2.5 - TALENTO HUMANO QUE DESARROLLA FUNCIONES DE CARÁCTER OPERATIVO</v>
          </cell>
        </row>
        <row r="183">
          <cell r="C183" t="str">
            <v>A.2.2.5.3 - ENFERMEDADES TRANSMISIBLES POR VECTORES (ETV)    *** NO ***</v>
          </cell>
        </row>
        <row r="184">
          <cell r="C184" t="str">
            <v>A.2.2.5.3.1 - CONTRATACIÓN, CON LAS EMPRESAS SOCIALES DEL ESTADO.</v>
          </cell>
        </row>
        <row r="185">
          <cell r="C185" t="str">
            <v>A.2.2.5.3.2 - ADQUISICIÓN DE INSUMOS, ELEMENTOS, PUBLICACIONES Y EQUIPOS PARA DESARROLLAR LAS PRIORIDADES  DE SALUD PÚBLICA, SEGÚN COMPETENCIAS.</v>
          </cell>
        </row>
        <row r="186">
          <cell r="C186" t="str">
            <v>A.2.2.5.3.3 - CONTRATACIÓN CON PERSONAS  JURÍDICAS QUE NO SEAN ESE´S.</v>
          </cell>
        </row>
        <row r="187">
          <cell r="C187" t="str">
            <v>A.2.2.5.3.5 - TALENTO HUMANO QUE DESARROLLA FUNCIONES DE CARÁCTER OPERATIVO</v>
          </cell>
        </row>
        <row r="188">
          <cell r="C188" t="str">
            <v>A.2.2.5.4 - ZOONOSIS    *** NO ***</v>
          </cell>
        </row>
        <row r="189">
          <cell r="C189" t="str">
            <v>A.2.2.5.4.1 - CONTRATACIÓN, CON LAS EMPRESAS SOCIALES DEL ESTADO.</v>
          </cell>
        </row>
        <row r="190">
          <cell r="C190" t="str">
            <v>A.2.2.5.4.2 - ADQUISICIÓN DE INSUMOS, ELEMENTOS, PUBLICACIONES Y EQUIPOS PARA DESARROLLAR LAS PRIORIDADES  DE SALUD PÚBLICA, SEGÚN COMPETENCIAS.</v>
          </cell>
        </row>
        <row r="191">
          <cell r="C191" t="str">
            <v>A.2.2.5.4.3 - CONTRATACIÓN CON PERSONAS  JURÍDICAS QUE NO SEAN ESE´S.</v>
          </cell>
        </row>
        <row r="192">
          <cell r="C192" t="str">
            <v>A.2.2.5.4.7 - TALENTO HUMANO QUE DESARROLLA FUNCIONES DE CARÁCTER OPERATIVO</v>
          </cell>
        </row>
        <row r="193">
          <cell r="C193" t="str">
            <v>A.2.2.5.5 - OTROS PROGRAMAS Y ESTRATEGIAS,DE LAS ENFERMEDADES TRANSMISIBLES Y LA ZOONOSIS.    *** NO ***</v>
          </cell>
        </row>
        <row r="194">
          <cell r="C194" t="str">
            <v>A.2.2.5.5.1 - CON+D307TRATACIÓN, CON LAS EMPRESAS SOCIALES DEL ESTADO.</v>
          </cell>
        </row>
        <row r="195">
          <cell r="C195" t="str">
            <v>A.2.2.5.5.2 - ADQUISICIÓN DE INSUMOS, ELEMENTOS, PUBLICACIONES Y EQUIPOS PARA DESARROLLAR LAS PRIORIDADES  DE SALUD PÚBLICA, SEGÚN COMPETENCIAS.</v>
          </cell>
        </row>
        <row r="196">
          <cell r="C196" t="str">
            <v>A.2.2.5.5.3 - CONTRATACIÓN CON PERSONAS  JURÍDICAS QUE NO SEAN ESE´S.</v>
          </cell>
        </row>
        <row r="197">
          <cell r="C197" t="str">
            <v>A.2.2.5.5.7 - TALENTO HUMANO QUE DESARROLLA FUNCIONES DE CARÁCTER OPERATIVO</v>
          </cell>
        </row>
        <row r="198">
          <cell r="C198" t="str">
            <v>A.2.2.6 - ENFERMEDADES CRÓNICAS NO TRANSMISIBLES    *** NO ***</v>
          </cell>
        </row>
        <row r="199">
          <cell r="C199" t="str">
            <v>A.2.2.6.1 - CONTRATACIÓN, CON LAS EMPRESAS SOCIALES DEL ESTADO.</v>
          </cell>
        </row>
        <row r="200">
          <cell r="C200" t="str">
            <v>A.2.2.6.2 - ADQUISICIÓN DE INSUMOS, ELEMENTOS, PUBLICACIONES Y EQUIPOS PARA DESARROLLAR LAS PRIORIDADES  DE SALUD PÚBLICA, SEGÚN COMPETENCIAS.</v>
          </cell>
        </row>
        <row r="201">
          <cell r="C201" t="str">
            <v>A.2.2.6.3 - CONTRATACIÓN CON PERSONAS  JURÍDICAS QUE NO SEAN ESE´S.</v>
          </cell>
        </row>
        <row r="202">
          <cell r="C202" t="str">
            <v>A.2.2.6.7 - TALENTO HUMANO QUE DESARROLLA FUNCIONES DE CARÁCTER OPERATIVO</v>
          </cell>
        </row>
        <row r="203">
          <cell r="C203" t="str">
            <v>A.2.2.7 - NUTRICIÓN    *** NO ***</v>
          </cell>
        </row>
        <row r="204">
          <cell r="C204" t="str">
            <v>A.2.2.7.1 - CONTRATACIÓN, CON LAS EMPRESAS SOCIALES DEL ESTADO.</v>
          </cell>
        </row>
        <row r="205">
          <cell r="C205" t="str">
            <v>A.2.2.7.2 - ADQUISICIÓN DE INSUMOS, ELEMENTOS, PUBLICACIONES Y EQUIPOS PARA DESARROLLAR LAS PRIORIDADES  DE SALUD PÚBLICA, SEGÚN COMPETENCIAS.</v>
          </cell>
        </row>
        <row r="206">
          <cell r="C206" t="str">
            <v>A.2.2.7.3 - CONTRATACIÓN CON PERSONAS  JURÍDICAS QUE NO SEAN ESE´S.</v>
          </cell>
        </row>
        <row r="207">
          <cell r="C207" t="str">
            <v>A.2.2.7.5 - TALENTO HUMANO QUE DESARROLLA FUNCIONES DE CARÁCTER OPERATIVO</v>
          </cell>
        </row>
        <row r="208">
          <cell r="C208" t="str">
            <v>A.2.2.8 - SEGURIDAD SANITARIA Y DEL AMBIENTE    *** NO ***</v>
          </cell>
        </row>
        <row r="209">
          <cell r="C209" t="str">
            <v>A.2.2.8.1 - CONTRATACIÓN, CON LAS EMPRESAS SOCIALES DEL ESTADO.</v>
          </cell>
        </row>
        <row r="210">
          <cell r="C210" t="str">
            <v>A.2.2.8.2 - ADQUISICIÓN DE INSUMOS, ELEMENTOS, PUBLICACIONES Y EQUIPOS PARA DESARROLLAR LAS PRIORIDADES  DE SALUD PÚBLICA, SEGÚN COMPETENCIAS.</v>
          </cell>
        </row>
        <row r="211">
          <cell r="C211" t="str">
            <v>A.2.2.8.3 - CONTRATACIÓN CON PERSONAS  JURÍDICAS QUE NO SEAN ESE´S.</v>
          </cell>
        </row>
        <row r="212">
          <cell r="C212" t="str">
            <v>A.2.2.8.6 - TALENTO HUMANO QUE DESARROLLA FUNCIONES DE CARÁCTER OPERATIVO</v>
          </cell>
        </row>
        <row r="213">
          <cell r="C213" t="str">
            <v>A.2.2.9 - LA GESTIÓN PARA EL DESARROLLO OPERATIVO Y FUNCIONAL DEL PNSP    *** NO ***</v>
          </cell>
        </row>
        <row r="214">
          <cell r="C214" t="str">
            <v>A.2.2.9.1 -  ACCIONES DE PLANEACIÓN, PRIORIZACIÓN Y GESTIÓN INTERSECTORIAL.     *** NO ***</v>
          </cell>
        </row>
        <row r="215">
          <cell r="C215" t="str">
            <v>A.2.2.9.1.1 - CONTRATACIÓN, CON LAS EMPRESAS SOCIALES DEL ESTADO.</v>
          </cell>
        </row>
        <row r="216">
          <cell r="C216" t="str">
            <v>A.2.2.9.1.2 - ADQUISICIÓN DE INSUMOS, ELEMENTOS, PUBLICACIONES Y EQUIPOS PARA DESARROLLAR LAS PRIORIDADES  DE SALUD PÚBLICA, SEGÚN COMPETENCIAS.</v>
          </cell>
        </row>
        <row r="217">
          <cell r="C217" t="str">
            <v>A.2.2.9.1.3 - CONTRATACIÓN CON PERSONAS  JURÍDICAS QUE NO SEAN ESE´S.</v>
          </cell>
        </row>
        <row r="218">
          <cell r="C218" t="str">
            <v>A.2.2.9.1.5 - TALENTO HUMANO QUE DESARROLLA FUNCIONES DE CARÁCTER OPERATIVO</v>
          </cell>
        </row>
        <row r="219">
          <cell r="C219" t="str">
            <v>A.2.2.9.2 - MONITOREO Y EVALUACIÓN.     *** NO ***</v>
          </cell>
        </row>
        <row r="220">
          <cell r="C220" t="str">
            <v>A.2.2.9.2.1 - CONTRATACIÓN, CON LAS EMPRESAS SOCIALES DEL ESTADO.</v>
          </cell>
        </row>
        <row r="221">
          <cell r="C221" t="str">
            <v>A.2.2.9.2.2 - ADQUISICIÓN DE INSUMOS, ELEMENTOS, PUBLICACIONES Y EQUIPOS PARA DESARROLLAR LAS PRIORIDADES  DE SALUD PÚBLICA, SEGÚN COMPETENCIAS.</v>
          </cell>
        </row>
        <row r="222">
          <cell r="C222" t="str">
            <v>A.2.2.9.2.3 - CONTRATACIÓN CON PERSONAS  JURÍDICAS QUE NO SEAN ESE´S.</v>
          </cell>
        </row>
        <row r="223">
          <cell r="C223" t="str">
            <v>A.2.2.9.2.5 - TALENTO HUMANO QUE DESARROLLA FUNCIONES DE CARÁCTER OPERATIVO</v>
          </cell>
        </row>
        <row r="224">
          <cell r="C224" t="str">
            <v>A.2.2.9.3 - CAPACITACIÓN Y ASISTENCIA TÉCNICA.    *** NO ***</v>
          </cell>
        </row>
        <row r="225">
          <cell r="C225" t="str">
            <v>A.2.2.9.3.1 - CONTRATACIÓN, CON LAS EMPRESAS SOCIALES DEL ESTADO.</v>
          </cell>
        </row>
        <row r="226">
          <cell r="C226" t="str">
            <v>A.2.2.9.3.2 - ADQUISICIÓN DE INSUMOS, ELEMENTOS, PUBLICACIONES Y EQUIPOS PARA DESARROLLAR LAS PRIORIDADES  DE SALUD PÚBLICA, SEGÚN COMPETENCIAS.</v>
          </cell>
        </row>
        <row r="227">
          <cell r="C227" t="str">
            <v>A.2.2.9.3.3 - CONTRATACIÓN CON PERSONAS  JURÍDICAS QUE NO SEAN ESE´S.</v>
          </cell>
        </row>
        <row r="228">
          <cell r="C228" t="str">
            <v>A.2.2.9.3.5 - TALENTO HUMANO QUE DESARROLLA FUNCIONES DE CARÁCTER OPERATIVO</v>
          </cell>
        </row>
        <row r="229">
          <cell r="C229" t="str">
            <v>A.2.2.10 - VIGILANCIA EN SALUD PÚBLICA    *** NO ***</v>
          </cell>
        </row>
        <row r="230">
          <cell r="C230" t="str">
            <v>A.2.2.10.1 - TALENTO HUMANO QUE DESARROLLA FUNCIONES DE CARÁCTER OPERATIVO.</v>
          </cell>
        </row>
        <row r="231">
          <cell r="C231" t="str">
            <v>A.2.2.10.2 - ANÁLISIS Y PUBLICACIONES.</v>
          </cell>
        </row>
        <row r="232">
          <cell r="C232" t="str">
            <v>A.2.2.10.3 - INFRAESTRUCTURA EQUIPOS  Y DOTACIÓN PARA FORTALECER EL SISTEMA DE INFORMACIÓN.</v>
          </cell>
        </row>
        <row r="233">
          <cell r="C233" t="str">
            <v>A.2.2.13 - PAGO DE DÉFICIT DEL INVERSIÓN EN SALUD PÚBLICA</v>
          </cell>
        </row>
        <row r="234">
          <cell r="C234" t="str">
            <v>A.2.2.14 - GASTOS POR VENTA DE MEDICAMENTOS CONTROLADOS (FONDO ROTATORIO DE ESTUPEFACIENTES)    *** NO ***</v>
          </cell>
        </row>
        <row r="235">
          <cell r="C235" t="str">
            <v>A.2.2.14.1 - CONTRATACIÓN, CON LAS EMPRESAS SOCIALES DEL ESTADO.</v>
          </cell>
        </row>
        <row r="236">
          <cell r="C236" t="str">
            <v>A.2.2.14.2 - ADQUISICIÓN DE INSUMOS, ELEMENTOS, PUBLICACIONES Y EQUIPOS PARA DESARROLLAR LAS PRIORIDADES  DE SALUD PÚBLICA, SEGÚN COMPETENCIAS.</v>
          </cell>
        </row>
        <row r="237">
          <cell r="C237" t="str">
            <v>A.2.2.14.3 - CONTRATACIÓN CON PERSONAS  JURÍDICAS QUE NO SEAN ESE´S.</v>
          </cell>
        </row>
        <row r="238">
          <cell r="C238" t="str">
            <v>A.2.2.14.4 - CONCURRENCIA A MUNICIPIOS.</v>
          </cell>
        </row>
        <row r="239">
          <cell r="C239" t="str">
            <v>A.2.2.14.5 - TALENTO HUMANO QUE DESARROLLA FUNCIONES DE CARÁCTER OPERATIVO</v>
          </cell>
        </row>
        <row r="240">
          <cell r="C240" t="str">
            <v>A.2.3 - PRESTACION DE SERVICIOS A LA POBLACION POBRE EN LO NO CUBIERTO CON SUBSIDIOS A LA DEMANDA     *** NO ***</v>
          </cell>
        </row>
        <row r="241">
          <cell r="C241" t="str">
            <v>A.2.3.1 - PRESTACION DE SERVICIOS DE SALUD PARA LA POBLACIÓN POBRE NO ASEGURADA    *** NO ***</v>
          </cell>
        </row>
        <row r="242">
          <cell r="C242" t="str">
            <v>A.2.3.1.1 - SERVICIOS CONTRATADOS CON EMPRESAS SOCIALES DEL ESTADO    *** NO ***</v>
          </cell>
        </row>
        <row r="243">
          <cell r="C243" t="str">
            <v>A.2.3.1.1.1 - BAJO NIVEL DE COMPLEJIDAD</v>
          </cell>
        </row>
        <row r="244">
          <cell r="C244" t="str">
            <v>A.2.3.1.1.3 - MEDIO NIVEL DE COMPLEJIDAD</v>
          </cell>
        </row>
        <row r="245">
          <cell r="C245" t="str">
            <v>A.2.3.1.1.4 - ALTO NIVEL DE COMPLEJIDAD</v>
          </cell>
        </row>
        <row r="246">
          <cell r="C246" t="str">
            <v>A.2.3.1.2 - ATENCIÓN DE URGENCIAS (SIN CONTRATO) EN EMPRESAS SOCIALES DEL ESTADO    *** NO ***</v>
          </cell>
        </row>
        <row r="247">
          <cell r="C247" t="str">
            <v>A.2.3.1.2.1 - BAJO NIVEL DE COMPLEJIDAD</v>
          </cell>
        </row>
        <row r="248">
          <cell r="C248" t="str">
            <v>A.2.3.1.2.3 - MEDIO NIVEL DE COMPLEJIDAD</v>
          </cell>
        </row>
        <row r="249">
          <cell r="C249" t="str">
            <v>A.2.3.1.2.4 - ALTO NIVEL DE COMPLEJIDAD</v>
          </cell>
        </row>
        <row r="250">
          <cell r="C250" t="str">
            <v>A.2.3.1.3 - SERVICIOS CONTRATADOS CON INSTITUCIONES PRESTADORAS DE SERVICIOS DE SALUD  PRIVADAS O MIXTAS    *** NO ***</v>
          </cell>
        </row>
        <row r="251">
          <cell r="C251" t="str">
            <v>A.2.3.1.3.1 - BAJO NIVEL DE COMPLEJIDAD</v>
          </cell>
        </row>
        <row r="252">
          <cell r="C252" t="str">
            <v>A.2.3.1.3.3 - MEDIO NIVEL DE COMPLEJIDAD</v>
          </cell>
        </row>
        <row r="253">
          <cell r="C253" t="str">
            <v>A.2.3.1.3.4 - ALTO NIVEL DE COMPLEJIDAD</v>
          </cell>
        </row>
        <row r="254">
          <cell r="C254" t="str">
            <v>A.2.3.1.4 - ATENCIÓN DE URGENCIAS (SIN CONTRATO)  CON INSTITUCIONES PRESTADORAS DE SERVICIOS DE SALUD PRIVADAS O MIXTAS    *** NO ***</v>
          </cell>
        </row>
        <row r="255">
          <cell r="C255" t="str">
            <v>A.2.3.1.4.1 - BAJO NIVEL DE COMPLEJIDAD</v>
          </cell>
        </row>
        <row r="256">
          <cell r="C256" t="str">
            <v>A.2.3.1.4.3 - MEDIO NIVEL DE COMPLEJIDAD</v>
          </cell>
        </row>
        <row r="257">
          <cell r="C257" t="str">
            <v>A.2.3.1.4.4 - ALTO NIVEL DE COMPLEJIDAD</v>
          </cell>
        </row>
        <row r="258">
          <cell r="C258" t="str">
            <v>A.2.3.2 - PRESTACION DE SERVICIOS DE SALUD A LA POBLACIÓN POBRE AFILIADA AL REGIMEN SUBSIDIADO NO INCLUIDOS EN EL PLAN (NO POS-S)    *** NO ***</v>
          </cell>
        </row>
        <row r="259">
          <cell r="C259" t="str">
            <v>A.2.3.2.1 - SERVICIOS CONTRATADOS CON EMPRESAS SOCIALES DEL ESTADO</v>
          </cell>
        </row>
        <row r="260">
          <cell r="C260" t="str">
            <v>A.2.3.2.2 - ATENCIÓN DE URGENCIAS (SIN CONTRATO) CON EMPRESAS SOCIALES DEL ESTADO</v>
          </cell>
        </row>
        <row r="261">
          <cell r="C261" t="str">
            <v>A.2.3.2.3 - SERVICIOS CONTRATADOS CON INSTITUCIONES PRESTADORAS DE SERVICIOS DE SALUD  PRIVADAS O MIXTAS</v>
          </cell>
        </row>
        <row r="262">
          <cell r="C262" t="str">
            <v>A.2.3.2.4 - ATENCIÓN DE URGENCIAS (SIN CONTRATO)  CON INSTITUCIONES PRESTADORAS DE SERVICIOS DE SALUD PRIVADAS O MIXTAS</v>
          </cell>
        </row>
        <row r="263">
          <cell r="C263" t="str">
            <v>A.2.3.2.5 - RECOBROS DE LAS EPS DEL REGIMEN SUBSIDIADO POR EVENTOS NO INCLUIDOS EN EL POS SUBSIDIADO</v>
          </cell>
        </row>
        <row r="264">
          <cell r="C264" t="str">
            <v>A.2.3.6 - PAGO DE DÉFICIT DE INVERSIÓN EN SERVICIOS A LA POBLACION POBRE NO ASEGURADA VIGENCIA ANTERIOR (LEY 819 DE 2003)</v>
          </cell>
        </row>
        <row r="265">
          <cell r="C265" t="str">
            <v>A.2.3.8 - SERVICIOS EXCLUIDOS DEL PLAN OBLIGATORIO DE SALUD    *** NO ***</v>
          </cell>
        </row>
        <row r="266">
          <cell r="C266" t="str">
            <v>A.2.3.8.1 - SERVICIOS CONTRATADOS POR EXCLUSIONES DEL POS A LA POBLACIÓN POBRE AFILIADA AL RÉGIMEN SUBSIDIADO</v>
          </cell>
        </row>
        <row r="267">
          <cell r="C267" t="str">
            <v>A.2.3.8.2 - SERVICIOS NO CONTRATADOS POR EXCLUSIONES DEL POS A LA POBLACIÓN POBRE AFILIADA AL RÉGIMEN SUBSIDIADO</v>
          </cell>
        </row>
        <row r="268">
          <cell r="C268" t="str">
            <v>A.2.3.8.3 - RECOBROS DE LAS EPS DEL RÉGIMEN SUBSIDIADO POR EVENTOS EXCLUIDOS DEL POS</v>
          </cell>
        </row>
        <row r="269">
          <cell r="C269" t="str">
            <v>A.2.4 - OTROS GASTOS EN SALUD    *** NO ***</v>
          </cell>
        </row>
        <row r="270">
          <cell r="C270" t="str">
            <v>A.2.4.1 - INVESTIGACIÓN EN SALUD</v>
          </cell>
        </row>
        <row r="271">
          <cell r="C271" t="str">
            <v>A.2.4.2 - PAGO PASIVO PRESTACIONAL</v>
          </cell>
        </row>
        <row r="272">
          <cell r="C272" t="str">
            <v>A.2.4.3 - REORGANIZACIÓN DE REDES DE PRESTADORES DE SERVICIOS DE SALUD</v>
          </cell>
        </row>
        <row r="273">
          <cell r="C273" t="str">
            <v xml:space="preserve">A.2.4.5 - PAGO DE CARTERA HOSPITALARIA DE VIGENCIAS ANTERIORES </v>
          </cell>
        </row>
        <row r="274">
          <cell r="C274" t="str">
            <v>A.2.4.6 - PAGO DE CARTERA A LAS EMPRESAS PROMOTORAS DE SALUD</v>
          </cell>
        </row>
        <row r="275">
          <cell r="C275" t="str">
            <v>A.2.4.7 - PAGO DE OTRAS DEUDAS QUE NO CORRESPONDEN A CARTERA HOSPITALARIA O INFRAESTRUCTURA</v>
          </cell>
        </row>
        <row r="276">
          <cell r="C276" t="str">
            <v>A.2.4.8 - INVERSIÓNES DIRECTAS EN LA RED PUBLICA SEGÚN PLAN BIENAL EN EQUIPOS</v>
          </cell>
        </row>
        <row r="277">
          <cell r="C277" t="str">
            <v>A.2.4.9 - INVERSIÓNES DIRECTAS EN LA RED PUBLICA SEGÚN PLAN BIENAL EN INFRAESTRUCTURA</v>
          </cell>
        </row>
        <row r="278">
          <cell r="C278" t="str">
            <v>A.2.4.10 - INVERSIÓNES DIRECTAS EN LA RED PUBLICA SEGÚN PLAN BIENAL EN OTROS CONCEPTOS</v>
          </cell>
        </row>
        <row r="279">
          <cell r="C279" t="str">
            <v>A.2.4.13 - PROMOCIÓN SOCIAL    *** NO ***</v>
          </cell>
        </row>
        <row r="280">
          <cell r="C280" t="str">
            <v>A.2.4.13.1 - POBLACIÓN VICTIMA DEL DESPLAZAMIENTO FORZADO POR LA VIOLENCIA</v>
          </cell>
        </row>
        <row r="281">
          <cell r="C281" t="str">
            <v>A.2.4.13.2 - ENTORNO FAMILIAR, CULTURAL Y SOCIAL</v>
          </cell>
        </row>
        <row r="282">
          <cell r="C282" t="str">
            <v>A.2.4.13.3 - ETNIA, DISCAPACIDAD, GÉNERO, NIÑEZ, ADOLESCENCIA, PERSONAS MAYORES</v>
          </cell>
        </row>
        <row r="283">
          <cell r="C283" t="str">
            <v>A.2.4.14 - OTROS GASTOS DE SALUD EN EMERGENCIAS Y DESASTRES</v>
          </cell>
        </row>
        <row r="284">
          <cell r="C284" t="str">
            <v>A.3 - AGUA POTABLE Y SANEAMIENTO BÁSICO  (SIN INCLUIR PROYECTOS DE VIS)    *** NO ***</v>
          </cell>
        </row>
        <row r="285">
          <cell r="C285" t="str">
            <v>A.3.10 - SERVICIO DE ACUEDUCTO    *** NO ***</v>
          </cell>
        </row>
        <row r="286">
          <cell r="C286" t="str">
            <v>A.3.10.1 - ACUEDUCTO-CAPTACIÓN</v>
          </cell>
        </row>
        <row r="287">
          <cell r="C287" t="str">
            <v>A.3.10.2 - ACUEDUCTO- ADUCCIÓN</v>
          </cell>
        </row>
        <row r="288">
          <cell r="C288" t="str">
            <v>A.3.10.3 - ACUEDUCTO- ALMACENAMIENTO</v>
          </cell>
        </row>
        <row r="289">
          <cell r="C289" t="str">
            <v>A.3.10.4 - ACUEDUCTO- TRATAMIENTO</v>
          </cell>
        </row>
        <row r="290">
          <cell r="C290" t="str">
            <v>A.3.10.5 - ACUEDUCTO- CONDUCCIÓN</v>
          </cell>
        </row>
        <row r="291">
          <cell r="C291" t="str">
            <v>A.3.10.6 -  ACUEDUCTO- MACROMEDICIÓN</v>
          </cell>
        </row>
        <row r="292">
          <cell r="C292" t="str">
            <v>A.3.10.7 - ACUEDUCTO-DISTRIBUCIÓN</v>
          </cell>
        </row>
        <row r="293">
          <cell r="C293" t="str">
            <v>A.3.10.8 - ACUEDUCTO- MICROMEDICIÓN</v>
          </cell>
        </row>
        <row r="294">
          <cell r="C294" t="str">
            <v>A.3.10.9 - ACUEDUCTO- INDICE DE AGUA NO CONTABILIZADA</v>
          </cell>
        </row>
        <row r="295">
          <cell r="C295" t="str">
            <v>A.3.10.10 - ACUEDUCTO-PREINVERSIONES, ESTUDIOS</v>
          </cell>
        </row>
        <row r="296">
          <cell r="C296" t="str">
            <v>A.3.10.11 - ACUEDUCTO-INTERVENTORÍA</v>
          </cell>
        </row>
        <row r="297">
          <cell r="C297" t="str">
            <v xml:space="preserve">A.3.10.12 - ACUEDUCTO- FORMULACIÓN, IMPLEMENTACIÓN Y ACCIONES DE FORTALECIMIENTO PARA LA ADMINISTRACIÓN Y OPERACIÓN DE LOS SERVICIOS. </v>
          </cell>
        </row>
        <row r="298">
          <cell r="C298" t="str">
            <v>A.3.10.13 - ACUEDUCTO- SUBSIDIOS</v>
          </cell>
        </row>
        <row r="299">
          <cell r="C299" t="str">
            <v>A.3.11 - SERVICIO DE ALCANTARILLADO    *** NO ***</v>
          </cell>
        </row>
        <row r="300">
          <cell r="C300" t="str">
            <v>A.3.11.1 - ALCANTARILLADO- RECOLECCIÓN</v>
          </cell>
        </row>
        <row r="301">
          <cell r="C301" t="str">
            <v>A.3.11.2 - ALCANTARILLADO - TRANSPORTE</v>
          </cell>
        </row>
        <row r="302">
          <cell r="C302" t="str">
            <v>A.3.11.3 - ALCANTARILLADO- TRATAMIENTO</v>
          </cell>
        </row>
        <row r="303">
          <cell r="C303" t="str">
            <v>A.3.11.4 - ALCANTARILLADO- DESCARGA</v>
          </cell>
        </row>
        <row r="304">
          <cell r="C304" t="str">
            <v>A.3.11.5 - ALCANTARILLADO-PREINVERSIONES, ESTUDIOS</v>
          </cell>
        </row>
        <row r="305">
          <cell r="C305" t="str">
            <v>A.3.11.6 - ALCANTARILLADO-INTERVENTORÍA</v>
          </cell>
        </row>
        <row r="306">
          <cell r="C306" t="str">
            <v>A.3.11.7 - ALCANTARILLADO- FORTALECIMIENTO INSTITUCIONAL</v>
          </cell>
        </row>
        <row r="307">
          <cell r="C307" t="str">
            <v>A.3.11.8 - ALCANTARILLADO- SUBSIDIOS.</v>
          </cell>
        </row>
        <row r="308">
          <cell r="C308" t="str">
            <v>A.3.12 - SERVICIO DE ASEO    *** NO ***</v>
          </cell>
        </row>
        <row r="309">
          <cell r="C309" t="str">
            <v>A.3.12.1 - ASEO- PROYECTO DE TRATAMIENTO Y APROVECHAMIENTO DE RESIDUOS SOLIDOS</v>
          </cell>
        </row>
        <row r="310">
          <cell r="C310" t="str">
            <v>A.3.12.2 - ASEO- MAQUINARIA Y EQUIPOS</v>
          </cell>
        </row>
        <row r="311">
          <cell r="C311" t="str">
            <v>A.3.12.3 - ASEO- DISPOSICIÓN FINAL</v>
          </cell>
        </row>
        <row r="312">
          <cell r="C312" t="str">
            <v>A.3.12.4 - ASEO- PREINVERSIÓN Y ESTUDIOS</v>
          </cell>
        </row>
        <row r="313">
          <cell r="C313" t="str">
            <v>A.3.12.5 - ASEO-INTERVENTORÍA</v>
          </cell>
        </row>
        <row r="314">
          <cell r="C314" t="str">
            <v>A.3.12.6 - ASEO-FORTALECIMIENTO INSTITUCIONAL</v>
          </cell>
        </row>
        <row r="315">
          <cell r="C315" t="str">
            <v xml:space="preserve">A.3.12.7 -  ASEO- SUBSIDIOS. </v>
          </cell>
        </row>
        <row r="316">
          <cell r="C316" t="str">
            <v>A.3.13 - TRANSFERENCIA PDA INVERSIÓN</v>
          </cell>
        </row>
        <row r="317">
          <cell r="C317" t="str">
            <v>A.3.14 - TRANSFERENCIA PDA SUBSIDIOS</v>
          </cell>
        </row>
        <row r="318">
          <cell r="C318" t="str">
            <v>A.3.15 - PAGO PASIVOS LABORALES</v>
          </cell>
        </row>
        <row r="319">
          <cell r="C319" t="str">
            <v>A.3.17 - PAGO DE DÉFICIT DE INVERSIÓN EN AGUA POTABLE Y SANEAMIENTO BÁSICO</v>
          </cell>
        </row>
        <row r="320">
          <cell r="C320" t="str">
            <v>A.4 - DEPORTE Y RECREACIÓN    *** NO ***</v>
          </cell>
        </row>
        <row r="321">
          <cell r="C321" t="str">
            <v>A.4.1 - FOMENTO, DESARROLLO Y PRÁCTICA DEL DEPORTE, LA RECREACIÓN Y EL APROVECHAMIENTO DEL TIEMPO LIBRE</v>
          </cell>
        </row>
        <row r="322">
          <cell r="C322" t="str">
            <v>A.4.2 - CONSTRUCCIÓN, MANTENIMIENTO Y/O ADECUACIÓN DE LOS ESCENARIOS DEPORTIVOS Y RECREATIVOS</v>
          </cell>
        </row>
        <row r="323">
          <cell r="C323" t="str">
            <v>A.4.3 - DOTACIÓN DE ESCENARIOS DEPORTIVOS E IMPLEMENTOS PARA LA PRACTICA DEL DEPORTE</v>
          </cell>
        </row>
        <row r="324">
          <cell r="C324" t="str">
            <v>A.4.4 - PREINVERSIÓN EN INFRAESTRUCTURA</v>
          </cell>
        </row>
        <row r="325">
          <cell r="C325" t="str">
            <v>A.4.5 - PAGO DE INSTRUCTORES CONTRATADOS PARA LA PRÁCTICA DEL DEPORTE Y LA RECREACIÓN</v>
          </cell>
        </row>
        <row r="326">
          <cell r="C326" t="str">
            <v>A.4.8 - PAGO DE DÉFICIT DE INVERSIÓN EN DEPORTE Y RECREACIÓN</v>
          </cell>
        </row>
        <row r="327">
          <cell r="C327" t="str">
            <v>A.5 - CULTURA    *** NO ***</v>
          </cell>
        </row>
        <row r="328">
          <cell r="C328" t="str">
            <v>A.5.1 - FOMENTO, APOYO Y DIFUSIÓN DE EVENTOS Y EXPRESIONES ARTÍSTICAS Y CULTURALES</v>
          </cell>
        </row>
        <row r="329">
          <cell r="C329" t="str">
            <v>A.5.2 - FORMACIÓN, CAPACITACIÓN E INVESTIGACIÓN ARTÍSTICA Y CULTURAL</v>
          </cell>
        </row>
        <row r="330">
          <cell r="C330" t="str">
            <v xml:space="preserve">A.5.3 - PROTECCIÓN DEL PATRIMONIO CULTURAL </v>
          </cell>
        </row>
        <row r="331">
          <cell r="C331" t="str">
            <v>A.5.4 - PREINVERSIÓN EN INFRAESTRUCTURA</v>
          </cell>
        </row>
        <row r="332">
          <cell r="C332" t="str">
            <v>A.5.5 - CONSTRUCCIÓN, MANTENIMIENTO Y ADECUACIÓN DE LA INFRAESTRUCTURA ARTÍSTICA Y CULTURAL</v>
          </cell>
        </row>
        <row r="333">
          <cell r="C333" t="str">
            <v>A.5.6 - MANTENIMIENTO Y DOTACIÓN DE BIBLIOTECAS    *** NO ***</v>
          </cell>
        </row>
        <row r="334">
          <cell r="C334" t="str">
            <v>A.5.6.1 - DOTACIÓN DE BIBLIOTECAS</v>
          </cell>
        </row>
        <row r="335">
          <cell r="C335" t="str">
            <v>A.5.6.2 - MANTENIMIENTO DE BIBLIOTECAS</v>
          </cell>
        </row>
        <row r="336">
          <cell r="C336" t="str">
            <v xml:space="preserve">A.5.7 - DOTACIÓN DE LA INFRAESTRUCTURA ARTÍSTICA Y CULTURAL  </v>
          </cell>
        </row>
        <row r="337">
          <cell r="C337" t="str">
            <v xml:space="preserve">A.5.8 - PAGO DE INSTRUCTORES CONTRATADOS PARA LAS BANDAS MUSICALES </v>
          </cell>
        </row>
        <row r="338">
          <cell r="C338" t="str">
            <v>A.5.9 - EJECUCIÓN DE PROGRAMAS Y PROYECTOS ARTÍSTICOS Y CULTURALES</v>
          </cell>
        </row>
        <row r="339">
          <cell r="C339" t="str">
            <v>A.5.12 - SEGURIDAD SOCIAL DEL CREADOR Y GESTOR CULTURAL</v>
          </cell>
        </row>
        <row r="340">
          <cell r="C340" t="str">
            <v>A.5.13 - PAGO DE DÉFICIT DE INVERSIÓN EN CULTURA</v>
          </cell>
        </row>
        <row r="341">
          <cell r="C341" t="str">
            <v>A.6 - SERVICIOS PÚBLICOS DIFERENTES A ACUEDUCTO ALCANTARILLADO Y ASEO (SIN INCLUIR PROYECTOS DE VIVIENDA DE INTERÉS SOCIAL)    *** NO ***</v>
          </cell>
        </row>
        <row r="342">
          <cell r="C342" t="str">
            <v>A.6.1 - SUBSIDIOS PARA USUARIOS DE MENORES INGRESOS - FONDO DE SOLIDARIDAD Y REDISTRIBUCIÓN DEL INGRESO</v>
          </cell>
        </row>
        <row r="343">
          <cell r="C343" t="str">
            <v>A.6.2 - MANTENIMIENTO Y EXPANSIÓN DEL SERVICIO DE ALUMBRADO PÚBLICO     *** NO ***</v>
          </cell>
        </row>
        <row r="344">
          <cell r="C344" t="str">
            <v xml:space="preserve">A.6.2.1 - EXPANSIÓN DEL SERVICIO DE ALUMBRADO PÚBLICO </v>
          </cell>
        </row>
        <row r="345">
          <cell r="C345" t="str">
            <v xml:space="preserve">A.6.2.2 - MANTENIMIENTO DEL SERVICIO DE ALUMBRADO PÚBLICO </v>
          </cell>
        </row>
        <row r="346">
          <cell r="C346" t="str">
            <v>A.6.3 - PAGO DE CONVENIOS O CONTRATOS DE SUMINISTRO DE ENERGÍA ELÉCTRICA PARA EL SERVICIO DE ALUMBRADO PÚBLICO O PARA EL MANTENIMIENTO Y EXPANSIÓN DEL SERVICIO DE ALUMBRADO PÚBLICO</v>
          </cell>
        </row>
        <row r="347">
          <cell r="C347" t="str">
            <v>A.6.4 - PREINVERSIÓN EN INFRAESTRUCTURA</v>
          </cell>
        </row>
        <row r="348">
          <cell r="C348" t="str">
            <v>A.6.5 - CONSTRUCCIÓN, ADECUACIÓN Y MANTENIMIENTO DE INFRAESTRUCTURA DE SERVICIOS PÚBLICOS</v>
          </cell>
        </row>
        <row r="349">
          <cell r="C349" t="str">
            <v>A.6.6 - OBRAS DE ELECTRIFICACIÓN RURAL</v>
          </cell>
        </row>
        <row r="350">
          <cell r="C350" t="str">
            <v>A.6.7 - DISTRIBUCIÓN DE GAS COMBUSTIBLE</v>
          </cell>
        </row>
        <row r="351">
          <cell r="C351" t="str">
            <v>A.6.8 - TELEFONÍA PUBLICA CONMUTADA</v>
          </cell>
        </row>
        <row r="352">
          <cell r="C352" t="str">
            <v>A.6.9 - TELEFONÍA LOCAL MÓVIL EN EL SECTOR RURAL</v>
          </cell>
        </row>
        <row r="353">
          <cell r="C353" t="str">
            <v>A.6.12 - PAGO DE DÉFICIT DE INVERSIÓN EN SERVICIOS PÚBLICOS</v>
          </cell>
        </row>
        <row r="354">
          <cell r="C354" t="str">
            <v>A.7 - VIVIENDA    *** NO ***</v>
          </cell>
        </row>
        <row r="355">
          <cell r="C355" t="str">
            <v>A.7.1 - SUBSIDIOS PARA ADQUISICIÓN DE VIVIENDA DE INTERÉS SOCIAL</v>
          </cell>
        </row>
        <row r="356">
          <cell r="C356" t="str">
            <v>A.7.2 - SUBSIDIOS PARA MEJORAMIENTO DE VIVIENDA DE INTERÉS SOCIAL</v>
          </cell>
        </row>
        <row r="357">
          <cell r="C357" t="str">
            <v>A.7.3 - PLANES Y PROYECTOS DE MEJORAMIENTO DE VIVIENDA Y SANEAMIENTO BÁSICO</v>
          </cell>
        </row>
        <row r="358">
          <cell r="C358" t="str">
            <v>A.7.4 - PLANES Y PROYECTOS DE CONSTRUCCIÓN DE VIVIENDA EN SITIO PROPIO</v>
          </cell>
        </row>
        <row r="359">
          <cell r="C359" t="str">
            <v>A.7.5 - PLANES Y PROYECTOS PARA LA ADQUISICIÓN Y/O CONSTRUCCIÓN DE VIVIENDA</v>
          </cell>
        </row>
        <row r="360">
          <cell r="C360" t="str">
            <v>A.7.6 - SUBSIDIOS PARA REUBICACIÓN DE VIVIENDAS ASENTADAS EN ZONAS ALTO RIESGO</v>
          </cell>
        </row>
        <row r="361">
          <cell r="C361" t="str">
            <v>A.7.7 - PROYECTOS DE TITULACIÓN Y LEGALIZACIÓN DE PREDIOS</v>
          </cell>
        </row>
        <row r="362">
          <cell r="C362" t="str">
            <v>A.7.8 - PREINVERSIÓN EN INFRAESTRUCTURA</v>
          </cell>
        </row>
        <row r="363">
          <cell r="C363" t="str">
            <v>A.7.11 - PAGO DE DÉFICIT DE INVERSIÓN EN VIVIENDA</v>
          </cell>
        </row>
        <row r="364">
          <cell r="C364" t="str">
            <v>A.8 - AGROPECUARIO    *** NO ***</v>
          </cell>
        </row>
        <row r="365">
          <cell r="C365" t="str">
            <v>A.8.1 - PREINVERSIÓN EN INFRAESTRUCTURA</v>
          </cell>
        </row>
        <row r="366">
          <cell r="C366" t="str">
            <v>A.8.2 - MONTAJE, DOTACIÓN Y MANTENIMIENTO DE GRANJAS EXPERIMENTALES</v>
          </cell>
        </row>
        <row r="367">
          <cell r="C367" t="str">
            <v>A.8.3 - PROYECTOS DE CONSTRUCCIÓN Y MANTENIMIENTO DE DISTRITOS DE RIEGO Y ADECUACIÓN DE TIERRAS    *** NO ***</v>
          </cell>
        </row>
        <row r="368">
          <cell r="C368" t="str">
            <v>A.8.3.1 - PROYECTOS DE CONSTRUCCIÓN DE DISTRITOS DE RIEGO Y ADECUACIÓN DE TIERRAS</v>
          </cell>
        </row>
        <row r="369">
          <cell r="C369" t="str">
            <v>A.8.3.2 - PROYECTOS DE MANTENIMIENTO DE DISTRITOS DE RIEGO Y ADECUACIÓN DE TIERRAS</v>
          </cell>
        </row>
        <row r="370">
          <cell r="C370" t="str">
            <v>A.8.4 - PROMOCIÓN DE ALIANZAS, ASOCIACIONES U OTRAS FORMAS ASOCIATIVAS DE PRODUCTORES</v>
          </cell>
        </row>
        <row r="371">
          <cell r="C371" t="str">
            <v>A.8.5 - PROGRAMAS Y PROYECTOS DE ASISTENCIA TÉCNICA DIRECTA RURAL</v>
          </cell>
        </row>
        <row r="372">
          <cell r="C372" t="str">
            <v>A.8.6 - PAGO DEL PERSONAL TÉCNICO VINCULADO A LA PRESTACIÓN DEL SERVICIO DE ASISTENCIA TÉCNICA DIRECTA RURAL</v>
          </cell>
        </row>
        <row r="373">
          <cell r="C373" t="str">
            <v>A.8.7 - CONTRATOS CELEBRADOS CON  ENTIDADES PRESTADORAS DEL SERVICIO DE ASISTENCIA TÉCNICA DIRECTA RURAL</v>
          </cell>
        </row>
        <row r="374">
          <cell r="C374" t="str">
            <v xml:space="preserve">A.8.8 - DESARROLLO DE PROGRAMAS Y PROYECTOS PRODUCTIVOS EN EL MARCO DEL PLAN AGROPECUARIO </v>
          </cell>
        </row>
        <row r="375">
          <cell r="C375" t="str">
            <v>A.8.11 - PAGO DE DÉFICIT DE INVERSIÓN EN DESARROLLO AGROPECUARIO</v>
          </cell>
        </row>
        <row r="376">
          <cell r="C376" t="str">
            <v>A.9 - TRANSPORTE    *** NO ***</v>
          </cell>
        </row>
        <row r="377">
          <cell r="C377" t="str">
            <v xml:space="preserve">A.9.1 - CONSTRUCCIÓN DE VÍAS </v>
          </cell>
        </row>
        <row r="378">
          <cell r="C378" t="str">
            <v>A.9.2 - MEJORAMIENTO DE VÍAS</v>
          </cell>
        </row>
        <row r="379">
          <cell r="C379" t="str">
            <v>A.9.3 - REHABILITACIÓN DE VÍAS</v>
          </cell>
        </row>
        <row r="380">
          <cell r="C380" t="str">
            <v>A.9.4 - MANTENIMIENTO RUTINARIO DE VÍAS</v>
          </cell>
        </row>
        <row r="381">
          <cell r="C381" t="str">
            <v>A.9.5 - MANTENIMIENTO PERIÓDICO DE VÍAS</v>
          </cell>
        </row>
        <row r="382">
          <cell r="C382" t="str">
            <v>A.9.6 - CONSTRUCCIÓN DE INSTALACIONES PORTUARIAS, FLUVIALES Y MARÍTIMAS</v>
          </cell>
        </row>
        <row r="383">
          <cell r="C383" t="str">
            <v>A.9.7 - MANTENIMIENTO DE INSTALACIONES PORTUARIAS, FLUVIALES Y MARÍTIMAS</v>
          </cell>
        </row>
        <row r="384">
          <cell r="C384" t="str">
            <v>A.9.8 - CONSTRUCCIÓN DE TERMINALES DE TRANSPORTE Y AEROPUERTOS</v>
          </cell>
        </row>
        <row r="385">
          <cell r="C385" t="str">
            <v>A.9.9 - MEJORAMIENTO Y MANTENIMIENTO DE TERMINALES DE TRANSPORTE Y AEROPUERTOS</v>
          </cell>
        </row>
        <row r="386">
          <cell r="C386" t="str">
            <v>A.9.10 - ESTUDIOS Y PREINVERSIÓN EN INFRAESTRUCTURA</v>
          </cell>
        </row>
        <row r="387">
          <cell r="C387" t="str">
            <v>A.9.11 - COMPRA DE MAQUINARIA Y EQUIPO</v>
          </cell>
        </row>
        <row r="388">
          <cell r="C388" t="str">
            <v>A.9.12 - INTERVENTORIA DE PROYECTOS DE CONSTRUCCIÓN Y MANTENIMIENTO DE INFRAESTRUCTURA DE TRANSPORTE</v>
          </cell>
        </row>
        <row r="389">
          <cell r="C389" t="str">
            <v>A.9.15 - SISTEMAS DE TRANSPORTE MASIVO</v>
          </cell>
        </row>
        <row r="390">
          <cell r="C390" t="str">
            <v>A.9.16 - PLANES DE TRÁNSITO, EDUCACIÓN, DOTACIÓN DE EQUIPOS Y SEGURIDAD VIAL</v>
          </cell>
        </row>
        <row r="391">
          <cell r="C391" t="str">
            <v>A.9.17 - INFRAESTRUCTURA PARA TRANSPORTE NO MOTORIZADO (REDES PEATONALES Y CICLORUTAS)</v>
          </cell>
        </row>
        <row r="392">
          <cell r="C392" t="str">
            <v>A.9.18 - PAGO DE DÉFICIT DE INVERSIÓN EN TRANSPORTE</v>
          </cell>
        </row>
        <row r="393">
          <cell r="C393" t="str">
            <v>A.10 - AMBIENTAL    *** NO ***</v>
          </cell>
        </row>
        <row r="394">
          <cell r="C394" t="str">
            <v xml:space="preserve">A.10.1 - DESCONTAMINACIÓN DE CORRIENTES O DEPÓSITOS DE AGUA AFECTADOS POR VERTIMIENTOS </v>
          </cell>
        </row>
        <row r="395">
          <cell r="C395" t="str">
            <v xml:space="preserve">A.10.2 - DISPOSICIÓN, ELIMINACIÓN Y RECICLAJE DE RESIDUOS LÍQUIDOS Y SÓLIDOS </v>
          </cell>
        </row>
        <row r="396">
          <cell r="C396" t="str">
            <v>A.10.3 - CONTROL A LAS EMISIONES CONTAMINANTES DEL AIRE</v>
          </cell>
        </row>
        <row r="397">
          <cell r="C397" t="str">
            <v>A.10.4 - MANEJO Y APROVECHAMIENTO DE CUENCAS Y MICROCUENCAS HIDROGRÁFICAS</v>
          </cell>
        </row>
        <row r="398">
          <cell r="C398" t="str">
            <v>A.10.5 - CONSERVACIÓN DE MICROCUENCAS QUE ABASTECEN EL ACUEDUCTO, PROTECCIÓN DE FUENTES Y REFORESTACIÓN DE DICHAS CUENCAS</v>
          </cell>
        </row>
        <row r="399">
          <cell r="C399" t="str">
            <v>A.10.6 - EDUCACIÓN AMBIENTAL NO FORMAL</v>
          </cell>
        </row>
        <row r="400">
          <cell r="C400" t="str">
            <v xml:space="preserve">A.10.7 - ASISTENCIA TÉCNICA EN RECONVERSIÓN TECNOLÓGICA </v>
          </cell>
        </row>
        <row r="401">
          <cell r="C401" t="str">
            <v>A.10.8 - CONSERVACIÓN, PROTECCIÓN, RESTAURACIÓN Y APROVECHAMIENTO DE RECURSOS NATURALES Y DEL MEDIO AMBIENTE</v>
          </cell>
        </row>
        <row r="402">
          <cell r="C402" t="str">
            <v>A.10.9 - ADQUISICIÓN DE PREDIOS DE RESERVA HÍDRICA Y ZONAS DE RESERVA NATURALES</v>
          </cell>
        </row>
        <row r="403">
          <cell r="C403" t="str">
            <v>A.10.10 - ADQUISICIÓN DE ÁREAS DE INTERÉS PARA EL ACUEDUCTO MUNICIPAL (Art. 106 Ley 1151/07)</v>
          </cell>
        </row>
        <row r="404">
          <cell r="C404" t="str">
            <v>A.10.11 - REFORESTACIÓN Y CONTROL DE EROSIÓN</v>
          </cell>
        </row>
        <row r="405">
          <cell r="C405" t="str">
            <v>A.10.14 - MANEJO ARTIFICIAL DE CAUDALES (RECUPERACIÓN DE LA NAVEGABILIDAD DEL RÍO,  HIDROLOGÍA, MANEJO DE INUNDACIONES, CANAL NAVEGABLE Y ESTIAJE)</v>
          </cell>
        </row>
        <row r="406">
          <cell r="C406" t="str">
            <v>A.10.15 - COMPRA DE TIERRAS PARA PROTECCIÓN DE MICROCUENCAS ASOCIADAS AL RÍO MAGDALENA</v>
          </cell>
        </row>
        <row r="407">
          <cell r="C407" t="str">
            <v>A.10.16 - PAGO DE DÉFICIT DE INVERSIÓN EN AMBIENTE</v>
          </cell>
        </row>
        <row r="408">
          <cell r="C408" t="str">
            <v xml:space="preserve">A.10.17 - EJECUCIÓN DE OBRAS DE REDUCCIÓN DEL RIESGO DE DESASTRES (MITIGACIÓN) EN CUENCAS HIDROGRÁFICAS </v>
          </cell>
        </row>
        <row r="409">
          <cell r="C409" t="str">
            <v>A.11 - CENTROS DE RECLUSIÓN    *** NO ***</v>
          </cell>
        </row>
        <row r="410">
          <cell r="C410" t="str">
            <v>A.11.1 - PREINVERSIÓN EN INFRAESTRUCTURA</v>
          </cell>
        </row>
        <row r="411">
          <cell r="C411" t="str">
            <v>A.11.2 - CONSTRUCCIÓN DE INFRAESTRUCTURA CARCELARIA</v>
          </cell>
        </row>
        <row r="412">
          <cell r="C412" t="str">
            <v>A.11.3 - MEJORAMIENTO Y MANTENIMIENTO DE INFRAESTRUCTURA CARCELARIA</v>
          </cell>
        </row>
        <row r="413">
          <cell r="C413" t="str">
            <v>A.11.4 - DOTACIÓN DE CENTROS CARCELARIOS</v>
          </cell>
        </row>
        <row r="414">
          <cell r="C414" t="str">
            <v>A.11.5 - ALIMENTACIÓN PARA LAS PERSONAS DETENIDAS</v>
          </cell>
        </row>
        <row r="415">
          <cell r="C415" t="str">
            <v>A.11.6 - TRANSPORTE DE RECLUSOS</v>
          </cell>
        </row>
        <row r="416">
          <cell r="C416" t="str">
            <v>A.11.7 - EDUCACIÓN PARA LA REHABILITACIÓN SOCIAL</v>
          </cell>
        </row>
        <row r="417">
          <cell r="C417" t="str">
            <v>A.11.8 - PAGO DEL PERSONAL DE LA GUARDIA PENITENCIARIA</v>
          </cell>
        </row>
        <row r="418">
          <cell r="C418" t="str">
            <v>A.11.11 - PAGO DE DÉFICIT DE INVERSIÓN EN CENTROS DE RECLUSIÓN</v>
          </cell>
        </row>
        <row r="419">
          <cell r="C419" t="str">
            <v>A.12 - PREVENCIÓN Y ATENCIÓN DE DESASTRES    *** NO ***</v>
          </cell>
        </row>
        <row r="420">
          <cell r="C420" t="str">
            <v>A.12.1 - ELABORACIÓN, DESARROLLO Y ACTUALIZACIÓN DE PLANES DE EMERGENCIA Y CONTINGENCIA</v>
          </cell>
        </row>
        <row r="421">
          <cell r="C421" t="str">
            <v>A.12.2 - PREINVERSIÓN EN INFRAESTRUCTURA</v>
          </cell>
        </row>
        <row r="422">
          <cell r="C422" t="str">
            <v>A.12.3 - ADECUACIÓN DE ÁREAS URBANAS Y RURALES EN ZONAS DE ALTO RIESGO</v>
          </cell>
        </row>
        <row r="423">
          <cell r="C423" t="str">
            <v>A.12.4 - ASENTAMIENTOS ESTABLECIDOS EN ZONAS DE ALTO RIESGO    *** NO ***</v>
          </cell>
        </row>
        <row r="424">
          <cell r="C424" t="str">
            <v xml:space="preserve">A.12.4.1 - RECUPERACIÓN DE ÁREAS DESALOJADAS EN PROCESOS DE REUBICACIÓN DE ASENTAMIENTOS HUMANOS </v>
          </cell>
        </row>
        <row r="425">
          <cell r="C425" t="str">
            <v xml:space="preserve">A.12.4.2 - REUBICACIÓN DE ASENTAMIENTOS HUMANOS CLASIFICADOS EN CONDICIÓN DE ALTO RIESGO DE DESASTRE </v>
          </cell>
        </row>
        <row r="426">
          <cell r="C426" t="str">
            <v>A.12.5 - MONITOREO, EVALUACIÓN Y ZONIFICACIÓN DE RIESGO PARA FINES DE PLANIFICACIÓN    *** NO ***</v>
          </cell>
        </row>
        <row r="427">
          <cell r="C427" t="str">
            <v>A.12.5.1 - INSTALACIÓN Y OPERACIÓN DE SISTEMAS DE MONITOREO Y ALERTA ANTE AMENAZAS</v>
          </cell>
        </row>
        <row r="428">
          <cell r="C428" t="str">
            <v xml:space="preserve">A.12.5.2 - INVERSIÓN DESTINADA AL DESARROLLO DE ESTUDIOS DE EVALUACIÓN Y ZONIFICACIÓN DE AMENAZAS PARA FINES DE PLANIFICACIÓN </v>
          </cell>
        </row>
        <row r="429">
          <cell r="C429" t="str">
            <v>A.12.6 - ATENCIÓN DE DESASTRES    *** NO ***</v>
          </cell>
        </row>
        <row r="430">
          <cell r="C430" t="str">
            <v>A.12.6.1 - AYUDA HUMANITARIA EN SITUACIONES DECLARADAS DE DESASTRES</v>
          </cell>
        </row>
        <row r="431">
          <cell r="C431" t="str">
            <v xml:space="preserve">A.12.6.2 - RECURSOS DEDICADOS AL PAGO ARRIENDOS O A LA PROVISIÓN DE ALBERGUES TEMPORALES </v>
          </cell>
        </row>
        <row r="432">
          <cell r="C432" t="str">
            <v>A.12.7 - FORTALECIMIENTO DE LOS COMITÉS DE PREVENCIÓN Y ATENCIÓN DE DESASTRES</v>
          </cell>
        </row>
        <row r="433">
          <cell r="C433" t="str">
            <v>A.12.8 - PREVENCIÓN, PROTECCIÓN Y CONTINGENCIA EN OBRAS DE INFRAESTRUCTURA ESTRATÉGICA</v>
          </cell>
        </row>
        <row r="434">
          <cell r="C434" t="str">
            <v>A.12.9 - EDUCACIÓN PARA LA PREVENCIÓN Y ATENCIÓN DE DESASTRES CON FINES DE CAPACITACIÓN Y PREPARACIÓN.</v>
          </cell>
        </row>
        <row r="435">
          <cell r="C435" t="str">
            <v>A.12.10 - INVERSIÓNES EN INFRAESTRUCTURA FÍSICA PARA PREVENCIÓN Y REFORZAMIENTO ESTRUCTURAL.</v>
          </cell>
        </row>
        <row r="436">
          <cell r="C436" t="str">
            <v>A.12.11 - DOTACIÓN DE MAQUINAS Y EQUIPOS PARA LOS CUERPOS DE BOMBEROS OFICIALES</v>
          </cell>
        </row>
        <row r="437">
          <cell r="C437" t="str">
            <v>A.12.12 - CONTRATOS CELEBRADOS CON CUERPOS DE BOMBEROS PARA LA PREVENCIÓN Y CONTROL DE INCENDIOS</v>
          </cell>
        </row>
        <row r="438">
          <cell r="C438" t="str">
            <v>A.12.15 - PAGO DE DÉFICIT DE INVERSIÓN EN PREVENCIÓN Y ATENCIÓN DE DESASTRES</v>
          </cell>
        </row>
        <row r="439">
          <cell r="C439" t="str">
            <v xml:space="preserve">A.12.16 - ADQUISICIÓN DE BIENES E INSUMOS PARA LA ATENCIÓN DE LA POBLACIÓN AFECTADA POR DESASTRES    </v>
          </cell>
        </row>
        <row r="440">
          <cell r="C440" t="str">
            <v>A.12.17 - INFRAESTRUCTURA DE DEFENSA CONTRA LAS INUNDACIONES</v>
          </cell>
        </row>
        <row r="441">
          <cell r="C441" t="str">
            <v>A.12.18 - PLAN PARA LA GESTIÓN DEL RIESGO DE DESASTRES</v>
          </cell>
        </row>
        <row r="442">
          <cell r="C442" t="str">
            <v>A.12.19 - SISTEMAS INTEGRADOS DE INFORMACIÓN PARA LA GESTIÓN DEL RIESGO DE DESASTRES</v>
          </cell>
        </row>
        <row r="443">
          <cell r="C443" t="str">
            <v>A.12.20 - CAPACIDAD COMUNITARIAS PARA LA GESTIÓN DEL RIESGO DE DESASTRES</v>
          </cell>
        </row>
        <row r="444">
          <cell r="C444" t="str">
            <v xml:space="preserve">A.12.21 - ASEGURAMIENTO DE BIENES PÚBLICOS CONTRA DESASTRES </v>
          </cell>
        </row>
        <row r="445">
          <cell r="C445" t="str">
            <v>A.13 - PROMOCIÓN DEL DESARROLLO    *** NO ***</v>
          </cell>
        </row>
        <row r="446">
          <cell r="C446" t="str">
            <v>A.13.1 - PROMOCIÓN DE ASOCIACIONES Y ALIANZAS PARA EL DESARROLLO EMPRESARIAL E INDUSTRIAL</v>
          </cell>
        </row>
        <row r="447">
          <cell r="C447" t="str">
            <v>A.13.2 - PROMOCIÓN DE CAPACITACIÓN PARA EMPLEO</v>
          </cell>
        </row>
        <row r="448">
          <cell r="C448" t="str">
            <v>A.13.3 - FOMENTO Y APOYO A LA APROPIACIÓN DE TECNOLOGÍA EN PROCESOS EMPRESARIALES</v>
          </cell>
        </row>
        <row r="449">
          <cell r="C449" t="str">
            <v>A.13.4 - ASISTENCIA TÉCNICA EN PROCESOS DE PRODUCCIÓN, DISTRIBUCIÓN Y COMERCIALIZACIÓN Y ACCESO A FUENTES DE FINANCIACIÓN</v>
          </cell>
        </row>
        <row r="450">
          <cell r="C450" t="str">
            <v>A.13.5 - PROMOCIÓN DEL DESARROLLO TURÍSTICO</v>
          </cell>
        </row>
        <row r="451">
          <cell r="C451" t="str">
            <v>A.13.6 - CONSTRUCCIÓN, MEJORAMIENTO Y MANTENIMIENTO DE INFRAESTRUCTURA FÍSICA</v>
          </cell>
        </row>
        <row r="452">
          <cell r="C452" t="str">
            <v>A.13.7 - ADQUISICIÓN DE MAQUINARIA Y EQUIPO</v>
          </cell>
        </row>
        <row r="453">
          <cell r="C453" t="str">
            <v>A.13.8 - FONDOS DESTINADOS A BECAS, SUBSIDIOS Y CRÉDITOS EDUCATIVOS UNIVERSITARIOS (LEY 1012 DE 2006)</v>
          </cell>
        </row>
        <row r="454">
          <cell r="C454" t="str">
            <v>A.13.11 - PROYECTOS INTEGRALES DE CIENCIA, TECNOLOGÍA E INNOVACIÓN</v>
          </cell>
        </row>
        <row r="455">
          <cell r="C455" t="str">
            <v>A.13.12 - PAGO DE DÉFICIT DE INVERSIÓN EN PROMOCIÓN DEL DESARROLLO</v>
          </cell>
        </row>
        <row r="456">
          <cell r="C456" t="str">
            <v>A.14 - ATENCIÓN A GRUPOS VULNERABLES - PROMOCIÓN SOCIAL    *** NO ***</v>
          </cell>
        </row>
        <row r="457">
          <cell r="C457" t="str">
            <v>A.14.1 - PROTECCIÓN INTEGRAL A LA PRIMERA INFANCIA    *** NO ***</v>
          </cell>
        </row>
        <row r="458">
          <cell r="C458" t="str">
            <v>A.14.1.1 - CONSTRUCCIÓN DE INFRAESTRUCTURA</v>
          </cell>
        </row>
        <row r="459">
          <cell r="C459" t="str">
            <v>A.14.1.2 - ADECUACIÓN DE INFRAESTRUCTURA</v>
          </cell>
        </row>
        <row r="460">
          <cell r="C460" t="str">
            <v>A.14.1.5 - PROGRAMA DE ATENCION INTEGRAL A LA PRIMERA INFANCIA -PAIPI</v>
          </cell>
        </row>
        <row r="461">
          <cell r="C461" t="str">
            <v>A.14.1.6 - FORTALECIMIENTO DE LA RED DE FRIO DEL PROGRAMA AMPLIADO DE INMUNIZACIONES -PAI</v>
          </cell>
        </row>
        <row r="462">
          <cell r="C462" t="str">
            <v>A.14.1.7 - DOTACIÓN DE MATERIAL PEDAGOGICO</v>
          </cell>
        </row>
        <row r="463">
          <cell r="C463" t="str">
            <v>A.14.2 - PROTECCIÓN INTEGRAL DE LA NIÑEZ    *** NO ***</v>
          </cell>
        </row>
        <row r="464">
          <cell r="C464" t="str">
            <v>A.14.2.1 - CONSTRUCCIÓN DE INFRAESTRUCTURA</v>
          </cell>
        </row>
        <row r="465">
          <cell r="C465" t="str">
            <v>A.14.2.2 - ADECUACIÓN DE INFRAESTRUCTURA</v>
          </cell>
        </row>
        <row r="466">
          <cell r="C466" t="str">
            <v>A.14.2.3 - CONTRATACIÓN DEL SERVICIO</v>
          </cell>
        </row>
        <row r="467">
          <cell r="C467" t="str">
            <v>A.14.2.4 - PRESTACIÓN DIRECTA DEL SERVICIO    *** NO ***</v>
          </cell>
        </row>
        <row r="468">
          <cell r="C468" t="str">
            <v>A.14.2.4.1 - TALENTO HUMANO QUE DESARROLLA FUNCIONES DE CARÁCTER OPERATIVO</v>
          </cell>
        </row>
        <row r="469">
          <cell r="C469" t="str">
            <v>A.14.2.4.2 - ADQUISICIÓN DE INSUMOS, SUMINISTROS Y DOTACIÓN</v>
          </cell>
        </row>
        <row r="470">
          <cell r="C470" t="str">
            <v>A.14.3 - PROTECCIÓN INTEGRAL A LA ADOLESCENCIA    *** NO ***</v>
          </cell>
        </row>
        <row r="471">
          <cell r="C471" t="str">
            <v>A.14.3.1 - CONSTRUCCIÓN DE INFRAESTRUCTURA</v>
          </cell>
        </row>
        <row r="472">
          <cell r="C472" t="str">
            <v>A.14.3.2 - ADECUACIÓN DE INFRAESTRUCTURA</v>
          </cell>
        </row>
        <row r="473">
          <cell r="C473" t="str">
            <v>A.14.3.3 - CONTRATACIÓN DEL SERVICIO</v>
          </cell>
        </row>
        <row r="474">
          <cell r="C474" t="str">
            <v>A.14.3.4 - PRESTACIÓN DIRECTA DEL SERVICIO    *** NO ***</v>
          </cell>
        </row>
        <row r="475">
          <cell r="C475" t="str">
            <v>A.14.3.4.1 - TALENTO HUMANO QUE DESARROLLA FUNCIONES DE CARÁCTER OPERATIVO</v>
          </cell>
        </row>
        <row r="476">
          <cell r="C476" t="str">
            <v>A.14.3.4.2 - ADQUISICIÓN DE INSUMOS, SUMINISTROS Y DOTACIÓN</v>
          </cell>
        </row>
        <row r="477">
          <cell r="C477" t="str">
            <v>A.14.4 - ATENCIÓN Y APOYO AL ADULTO MAYOR    *** NO ***</v>
          </cell>
        </row>
        <row r="478">
          <cell r="C478" t="str">
            <v>A.14.4.1 - CONSTRUCCIÓN DE INFRAESTRUCTURA</v>
          </cell>
        </row>
        <row r="479">
          <cell r="C479" t="str">
            <v>A.14.4.2 - ADECUACIÓN DE INFRAESTRUCTURA</v>
          </cell>
        </row>
        <row r="480">
          <cell r="C480" t="str">
            <v>A.14.4.3 - CONTRATACIÓN DEL SERVICIO</v>
          </cell>
        </row>
        <row r="481">
          <cell r="C481" t="str">
            <v>A.14.4.4 - PRESTACIÓN DIRECTA DEL SERVICIO    *** NO ***</v>
          </cell>
        </row>
        <row r="482">
          <cell r="C482" t="str">
            <v>A.14.4.4.1 - TALENTO HUMANO QUE DESARROLLA FUNCIONES DE CARÁCTER OPERATIVO</v>
          </cell>
        </row>
        <row r="483">
          <cell r="C483" t="str">
            <v>A.14.4.4.2 - ADQUISICIÓN DE INSUMOS, SUMINISTROS Y DOTACIÓN</v>
          </cell>
        </row>
        <row r="484">
          <cell r="C484" t="str">
            <v>A.14.5 - ATENCIÓN Y APOYO A MADRES/PADRES CABEZA DE HOGAR      *** NO ***</v>
          </cell>
        </row>
        <row r="485">
          <cell r="C485" t="str">
            <v>A.14.5.1 - CONSTRUCCIÓN DE INFRAESTRUCTURA</v>
          </cell>
        </row>
        <row r="486">
          <cell r="C486" t="str">
            <v>A.14.5.2 - ADECUACIÓN DE INFRAESTRUCTURA</v>
          </cell>
        </row>
        <row r="487">
          <cell r="C487" t="str">
            <v>A.14.5.3 - CONTRATACIÓN DEL SERVICIO</v>
          </cell>
        </row>
        <row r="488">
          <cell r="C488" t="str">
            <v>A.14.5.4 - PRESTACIÓN DIRECTA DEL SERVICIO    *** NO ***</v>
          </cell>
        </row>
        <row r="489">
          <cell r="C489" t="str">
            <v>A.14.5.4.1 - TALENTO HUMANO QUE DESARROLLA FUNCIONES DE CARÁCTER OPERATIVO</v>
          </cell>
        </row>
        <row r="490">
          <cell r="C490" t="str">
            <v>A.14.5.4.2 - ADQUISICIÓN DE INSUMOS, SUMINISTROS Y DOTACIÓN</v>
          </cell>
        </row>
        <row r="491">
          <cell r="C491" t="str">
            <v xml:space="preserve">A.14.6 - ATENCIÓN Y APOYO A LA POBLACIÓN DESPLAZADA POR LA VIOLENCIA    *** NO *** </v>
          </cell>
        </row>
        <row r="492">
          <cell r="C492" t="str">
            <v>A.14.6.1 - ACCIONES HUMANITARIAS</v>
          </cell>
        </row>
        <row r="493">
          <cell r="C493" t="str">
            <v>A.14.6.2 - DESARROLLO ECONÓMICO LOCAL</v>
          </cell>
        </row>
        <row r="494">
          <cell r="C494" t="str">
            <v>A.14.6.3 - GESTIÓN SOCIAL</v>
          </cell>
        </row>
        <row r="495">
          <cell r="C495" t="str">
            <v>A.14.6.4 - HÁBITAT</v>
          </cell>
        </row>
        <row r="496">
          <cell r="C496" t="str">
            <v>A.14.7 - PROGRAMAS DE DISCAPACIDAD ( EXLCUYENDO ACCIONES DE SALUD PÚBLICA)    *** NO ***</v>
          </cell>
        </row>
        <row r="497">
          <cell r="C497" t="str">
            <v>A.14.7.1 - CONSTRUCCIÓN DE INFRAESTRUCTURA</v>
          </cell>
        </row>
        <row r="498">
          <cell r="C498" t="str">
            <v>A.14.7.2 - ADECUACIÓN DE INFRAESTRUCTURA</v>
          </cell>
        </row>
        <row r="499">
          <cell r="C499" t="str">
            <v>A.14.7.3 - CONTRATACIÓN DEL SERVICIO</v>
          </cell>
        </row>
        <row r="500">
          <cell r="C500" t="str">
            <v>A.14.7.4 - PRESTACIÓN DIRECTA DEL SERVICIO    *** NO ***</v>
          </cell>
        </row>
        <row r="501">
          <cell r="C501" t="str">
            <v>A.14.7.4.1 - TALENTO HUMANO QUE DESARROLLA FUNCIONES DE CARÁCTER OPERATIVO</v>
          </cell>
        </row>
        <row r="502">
          <cell r="C502" t="str">
            <v>A.14.7.4.2 - ADQUISICIÓN DE INSUMOS, SUMINISTROS Y DOTACIÓN</v>
          </cell>
        </row>
        <row r="503">
          <cell r="C503" t="str">
            <v>A.14.8 - ATENCIÓN Y APOYO A LA POBLACIÓN REINSERTADA</v>
          </cell>
        </row>
        <row r="504">
          <cell r="C504" t="str">
            <v>A.14.9 - ATENCIÓN Y APOYO A LOS GRUPOS INDÍGENAS</v>
          </cell>
        </row>
        <row r="505">
          <cell r="C505" t="str">
            <v>A.14.10 - ATENCIÓN Y APOYO A LOS GRUPOS AFROCOLOMBIANOS</v>
          </cell>
        </row>
        <row r="506">
          <cell r="C506" t="str">
            <v xml:space="preserve">A.14.11 - ATENCIÓN Y APOYO AL PUEBLO ROM </v>
          </cell>
        </row>
        <row r="507">
          <cell r="C507" t="str">
            <v>A.14.13 - PROGRAMAS DISEÑADOS  PARA LA SUPERACIÓN DE LA POBREZA  EXTREMA EN EL MARCO DE LA RED JUNTOS - FAMILIAS EN ACCIÓN    *** NO ***</v>
          </cell>
        </row>
        <row r="508">
          <cell r="C508" t="str">
            <v>A.14.13.1 - TALENTO HUMANO QUE DESARROLLA FUNCIONES DE CARÁCTER OPERATIVO</v>
          </cell>
        </row>
        <row r="509">
          <cell r="C509" t="str">
            <v>A.14.13.2 - ADQUISICIÓN DE INSUMOS, SUMINISTROS Y DOTACIÓN</v>
          </cell>
        </row>
        <row r="510">
          <cell r="C510" t="str">
            <v>A.14.16 - PAGO DE DÉFICIT DE INVERSIÓN EN ATENCIÓN A GRUPOS VULNERABLES - PROMOCIÓN SOCIAL</v>
          </cell>
        </row>
        <row r="511">
          <cell r="C511" t="str">
            <v>A.14.17 - ATENCIÓN Y APOYO A LA POBLACIÓN L.G.T.B.    *** NO ***</v>
          </cell>
        </row>
        <row r="512">
          <cell r="C512" t="str">
            <v>A.14.17.1 - CONSTRUCCIÓN DE INFRAESTRUCTURA</v>
          </cell>
        </row>
        <row r="513">
          <cell r="C513" t="str">
            <v>A.14.17.2 - ADECUACIÓN DE INFRAESTRUCTURA</v>
          </cell>
        </row>
        <row r="514">
          <cell r="C514" t="str">
            <v>A.14.17.3 - CONTRATACIÓN DEL SERVICIO</v>
          </cell>
        </row>
        <row r="515">
          <cell r="C515" t="str">
            <v>A.14.17.4 - PRESTACIÓN DIRECTA DEL SERVICIO    *** NO ***</v>
          </cell>
        </row>
        <row r="516">
          <cell r="C516" t="str">
            <v>A.14.17.4.1 - TALENTO HUMANO QUE DESARROLLA FUNCIONES DE CARÁCTER OPERATIVO</v>
          </cell>
        </row>
        <row r="517">
          <cell r="C517" t="str">
            <v>A.14.17.4.2 - ADQUISICIÓN DE INSUMOS, SUMINISTROS Y DOTACIÓN</v>
          </cell>
        </row>
        <row r="518">
          <cell r="C518" t="str">
            <v>A.14.18 - PROTECCIÓN INTEGRAL A LA JUVENTUD    *** NO ***</v>
          </cell>
        </row>
        <row r="519">
          <cell r="C519" t="str">
            <v>A.14.18.1 - CONSTRUCCIÓN DE INFRAESTRUCTURA</v>
          </cell>
        </row>
        <row r="520">
          <cell r="C520" t="str">
            <v>A.14.18.2 - ADECUACIÓN DE INFRAESTRUCTURA</v>
          </cell>
        </row>
        <row r="521">
          <cell r="C521" t="str">
            <v>A.14.18.3 - CONTRATACIÓN DEL SERVICIO</v>
          </cell>
        </row>
        <row r="522">
          <cell r="C522" t="str">
            <v>A.14.18.4 - PRESTACIÓN DIRECTA DEL SERVICIO    *** NO ***</v>
          </cell>
        </row>
        <row r="523">
          <cell r="C523" t="str">
            <v>A.14.18.4.1 - TALENTO HUMANO QUE DESARROLLA FUNCIONES DE CARÁCTER OPERATIVO</v>
          </cell>
        </row>
        <row r="524">
          <cell r="C524" t="str">
            <v>A.14.18.4.2 - ADQUISICIÓN DE INSUMOS, SUMINISTROS Y DOTACIÓN</v>
          </cell>
        </row>
        <row r="525">
          <cell r="C525" t="str">
            <v>A.15 - EQUIPAMIENTO     *** NO ***</v>
          </cell>
        </row>
        <row r="526">
          <cell r="C526" t="str">
            <v>A.15.1 - PREINVERSIÓN DE INFRAESTRUCTURA</v>
          </cell>
        </row>
        <row r="527">
          <cell r="C527" t="str">
            <v>A.15.2 - CONSTRUCCIÓN DE DEPENDENCIAS DE LA ADMINISTRACIÓN</v>
          </cell>
        </row>
        <row r="528">
          <cell r="C528" t="str">
            <v>A.15.3 - MEJORAMIENTO Y MANTENIMIENTO DE DEPENDENCIAS DE LA ADMINISTRACIÓN</v>
          </cell>
        </row>
        <row r="529">
          <cell r="C529" t="str">
            <v>A.15.4 - CONSTRUCCIÓN DE PLAZAS DE MERCADO, MATADEROS, CEMENTERIOS Y MOBILIARIOS DEL ESPACIO PÚBLICO</v>
          </cell>
        </row>
        <row r="530">
          <cell r="C530" t="str">
            <v>A.15.5 - MEJORAMIENTO Y MANTENIMIENTO DE PLAZAS DE MERCADO, MATADEROS, CEMENTERIOS Y MOBILIARIOS DEL ESPACIO PÚBLICO</v>
          </cell>
        </row>
        <row r="531">
          <cell r="C531" t="str">
            <v>A.15.8 - PAGO DE DÉFICIT DE INVERSIÓN EN EQUIPAMIENTO</v>
          </cell>
        </row>
        <row r="532">
          <cell r="C532" t="str">
            <v>A.15.9 - CONSTRUCCIÓN DE ZONAS VERDES, PARQUES, PLAZAS Y PLAZOLETAS</v>
          </cell>
        </row>
        <row r="533">
          <cell r="C533" t="str">
            <v>A.15.10 - MEJORAMIENTO Y MANTENIMIENTO DE ZONAS VERDES, PARQUES, PLAZAS Y PLAZOLETAS</v>
          </cell>
        </row>
        <row r="534">
          <cell r="C534" t="str">
            <v>A.16 - DESARROLLO COMUNITARIO    *** NO ***</v>
          </cell>
        </row>
        <row r="535">
          <cell r="C535" t="str">
            <v>A.16.1 - PROGRAMAS DE CAPACITACIÓN, ASESORÍA Y ASISTENCIA TÉCNICA PARA CONSOLIDAR PROCESOS DE PARTICIPACIÓN CIUDADANA Y CONTROL SOCIAL</v>
          </cell>
        </row>
        <row r="536">
          <cell r="C536" t="str">
            <v>A.16.2 - PROCESOS DE ELECCIÓN DE CIUDADANOS A LOS ESPACIOS DE PARTICIPACIÓN CIUDADANA</v>
          </cell>
        </row>
        <row r="537">
          <cell r="C537" t="str">
            <v xml:space="preserve">A.16.3 - CAPACITACIÓN A LA COMUNIDAD SOBRE PARTICIPACIÓN EN LA GESTIÓN PÚBLICA </v>
          </cell>
        </row>
        <row r="538">
          <cell r="C538" t="str">
            <v>A.16.8 - PAGO DE DÉFICIT DE INVERSIÓN EN DESARROLLO COMUNITARIO</v>
          </cell>
        </row>
        <row r="539">
          <cell r="C539" t="str">
            <v>A.17 - FORTALECIMIENTO INSTITUCIONAL    *** NO ***</v>
          </cell>
        </row>
        <row r="540">
          <cell r="C540" t="str">
            <v>A.17.1 - PROCESOS INTEGRALES DE EVALUACIÓN INSTITUCIONAL Y REORGANIZACIÓN ADMINISTRATIVA</v>
          </cell>
        </row>
        <row r="541">
          <cell r="C541" t="str">
            <v>A.17.2 - PROGRAMAS DE CAPACITACIÓN Y ASISTENCIA TÉCNICA ORIENTADOS AL DESARROLLO EFICIENTE DE LAS COMPETENCIAS DE LEY</v>
          </cell>
        </row>
        <row r="542">
          <cell r="C542" t="str">
            <v>A.17.3 - PAGO DE INDEMNIZACIONES ORIGINADAS EN PROGRAMAS DE SANEAMIENTO FISCAL Y FINANCIERO - LEY 617 DE 2000</v>
          </cell>
        </row>
        <row r="543">
          <cell r="C543" t="str">
            <v>A.17.4 - PAGO DE DÉFICIT FISCAL, DE PASIVO LABORAL Y PRESTACIONAL EN PROGRAMAS DE SANEAMIENTO FISCAL Y FINANCIERO    *** NO ***</v>
          </cell>
        </row>
        <row r="544">
          <cell r="C544" t="str">
            <v>A.17.4.1 - CAUSADO CON ANTERIORIDAD AL 31 DE DICIEMBRE DE 2000</v>
          </cell>
        </row>
        <row r="545">
          <cell r="C545" t="str">
            <v>A.17.4.2 - CAUSADO DESPUÉS DEL 31 DE DICIEMBRE DE 2000</v>
          </cell>
        </row>
        <row r="546">
          <cell r="C546" t="str">
            <v>A.17.5 - FINANCIACIÓN DE ACUERDOS DE RESTRUCTURACIÓN DE PASIVOS    *** NO ***</v>
          </cell>
        </row>
        <row r="547">
          <cell r="C547" t="str">
            <v>A.17.5.1 - PASIVOS LABORALES Y PRESTACIONALES</v>
          </cell>
        </row>
        <row r="548">
          <cell r="C548" t="str">
            <v>A.17.5.2 - PASIVOS CON ENTIDADES PÚBLICAS Y DE SEGURIDAD SOCIAL</v>
          </cell>
        </row>
        <row r="549">
          <cell r="C549" t="str">
            <v>A.17.5.3 - PASIVOS CON ENTIDADES FINANCIERAS VIGILADAS DIFERENTES A DEUDA PUBLICA</v>
          </cell>
        </row>
        <row r="550">
          <cell r="C550" t="str">
            <v>A.17.5.4 - DEMÁS ACREEDORES</v>
          </cell>
        </row>
        <row r="551">
          <cell r="C551" t="str">
            <v>A.17.5.5 - PASIVOS CLASIFICADOS COMO CONTINGENCIAS</v>
          </cell>
        </row>
        <row r="552">
          <cell r="C552" t="str">
            <v>A.17.5.6 - PASIVOS CLASIFICADOS COMO SALDOS POR DEPURAR</v>
          </cell>
        </row>
        <row r="553">
          <cell r="C553" t="str">
            <v>A.17.6 - ACTUALIZACIÓN DEL SISBEN</v>
          </cell>
        </row>
        <row r="554">
          <cell r="C554" t="str">
            <v>A.17.7 - ESTRATIFICACIÓN SOCIOECONÓMICA</v>
          </cell>
        </row>
        <row r="555">
          <cell r="C555" t="str">
            <v>A.17.8 - ACTUALIZACIÓN CATASTRAL</v>
          </cell>
        </row>
        <row r="556">
          <cell r="C556" t="str">
            <v>A.17.9 - ELABORACIÓN Y ACTUALIZACIÓN DEL PLAN DE DESARROLLO</v>
          </cell>
        </row>
        <row r="557">
          <cell r="C557" t="str">
            <v>A.17.10 - ELABORACIÓN Y ACTUALIZACIÓN DEL PLAN DE ORDENAMIENTO TERRITORIAL</v>
          </cell>
        </row>
        <row r="558">
          <cell r="C558" t="str">
            <v>A.17.13 - PAGO DE DÉFICIT DE INVERSIÓN EN FORTALECIMIENTO INSTITUCIONAL</v>
          </cell>
        </row>
        <row r="559">
          <cell r="C559" t="str">
            <v>A.18 - JUSTICIA Y SEGURIDAD    *** NO ***</v>
          </cell>
        </row>
        <row r="560">
          <cell r="C560" t="str">
            <v>A.18.1 - PAGO DE INSPECTORES DE POLICÍA</v>
          </cell>
        </row>
        <row r="561">
          <cell r="C561" t="str">
            <v>A.18.2 - CONTRATACIÓN DE SERVICIOS ESPECIALES DE POLICÍA EN CONVENIO CON LA POLICÍA NACIÓNAL</v>
          </cell>
        </row>
        <row r="562">
          <cell r="C562" t="str">
            <v>A.18.3 - PAGO DE COMISARIOS DE FAMILIA, MÉDICOS, PSICÓLOGOS Y TRABAJADORES SOCIALES DE LAS COMISARÍAS DE FAMILIA.</v>
          </cell>
        </row>
        <row r="563">
          <cell r="C563" t="str">
            <v>A.18.4 - FONDO DE SEGURIDAD DE LAS ENTIDADES TERRITORIALES - FONSET (LEY 1421 DE 2010)    *** NO ***</v>
          </cell>
        </row>
        <row r="564">
          <cell r="C564" t="str">
            <v>A.18.4.1 - DOTACIÓN Y MATERIAL DE GUERRA</v>
          </cell>
        </row>
        <row r="565">
          <cell r="C565" t="str">
            <v>A.18.4.2 - RECONSTRUCCIÓN DE CUARTELES Y DE OTRAS INSTALACIONES</v>
          </cell>
        </row>
        <row r="566">
          <cell r="C566" t="str">
            <v>A.18.4.3 - COMPRA DE EQUIPO DE COMUNICACIÓN, MONTAJE Y OPERACIÓN DE REDES DE INTELIGENCIA</v>
          </cell>
        </row>
        <row r="567">
          <cell r="C567" t="str">
            <v>A.18.4.4 - RECOMPENSAS A PERSONAS QUE COLABOREN CON LA JUSTICIA Y SEGURIDAD DE LAS MISMAS</v>
          </cell>
        </row>
        <row r="568">
          <cell r="C568" t="str">
            <v xml:space="preserve">A.18.4.5 - SERVICIOS PERSONALES, DOTACIÓN Y RACIONES PARA NUEVOS AGENTES Y SOLDADOS </v>
          </cell>
        </row>
        <row r="569">
          <cell r="C569" t="str">
            <v>A.18.4.6 - GASTOS DESTINADOS A GENERAR AMBIENTES QUE PROPICIEN LA SEGURIDAD CIUDADANA Y LA PRESERVACIÓN DEL ORDEN PÚBLICO.</v>
          </cell>
        </row>
        <row r="570">
          <cell r="C570" t="str">
            <v>A.18.4.7 - DESARROLLO DEL PLAN INTEGRAL DE SEGURIDAD Y CONVIVENCIA CIUDADANA</v>
          </cell>
        </row>
        <row r="571">
          <cell r="C571" t="str">
            <v>A.18.4.8 - COMPRA DE TERRENOS</v>
          </cell>
        </row>
        <row r="572">
          <cell r="C572" t="str">
            <v>A.18.7 - PAGO DE DÉFICIT DE INVERSIÓN EN JUSTICIA</v>
          </cell>
        </row>
        <row r="573">
          <cell r="C573" t="str">
            <v>A.18.8 - PLAN DE ACCIÓN DE DERECHOS HUMANOS Y DIH</v>
          </cell>
        </row>
        <row r="574">
          <cell r="C574" t="str">
            <v xml:space="preserve">A.18.9 - CONSTRUCCIÓN DE PAZ Y CONVIVENCIA FAMILIAR </v>
          </cell>
        </row>
        <row r="575">
          <cell r="C575" t="str">
            <v>A.19 - GASTOS ESPECÍFICOS DE REGALÍAS Y COMPENSACIONES    *** NO ***</v>
          </cell>
        </row>
        <row r="576">
          <cell r="C576" t="str">
            <v>A.19.1 - INTERVENTORIA TÉCNICA DE LOS PROYECTOS QUE SE EJECUTEN CON RECURSOS DE REGALÍAS Y COMPENSACIONES</v>
          </cell>
        </row>
      </sheetData>
      <sheetData sheetId="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RMATO 11 OFERTA ECONOM"/>
      <sheetName val="A.U FORMATO 12"/>
      <sheetName val="APU"/>
      <sheetName val="INSUMOS"/>
    </sheetNames>
    <sheetDataSet>
      <sheetData sheetId="0">
        <row r="9">
          <cell r="A9" t="str">
            <v>1.00</v>
          </cell>
        </row>
      </sheetData>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000"/>
  <sheetViews>
    <sheetView tabSelected="1" workbookViewId="0">
      <selection activeCell="B117" sqref="B2:G117"/>
    </sheetView>
  </sheetViews>
  <sheetFormatPr baseColWidth="10" defaultColWidth="14.44140625" defaultRowHeight="15" customHeight="1" x14ac:dyDescent="0.3"/>
  <cols>
    <col min="1" max="1" width="3.44140625" customWidth="1"/>
    <col min="2" max="2" width="9.33203125" customWidth="1"/>
    <col min="3" max="3" width="66.33203125" style="62" customWidth="1"/>
    <col min="4" max="4" width="13.109375" customWidth="1"/>
    <col min="5" max="5" width="15.5546875" bestFit="1" customWidth="1"/>
    <col min="6" max="6" width="10.44140625" customWidth="1"/>
    <col min="7" max="7" width="20.5546875" customWidth="1"/>
    <col min="8" max="8" width="20.6640625" customWidth="1"/>
    <col min="9" max="9" width="16.5546875" customWidth="1"/>
    <col min="10" max="24" width="12.5546875" customWidth="1"/>
  </cols>
  <sheetData>
    <row r="1" spans="1:24" ht="14.4" x14ac:dyDescent="0.3">
      <c r="A1" s="1"/>
      <c r="B1" s="1"/>
      <c r="C1" s="2"/>
      <c r="D1" s="1"/>
      <c r="E1" s="1"/>
      <c r="F1" s="3"/>
      <c r="G1" s="1"/>
      <c r="H1" s="1"/>
      <c r="I1" s="1"/>
      <c r="J1" s="1"/>
      <c r="K1" s="1"/>
      <c r="L1" s="1"/>
      <c r="M1" s="1"/>
      <c r="N1" s="1"/>
      <c r="O1" s="1"/>
      <c r="P1" s="1"/>
      <c r="Q1" s="1"/>
      <c r="R1" s="1"/>
      <c r="S1" s="1"/>
      <c r="T1" s="1"/>
      <c r="U1" s="1"/>
      <c r="V1" s="1"/>
      <c r="W1" s="1"/>
      <c r="X1" s="1"/>
    </row>
    <row r="2" spans="1:24" ht="12.6" customHeight="1" x14ac:dyDescent="0.3">
      <c r="A2" s="1"/>
      <c r="B2" s="4" t="s">
        <v>256</v>
      </c>
      <c r="C2" s="344"/>
      <c r="D2" s="5"/>
      <c r="E2" s="6"/>
      <c r="F2" s="6"/>
      <c r="G2" s="7"/>
      <c r="H2" s="1"/>
      <c r="I2" s="1"/>
      <c r="J2" s="1"/>
      <c r="K2" s="1"/>
      <c r="L2" s="1"/>
      <c r="M2" s="1"/>
      <c r="N2" s="1"/>
      <c r="O2" s="1"/>
      <c r="P2" s="1"/>
      <c r="Q2" s="1"/>
      <c r="R2" s="1"/>
      <c r="S2" s="1"/>
      <c r="T2" s="1"/>
      <c r="U2" s="1"/>
      <c r="V2" s="1"/>
      <c r="W2" s="1"/>
      <c r="X2" s="1"/>
    </row>
    <row r="3" spans="1:24" ht="12.75" customHeight="1" x14ac:dyDescent="0.3">
      <c r="A3" s="1"/>
      <c r="B3" s="8" t="s">
        <v>210</v>
      </c>
      <c r="C3" s="9"/>
      <c r="D3" s="9"/>
      <c r="E3" s="9"/>
      <c r="F3" s="9"/>
      <c r="G3" s="10"/>
      <c r="H3" s="1"/>
      <c r="I3" s="1"/>
      <c r="J3" s="1"/>
      <c r="K3" s="1"/>
      <c r="L3" s="1"/>
      <c r="M3" s="1"/>
      <c r="N3" s="1"/>
      <c r="O3" s="1"/>
      <c r="P3" s="1"/>
      <c r="Q3" s="1"/>
      <c r="R3" s="1"/>
      <c r="S3" s="1"/>
      <c r="T3" s="1"/>
      <c r="U3" s="1"/>
      <c r="V3" s="1"/>
      <c r="W3" s="1"/>
      <c r="X3" s="1"/>
    </row>
    <row r="4" spans="1:24" ht="12.75" customHeight="1" x14ac:dyDescent="0.3">
      <c r="A4" s="1"/>
      <c r="B4" s="11"/>
      <c r="C4" s="9"/>
      <c r="D4" s="9"/>
      <c r="E4" s="9"/>
      <c r="F4" s="9"/>
      <c r="G4" s="10"/>
      <c r="H4" s="1"/>
      <c r="I4" s="1"/>
      <c r="J4" s="1"/>
      <c r="K4" s="1"/>
      <c r="L4" s="1"/>
      <c r="M4" s="1"/>
      <c r="N4" s="1"/>
      <c r="O4" s="1"/>
      <c r="P4" s="1"/>
      <c r="Q4" s="1"/>
      <c r="R4" s="1"/>
      <c r="S4" s="1"/>
      <c r="T4" s="1"/>
      <c r="U4" s="1"/>
      <c r="V4" s="1"/>
      <c r="W4" s="1"/>
      <c r="X4" s="1"/>
    </row>
    <row r="5" spans="1:24" ht="12.75" customHeight="1" x14ac:dyDescent="0.3">
      <c r="A5" s="1"/>
      <c r="B5" s="8" t="s">
        <v>209</v>
      </c>
      <c r="C5" s="9"/>
      <c r="D5" s="9"/>
      <c r="E5" s="9"/>
      <c r="F5" s="9"/>
      <c r="G5" s="10"/>
      <c r="H5" s="1"/>
      <c r="I5" s="1"/>
      <c r="J5" s="1"/>
      <c r="K5" s="1"/>
      <c r="L5" s="1"/>
      <c r="M5" s="1"/>
      <c r="N5" s="1"/>
      <c r="O5" s="1"/>
      <c r="P5" s="1"/>
      <c r="Q5" s="1"/>
      <c r="R5" s="1"/>
      <c r="S5" s="1"/>
      <c r="T5" s="1"/>
      <c r="U5" s="1"/>
      <c r="V5" s="1"/>
      <c r="W5" s="1"/>
      <c r="X5" s="1"/>
    </row>
    <row r="6" spans="1:24" ht="12.75" customHeight="1" x14ac:dyDescent="0.3">
      <c r="A6" s="1"/>
      <c r="B6" s="12"/>
      <c r="C6" s="13"/>
      <c r="D6" s="13"/>
      <c r="E6" s="13"/>
      <c r="F6" s="13"/>
      <c r="G6" s="14"/>
      <c r="H6" s="1"/>
      <c r="I6" s="1"/>
      <c r="J6" s="1"/>
      <c r="K6" s="1"/>
      <c r="L6" s="1"/>
      <c r="M6" s="1"/>
      <c r="N6" s="1"/>
      <c r="O6" s="1"/>
      <c r="P6" s="1"/>
      <c r="Q6" s="1"/>
      <c r="R6" s="1"/>
      <c r="S6" s="1"/>
      <c r="T6" s="1"/>
      <c r="U6" s="1"/>
      <c r="V6" s="1"/>
      <c r="W6" s="1"/>
      <c r="X6" s="1"/>
    </row>
    <row r="7" spans="1:24" ht="27" customHeight="1" x14ac:dyDescent="0.3">
      <c r="A7" s="1"/>
      <c r="B7" s="295" t="s">
        <v>0</v>
      </c>
      <c r="C7" s="296"/>
      <c r="D7" s="296"/>
      <c r="E7" s="296"/>
      <c r="F7" s="296"/>
      <c r="G7" s="297"/>
      <c r="H7" s="1"/>
      <c r="I7" s="1"/>
      <c r="J7" s="1"/>
      <c r="K7" s="1"/>
      <c r="L7" s="1"/>
      <c r="M7" s="1"/>
      <c r="N7" s="1"/>
      <c r="O7" s="1"/>
      <c r="P7" s="1"/>
      <c r="Q7" s="1"/>
      <c r="R7" s="1"/>
      <c r="S7" s="1"/>
      <c r="T7" s="1"/>
      <c r="U7" s="1"/>
      <c r="V7" s="1"/>
      <c r="W7" s="1"/>
      <c r="X7" s="1"/>
    </row>
    <row r="8" spans="1:24" ht="18" customHeight="1" x14ac:dyDescent="0.3">
      <c r="A8" s="1"/>
      <c r="B8" s="295" t="s">
        <v>1</v>
      </c>
      <c r="C8" s="296"/>
      <c r="D8" s="296"/>
      <c r="E8" s="296"/>
      <c r="F8" s="296"/>
      <c r="G8" s="297"/>
      <c r="H8" s="1"/>
      <c r="I8" s="1"/>
      <c r="J8" s="1"/>
      <c r="K8" s="1"/>
      <c r="L8" s="1"/>
      <c r="M8" s="1"/>
      <c r="N8" s="1"/>
      <c r="O8" s="1"/>
      <c r="P8" s="1"/>
      <c r="Q8" s="1"/>
      <c r="R8" s="1"/>
      <c r="S8" s="1"/>
      <c r="T8" s="1"/>
      <c r="U8" s="1"/>
      <c r="V8" s="1"/>
      <c r="W8" s="1"/>
      <c r="X8" s="1"/>
    </row>
    <row r="9" spans="1:24" ht="27" customHeight="1" x14ac:dyDescent="0.3">
      <c r="A9" s="1"/>
      <c r="B9" s="295" t="s">
        <v>2</v>
      </c>
      <c r="C9" s="296"/>
      <c r="D9" s="296"/>
      <c r="E9" s="296"/>
      <c r="F9" s="296"/>
      <c r="G9" s="297"/>
      <c r="H9" s="1"/>
      <c r="I9" s="1"/>
      <c r="J9" s="1"/>
      <c r="K9" s="1"/>
      <c r="L9" s="1"/>
      <c r="M9" s="1"/>
      <c r="N9" s="1"/>
      <c r="O9" s="1"/>
      <c r="P9" s="1"/>
      <c r="Q9" s="1"/>
      <c r="R9" s="1"/>
      <c r="S9" s="1"/>
      <c r="T9" s="1"/>
      <c r="U9" s="1"/>
      <c r="V9" s="1"/>
      <c r="W9" s="1"/>
      <c r="X9" s="1"/>
    </row>
    <row r="10" spans="1:24" ht="31.5" customHeight="1" x14ac:dyDescent="0.3">
      <c r="A10" s="1"/>
      <c r="B10" s="298" t="s">
        <v>3</v>
      </c>
      <c r="C10" s="292"/>
      <c r="D10" s="292"/>
      <c r="E10" s="292"/>
      <c r="F10" s="292"/>
      <c r="G10" s="293"/>
      <c r="H10" s="1"/>
      <c r="I10" s="1"/>
      <c r="J10" s="1"/>
      <c r="K10" s="1"/>
      <c r="L10" s="1"/>
      <c r="M10" s="1"/>
      <c r="N10" s="1"/>
      <c r="O10" s="1"/>
      <c r="P10" s="1"/>
      <c r="Q10" s="1"/>
      <c r="R10" s="1"/>
      <c r="S10" s="1"/>
      <c r="T10" s="1"/>
      <c r="U10" s="1"/>
      <c r="V10" s="1"/>
      <c r="W10" s="1"/>
      <c r="X10" s="1"/>
    </row>
    <row r="11" spans="1:24" ht="23.25" customHeight="1" x14ac:dyDescent="0.3">
      <c r="A11" s="1"/>
      <c r="B11" s="15" t="s">
        <v>4</v>
      </c>
      <c r="C11" s="194" t="s">
        <v>5</v>
      </c>
      <c r="D11" s="194"/>
      <c r="E11" s="16"/>
      <c r="F11" s="194"/>
      <c r="G11" s="16"/>
      <c r="H11" s="1"/>
      <c r="I11" s="1"/>
      <c r="J11" s="1"/>
      <c r="K11" s="1"/>
      <c r="L11" s="1"/>
      <c r="M11" s="1"/>
      <c r="N11" s="1"/>
      <c r="O11" s="1"/>
      <c r="P11" s="1"/>
      <c r="Q11" s="1"/>
      <c r="R11" s="1"/>
      <c r="S11" s="1"/>
      <c r="T11" s="1"/>
      <c r="U11" s="1"/>
      <c r="V11" s="1"/>
      <c r="W11" s="1"/>
      <c r="X11" s="1"/>
    </row>
    <row r="12" spans="1:24" ht="56.25" customHeight="1" x14ac:dyDescent="0.3">
      <c r="A12" s="1"/>
      <c r="B12" s="17">
        <v>1</v>
      </c>
      <c r="C12" s="192" t="s">
        <v>6</v>
      </c>
      <c r="D12" s="17" t="s">
        <v>7</v>
      </c>
      <c r="E12" s="17" t="s">
        <v>8</v>
      </c>
      <c r="F12" s="17" t="s">
        <v>9</v>
      </c>
      <c r="G12" s="17" t="s">
        <v>10</v>
      </c>
      <c r="H12" s="1"/>
      <c r="I12" s="1"/>
      <c r="J12" s="1"/>
      <c r="K12" s="1"/>
      <c r="L12" s="1"/>
      <c r="M12" s="1"/>
      <c r="N12" s="1"/>
      <c r="O12" s="1"/>
      <c r="P12" s="1"/>
      <c r="Q12" s="1"/>
      <c r="R12" s="1"/>
      <c r="S12" s="1"/>
      <c r="T12" s="1"/>
      <c r="U12" s="1"/>
      <c r="V12" s="1"/>
      <c r="W12" s="1"/>
      <c r="X12" s="1"/>
    </row>
    <row r="13" spans="1:24" ht="226.2" customHeight="1" x14ac:dyDescent="0.3">
      <c r="A13" s="1"/>
      <c r="B13" s="18">
        <f t="shared" ref="B13:B30" si="0">B12+0.01</f>
        <v>1.01</v>
      </c>
      <c r="C13" s="22" t="s">
        <v>11</v>
      </c>
      <c r="D13" s="19" t="s">
        <v>12</v>
      </c>
      <c r="E13" s="20">
        <f>APU!G33</f>
        <v>338755</v>
      </c>
      <c r="F13" s="21">
        <v>93</v>
      </c>
      <c r="G13" s="20">
        <f>ROUND(E13*F13,0)</f>
        <v>31504215</v>
      </c>
      <c r="H13" s="1"/>
      <c r="I13" s="1"/>
      <c r="J13" s="1"/>
      <c r="K13" s="1"/>
      <c r="L13" s="1"/>
      <c r="M13" s="1"/>
      <c r="N13" s="1"/>
      <c r="O13" s="1"/>
      <c r="P13" s="1"/>
      <c r="Q13" s="1"/>
      <c r="R13" s="1"/>
      <c r="S13" s="1"/>
      <c r="T13" s="1"/>
      <c r="U13" s="1"/>
      <c r="V13" s="1"/>
      <c r="W13" s="1"/>
      <c r="X13" s="1"/>
    </row>
    <row r="14" spans="1:24" ht="275.39999999999998" customHeight="1" x14ac:dyDescent="0.3">
      <c r="A14" s="1"/>
      <c r="B14" s="18">
        <f t="shared" si="0"/>
        <v>1.02</v>
      </c>
      <c r="C14" s="22" t="s">
        <v>13</v>
      </c>
      <c r="D14" s="19" t="s">
        <v>12</v>
      </c>
      <c r="E14" s="20">
        <f>+APU!G60</f>
        <v>671957</v>
      </c>
      <c r="F14" s="21">
        <v>93</v>
      </c>
      <c r="G14" s="20">
        <f t="shared" ref="G14:G27" si="1">ROUND(E14*F14,0)</f>
        <v>62492001</v>
      </c>
      <c r="H14" s="1"/>
      <c r="I14" s="1"/>
      <c r="J14" s="1"/>
      <c r="K14" s="1"/>
      <c r="L14" s="1"/>
      <c r="M14" s="1"/>
      <c r="N14" s="1"/>
      <c r="O14" s="1"/>
      <c r="P14" s="1"/>
      <c r="Q14" s="1"/>
      <c r="R14" s="1"/>
      <c r="S14" s="1"/>
      <c r="T14" s="1"/>
      <c r="U14" s="1"/>
      <c r="V14" s="1"/>
      <c r="W14" s="1"/>
      <c r="X14" s="1"/>
    </row>
    <row r="15" spans="1:24" ht="203.4" customHeight="1" x14ac:dyDescent="0.3">
      <c r="A15" s="1"/>
      <c r="B15" s="18">
        <f t="shared" si="0"/>
        <v>1.03</v>
      </c>
      <c r="C15" s="22" t="s">
        <v>14</v>
      </c>
      <c r="D15" s="19" t="s">
        <v>12</v>
      </c>
      <c r="E15" s="20">
        <f>+APU!G86</f>
        <v>338754</v>
      </c>
      <c r="F15" s="21">
        <v>93</v>
      </c>
      <c r="G15" s="20">
        <f t="shared" si="1"/>
        <v>31504122</v>
      </c>
      <c r="H15" s="1"/>
      <c r="I15" s="1"/>
      <c r="J15" s="1"/>
      <c r="K15" s="1"/>
      <c r="L15" s="1"/>
      <c r="M15" s="1"/>
      <c r="N15" s="1"/>
      <c r="O15" s="1"/>
      <c r="P15" s="1"/>
      <c r="Q15" s="1"/>
      <c r="R15" s="1"/>
      <c r="S15" s="1"/>
      <c r="T15" s="1"/>
      <c r="U15" s="1"/>
      <c r="V15" s="1"/>
      <c r="W15" s="1"/>
      <c r="X15" s="1"/>
    </row>
    <row r="16" spans="1:24" ht="132" customHeight="1" x14ac:dyDescent="0.3">
      <c r="A16" s="1"/>
      <c r="B16" s="18">
        <f t="shared" si="0"/>
        <v>1.04</v>
      </c>
      <c r="C16" s="22" t="s">
        <v>15</v>
      </c>
      <c r="D16" s="19" t="s">
        <v>16</v>
      </c>
      <c r="E16" s="20">
        <f>+APU!G112</f>
        <v>1104134</v>
      </c>
      <c r="F16" s="21">
        <v>6</v>
      </c>
      <c r="G16" s="20">
        <f t="shared" si="1"/>
        <v>6624804</v>
      </c>
      <c r="H16" s="1"/>
      <c r="I16" s="1"/>
      <c r="J16" s="1"/>
      <c r="K16" s="1"/>
      <c r="L16" s="1"/>
      <c r="M16" s="1"/>
      <c r="N16" s="1"/>
      <c r="O16" s="1"/>
      <c r="P16" s="1"/>
      <c r="Q16" s="1"/>
      <c r="R16" s="1"/>
      <c r="S16" s="1"/>
      <c r="T16" s="1"/>
      <c r="U16" s="1"/>
      <c r="V16" s="1"/>
      <c r="W16" s="1"/>
      <c r="X16" s="1"/>
    </row>
    <row r="17" spans="1:24" ht="141.6" customHeight="1" x14ac:dyDescent="0.3">
      <c r="A17" s="1"/>
      <c r="B17" s="18">
        <f t="shared" si="0"/>
        <v>1.05</v>
      </c>
      <c r="C17" s="22" t="s">
        <v>17</v>
      </c>
      <c r="D17" s="19" t="s">
        <v>16</v>
      </c>
      <c r="E17" s="20">
        <f>+APU!G137</f>
        <v>799033</v>
      </c>
      <c r="F17" s="21">
        <v>6</v>
      </c>
      <c r="G17" s="20">
        <f t="shared" si="1"/>
        <v>4794198</v>
      </c>
      <c r="H17" s="1"/>
      <c r="I17" s="1"/>
      <c r="J17" s="1"/>
      <c r="K17" s="1"/>
      <c r="L17" s="1"/>
      <c r="M17" s="1"/>
      <c r="N17" s="1"/>
      <c r="O17" s="1"/>
      <c r="P17" s="1"/>
      <c r="Q17" s="1"/>
      <c r="R17" s="1"/>
      <c r="S17" s="1"/>
      <c r="T17" s="1"/>
      <c r="U17" s="1"/>
      <c r="V17" s="1"/>
      <c r="W17" s="1"/>
      <c r="X17" s="1"/>
    </row>
    <row r="18" spans="1:24" ht="101.4" customHeight="1" x14ac:dyDescent="0.3">
      <c r="A18" s="1"/>
      <c r="B18" s="18">
        <f t="shared" si="0"/>
        <v>1.06</v>
      </c>
      <c r="C18" s="22" t="s">
        <v>18</v>
      </c>
      <c r="D18" s="19" t="s">
        <v>12</v>
      </c>
      <c r="E18" s="20">
        <f>+APU!G165</f>
        <v>2008991</v>
      </c>
      <c r="F18" s="21">
        <v>18</v>
      </c>
      <c r="G18" s="20">
        <f t="shared" si="1"/>
        <v>36161838</v>
      </c>
      <c r="H18" s="1"/>
      <c r="I18" s="1"/>
      <c r="J18" s="1"/>
      <c r="K18" s="1"/>
      <c r="L18" s="1"/>
      <c r="M18" s="1"/>
      <c r="N18" s="1"/>
      <c r="O18" s="1"/>
      <c r="P18" s="1"/>
      <c r="Q18" s="1"/>
      <c r="R18" s="1"/>
      <c r="S18" s="1"/>
      <c r="T18" s="1"/>
      <c r="U18" s="1"/>
      <c r="V18" s="1"/>
      <c r="W18" s="1"/>
      <c r="X18" s="1"/>
    </row>
    <row r="19" spans="1:24" ht="129" customHeight="1" x14ac:dyDescent="0.3">
      <c r="A19" s="1"/>
      <c r="B19" s="18">
        <f t="shared" si="0"/>
        <v>1.07</v>
      </c>
      <c r="C19" s="22" t="s">
        <v>19</v>
      </c>
      <c r="D19" s="19" t="s">
        <v>12</v>
      </c>
      <c r="E19" s="20">
        <f>+APU!G193</f>
        <v>1478176</v>
      </c>
      <c r="F19" s="21">
        <v>4</v>
      </c>
      <c r="G19" s="20">
        <f t="shared" si="1"/>
        <v>5912704</v>
      </c>
      <c r="H19" s="1"/>
      <c r="I19" s="1"/>
      <c r="J19" s="1"/>
      <c r="K19" s="1"/>
      <c r="L19" s="1"/>
      <c r="M19" s="1"/>
      <c r="N19" s="1"/>
      <c r="O19" s="1"/>
      <c r="P19" s="1"/>
      <c r="Q19" s="1"/>
      <c r="R19" s="1"/>
      <c r="S19" s="1"/>
      <c r="T19" s="1"/>
      <c r="U19" s="1"/>
      <c r="V19" s="1"/>
      <c r="W19" s="1"/>
      <c r="X19" s="1"/>
    </row>
    <row r="20" spans="1:24" ht="237.6" customHeight="1" x14ac:dyDescent="0.3">
      <c r="A20" s="1"/>
      <c r="B20" s="18">
        <f t="shared" si="0"/>
        <v>1.08</v>
      </c>
      <c r="C20" s="22" t="s">
        <v>20</v>
      </c>
      <c r="D20" s="19" t="s">
        <v>12</v>
      </c>
      <c r="E20" s="20">
        <f>+APU!G218</f>
        <v>364233</v>
      </c>
      <c r="F20" s="21">
        <v>24</v>
      </c>
      <c r="G20" s="20">
        <f t="shared" si="1"/>
        <v>8741592</v>
      </c>
      <c r="H20" s="1"/>
      <c r="I20" s="1"/>
      <c r="J20" s="1"/>
      <c r="K20" s="1"/>
      <c r="L20" s="1"/>
      <c r="M20" s="1"/>
      <c r="N20" s="1"/>
      <c r="O20" s="1"/>
      <c r="P20" s="1"/>
      <c r="Q20" s="1"/>
      <c r="R20" s="1"/>
      <c r="S20" s="1"/>
      <c r="T20" s="1"/>
      <c r="U20" s="1"/>
      <c r="V20" s="1"/>
      <c r="W20" s="1"/>
      <c r="X20" s="1"/>
    </row>
    <row r="21" spans="1:24" ht="181.2" customHeight="1" x14ac:dyDescent="0.3">
      <c r="A21" s="1"/>
      <c r="B21" s="18">
        <f t="shared" si="0"/>
        <v>1.0900000000000001</v>
      </c>
      <c r="C21" s="22" t="s">
        <v>21</v>
      </c>
      <c r="D21" s="19" t="s">
        <v>12</v>
      </c>
      <c r="E21" s="20">
        <f>+APU!G243</f>
        <v>416508</v>
      </c>
      <c r="F21" s="21">
        <v>24</v>
      </c>
      <c r="G21" s="20">
        <f t="shared" si="1"/>
        <v>9996192</v>
      </c>
      <c r="H21" s="1"/>
      <c r="I21" s="1"/>
      <c r="J21" s="1"/>
      <c r="K21" s="1"/>
      <c r="L21" s="1"/>
      <c r="M21" s="1"/>
      <c r="N21" s="1"/>
      <c r="O21" s="1"/>
      <c r="P21" s="1"/>
      <c r="Q21" s="1"/>
      <c r="R21" s="1"/>
      <c r="S21" s="1"/>
      <c r="T21" s="1"/>
      <c r="U21" s="1"/>
      <c r="V21" s="1"/>
      <c r="W21" s="1"/>
      <c r="X21" s="1"/>
    </row>
    <row r="22" spans="1:24" ht="232.2" customHeight="1" x14ac:dyDescent="0.3">
      <c r="A22" s="1"/>
      <c r="B22" s="18">
        <f t="shared" si="0"/>
        <v>1.1000000000000001</v>
      </c>
      <c r="C22" s="22" t="s">
        <v>22</v>
      </c>
      <c r="D22" s="19" t="s">
        <v>12</v>
      </c>
      <c r="E22" s="20">
        <f>+APU!G268</f>
        <v>1976335</v>
      </c>
      <c r="F22" s="21">
        <v>1</v>
      </c>
      <c r="G22" s="20">
        <f t="shared" si="1"/>
        <v>1976335</v>
      </c>
      <c r="H22" s="1"/>
      <c r="I22" s="1"/>
      <c r="J22" s="1"/>
      <c r="K22" s="1"/>
      <c r="L22" s="1"/>
      <c r="M22" s="1"/>
      <c r="N22" s="1"/>
      <c r="O22" s="1"/>
      <c r="P22" s="1"/>
      <c r="Q22" s="1"/>
      <c r="R22" s="1"/>
      <c r="S22" s="1"/>
      <c r="T22" s="1"/>
      <c r="U22" s="1"/>
      <c r="V22" s="1"/>
      <c r="W22" s="1"/>
      <c r="X22" s="1"/>
    </row>
    <row r="23" spans="1:24" ht="148.80000000000001" customHeight="1" x14ac:dyDescent="0.3">
      <c r="A23" s="1"/>
      <c r="B23" s="18">
        <f t="shared" si="0"/>
        <v>1.1100000000000001</v>
      </c>
      <c r="C23" s="22" t="s">
        <v>23</v>
      </c>
      <c r="D23" s="19" t="s">
        <v>16</v>
      </c>
      <c r="E23" s="20">
        <f>+APU!G290</f>
        <v>418547</v>
      </c>
      <c r="F23" s="21">
        <v>6</v>
      </c>
      <c r="G23" s="20">
        <f t="shared" si="1"/>
        <v>2511282</v>
      </c>
      <c r="H23" s="1"/>
      <c r="I23" s="1"/>
      <c r="J23" s="1"/>
      <c r="K23" s="1"/>
      <c r="L23" s="1"/>
      <c r="M23" s="1"/>
      <c r="N23" s="1"/>
      <c r="O23" s="1"/>
      <c r="P23" s="1"/>
      <c r="Q23" s="1"/>
      <c r="R23" s="1"/>
      <c r="S23" s="1"/>
      <c r="T23" s="1"/>
      <c r="U23" s="1"/>
      <c r="V23" s="1"/>
      <c r="W23" s="1"/>
      <c r="X23" s="1"/>
    </row>
    <row r="24" spans="1:24" ht="195.6" customHeight="1" x14ac:dyDescent="0.3">
      <c r="A24" s="1"/>
      <c r="B24" s="18">
        <f t="shared" si="0"/>
        <v>1.1200000000000001</v>
      </c>
      <c r="C24" s="22" t="s">
        <v>24</v>
      </c>
      <c r="D24" s="19" t="s">
        <v>16</v>
      </c>
      <c r="E24" s="20">
        <f>+APU!G314</f>
        <v>3021674</v>
      </c>
      <c r="F24" s="21">
        <v>6</v>
      </c>
      <c r="G24" s="20">
        <f t="shared" si="1"/>
        <v>18130044</v>
      </c>
      <c r="H24" s="1"/>
      <c r="I24" s="1"/>
      <c r="J24" s="1"/>
      <c r="K24" s="1"/>
      <c r="L24" s="1"/>
      <c r="M24" s="1"/>
      <c r="N24" s="1"/>
      <c r="O24" s="1"/>
      <c r="P24" s="1"/>
      <c r="Q24" s="1"/>
      <c r="R24" s="1"/>
      <c r="S24" s="1"/>
      <c r="T24" s="1"/>
      <c r="U24" s="1"/>
      <c r="V24" s="1"/>
      <c r="W24" s="1"/>
      <c r="X24" s="1"/>
    </row>
    <row r="25" spans="1:24" ht="270" customHeight="1" x14ac:dyDescent="0.3">
      <c r="A25" s="1"/>
      <c r="B25" s="18">
        <f t="shared" si="0"/>
        <v>1.1300000000000001</v>
      </c>
      <c r="C25" s="22" t="s">
        <v>25</v>
      </c>
      <c r="D25" s="19" t="s">
        <v>16</v>
      </c>
      <c r="E25" s="20">
        <f>+APU!G339</f>
        <v>1507576</v>
      </c>
      <c r="F25" s="21">
        <v>2</v>
      </c>
      <c r="G25" s="20">
        <f t="shared" si="1"/>
        <v>3015152</v>
      </c>
      <c r="H25" s="1"/>
      <c r="I25" s="1"/>
      <c r="J25" s="1"/>
      <c r="K25" s="1"/>
      <c r="L25" s="1"/>
      <c r="M25" s="1"/>
      <c r="N25" s="1"/>
      <c r="O25" s="1"/>
      <c r="P25" s="1"/>
      <c r="Q25" s="1"/>
      <c r="R25" s="1"/>
      <c r="S25" s="1"/>
      <c r="T25" s="1"/>
      <c r="U25" s="1"/>
      <c r="V25" s="1"/>
      <c r="W25" s="1"/>
      <c r="X25" s="1"/>
    </row>
    <row r="26" spans="1:24" ht="184.8" customHeight="1" x14ac:dyDescent="0.3">
      <c r="A26" s="1"/>
      <c r="B26" s="18">
        <f t="shared" si="0"/>
        <v>1.1400000000000001</v>
      </c>
      <c r="C26" s="22" t="s">
        <v>26</v>
      </c>
      <c r="D26" s="19" t="s">
        <v>12</v>
      </c>
      <c r="E26" s="20">
        <f>+APU!G360</f>
        <v>966666</v>
      </c>
      <c r="F26" s="21">
        <v>1</v>
      </c>
      <c r="G26" s="20">
        <f t="shared" si="1"/>
        <v>966666</v>
      </c>
      <c r="H26" s="1"/>
      <c r="I26" s="1"/>
      <c r="J26" s="1"/>
      <c r="K26" s="1"/>
      <c r="L26" s="1"/>
      <c r="M26" s="1"/>
      <c r="N26" s="1"/>
      <c r="O26" s="1"/>
      <c r="P26" s="1"/>
      <c r="Q26" s="1"/>
      <c r="R26" s="1"/>
      <c r="S26" s="1"/>
      <c r="T26" s="1"/>
      <c r="U26" s="1"/>
      <c r="V26" s="1"/>
      <c r="W26" s="1"/>
      <c r="X26" s="1"/>
    </row>
    <row r="27" spans="1:24" ht="166.2" customHeight="1" x14ac:dyDescent="0.3">
      <c r="A27" s="1"/>
      <c r="B27" s="18">
        <f t="shared" si="0"/>
        <v>1.1500000000000001</v>
      </c>
      <c r="C27" s="22" t="s">
        <v>27</v>
      </c>
      <c r="D27" s="19" t="s">
        <v>16</v>
      </c>
      <c r="E27" s="20">
        <f>+APU!G384</f>
        <v>1113280</v>
      </c>
      <c r="F27" s="21">
        <v>6</v>
      </c>
      <c r="G27" s="20">
        <f t="shared" si="1"/>
        <v>6679680</v>
      </c>
      <c r="H27" s="1"/>
      <c r="I27" s="1"/>
      <c r="J27" s="1"/>
      <c r="K27" s="1"/>
      <c r="L27" s="1"/>
      <c r="M27" s="1"/>
      <c r="N27" s="1"/>
      <c r="O27" s="1"/>
      <c r="P27" s="1"/>
      <c r="Q27" s="1"/>
      <c r="R27" s="1"/>
      <c r="S27" s="1"/>
      <c r="T27" s="1"/>
      <c r="U27" s="1"/>
      <c r="V27" s="1"/>
      <c r="W27" s="1"/>
      <c r="X27" s="1"/>
    </row>
    <row r="28" spans="1:24" ht="381.6" customHeight="1" x14ac:dyDescent="0.3">
      <c r="A28" s="1"/>
      <c r="B28" s="23">
        <f t="shared" si="0"/>
        <v>1.1600000000000001</v>
      </c>
      <c r="C28" s="345" t="s">
        <v>28</v>
      </c>
      <c r="D28" s="23" t="s">
        <v>29</v>
      </c>
      <c r="E28" s="24">
        <v>5510000</v>
      </c>
      <c r="F28" s="25">
        <v>1</v>
      </c>
      <c r="G28" s="26">
        <f>E28*F28</f>
        <v>5510000</v>
      </c>
      <c r="H28" s="1"/>
      <c r="I28" s="1"/>
      <c r="J28" s="1"/>
      <c r="K28" s="1"/>
      <c r="L28" s="1"/>
      <c r="M28" s="1"/>
      <c r="N28" s="1"/>
      <c r="O28" s="1"/>
      <c r="P28" s="1"/>
      <c r="Q28" s="1"/>
      <c r="R28" s="1"/>
      <c r="S28" s="1"/>
      <c r="T28" s="1"/>
      <c r="U28" s="1"/>
      <c r="V28" s="1"/>
      <c r="W28" s="1"/>
      <c r="X28" s="1"/>
    </row>
    <row r="29" spans="1:24" ht="195" customHeight="1" x14ac:dyDescent="0.3">
      <c r="A29" s="1"/>
      <c r="B29" s="18">
        <f t="shared" si="0"/>
        <v>1.1700000000000002</v>
      </c>
      <c r="C29" s="33" t="s">
        <v>30</v>
      </c>
      <c r="D29" s="19" t="s">
        <v>31</v>
      </c>
      <c r="E29" s="20">
        <f>+APU!G410</f>
        <v>391</v>
      </c>
      <c r="F29" s="193">
        <v>10150</v>
      </c>
      <c r="G29" s="20">
        <f t="shared" ref="G29:G30" si="2">ROUND(E29*F29,0)</f>
        <v>3968650</v>
      </c>
      <c r="H29" s="1"/>
      <c r="I29" s="1"/>
      <c r="J29" s="1"/>
      <c r="K29" s="1"/>
      <c r="L29" s="1"/>
      <c r="M29" s="1"/>
      <c r="N29" s="1"/>
      <c r="O29" s="1"/>
      <c r="P29" s="1"/>
      <c r="Q29" s="1"/>
      <c r="R29" s="1"/>
      <c r="S29" s="1"/>
      <c r="T29" s="1"/>
      <c r="U29" s="1"/>
      <c r="V29" s="1"/>
      <c r="W29" s="1"/>
      <c r="X29" s="1"/>
    </row>
    <row r="30" spans="1:24" ht="28.8" customHeight="1" x14ac:dyDescent="0.3">
      <c r="A30" s="1"/>
      <c r="B30" s="18">
        <f t="shared" si="0"/>
        <v>1.1800000000000002</v>
      </c>
      <c r="C30" s="346" t="s">
        <v>32</v>
      </c>
      <c r="D30" s="19" t="s">
        <v>31</v>
      </c>
      <c r="E30" s="20">
        <f>+APU!G433</f>
        <v>274</v>
      </c>
      <c r="F30" s="27">
        <v>410</v>
      </c>
      <c r="G30" s="20">
        <f t="shared" si="2"/>
        <v>112340</v>
      </c>
      <c r="H30" s="1"/>
      <c r="I30" s="1"/>
      <c r="J30" s="1"/>
      <c r="K30" s="1"/>
      <c r="L30" s="1"/>
      <c r="M30" s="1"/>
      <c r="N30" s="1"/>
      <c r="O30" s="1"/>
      <c r="P30" s="1"/>
      <c r="Q30" s="1"/>
      <c r="R30" s="1"/>
      <c r="S30" s="1"/>
      <c r="T30" s="1"/>
      <c r="U30" s="1"/>
      <c r="V30" s="1"/>
      <c r="W30" s="1"/>
      <c r="X30" s="1"/>
    </row>
    <row r="31" spans="1:24" ht="26.25" customHeight="1" x14ac:dyDescent="0.3">
      <c r="A31" s="1"/>
      <c r="B31" s="291" t="s">
        <v>33</v>
      </c>
      <c r="C31" s="292"/>
      <c r="D31" s="293"/>
      <c r="E31" s="17"/>
      <c r="F31" s="17"/>
      <c r="G31" s="28">
        <f>SUM(G13:G30)</f>
        <v>240601815</v>
      </c>
      <c r="H31" s="171"/>
      <c r="I31" s="30"/>
      <c r="J31" s="1"/>
      <c r="K31" s="1"/>
      <c r="L31" s="1"/>
      <c r="M31" s="1"/>
      <c r="N31" s="1"/>
      <c r="O31" s="1"/>
      <c r="P31" s="1"/>
      <c r="Q31" s="1"/>
      <c r="R31" s="1"/>
      <c r="S31" s="1"/>
      <c r="T31" s="1"/>
      <c r="U31" s="1"/>
      <c r="V31" s="1"/>
      <c r="W31" s="1"/>
      <c r="X31" s="1"/>
    </row>
    <row r="32" spans="1:24" ht="15.75" customHeight="1" x14ac:dyDescent="0.3">
      <c r="A32" s="31"/>
      <c r="B32" s="32"/>
      <c r="C32" s="33" t="s">
        <v>34</v>
      </c>
      <c r="D32" s="34"/>
      <c r="E32" s="35"/>
      <c r="F32" s="36">
        <v>0.30499999999999999</v>
      </c>
      <c r="G32" s="37">
        <f>ROUND($G$31*F32,0)</f>
        <v>73383554</v>
      </c>
      <c r="H32" s="171"/>
      <c r="I32" s="30"/>
      <c r="J32" s="31"/>
      <c r="K32" s="31"/>
      <c r="L32" s="31"/>
      <c r="M32" s="31"/>
      <c r="N32" s="31"/>
      <c r="O32" s="31"/>
      <c r="P32" s="31"/>
      <c r="Q32" s="31"/>
      <c r="R32" s="31"/>
      <c r="S32" s="31"/>
      <c r="T32" s="31"/>
      <c r="U32" s="31"/>
      <c r="V32" s="31"/>
      <c r="W32" s="31"/>
      <c r="X32" s="31"/>
    </row>
    <row r="33" spans="1:24" ht="15.75" customHeight="1" x14ac:dyDescent="0.3">
      <c r="A33" s="31"/>
      <c r="B33" s="32"/>
      <c r="C33" s="33" t="s">
        <v>35</v>
      </c>
      <c r="D33" s="34"/>
      <c r="E33" s="35"/>
      <c r="F33" s="36">
        <v>0.05</v>
      </c>
      <c r="G33" s="37">
        <f t="shared" ref="G33" si="3">ROUND($G$31*F33,0)</f>
        <v>12030091</v>
      </c>
      <c r="H33" s="171"/>
      <c r="I33" s="30"/>
      <c r="J33" s="31"/>
      <c r="K33" s="31"/>
      <c r="L33" s="31"/>
      <c r="M33" s="31"/>
      <c r="N33" s="31"/>
      <c r="O33" s="31"/>
      <c r="P33" s="31"/>
      <c r="Q33" s="31"/>
      <c r="R33" s="31"/>
      <c r="S33" s="31"/>
      <c r="T33" s="31"/>
      <c r="U33" s="31"/>
      <c r="V33" s="31"/>
      <c r="W33" s="31"/>
      <c r="X33" s="31"/>
    </row>
    <row r="34" spans="1:24" ht="15.75" customHeight="1" x14ac:dyDescent="0.3">
      <c r="A34" s="31"/>
      <c r="B34" s="32"/>
      <c r="C34" s="33" t="s">
        <v>36</v>
      </c>
      <c r="D34" s="34"/>
      <c r="E34" s="35"/>
      <c r="F34" s="36">
        <v>0.35499999999999998</v>
      </c>
      <c r="G34" s="37">
        <f>G32+G33</f>
        <v>85413645</v>
      </c>
      <c r="H34" s="171"/>
      <c r="I34" s="1"/>
      <c r="J34" s="31"/>
      <c r="K34" s="31"/>
      <c r="L34" s="31"/>
      <c r="M34" s="31"/>
      <c r="N34" s="31"/>
      <c r="O34" s="31"/>
      <c r="P34" s="31"/>
      <c r="Q34" s="31"/>
      <c r="R34" s="31"/>
      <c r="S34" s="31"/>
      <c r="T34" s="31"/>
      <c r="U34" s="31"/>
      <c r="V34" s="31"/>
      <c r="W34" s="31"/>
      <c r="X34" s="31"/>
    </row>
    <row r="35" spans="1:24" ht="15.75" customHeight="1" x14ac:dyDescent="0.3">
      <c r="A35" s="31"/>
      <c r="B35" s="32"/>
      <c r="C35" s="38" t="s">
        <v>37</v>
      </c>
      <c r="D35" s="35"/>
      <c r="E35" s="35"/>
      <c r="F35" s="39"/>
      <c r="G35" s="40">
        <f>G31+G34</f>
        <v>326015460</v>
      </c>
      <c r="H35" s="171"/>
      <c r="I35" s="30"/>
      <c r="J35" s="31"/>
      <c r="K35" s="31"/>
      <c r="L35" s="31"/>
      <c r="M35" s="31"/>
      <c r="N35" s="31"/>
      <c r="O35" s="31"/>
      <c r="P35" s="31"/>
      <c r="Q35" s="31"/>
      <c r="R35" s="31"/>
      <c r="S35" s="31"/>
      <c r="T35" s="31"/>
      <c r="U35" s="31"/>
      <c r="V35" s="31"/>
      <c r="W35" s="31"/>
      <c r="X35" s="31"/>
    </row>
    <row r="36" spans="1:24" ht="45.75" customHeight="1" x14ac:dyDescent="0.3">
      <c r="A36" s="1"/>
      <c r="B36" s="41">
        <v>2</v>
      </c>
      <c r="C36" s="42" t="s">
        <v>38</v>
      </c>
      <c r="D36" s="41" t="s">
        <v>7</v>
      </c>
      <c r="E36" s="41" t="s">
        <v>8</v>
      </c>
      <c r="F36" s="41" t="s">
        <v>9</v>
      </c>
      <c r="G36" s="41" t="s">
        <v>10</v>
      </c>
      <c r="H36" s="29"/>
      <c r="I36" s="30"/>
      <c r="J36" s="1"/>
      <c r="K36" s="1"/>
      <c r="L36" s="1"/>
      <c r="M36" s="1"/>
      <c r="N36" s="1"/>
      <c r="O36" s="1"/>
      <c r="P36" s="1"/>
      <c r="Q36" s="1"/>
      <c r="R36" s="1"/>
      <c r="S36" s="1"/>
      <c r="T36" s="1"/>
      <c r="U36" s="1"/>
      <c r="V36" s="1"/>
      <c r="W36" s="1"/>
      <c r="X36" s="1"/>
    </row>
    <row r="37" spans="1:24" ht="218.25" customHeight="1" x14ac:dyDescent="0.3">
      <c r="A37" s="1"/>
      <c r="B37" s="18">
        <f t="shared" ref="B37:B45" si="4">B36+0.01</f>
        <v>2.0099999999999998</v>
      </c>
      <c r="C37" s="33" t="s">
        <v>39</v>
      </c>
      <c r="D37" s="19" t="s">
        <v>12</v>
      </c>
      <c r="E37" s="20">
        <f>+APU!G467</f>
        <v>518089</v>
      </c>
      <c r="F37" s="21">
        <v>12</v>
      </c>
      <c r="G37" s="20">
        <f t="shared" ref="G37:G45" si="5">ROUND(E37*F37,0)</f>
        <v>6217068</v>
      </c>
      <c r="H37" s="29"/>
      <c r="I37" s="30"/>
      <c r="J37" s="1"/>
      <c r="K37" s="1"/>
      <c r="L37" s="1"/>
      <c r="M37" s="1"/>
      <c r="N37" s="1"/>
      <c r="O37" s="1"/>
      <c r="P37" s="1"/>
      <c r="Q37" s="1"/>
      <c r="R37" s="1"/>
      <c r="S37" s="1"/>
      <c r="T37" s="1"/>
      <c r="U37" s="1"/>
      <c r="V37" s="1"/>
      <c r="W37" s="1"/>
      <c r="X37" s="1"/>
    </row>
    <row r="38" spans="1:24" ht="92.25" customHeight="1" x14ac:dyDescent="0.3">
      <c r="A38" s="1"/>
      <c r="B38" s="18">
        <f t="shared" si="4"/>
        <v>2.0199999999999996</v>
      </c>
      <c r="C38" s="33" t="s">
        <v>40</v>
      </c>
      <c r="D38" s="19" t="s">
        <v>16</v>
      </c>
      <c r="E38" s="20">
        <f>+APU!G493</f>
        <v>519074</v>
      </c>
      <c r="F38" s="21">
        <v>6</v>
      </c>
      <c r="G38" s="20">
        <f t="shared" si="5"/>
        <v>3114444</v>
      </c>
      <c r="H38" s="1"/>
      <c r="I38" s="1"/>
      <c r="J38" s="1"/>
      <c r="K38" s="1"/>
      <c r="L38" s="1"/>
      <c r="M38" s="1"/>
      <c r="N38" s="1"/>
      <c r="O38" s="1"/>
      <c r="P38" s="1"/>
      <c r="Q38" s="1"/>
      <c r="R38" s="1"/>
      <c r="S38" s="1"/>
      <c r="T38" s="1"/>
      <c r="U38" s="1"/>
      <c r="V38" s="1"/>
      <c r="W38" s="1"/>
      <c r="X38" s="1"/>
    </row>
    <row r="39" spans="1:24" ht="128.4" customHeight="1" x14ac:dyDescent="0.3">
      <c r="A39" s="1"/>
      <c r="B39" s="18">
        <f t="shared" si="4"/>
        <v>2.0299999999999994</v>
      </c>
      <c r="C39" s="33" t="s">
        <v>41</v>
      </c>
      <c r="D39" s="43" t="s">
        <v>16</v>
      </c>
      <c r="E39" s="20">
        <f>+APU!G519</f>
        <v>658559</v>
      </c>
      <c r="F39" s="44">
        <v>6</v>
      </c>
      <c r="G39" s="20">
        <f t="shared" si="5"/>
        <v>3951354</v>
      </c>
      <c r="H39" s="1"/>
      <c r="I39" s="1"/>
      <c r="J39" s="1"/>
      <c r="K39" s="1"/>
      <c r="L39" s="1"/>
      <c r="M39" s="1"/>
      <c r="N39" s="1"/>
      <c r="O39" s="1"/>
      <c r="P39" s="1"/>
      <c r="Q39" s="1"/>
      <c r="R39" s="1"/>
      <c r="S39" s="1"/>
      <c r="T39" s="1"/>
      <c r="U39" s="1"/>
      <c r="V39" s="1"/>
      <c r="W39" s="1"/>
      <c r="X39" s="1"/>
    </row>
    <row r="40" spans="1:24" ht="115.5" customHeight="1" x14ac:dyDescent="0.3">
      <c r="A40" s="1"/>
      <c r="B40" s="18">
        <f t="shared" si="4"/>
        <v>2.0399999999999991</v>
      </c>
      <c r="C40" s="33" t="s">
        <v>42</v>
      </c>
      <c r="D40" s="43" t="s">
        <v>12</v>
      </c>
      <c r="E40" s="20">
        <f>+APU!G554</f>
        <v>1565383</v>
      </c>
      <c r="F40" s="44">
        <v>6</v>
      </c>
      <c r="G40" s="20">
        <f t="shared" si="5"/>
        <v>9392298</v>
      </c>
      <c r="H40" s="1"/>
      <c r="I40" s="1"/>
      <c r="J40" s="1"/>
      <c r="K40" s="1"/>
      <c r="L40" s="1"/>
      <c r="M40" s="1"/>
      <c r="N40" s="1"/>
      <c r="O40" s="1"/>
      <c r="P40" s="1"/>
      <c r="Q40" s="1"/>
      <c r="R40" s="1"/>
      <c r="S40" s="1"/>
      <c r="T40" s="1"/>
      <c r="U40" s="1"/>
      <c r="V40" s="1"/>
      <c r="W40" s="1"/>
      <c r="X40" s="1"/>
    </row>
    <row r="41" spans="1:24" ht="140.25" customHeight="1" x14ac:dyDescent="0.3">
      <c r="A41" s="1"/>
      <c r="B41" s="18">
        <f t="shared" si="4"/>
        <v>2.0499999999999989</v>
      </c>
      <c r="C41" s="33" t="s">
        <v>43</v>
      </c>
      <c r="D41" s="19" t="s">
        <v>12</v>
      </c>
      <c r="E41" s="20">
        <f>+APU!G583</f>
        <v>700705</v>
      </c>
      <c r="F41" s="21">
        <v>4</v>
      </c>
      <c r="G41" s="20">
        <f t="shared" si="5"/>
        <v>2802820</v>
      </c>
      <c r="H41" s="1"/>
      <c r="I41" s="1"/>
      <c r="J41" s="1"/>
      <c r="K41" s="1"/>
      <c r="L41" s="1"/>
      <c r="M41" s="1"/>
      <c r="N41" s="1"/>
      <c r="O41" s="1"/>
      <c r="P41" s="1"/>
      <c r="Q41" s="1"/>
      <c r="R41" s="1"/>
      <c r="S41" s="1"/>
      <c r="T41" s="1"/>
      <c r="U41" s="1"/>
      <c r="V41" s="1"/>
      <c r="W41" s="1"/>
      <c r="X41" s="1"/>
    </row>
    <row r="42" spans="1:24" ht="130.19999999999999" customHeight="1" x14ac:dyDescent="0.3">
      <c r="A42" s="1"/>
      <c r="B42" s="18">
        <f t="shared" si="4"/>
        <v>2.0599999999999987</v>
      </c>
      <c r="C42" s="33" t="s">
        <v>44</v>
      </c>
      <c r="D42" s="19" t="s">
        <v>12</v>
      </c>
      <c r="E42" s="20">
        <f>+APU!G607</f>
        <v>463208</v>
      </c>
      <c r="F42" s="21">
        <v>6</v>
      </c>
      <c r="G42" s="20">
        <f t="shared" si="5"/>
        <v>2779248</v>
      </c>
      <c r="H42" s="1"/>
      <c r="I42" s="1"/>
      <c r="J42" s="1"/>
      <c r="K42" s="1"/>
      <c r="L42" s="1"/>
      <c r="M42" s="1"/>
      <c r="N42" s="1"/>
      <c r="O42" s="1"/>
      <c r="P42" s="1"/>
      <c r="Q42" s="1"/>
      <c r="R42" s="1"/>
      <c r="S42" s="1"/>
      <c r="T42" s="1"/>
      <c r="U42" s="1"/>
      <c r="V42" s="1"/>
      <c r="W42" s="1"/>
      <c r="X42" s="1"/>
    </row>
    <row r="43" spans="1:24" ht="136.19999999999999" customHeight="1" x14ac:dyDescent="0.3">
      <c r="A43" s="1"/>
      <c r="B43" s="18">
        <f t="shared" si="4"/>
        <v>2.0699999999999985</v>
      </c>
      <c r="C43" s="33" t="s">
        <v>45</v>
      </c>
      <c r="D43" s="19" t="s">
        <v>16</v>
      </c>
      <c r="E43" s="20">
        <f>+APU!G631</f>
        <v>501434</v>
      </c>
      <c r="F43" s="21">
        <v>6</v>
      </c>
      <c r="G43" s="20">
        <f t="shared" si="5"/>
        <v>3008604</v>
      </c>
      <c r="H43" s="1"/>
      <c r="I43" s="1"/>
      <c r="J43" s="1"/>
      <c r="K43" s="1"/>
      <c r="L43" s="1"/>
      <c r="M43" s="1"/>
      <c r="N43" s="1"/>
      <c r="O43" s="1"/>
      <c r="P43" s="1"/>
      <c r="Q43" s="1"/>
      <c r="R43" s="1"/>
      <c r="S43" s="1"/>
      <c r="T43" s="1"/>
      <c r="U43" s="1"/>
      <c r="V43" s="1"/>
      <c r="W43" s="1"/>
      <c r="X43" s="1"/>
    </row>
    <row r="44" spans="1:24" ht="126.75" customHeight="1" x14ac:dyDescent="0.3">
      <c r="A44" s="1"/>
      <c r="B44" s="18">
        <f t="shared" si="4"/>
        <v>2.0799999999999983</v>
      </c>
      <c r="C44" s="33" t="s">
        <v>46</v>
      </c>
      <c r="D44" s="19" t="s">
        <v>16</v>
      </c>
      <c r="E44" s="20">
        <f>+APU!G655</f>
        <v>617405</v>
      </c>
      <c r="F44" s="21">
        <v>3</v>
      </c>
      <c r="G44" s="20">
        <f t="shared" si="5"/>
        <v>1852215</v>
      </c>
      <c r="H44" s="1"/>
      <c r="I44" s="1"/>
      <c r="J44" s="1"/>
      <c r="K44" s="1"/>
      <c r="L44" s="1"/>
      <c r="M44" s="1"/>
      <c r="N44" s="1"/>
      <c r="O44" s="1"/>
      <c r="P44" s="1"/>
      <c r="Q44" s="1"/>
      <c r="R44" s="1"/>
      <c r="S44" s="1"/>
      <c r="T44" s="1"/>
      <c r="U44" s="1"/>
      <c r="V44" s="1"/>
      <c r="W44" s="1"/>
      <c r="X44" s="1"/>
    </row>
    <row r="45" spans="1:24" ht="105" customHeight="1" x14ac:dyDescent="0.3">
      <c r="A45" s="1"/>
      <c r="B45" s="18">
        <f t="shared" si="4"/>
        <v>2.0899999999999981</v>
      </c>
      <c r="C45" s="33" t="s">
        <v>47</v>
      </c>
      <c r="D45" s="19" t="s">
        <v>16</v>
      </c>
      <c r="E45" s="20">
        <f>+APU!G679</f>
        <v>1045329</v>
      </c>
      <c r="F45" s="21">
        <v>6</v>
      </c>
      <c r="G45" s="20">
        <f t="shared" si="5"/>
        <v>6271974</v>
      </c>
      <c r="H45" s="1"/>
      <c r="I45" s="1"/>
      <c r="J45" s="1"/>
      <c r="K45" s="1"/>
      <c r="L45" s="1"/>
      <c r="M45" s="1"/>
      <c r="N45" s="1"/>
      <c r="O45" s="1"/>
      <c r="P45" s="1"/>
      <c r="Q45" s="1"/>
      <c r="R45" s="1"/>
      <c r="S45" s="1"/>
      <c r="T45" s="1"/>
      <c r="U45" s="1"/>
      <c r="V45" s="1"/>
      <c r="W45" s="1"/>
      <c r="X45" s="1"/>
    </row>
    <row r="46" spans="1:24" ht="36" customHeight="1" x14ac:dyDescent="0.3">
      <c r="A46" s="1"/>
      <c r="B46" s="299" t="s">
        <v>48</v>
      </c>
      <c r="C46" s="292"/>
      <c r="D46" s="293"/>
      <c r="E46" s="41"/>
      <c r="F46" s="41"/>
      <c r="G46" s="45">
        <f>SUM(G37:G45)</f>
        <v>39390025</v>
      </c>
      <c r="H46" s="1"/>
      <c r="I46" s="1"/>
      <c r="J46" s="1"/>
      <c r="K46" s="1"/>
      <c r="L46" s="1"/>
      <c r="M46" s="1"/>
      <c r="N46" s="1"/>
      <c r="O46" s="1"/>
      <c r="P46" s="1"/>
      <c r="Q46" s="1"/>
      <c r="R46" s="1"/>
      <c r="S46" s="1"/>
      <c r="T46" s="1"/>
      <c r="U46" s="1"/>
      <c r="V46" s="1"/>
      <c r="W46" s="1"/>
      <c r="X46" s="1"/>
    </row>
    <row r="47" spans="1:24" ht="45.75" customHeight="1" x14ac:dyDescent="0.3">
      <c r="A47" s="1"/>
      <c r="B47" s="17">
        <v>3</v>
      </c>
      <c r="C47" s="46" t="s">
        <v>49</v>
      </c>
      <c r="D47" s="17" t="s">
        <v>7</v>
      </c>
      <c r="E47" s="17" t="s">
        <v>8</v>
      </c>
      <c r="F47" s="17" t="s">
        <v>9</v>
      </c>
      <c r="G47" s="17" t="s">
        <v>10</v>
      </c>
      <c r="H47" s="1"/>
      <c r="I47" s="1"/>
      <c r="J47" s="1"/>
      <c r="K47" s="1"/>
      <c r="L47" s="1"/>
      <c r="M47" s="1"/>
      <c r="N47" s="1"/>
      <c r="O47" s="1"/>
      <c r="P47" s="1"/>
      <c r="Q47" s="1"/>
      <c r="R47" s="1"/>
      <c r="S47" s="1"/>
      <c r="T47" s="1"/>
      <c r="U47" s="1"/>
      <c r="V47" s="1"/>
      <c r="W47" s="1"/>
      <c r="X47" s="1"/>
    </row>
    <row r="48" spans="1:24" ht="148.19999999999999" customHeight="1" x14ac:dyDescent="0.3">
      <c r="A48" s="1"/>
      <c r="B48" s="18">
        <f t="shared" ref="B48:B57" si="6">B47+0.01</f>
        <v>3.01</v>
      </c>
      <c r="C48" s="33" t="s">
        <v>50</v>
      </c>
      <c r="D48" s="19" t="s">
        <v>12</v>
      </c>
      <c r="E48" s="20">
        <f>+APU!G713</f>
        <v>518089</v>
      </c>
      <c r="F48" s="21">
        <v>27</v>
      </c>
      <c r="G48" s="20">
        <f t="shared" ref="G48:G57" si="7">ROUND(E48*F48,0)</f>
        <v>13988403</v>
      </c>
      <c r="H48" s="1"/>
      <c r="I48" s="1"/>
      <c r="J48" s="1"/>
      <c r="K48" s="1"/>
      <c r="L48" s="1"/>
      <c r="M48" s="1"/>
      <c r="N48" s="1"/>
      <c r="O48" s="1"/>
      <c r="P48" s="1"/>
      <c r="Q48" s="1"/>
      <c r="R48" s="1"/>
      <c r="S48" s="1"/>
      <c r="T48" s="1"/>
      <c r="U48" s="1"/>
      <c r="V48" s="1"/>
      <c r="W48" s="1"/>
      <c r="X48" s="1"/>
    </row>
    <row r="49" spans="1:24" ht="92.25" customHeight="1" x14ac:dyDescent="0.3">
      <c r="A49" s="1"/>
      <c r="B49" s="18">
        <f t="shared" si="6"/>
        <v>3.0199999999999996</v>
      </c>
      <c r="C49" s="33" t="s">
        <v>51</v>
      </c>
      <c r="D49" s="19" t="s">
        <v>16</v>
      </c>
      <c r="E49" s="20">
        <f>+APU!G739</f>
        <v>519074</v>
      </c>
      <c r="F49" s="21">
        <v>6</v>
      </c>
      <c r="G49" s="20">
        <f t="shared" si="7"/>
        <v>3114444</v>
      </c>
      <c r="H49" s="1"/>
      <c r="I49" s="1"/>
      <c r="J49" s="1"/>
      <c r="K49" s="1"/>
      <c r="L49" s="1"/>
      <c r="M49" s="1"/>
      <c r="N49" s="1"/>
      <c r="O49" s="1"/>
      <c r="P49" s="1"/>
      <c r="Q49" s="1"/>
      <c r="R49" s="1"/>
      <c r="S49" s="1"/>
      <c r="T49" s="1"/>
      <c r="U49" s="1"/>
      <c r="V49" s="1"/>
      <c r="W49" s="1"/>
      <c r="X49" s="1"/>
    </row>
    <row r="50" spans="1:24" ht="138" customHeight="1" x14ac:dyDescent="0.3">
      <c r="A50" s="1"/>
      <c r="B50" s="18">
        <f t="shared" si="6"/>
        <v>3.0299999999999994</v>
      </c>
      <c r="C50" s="33" t="s">
        <v>52</v>
      </c>
      <c r="D50" s="19" t="s">
        <v>16</v>
      </c>
      <c r="E50" s="20">
        <f>+APU!G763</f>
        <v>764394</v>
      </c>
      <c r="F50" s="21">
        <v>6</v>
      </c>
      <c r="G50" s="20">
        <f t="shared" si="7"/>
        <v>4586364</v>
      </c>
      <c r="H50" s="1"/>
      <c r="I50" s="1"/>
      <c r="J50" s="1"/>
      <c r="K50" s="1"/>
      <c r="L50" s="1"/>
      <c r="M50" s="1"/>
      <c r="N50" s="1"/>
      <c r="O50" s="1"/>
      <c r="P50" s="1"/>
      <c r="Q50" s="1"/>
      <c r="R50" s="1"/>
      <c r="S50" s="1"/>
      <c r="T50" s="1"/>
      <c r="U50" s="1"/>
      <c r="V50" s="1"/>
      <c r="W50" s="1"/>
      <c r="X50" s="1"/>
    </row>
    <row r="51" spans="1:24" ht="114" customHeight="1" x14ac:dyDescent="0.3">
      <c r="A51" s="1"/>
      <c r="B51" s="18">
        <f t="shared" si="6"/>
        <v>3.0399999999999991</v>
      </c>
      <c r="C51" s="33" t="s">
        <v>53</v>
      </c>
      <c r="D51" s="19" t="s">
        <v>12</v>
      </c>
      <c r="E51" s="20">
        <f>+APU!G796</f>
        <v>1311572</v>
      </c>
      <c r="F51" s="21">
        <v>12</v>
      </c>
      <c r="G51" s="20">
        <f t="shared" si="7"/>
        <v>15738864</v>
      </c>
      <c r="H51" s="1"/>
      <c r="I51" s="1"/>
      <c r="J51" s="1"/>
      <c r="K51" s="1"/>
      <c r="L51" s="1"/>
      <c r="M51" s="1"/>
      <c r="N51" s="1"/>
      <c r="O51" s="1"/>
      <c r="P51" s="1"/>
      <c r="Q51" s="1"/>
      <c r="R51" s="1"/>
      <c r="S51" s="1"/>
      <c r="T51" s="1"/>
      <c r="U51" s="1"/>
      <c r="V51" s="1"/>
      <c r="W51" s="1"/>
      <c r="X51" s="1"/>
    </row>
    <row r="52" spans="1:24" ht="130.5" customHeight="1" x14ac:dyDescent="0.3">
      <c r="A52" s="1"/>
      <c r="B52" s="18">
        <f t="shared" si="6"/>
        <v>3.0499999999999989</v>
      </c>
      <c r="C52" s="33" t="s">
        <v>54</v>
      </c>
      <c r="D52" s="19" t="s">
        <v>12</v>
      </c>
      <c r="E52" s="20">
        <f>+APU!G825</f>
        <v>650068</v>
      </c>
      <c r="F52" s="21">
        <v>4</v>
      </c>
      <c r="G52" s="20">
        <f t="shared" si="7"/>
        <v>2600272</v>
      </c>
      <c r="H52" s="1"/>
      <c r="I52" s="1"/>
      <c r="J52" s="1"/>
      <c r="K52" s="1"/>
      <c r="L52" s="1"/>
      <c r="M52" s="1"/>
      <c r="N52" s="1"/>
      <c r="O52" s="1"/>
      <c r="P52" s="1"/>
      <c r="Q52" s="1"/>
      <c r="R52" s="1"/>
      <c r="S52" s="1"/>
      <c r="T52" s="1"/>
      <c r="U52" s="1"/>
      <c r="V52" s="1"/>
      <c r="W52" s="1"/>
      <c r="X52" s="1"/>
    </row>
    <row r="53" spans="1:24" ht="130.19999999999999" customHeight="1" x14ac:dyDescent="0.3">
      <c r="A53" s="1"/>
      <c r="B53" s="18">
        <f t="shared" si="6"/>
        <v>3.0599999999999987</v>
      </c>
      <c r="C53" s="33" t="s">
        <v>55</v>
      </c>
      <c r="D53" s="19" t="s">
        <v>12</v>
      </c>
      <c r="E53" s="20">
        <f>+APU!G849</f>
        <v>463208</v>
      </c>
      <c r="F53" s="21">
        <v>6</v>
      </c>
      <c r="G53" s="20">
        <f t="shared" si="7"/>
        <v>2779248</v>
      </c>
      <c r="H53" s="1"/>
      <c r="I53" s="1"/>
      <c r="J53" s="1"/>
      <c r="K53" s="1"/>
      <c r="L53" s="1"/>
      <c r="M53" s="1"/>
      <c r="N53" s="1"/>
      <c r="O53" s="1"/>
      <c r="P53" s="1"/>
      <c r="Q53" s="1"/>
      <c r="R53" s="1"/>
      <c r="S53" s="1"/>
      <c r="T53" s="1"/>
      <c r="U53" s="1"/>
      <c r="V53" s="1"/>
      <c r="W53" s="1"/>
      <c r="X53" s="1"/>
    </row>
    <row r="54" spans="1:24" ht="110.25" customHeight="1" x14ac:dyDescent="0.3">
      <c r="A54" s="1"/>
      <c r="B54" s="18">
        <f t="shared" si="6"/>
        <v>3.0699999999999985</v>
      </c>
      <c r="C54" s="33" t="s">
        <v>56</v>
      </c>
      <c r="D54" s="19" t="s">
        <v>12</v>
      </c>
      <c r="E54" s="20">
        <f>+APU!G875</f>
        <v>1571268</v>
      </c>
      <c r="F54" s="21">
        <v>1</v>
      </c>
      <c r="G54" s="20">
        <f t="shared" si="7"/>
        <v>1571268</v>
      </c>
      <c r="H54" s="1"/>
      <c r="I54" s="1"/>
      <c r="J54" s="1"/>
      <c r="K54" s="1"/>
      <c r="L54" s="1"/>
      <c r="M54" s="1"/>
      <c r="N54" s="1"/>
      <c r="O54" s="1"/>
      <c r="P54" s="1"/>
      <c r="Q54" s="1"/>
      <c r="R54" s="1"/>
      <c r="S54" s="1"/>
      <c r="T54" s="1"/>
      <c r="U54" s="1"/>
      <c r="V54" s="1"/>
      <c r="W54" s="1"/>
      <c r="X54" s="1"/>
    </row>
    <row r="55" spans="1:24" ht="139.80000000000001" customHeight="1" x14ac:dyDescent="0.3">
      <c r="A55" s="1"/>
      <c r="B55" s="18">
        <f t="shared" si="6"/>
        <v>3.0799999999999983</v>
      </c>
      <c r="C55" s="33" t="s">
        <v>57</v>
      </c>
      <c r="D55" s="19" t="s">
        <v>16</v>
      </c>
      <c r="E55" s="20">
        <f>+APU!G899</f>
        <v>501434</v>
      </c>
      <c r="F55" s="21">
        <v>6</v>
      </c>
      <c r="G55" s="20">
        <f t="shared" si="7"/>
        <v>3008604</v>
      </c>
      <c r="H55" s="1"/>
      <c r="I55" s="1"/>
      <c r="J55" s="1"/>
      <c r="K55" s="1"/>
      <c r="L55" s="1"/>
      <c r="M55" s="1"/>
      <c r="N55" s="1"/>
      <c r="O55" s="1"/>
      <c r="P55" s="1"/>
      <c r="Q55" s="1"/>
      <c r="R55" s="1"/>
      <c r="S55" s="1"/>
      <c r="T55" s="1"/>
      <c r="U55" s="1"/>
      <c r="V55" s="1"/>
      <c r="W55" s="1"/>
      <c r="X55" s="1"/>
    </row>
    <row r="56" spans="1:24" ht="189" customHeight="1" x14ac:dyDescent="0.3">
      <c r="A56" s="1"/>
      <c r="B56" s="18">
        <f t="shared" si="6"/>
        <v>3.0899999999999981</v>
      </c>
      <c r="C56" s="22" t="s">
        <v>58</v>
      </c>
      <c r="D56" s="19" t="s">
        <v>12</v>
      </c>
      <c r="E56" s="20">
        <f>+APU!G920</f>
        <v>966666</v>
      </c>
      <c r="F56" s="21">
        <v>1</v>
      </c>
      <c r="G56" s="20">
        <f t="shared" si="7"/>
        <v>966666</v>
      </c>
      <c r="H56" s="1"/>
      <c r="I56" s="1"/>
      <c r="J56" s="1"/>
      <c r="K56" s="1"/>
      <c r="L56" s="1"/>
      <c r="M56" s="1"/>
      <c r="N56" s="1"/>
      <c r="O56" s="1"/>
      <c r="P56" s="1"/>
      <c r="Q56" s="1"/>
      <c r="R56" s="1"/>
      <c r="S56" s="1"/>
      <c r="T56" s="1"/>
      <c r="U56" s="1"/>
      <c r="V56" s="1"/>
      <c r="W56" s="1"/>
      <c r="X56" s="1"/>
    </row>
    <row r="57" spans="1:24" ht="104.4" customHeight="1" x14ac:dyDescent="0.3">
      <c r="A57" s="1"/>
      <c r="B57" s="47">
        <f t="shared" si="6"/>
        <v>3.0999999999999979</v>
      </c>
      <c r="C57" s="33" t="s">
        <v>47</v>
      </c>
      <c r="D57" s="19" t="s">
        <v>16</v>
      </c>
      <c r="E57" s="20">
        <f>+APU!G944</f>
        <v>1045329</v>
      </c>
      <c r="F57" s="21">
        <v>6</v>
      </c>
      <c r="G57" s="20">
        <f t="shared" si="7"/>
        <v>6271974</v>
      </c>
      <c r="H57" s="1"/>
      <c r="I57" s="1"/>
      <c r="J57" s="1"/>
      <c r="K57" s="1"/>
      <c r="L57" s="1"/>
      <c r="M57" s="1"/>
      <c r="N57" s="1"/>
      <c r="O57" s="1"/>
      <c r="P57" s="1"/>
      <c r="Q57" s="1"/>
      <c r="R57" s="1"/>
      <c r="S57" s="1"/>
      <c r="T57" s="1"/>
      <c r="U57" s="1"/>
      <c r="V57" s="1"/>
      <c r="W57" s="1"/>
      <c r="X57" s="1"/>
    </row>
    <row r="58" spans="1:24" ht="45.75" customHeight="1" x14ac:dyDescent="0.3">
      <c r="A58" s="1"/>
      <c r="B58" s="291" t="s">
        <v>59</v>
      </c>
      <c r="C58" s="292"/>
      <c r="D58" s="293"/>
      <c r="E58" s="17"/>
      <c r="F58" s="17"/>
      <c r="G58" s="28">
        <f>SUM(G48:G57)</f>
        <v>54626107</v>
      </c>
      <c r="H58" s="1"/>
      <c r="I58" s="1"/>
      <c r="J58" s="1"/>
      <c r="K58" s="1"/>
      <c r="L58" s="1"/>
      <c r="M58" s="1"/>
      <c r="N58" s="1"/>
      <c r="O58" s="1"/>
      <c r="P58" s="1"/>
      <c r="Q58" s="1"/>
      <c r="R58" s="1"/>
      <c r="S58" s="1"/>
      <c r="T58" s="1"/>
      <c r="U58" s="1"/>
      <c r="V58" s="1"/>
      <c r="W58" s="1"/>
      <c r="X58" s="1"/>
    </row>
    <row r="59" spans="1:24" ht="24" customHeight="1" x14ac:dyDescent="0.3">
      <c r="A59" s="1"/>
      <c r="B59" s="41">
        <v>4</v>
      </c>
      <c r="C59" s="42" t="s">
        <v>60</v>
      </c>
      <c r="D59" s="41" t="s">
        <v>7</v>
      </c>
      <c r="E59" s="41" t="s">
        <v>8</v>
      </c>
      <c r="F59" s="41" t="s">
        <v>9</v>
      </c>
      <c r="G59" s="41" t="s">
        <v>10</v>
      </c>
      <c r="H59" s="1"/>
      <c r="I59" s="1"/>
      <c r="J59" s="1"/>
      <c r="K59" s="1"/>
      <c r="L59" s="1"/>
      <c r="M59" s="1"/>
      <c r="N59" s="1"/>
      <c r="O59" s="1"/>
      <c r="P59" s="1"/>
      <c r="Q59" s="1"/>
      <c r="R59" s="1"/>
      <c r="S59" s="1"/>
      <c r="T59" s="1"/>
      <c r="U59" s="1"/>
      <c r="V59" s="1"/>
      <c r="W59" s="1"/>
      <c r="X59" s="1"/>
    </row>
    <row r="60" spans="1:24" ht="148.19999999999999" customHeight="1" x14ac:dyDescent="0.3">
      <c r="A60" s="1"/>
      <c r="B60" s="18">
        <f t="shared" ref="B60:B70" si="8">B59+0.01</f>
        <v>4.01</v>
      </c>
      <c r="C60" s="33" t="s">
        <v>50</v>
      </c>
      <c r="D60" s="19" t="s">
        <v>12</v>
      </c>
      <c r="E60" s="20">
        <f>+APU!G978</f>
        <v>518089</v>
      </c>
      <c r="F60" s="21">
        <v>12</v>
      </c>
      <c r="G60" s="20">
        <f t="shared" ref="G60:G70" si="9">ROUND(E60*F60,0)</f>
        <v>6217068</v>
      </c>
      <c r="H60" s="1"/>
      <c r="I60" s="1"/>
      <c r="J60" s="1"/>
      <c r="K60" s="1"/>
      <c r="L60" s="1"/>
      <c r="M60" s="1"/>
      <c r="N60" s="1"/>
      <c r="O60" s="1"/>
      <c r="P60" s="1"/>
      <c r="Q60" s="1"/>
      <c r="R60" s="1"/>
      <c r="S60" s="1"/>
      <c r="T60" s="1"/>
      <c r="U60" s="1"/>
      <c r="V60" s="1"/>
      <c r="W60" s="1"/>
      <c r="X60" s="1"/>
    </row>
    <row r="61" spans="1:24" ht="105" customHeight="1" x14ac:dyDescent="0.3">
      <c r="A61" s="1"/>
      <c r="B61" s="18">
        <f t="shared" si="8"/>
        <v>4.0199999999999996</v>
      </c>
      <c r="C61" s="33" t="s">
        <v>61</v>
      </c>
      <c r="D61" s="19" t="s">
        <v>62</v>
      </c>
      <c r="E61" s="20">
        <f>+APU!G1004</f>
        <v>519074</v>
      </c>
      <c r="F61" s="21">
        <v>6</v>
      </c>
      <c r="G61" s="20">
        <f t="shared" si="9"/>
        <v>3114444</v>
      </c>
      <c r="H61" s="1"/>
      <c r="I61" s="1"/>
      <c r="J61" s="1"/>
      <c r="K61" s="1"/>
      <c r="L61" s="1"/>
      <c r="M61" s="1"/>
      <c r="N61" s="1"/>
      <c r="O61" s="1"/>
      <c r="P61" s="1"/>
      <c r="Q61" s="1"/>
      <c r="R61" s="1"/>
      <c r="S61" s="1"/>
      <c r="T61" s="1"/>
      <c r="U61" s="1"/>
      <c r="V61" s="1"/>
      <c r="W61" s="1"/>
      <c r="X61" s="1"/>
    </row>
    <row r="62" spans="1:24" ht="129.75" customHeight="1" x14ac:dyDescent="0.3">
      <c r="A62" s="1"/>
      <c r="B62" s="18">
        <f t="shared" si="8"/>
        <v>4.0299999999999994</v>
      </c>
      <c r="C62" s="33" t="s">
        <v>63</v>
      </c>
      <c r="D62" s="19" t="s">
        <v>16</v>
      </c>
      <c r="E62" s="20">
        <f>+APU!G1028</f>
        <v>764394</v>
      </c>
      <c r="F62" s="21">
        <v>6</v>
      </c>
      <c r="G62" s="20">
        <f t="shared" si="9"/>
        <v>4586364</v>
      </c>
      <c r="H62" s="1"/>
      <c r="I62" s="1"/>
      <c r="J62" s="1"/>
      <c r="K62" s="1"/>
      <c r="L62" s="1"/>
      <c r="M62" s="1"/>
      <c r="N62" s="1"/>
      <c r="O62" s="1"/>
      <c r="P62" s="1"/>
      <c r="Q62" s="1"/>
      <c r="R62" s="1"/>
      <c r="S62" s="1"/>
      <c r="T62" s="1"/>
      <c r="U62" s="1"/>
      <c r="V62" s="1"/>
      <c r="W62" s="1"/>
      <c r="X62" s="1"/>
    </row>
    <row r="63" spans="1:24" ht="120" customHeight="1" x14ac:dyDescent="0.3">
      <c r="A63" s="1"/>
      <c r="B63" s="18">
        <f t="shared" si="8"/>
        <v>4.0399999999999991</v>
      </c>
      <c r="C63" s="33" t="s">
        <v>64</v>
      </c>
      <c r="D63" s="19" t="s">
        <v>12</v>
      </c>
      <c r="E63" s="20">
        <f>+APU!G1064</f>
        <v>1211278</v>
      </c>
      <c r="F63" s="21">
        <v>12</v>
      </c>
      <c r="G63" s="20">
        <f t="shared" si="9"/>
        <v>14535336</v>
      </c>
      <c r="H63" s="1"/>
      <c r="I63" s="1"/>
      <c r="J63" s="1"/>
      <c r="K63" s="1"/>
      <c r="L63" s="1"/>
      <c r="M63" s="1"/>
      <c r="N63" s="1"/>
      <c r="O63" s="1"/>
      <c r="P63" s="1"/>
      <c r="Q63" s="1"/>
      <c r="R63" s="1"/>
      <c r="S63" s="1"/>
      <c r="T63" s="1"/>
      <c r="U63" s="1"/>
      <c r="V63" s="1"/>
      <c r="W63" s="1"/>
      <c r="X63" s="1"/>
    </row>
    <row r="64" spans="1:24" ht="130.5" customHeight="1" x14ac:dyDescent="0.3">
      <c r="A64" s="1"/>
      <c r="B64" s="18">
        <f t="shared" si="8"/>
        <v>4.0499999999999989</v>
      </c>
      <c r="C64" s="33" t="s">
        <v>54</v>
      </c>
      <c r="D64" s="19" t="s">
        <v>12</v>
      </c>
      <c r="E64" s="20">
        <f>+APU!G1093</f>
        <v>721932</v>
      </c>
      <c r="F64" s="21">
        <v>4</v>
      </c>
      <c r="G64" s="20">
        <f t="shared" si="9"/>
        <v>2887728</v>
      </c>
      <c r="H64" s="1"/>
      <c r="I64" s="1"/>
      <c r="J64" s="1"/>
      <c r="K64" s="1"/>
      <c r="L64" s="1"/>
      <c r="M64" s="1"/>
      <c r="N64" s="1"/>
      <c r="O64" s="1"/>
      <c r="P64" s="1"/>
      <c r="Q64" s="1"/>
      <c r="R64" s="1"/>
      <c r="S64" s="1"/>
      <c r="T64" s="1"/>
      <c r="U64" s="1"/>
      <c r="V64" s="1"/>
      <c r="W64" s="1"/>
      <c r="X64" s="1"/>
    </row>
    <row r="65" spans="1:24" ht="138" customHeight="1" x14ac:dyDescent="0.3">
      <c r="A65" s="1"/>
      <c r="B65" s="18">
        <f t="shared" si="8"/>
        <v>4.0599999999999987</v>
      </c>
      <c r="C65" s="33" t="s">
        <v>65</v>
      </c>
      <c r="D65" s="19" t="s">
        <v>12</v>
      </c>
      <c r="E65" s="20">
        <f>+APU!G1117</f>
        <v>463208</v>
      </c>
      <c r="F65" s="21">
        <v>6</v>
      </c>
      <c r="G65" s="20">
        <f t="shared" si="9"/>
        <v>2779248</v>
      </c>
      <c r="H65" s="1"/>
      <c r="I65" s="1"/>
      <c r="J65" s="1"/>
      <c r="K65" s="1"/>
      <c r="L65" s="1"/>
      <c r="M65" s="1"/>
      <c r="N65" s="1"/>
      <c r="O65" s="1"/>
      <c r="P65" s="1"/>
      <c r="Q65" s="1"/>
      <c r="R65" s="1"/>
      <c r="S65" s="1"/>
      <c r="T65" s="1"/>
      <c r="U65" s="1"/>
      <c r="V65" s="1"/>
      <c r="W65" s="1"/>
      <c r="X65" s="1"/>
    </row>
    <row r="66" spans="1:24" ht="135.75" customHeight="1" x14ac:dyDescent="0.3">
      <c r="A66" s="1"/>
      <c r="B66" s="18">
        <f t="shared" si="8"/>
        <v>4.0699999999999985</v>
      </c>
      <c r="C66" s="33" t="s">
        <v>66</v>
      </c>
      <c r="D66" s="19" t="s">
        <v>12</v>
      </c>
      <c r="E66" s="20">
        <f>+APU!G1143</f>
        <v>1571268</v>
      </c>
      <c r="F66" s="21">
        <v>1</v>
      </c>
      <c r="G66" s="20">
        <f t="shared" si="9"/>
        <v>1571268</v>
      </c>
      <c r="H66" s="1"/>
      <c r="I66" s="1"/>
      <c r="J66" s="1"/>
      <c r="K66" s="1"/>
      <c r="L66" s="1"/>
      <c r="M66" s="1"/>
      <c r="N66" s="1"/>
      <c r="O66" s="1"/>
      <c r="P66" s="1"/>
      <c r="Q66" s="1"/>
      <c r="R66" s="1"/>
      <c r="S66" s="1"/>
      <c r="T66" s="1"/>
      <c r="U66" s="1"/>
      <c r="V66" s="1"/>
      <c r="W66" s="1"/>
      <c r="X66" s="1"/>
    </row>
    <row r="67" spans="1:24" ht="136.80000000000001" customHeight="1" x14ac:dyDescent="0.3">
      <c r="A67" s="1"/>
      <c r="B67" s="18">
        <f t="shared" si="8"/>
        <v>4.0799999999999983</v>
      </c>
      <c r="C67" s="33" t="s">
        <v>67</v>
      </c>
      <c r="D67" s="19" t="s">
        <v>16</v>
      </c>
      <c r="E67" s="20">
        <f>+APU!G1167</f>
        <v>501434</v>
      </c>
      <c r="F67" s="21">
        <v>6</v>
      </c>
      <c r="G67" s="20">
        <f t="shared" si="9"/>
        <v>3008604</v>
      </c>
      <c r="H67" s="1"/>
      <c r="I67" s="1"/>
      <c r="J67" s="1"/>
      <c r="K67" s="1"/>
      <c r="L67" s="1"/>
      <c r="M67" s="1"/>
      <c r="N67" s="1"/>
      <c r="O67" s="1"/>
      <c r="P67" s="1"/>
      <c r="Q67" s="1"/>
      <c r="R67" s="1"/>
      <c r="S67" s="1"/>
      <c r="T67" s="1"/>
      <c r="U67" s="1"/>
      <c r="V67" s="1"/>
      <c r="W67" s="1"/>
      <c r="X67" s="1"/>
    </row>
    <row r="68" spans="1:24" ht="100.8" customHeight="1" x14ac:dyDescent="0.3">
      <c r="A68" s="1"/>
      <c r="B68" s="18">
        <f t="shared" si="8"/>
        <v>4.0899999999999981</v>
      </c>
      <c r="C68" s="33" t="s">
        <v>68</v>
      </c>
      <c r="D68" s="19" t="s">
        <v>16</v>
      </c>
      <c r="E68" s="20">
        <f>+APU!G1191</f>
        <v>1329532</v>
      </c>
      <c r="F68" s="21">
        <v>2</v>
      </c>
      <c r="G68" s="20">
        <f t="shared" si="9"/>
        <v>2659064</v>
      </c>
      <c r="H68" s="1"/>
      <c r="I68" s="1"/>
      <c r="J68" s="1"/>
      <c r="K68" s="1"/>
      <c r="L68" s="1"/>
      <c r="M68" s="1"/>
      <c r="N68" s="1"/>
      <c r="O68" s="1"/>
      <c r="P68" s="1"/>
      <c r="Q68" s="1"/>
      <c r="R68" s="1"/>
      <c r="S68" s="1"/>
      <c r="T68" s="1"/>
      <c r="U68" s="1"/>
      <c r="V68" s="1"/>
      <c r="W68" s="1"/>
      <c r="X68" s="1"/>
    </row>
    <row r="69" spans="1:24" ht="193.8" customHeight="1" x14ac:dyDescent="0.3">
      <c r="A69" s="1"/>
      <c r="B69" s="47">
        <f t="shared" si="8"/>
        <v>4.0999999999999979</v>
      </c>
      <c r="C69" s="33" t="s">
        <v>69</v>
      </c>
      <c r="D69" s="19" t="s">
        <v>12</v>
      </c>
      <c r="E69" s="20">
        <f>+APU!G1212</f>
        <v>966666</v>
      </c>
      <c r="F69" s="21">
        <v>1</v>
      </c>
      <c r="G69" s="20">
        <f t="shared" si="9"/>
        <v>966666</v>
      </c>
      <c r="H69" s="1"/>
      <c r="I69" s="1"/>
      <c r="J69" s="1"/>
      <c r="K69" s="1"/>
      <c r="L69" s="1"/>
      <c r="M69" s="1"/>
      <c r="N69" s="1"/>
      <c r="O69" s="1"/>
      <c r="P69" s="1"/>
      <c r="Q69" s="1"/>
      <c r="R69" s="1"/>
      <c r="S69" s="1"/>
      <c r="T69" s="1"/>
      <c r="U69" s="1"/>
      <c r="V69" s="1"/>
      <c r="W69" s="1"/>
      <c r="X69" s="1"/>
    </row>
    <row r="70" spans="1:24" ht="130.80000000000001" customHeight="1" x14ac:dyDescent="0.3">
      <c r="A70" s="1"/>
      <c r="B70" s="47">
        <f t="shared" si="8"/>
        <v>4.1099999999999977</v>
      </c>
      <c r="C70" s="33" t="s">
        <v>70</v>
      </c>
      <c r="D70" s="19" t="s">
        <v>62</v>
      </c>
      <c r="E70" s="20">
        <f>+APU!G1236</f>
        <v>1045329</v>
      </c>
      <c r="F70" s="48">
        <v>6</v>
      </c>
      <c r="G70" s="20">
        <f t="shared" si="9"/>
        <v>6271974</v>
      </c>
      <c r="H70" s="1"/>
      <c r="I70" s="1"/>
      <c r="J70" s="1"/>
      <c r="K70" s="1"/>
      <c r="L70" s="1"/>
      <c r="M70" s="1"/>
      <c r="N70" s="1"/>
      <c r="O70" s="1"/>
      <c r="P70" s="1"/>
      <c r="Q70" s="1"/>
      <c r="R70" s="1"/>
      <c r="S70" s="1"/>
      <c r="T70" s="1"/>
      <c r="U70" s="1"/>
      <c r="V70" s="1"/>
      <c r="W70" s="1"/>
      <c r="X70" s="1"/>
    </row>
    <row r="71" spans="1:24" ht="45.75" customHeight="1" x14ac:dyDescent="0.3">
      <c r="A71" s="1"/>
      <c r="B71" s="299" t="s">
        <v>71</v>
      </c>
      <c r="C71" s="292"/>
      <c r="D71" s="293"/>
      <c r="E71" s="41"/>
      <c r="F71" s="41"/>
      <c r="G71" s="45">
        <f>SUM(G60:G70)</f>
        <v>48597764</v>
      </c>
      <c r="H71" s="1"/>
      <c r="I71" s="1"/>
      <c r="J71" s="1"/>
      <c r="K71" s="1"/>
      <c r="L71" s="1"/>
      <c r="M71" s="1"/>
      <c r="N71" s="1"/>
      <c r="O71" s="1"/>
      <c r="P71" s="1"/>
      <c r="Q71" s="1"/>
      <c r="R71" s="1"/>
      <c r="S71" s="1"/>
      <c r="T71" s="1"/>
      <c r="U71" s="1"/>
      <c r="V71" s="1"/>
      <c r="W71" s="1"/>
      <c r="X71" s="1"/>
    </row>
    <row r="72" spans="1:24" ht="24" customHeight="1" x14ac:dyDescent="0.3">
      <c r="A72" s="1"/>
      <c r="B72" s="17">
        <v>5</v>
      </c>
      <c r="C72" s="46" t="s">
        <v>72</v>
      </c>
      <c r="D72" s="49" t="s">
        <v>7</v>
      </c>
      <c r="E72" s="49" t="s">
        <v>8</v>
      </c>
      <c r="F72" s="49" t="s">
        <v>9</v>
      </c>
      <c r="G72" s="49" t="s">
        <v>10</v>
      </c>
      <c r="H72" s="1"/>
      <c r="I72" s="1"/>
      <c r="J72" s="1"/>
      <c r="K72" s="1"/>
      <c r="L72" s="1"/>
      <c r="M72" s="1"/>
      <c r="N72" s="1"/>
      <c r="O72" s="1"/>
      <c r="P72" s="1"/>
      <c r="Q72" s="1"/>
      <c r="R72" s="1"/>
      <c r="S72" s="1"/>
      <c r="T72" s="1"/>
      <c r="U72" s="1"/>
      <c r="V72" s="1"/>
      <c r="W72" s="1"/>
      <c r="X72" s="1"/>
    </row>
    <row r="73" spans="1:24" ht="165" customHeight="1" x14ac:dyDescent="0.3">
      <c r="A73" s="1"/>
      <c r="B73" s="18">
        <f t="shared" ref="B73:B83" si="10">B72+0.01</f>
        <v>5.01</v>
      </c>
      <c r="C73" s="33" t="s">
        <v>50</v>
      </c>
      <c r="D73" s="19" t="s">
        <v>12</v>
      </c>
      <c r="E73" s="20">
        <f>+APU!G1270</f>
        <v>518089</v>
      </c>
      <c r="F73" s="21">
        <v>12</v>
      </c>
      <c r="G73" s="20">
        <f t="shared" ref="G73:G83" si="11">ROUND(E73*F73,0)</f>
        <v>6217068</v>
      </c>
      <c r="H73" s="1"/>
      <c r="I73" s="1"/>
      <c r="J73" s="1"/>
      <c r="K73" s="1"/>
      <c r="L73" s="1"/>
      <c r="M73" s="1"/>
      <c r="N73" s="1"/>
      <c r="O73" s="1"/>
      <c r="P73" s="1"/>
      <c r="Q73" s="1"/>
      <c r="R73" s="1"/>
      <c r="S73" s="1"/>
      <c r="T73" s="1"/>
      <c r="U73" s="1"/>
      <c r="V73" s="1"/>
      <c r="W73" s="1"/>
      <c r="X73" s="1"/>
    </row>
    <row r="74" spans="1:24" ht="107.25" customHeight="1" x14ac:dyDescent="0.3">
      <c r="A74" s="1"/>
      <c r="B74" s="18">
        <f t="shared" si="10"/>
        <v>5.0199999999999996</v>
      </c>
      <c r="C74" s="33" t="s">
        <v>61</v>
      </c>
      <c r="D74" s="19" t="s">
        <v>62</v>
      </c>
      <c r="E74" s="20">
        <f>+APU!G1296</f>
        <v>519074</v>
      </c>
      <c r="F74" s="21">
        <v>6</v>
      </c>
      <c r="G74" s="20">
        <f t="shared" si="11"/>
        <v>3114444</v>
      </c>
      <c r="H74" s="1"/>
      <c r="I74" s="1"/>
      <c r="J74" s="1"/>
      <c r="K74" s="1"/>
      <c r="L74" s="1"/>
      <c r="M74" s="1"/>
      <c r="N74" s="1"/>
      <c r="O74" s="1"/>
      <c r="P74" s="1"/>
      <c r="Q74" s="1"/>
      <c r="R74" s="1"/>
      <c r="S74" s="1"/>
      <c r="T74" s="1"/>
      <c r="U74" s="1"/>
      <c r="V74" s="1"/>
      <c r="W74" s="1"/>
      <c r="X74" s="1"/>
    </row>
    <row r="75" spans="1:24" ht="129" customHeight="1" x14ac:dyDescent="0.3">
      <c r="A75" s="1"/>
      <c r="B75" s="18">
        <f t="shared" si="10"/>
        <v>5.0299999999999994</v>
      </c>
      <c r="C75" s="33" t="s">
        <v>63</v>
      </c>
      <c r="D75" s="19" t="s">
        <v>16</v>
      </c>
      <c r="E75" s="20">
        <f>+APU!G1320</f>
        <v>764394</v>
      </c>
      <c r="F75" s="21">
        <v>6</v>
      </c>
      <c r="G75" s="20">
        <f t="shared" si="11"/>
        <v>4586364</v>
      </c>
      <c r="H75" s="1"/>
      <c r="I75" s="1"/>
      <c r="J75" s="1"/>
      <c r="K75" s="1"/>
      <c r="L75" s="1"/>
      <c r="M75" s="1"/>
      <c r="N75" s="1"/>
      <c r="O75" s="1"/>
      <c r="P75" s="1"/>
      <c r="Q75" s="1"/>
      <c r="R75" s="1"/>
      <c r="S75" s="1"/>
      <c r="T75" s="1"/>
      <c r="U75" s="1"/>
      <c r="V75" s="1"/>
      <c r="W75" s="1"/>
      <c r="X75" s="1"/>
    </row>
    <row r="76" spans="1:24" ht="129.75" customHeight="1" x14ac:dyDescent="0.3">
      <c r="A76" s="31"/>
      <c r="B76" s="18">
        <f t="shared" si="10"/>
        <v>5.0399999999999991</v>
      </c>
      <c r="C76" s="34" t="s">
        <v>64</v>
      </c>
      <c r="D76" s="19" t="s">
        <v>12</v>
      </c>
      <c r="E76" s="20">
        <f>+APU!G1356</f>
        <v>1211278</v>
      </c>
      <c r="F76" s="21">
        <v>12</v>
      </c>
      <c r="G76" s="20">
        <f t="shared" si="11"/>
        <v>14535336</v>
      </c>
      <c r="H76" s="31"/>
      <c r="I76" s="31"/>
      <c r="J76" s="31"/>
      <c r="K76" s="31"/>
      <c r="L76" s="31"/>
      <c r="M76" s="31"/>
      <c r="N76" s="31"/>
      <c r="O76" s="31"/>
      <c r="P76" s="31"/>
      <c r="Q76" s="31"/>
      <c r="R76" s="31"/>
      <c r="S76" s="31"/>
      <c r="T76" s="31"/>
      <c r="U76" s="31"/>
      <c r="V76" s="31"/>
      <c r="W76" s="31"/>
      <c r="X76" s="31"/>
    </row>
    <row r="77" spans="1:24" ht="122.25" customHeight="1" x14ac:dyDescent="0.3">
      <c r="A77" s="1"/>
      <c r="B77" s="18">
        <f t="shared" si="10"/>
        <v>5.0499999999999989</v>
      </c>
      <c r="C77" s="33" t="s">
        <v>54</v>
      </c>
      <c r="D77" s="19" t="s">
        <v>12</v>
      </c>
      <c r="E77" s="20">
        <f>+APU!G1385</f>
        <v>721932</v>
      </c>
      <c r="F77" s="21">
        <v>4</v>
      </c>
      <c r="G77" s="20">
        <f t="shared" si="11"/>
        <v>2887728</v>
      </c>
      <c r="H77" s="1"/>
      <c r="I77" s="1"/>
      <c r="J77" s="1"/>
      <c r="K77" s="1"/>
      <c r="L77" s="1"/>
      <c r="M77" s="1"/>
      <c r="N77" s="1"/>
      <c r="O77" s="1"/>
      <c r="P77" s="1"/>
      <c r="Q77" s="1"/>
      <c r="R77" s="1"/>
      <c r="S77" s="1"/>
      <c r="T77" s="1"/>
      <c r="U77" s="1"/>
      <c r="V77" s="1"/>
      <c r="W77" s="1"/>
      <c r="X77" s="1"/>
    </row>
    <row r="78" spans="1:24" ht="148.80000000000001" customHeight="1" x14ac:dyDescent="0.3">
      <c r="A78" s="1"/>
      <c r="B78" s="18">
        <f t="shared" si="10"/>
        <v>5.0599999999999987</v>
      </c>
      <c r="C78" s="33" t="s">
        <v>65</v>
      </c>
      <c r="D78" s="19" t="s">
        <v>16</v>
      </c>
      <c r="E78" s="20">
        <f>+APU!G1409</f>
        <v>463208</v>
      </c>
      <c r="F78" s="21">
        <v>6</v>
      </c>
      <c r="G78" s="20">
        <f t="shared" si="11"/>
        <v>2779248</v>
      </c>
      <c r="H78" s="1"/>
      <c r="I78" s="1"/>
      <c r="J78" s="1"/>
      <c r="K78" s="1"/>
      <c r="L78" s="1"/>
      <c r="M78" s="1"/>
      <c r="N78" s="1"/>
      <c r="O78" s="1"/>
      <c r="P78" s="1"/>
      <c r="Q78" s="1"/>
      <c r="R78" s="1"/>
      <c r="S78" s="1"/>
      <c r="T78" s="1"/>
      <c r="U78" s="1"/>
      <c r="V78" s="1"/>
      <c r="W78" s="1"/>
      <c r="X78" s="1"/>
    </row>
    <row r="79" spans="1:24" ht="138" customHeight="1" x14ac:dyDescent="0.3">
      <c r="A79" s="1"/>
      <c r="B79" s="18">
        <f t="shared" si="10"/>
        <v>5.0699999999999985</v>
      </c>
      <c r="C79" s="33" t="s">
        <v>66</v>
      </c>
      <c r="D79" s="19" t="s">
        <v>12</v>
      </c>
      <c r="E79" s="20">
        <f>+APU!G1435</f>
        <v>1571268</v>
      </c>
      <c r="F79" s="21">
        <v>1</v>
      </c>
      <c r="G79" s="20">
        <f t="shared" si="11"/>
        <v>1571268</v>
      </c>
      <c r="H79" s="1"/>
      <c r="I79" s="1"/>
      <c r="J79" s="1"/>
      <c r="K79" s="1"/>
      <c r="L79" s="1"/>
      <c r="M79" s="1"/>
      <c r="N79" s="1"/>
      <c r="O79" s="1"/>
      <c r="P79" s="1"/>
      <c r="Q79" s="1"/>
      <c r="R79" s="1"/>
      <c r="S79" s="1"/>
      <c r="T79" s="1"/>
      <c r="U79" s="1"/>
      <c r="V79" s="1"/>
      <c r="W79" s="1"/>
      <c r="X79" s="1"/>
    </row>
    <row r="80" spans="1:24" ht="129" customHeight="1" x14ac:dyDescent="0.3">
      <c r="A80" s="1"/>
      <c r="B80" s="18">
        <f t="shared" si="10"/>
        <v>5.0799999999999983</v>
      </c>
      <c r="C80" s="33" t="s">
        <v>67</v>
      </c>
      <c r="D80" s="19" t="s">
        <v>62</v>
      </c>
      <c r="E80" s="20">
        <f>+APU!G1459</f>
        <v>501434</v>
      </c>
      <c r="F80" s="21">
        <v>6</v>
      </c>
      <c r="G80" s="20">
        <f t="shared" si="11"/>
        <v>3008604</v>
      </c>
      <c r="H80" s="1"/>
      <c r="I80" s="1"/>
      <c r="J80" s="1"/>
      <c r="K80" s="1"/>
      <c r="L80" s="1"/>
      <c r="M80" s="1"/>
      <c r="N80" s="1"/>
      <c r="O80" s="1"/>
      <c r="P80" s="1"/>
      <c r="Q80" s="1"/>
      <c r="R80" s="1"/>
      <c r="S80" s="1"/>
      <c r="T80" s="1"/>
      <c r="U80" s="1"/>
      <c r="V80" s="1"/>
      <c r="W80" s="1"/>
      <c r="X80" s="1"/>
    </row>
    <row r="81" spans="1:24" ht="102" customHeight="1" x14ac:dyDescent="0.3">
      <c r="A81" s="1"/>
      <c r="B81" s="18">
        <f t="shared" si="10"/>
        <v>5.0899999999999981</v>
      </c>
      <c r="C81" s="33" t="s">
        <v>68</v>
      </c>
      <c r="D81" s="19" t="s">
        <v>62</v>
      </c>
      <c r="E81" s="20">
        <f>+APU!G1483</f>
        <v>1329532</v>
      </c>
      <c r="F81" s="21">
        <v>2</v>
      </c>
      <c r="G81" s="20">
        <f t="shared" si="11"/>
        <v>2659064</v>
      </c>
      <c r="H81" s="1"/>
      <c r="I81" s="1"/>
      <c r="J81" s="1"/>
      <c r="K81" s="1"/>
      <c r="L81" s="1"/>
      <c r="M81" s="1"/>
      <c r="N81" s="1"/>
      <c r="O81" s="1"/>
      <c r="P81" s="1"/>
      <c r="Q81" s="1"/>
      <c r="R81" s="1"/>
      <c r="S81" s="1"/>
      <c r="T81" s="1"/>
      <c r="U81" s="1"/>
      <c r="V81" s="1"/>
      <c r="W81" s="1"/>
      <c r="X81" s="1"/>
    </row>
    <row r="82" spans="1:24" ht="194.4" customHeight="1" x14ac:dyDescent="0.3">
      <c r="A82" s="1"/>
      <c r="B82" s="47">
        <f t="shared" si="10"/>
        <v>5.0999999999999979</v>
      </c>
      <c r="C82" s="33" t="s">
        <v>69</v>
      </c>
      <c r="D82" s="19" t="s">
        <v>12</v>
      </c>
      <c r="E82" s="20">
        <f>+APU!G1504</f>
        <v>966666</v>
      </c>
      <c r="F82" s="21">
        <v>1</v>
      </c>
      <c r="G82" s="20">
        <f t="shared" si="11"/>
        <v>966666</v>
      </c>
      <c r="H82" s="1"/>
      <c r="I82" s="1"/>
      <c r="J82" s="1"/>
      <c r="K82" s="1"/>
      <c r="L82" s="1"/>
      <c r="M82" s="1"/>
      <c r="N82" s="1"/>
      <c r="O82" s="1"/>
      <c r="P82" s="1"/>
      <c r="Q82" s="1"/>
      <c r="R82" s="1"/>
      <c r="S82" s="1"/>
      <c r="T82" s="1"/>
      <c r="U82" s="1"/>
      <c r="V82" s="1"/>
      <c r="W82" s="1"/>
      <c r="X82" s="1"/>
    </row>
    <row r="83" spans="1:24" ht="130.80000000000001" customHeight="1" x14ac:dyDescent="0.3">
      <c r="A83" s="1"/>
      <c r="B83" s="47">
        <f t="shared" si="10"/>
        <v>5.1099999999999977</v>
      </c>
      <c r="C83" s="33" t="s">
        <v>70</v>
      </c>
      <c r="D83" s="19" t="s">
        <v>62</v>
      </c>
      <c r="E83" s="20">
        <f>+APU!G1528</f>
        <v>1045329</v>
      </c>
      <c r="F83" s="48">
        <v>6</v>
      </c>
      <c r="G83" s="20">
        <f t="shared" si="11"/>
        <v>6271974</v>
      </c>
      <c r="H83" s="1"/>
      <c r="I83" s="1"/>
      <c r="J83" s="1"/>
      <c r="K83" s="1"/>
      <c r="L83" s="1"/>
      <c r="M83" s="1"/>
      <c r="N83" s="1"/>
      <c r="O83" s="1"/>
      <c r="P83" s="1"/>
      <c r="Q83" s="1"/>
      <c r="R83" s="1"/>
      <c r="S83" s="1"/>
      <c r="T83" s="1"/>
      <c r="U83" s="1"/>
      <c r="V83" s="1"/>
      <c r="W83" s="1"/>
      <c r="X83" s="1"/>
    </row>
    <row r="84" spans="1:24" ht="45.75" customHeight="1" x14ac:dyDescent="0.3">
      <c r="A84" s="1"/>
      <c r="B84" s="291" t="s">
        <v>73</v>
      </c>
      <c r="C84" s="292"/>
      <c r="D84" s="293"/>
      <c r="E84" s="17"/>
      <c r="F84" s="17"/>
      <c r="G84" s="28">
        <f>SUM(G73:G83)</f>
        <v>48597764</v>
      </c>
      <c r="H84" s="1"/>
      <c r="I84" s="1"/>
      <c r="J84" s="1"/>
      <c r="K84" s="1"/>
      <c r="L84" s="1"/>
      <c r="M84" s="1"/>
      <c r="N84" s="1"/>
      <c r="O84" s="1"/>
      <c r="P84" s="1"/>
      <c r="Q84" s="1"/>
      <c r="R84" s="1"/>
      <c r="S84" s="1"/>
      <c r="T84" s="1"/>
      <c r="U84" s="1"/>
      <c r="V84" s="1"/>
      <c r="W84" s="1"/>
      <c r="X84" s="1"/>
    </row>
    <row r="85" spans="1:24" ht="15.75" customHeight="1" x14ac:dyDescent="0.3">
      <c r="A85" s="1"/>
      <c r="B85" s="41">
        <v>6</v>
      </c>
      <c r="C85" s="42" t="s">
        <v>74</v>
      </c>
      <c r="D85" s="41" t="s">
        <v>7</v>
      </c>
      <c r="E85" s="41" t="s">
        <v>8</v>
      </c>
      <c r="F85" s="41" t="s">
        <v>9</v>
      </c>
      <c r="G85" s="41" t="s">
        <v>10</v>
      </c>
      <c r="H85" s="1"/>
      <c r="I85" s="1"/>
      <c r="J85" s="1"/>
      <c r="K85" s="1"/>
      <c r="L85" s="1"/>
      <c r="M85" s="1"/>
      <c r="N85" s="1"/>
      <c r="O85" s="1"/>
      <c r="P85" s="1"/>
      <c r="Q85" s="1"/>
      <c r="R85" s="1"/>
      <c r="S85" s="1"/>
      <c r="T85" s="1"/>
      <c r="U85" s="1"/>
      <c r="V85" s="1"/>
      <c r="W85" s="1"/>
      <c r="X85" s="1"/>
    </row>
    <row r="86" spans="1:24" ht="129.75" customHeight="1" x14ac:dyDescent="0.3">
      <c r="A86" s="1"/>
      <c r="B86" s="18">
        <f t="shared" ref="B86:B87" si="12">B85+0.01</f>
        <v>6.01</v>
      </c>
      <c r="C86" s="33" t="s">
        <v>75</v>
      </c>
      <c r="D86" s="19" t="s">
        <v>12</v>
      </c>
      <c r="E86" s="20">
        <f>+APU!G1560</f>
        <v>518089</v>
      </c>
      <c r="F86" s="21">
        <v>27</v>
      </c>
      <c r="G86" s="20">
        <f t="shared" ref="G86:G87" si="13">ROUND(E86*F86,0)</f>
        <v>13988403</v>
      </c>
      <c r="H86" s="1"/>
      <c r="I86" s="1"/>
      <c r="J86" s="1"/>
      <c r="K86" s="1"/>
      <c r="L86" s="1"/>
      <c r="M86" s="1"/>
      <c r="N86" s="1"/>
      <c r="O86" s="1"/>
      <c r="P86" s="1"/>
      <c r="Q86" s="1"/>
      <c r="R86" s="1"/>
      <c r="S86" s="1"/>
      <c r="T86" s="1"/>
      <c r="U86" s="1"/>
      <c r="V86" s="1"/>
      <c r="W86" s="1"/>
      <c r="X86" s="1"/>
    </row>
    <row r="87" spans="1:24" ht="129.75" customHeight="1" x14ac:dyDescent="0.3">
      <c r="A87" s="1"/>
      <c r="B87" s="18">
        <f t="shared" si="12"/>
        <v>6.02</v>
      </c>
      <c r="C87" s="33" t="s">
        <v>70</v>
      </c>
      <c r="D87" s="19" t="s">
        <v>62</v>
      </c>
      <c r="E87" s="20">
        <f>+APU!G1583</f>
        <v>1019196</v>
      </c>
      <c r="F87" s="21">
        <v>6</v>
      </c>
      <c r="G87" s="20">
        <f t="shared" si="13"/>
        <v>6115176</v>
      </c>
      <c r="H87" s="1"/>
      <c r="I87" s="1"/>
      <c r="J87" s="1"/>
      <c r="K87" s="1"/>
      <c r="L87" s="1"/>
      <c r="M87" s="1"/>
      <c r="N87" s="1"/>
      <c r="O87" s="1"/>
      <c r="P87" s="1"/>
      <c r="Q87" s="1"/>
      <c r="R87" s="1"/>
      <c r="S87" s="1"/>
      <c r="T87" s="1"/>
      <c r="U87" s="1"/>
      <c r="V87" s="1"/>
      <c r="W87" s="1"/>
      <c r="X87" s="1"/>
    </row>
    <row r="88" spans="1:24" ht="15.75" customHeight="1" x14ac:dyDescent="0.3">
      <c r="A88" s="1"/>
      <c r="B88" s="299" t="s">
        <v>76</v>
      </c>
      <c r="C88" s="292"/>
      <c r="D88" s="293"/>
      <c r="E88" s="50"/>
      <c r="F88" s="50"/>
      <c r="G88" s="45">
        <f>SUM(G86:G87)</f>
        <v>20103579</v>
      </c>
      <c r="H88" s="1"/>
      <c r="I88" s="1"/>
      <c r="J88" s="1"/>
      <c r="K88" s="1"/>
      <c r="L88" s="1"/>
      <c r="M88" s="1"/>
      <c r="N88" s="1"/>
      <c r="O88" s="1"/>
      <c r="P88" s="1"/>
      <c r="Q88" s="1"/>
      <c r="R88" s="1"/>
      <c r="S88" s="1"/>
      <c r="T88" s="1"/>
      <c r="U88" s="1"/>
      <c r="V88" s="1"/>
      <c r="W88" s="1"/>
      <c r="X88" s="1"/>
    </row>
    <row r="89" spans="1:24" ht="15.75" customHeight="1" x14ac:dyDescent="0.3">
      <c r="A89" s="31"/>
      <c r="B89" s="17">
        <v>7</v>
      </c>
      <c r="C89" s="46" t="s">
        <v>77</v>
      </c>
      <c r="D89" s="17" t="s">
        <v>7</v>
      </c>
      <c r="E89" s="17" t="s">
        <v>8</v>
      </c>
      <c r="F89" s="17" t="s">
        <v>9</v>
      </c>
      <c r="G89" s="17" t="s">
        <v>10</v>
      </c>
      <c r="H89" s="1"/>
      <c r="I89" s="1"/>
      <c r="J89" s="31"/>
      <c r="K89" s="31"/>
      <c r="L89" s="31"/>
      <c r="M89" s="31"/>
      <c r="N89" s="31"/>
      <c r="O89" s="31"/>
      <c r="P89" s="31"/>
      <c r="Q89" s="31"/>
      <c r="R89" s="31"/>
      <c r="S89" s="31"/>
      <c r="T89" s="31"/>
      <c r="U89" s="31"/>
      <c r="V89" s="31"/>
      <c r="W89" s="31"/>
      <c r="X89" s="31"/>
    </row>
    <row r="90" spans="1:24" ht="200.25" customHeight="1" x14ac:dyDescent="0.3">
      <c r="A90" s="1"/>
      <c r="B90" s="18">
        <f>B89+0.01</f>
        <v>7.01</v>
      </c>
      <c r="C90" s="33" t="s">
        <v>78</v>
      </c>
      <c r="D90" s="51" t="s">
        <v>31</v>
      </c>
      <c r="E90" s="20">
        <f>+APU!G1611</f>
        <v>390</v>
      </c>
      <c r="F90" s="52">
        <v>61321</v>
      </c>
      <c r="G90" s="20">
        <f t="shared" ref="G90" si="14">ROUND(E90*F90,0)</f>
        <v>23915190</v>
      </c>
      <c r="H90" s="61"/>
      <c r="I90" s="1"/>
      <c r="J90" s="1"/>
      <c r="K90" s="1"/>
      <c r="L90" s="1"/>
      <c r="M90" s="1"/>
      <c r="N90" s="1"/>
      <c r="O90" s="1"/>
      <c r="P90" s="1"/>
      <c r="Q90" s="1"/>
      <c r="R90" s="1"/>
      <c r="S90" s="1"/>
      <c r="T90" s="1"/>
      <c r="U90" s="1"/>
      <c r="V90" s="1"/>
      <c r="W90" s="1"/>
      <c r="X90" s="1"/>
    </row>
    <row r="91" spans="1:24" ht="15.75" customHeight="1" x14ac:dyDescent="0.3">
      <c r="A91" s="1"/>
      <c r="B91" s="291" t="s">
        <v>79</v>
      </c>
      <c r="C91" s="292"/>
      <c r="D91" s="293"/>
      <c r="E91" s="53"/>
      <c r="F91" s="53"/>
      <c r="G91" s="54">
        <f>SUM(G90)</f>
        <v>23915190</v>
      </c>
      <c r="H91" s="1"/>
      <c r="I91" s="1"/>
      <c r="J91" s="1"/>
      <c r="K91" s="1"/>
      <c r="L91" s="1"/>
      <c r="M91" s="1"/>
      <c r="N91" s="1"/>
      <c r="O91" s="1"/>
      <c r="P91" s="1"/>
      <c r="Q91" s="1"/>
      <c r="R91" s="1"/>
      <c r="S91" s="1"/>
      <c r="T91" s="1"/>
      <c r="U91" s="1"/>
      <c r="V91" s="1"/>
      <c r="W91" s="1"/>
      <c r="X91" s="1"/>
    </row>
    <row r="92" spans="1:24" ht="15.75" customHeight="1" x14ac:dyDescent="0.3">
      <c r="A92" s="1"/>
      <c r="B92" s="41">
        <v>8</v>
      </c>
      <c r="C92" s="42" t="s">
        <v>80</v>
      </c>
      <c r="D92" s="41" t="s">
        <v>7</v>
      </c>
      <c r="E92" s="41" t="s">
        <v>8</v>
      </c>
      <c r="F92" s="41" t="s">
        <v>9</v>
      </c>
      <c r="G92" s="41" t="s">
        <v>10</v>
      </c>
      <c r="H92" s="1"/>
      <c r="I92" s="1"/>
      <c r="J92" s="1"/>
      <c r="K92" s="1"/>
      <c r="L92" s="1"/>
      <c r="M92" s="1"/>
      <c r="N92" s="1"/>
      <c r="O92" s="1"/>
      <c r="P92" s="1"/>
      <c r="Q92" s="1"/>
      <c r="R92" s="1"/>
      <c r="S92" s="1"/>
      <c r="T92" s="1"/>
      <c r="U92" s="1"/>
      <c r="V92" s="1"/>
      <c r="W92" s="1"/>
      <c r="X92" s="1"/>
    </row>
    <row r="93" spans="1:24" ht="371.4" customHeight="1" x14ac:dyDescent="0.3">
      <c r="A93" s="1"/>
      <c r="B93" s="23">
        <f>B92+0.01</f>
        <v>8.01</v>
      </c>
      <c r="C93" s="345" t="s">
        <v>81</v>
      </c>
      <c r="D93" s="23" t="s">
        <v>29</v>
      </c>
      <c r="E93" s="24">
        <v>16000000</v>
      </c>
      <c r="F93" s="25">
        <v>1</v>
      </c>
      <c r="G93" s="26">
        <f>E93*F93</f>
        <v>16000000</v>
      </c>
      <c r="H93" s="1"/>
      <c r="I93" s="1"/>
      <c r="J93" s="1"/>
      <c r="K93" s="1"/>
      <c r="L93" s="1"/>
      <c r="M93" s="1"/>
      <c r="N93" s="1"/>
      <c r="O93" s="1"/>
      <c r="P93" s="1"/>
      <c r="Q93" s="1"/>
      <c r="R93" s="1"/>
      <c r="S93" s="1"/>
      <c r="T93" s="1"/>
      <c r="U93" s="1"/>
      <c r="V93" s="1"/>
      <c r="W93" s="1"/>
      <c r="X93" s="1"/>
    </row>
    <row r="94" spans="1:24" ht="12.75" customHeight="1" x14ac:dyDescent="0.3">
      <c r="A94" s="1"/>
      <c r="B94" s="299" t="s">
        <v>79</v>
      </c>
      <c r="C94" s="292"/>
      <c r="D94" s="293"/>
      <c r="E94" s="50"/>
      <c r="F94" s="50"/>
      <c r="G94" s="45">
        <f>G93</f>
        <v>16000000</v>
      </c>
      <c r="H94" s="1"/>
      <c r="I94" s="1"/>
      <c r="J94" s="1"/>
      <c r="K94" s="1"/>
      <c r="L94" s="1"/>
      <c r="M94" s="1"/>
      <c r="N94" s="1"/>
      <c r="O94" s="1"/>
      <c r="P94" s="1"/>
      <c r="Q94" s="1"/>
      <c r="R94" s="1"/>
      <c r="S94" s="1"/>
      <c r="T94" s="1"/>
      <c r="U94" s="1"/>
      <c r="V94" s="1"/>
      <c r="W94" s="1"/>
      <c r="X94" s="1"/>
    </row>
    <row r="95" spans="1:24" ht="15.75" customHeight="1" x14ac:dyDescent="0.3">
      <c r="A95" s="31"/>
      <c r="B95" s="17">
        <v>9</v>
      </c>
      <c r="C95" s="46" t="s">
        <v>82</v>
      </c>
      <c r="D95" s="17" t="s">
        <v>7</v>
      </c>
      <c r="E95" s="17" t="s">
        <v>8</v>
      </c>
      <c r="F95" s="17" t="s">
        <v>9</v>
      </c>
      <c r="G95" s="17" t="s">
        <v>10</v>
      </c>
      <c r="H95" s="1"/>
      <c r="I95" s="1"/>
      <c r="J95" s="31"/>
      <c r="K95" s="31"/>
      <c r="L95" s="31"/>
      <c r="M95" s="31"/>
      <c r="N95" s="31"/>
      <c r="O95" s="31"/>
      <c r="P95" s="31"/>
      <c r="Q95" s="31"/>
      <c r="R95" s="31"/>
      <c r="S95" s="31"/>
      <c r="T95" s="31"/>
      <c r="U95" s="31"/>
      <c r="V95" s="31"/>
      <c r="W95" s="31"/>
      <c r="X95" s="31"/>
    </row>
    <row r="96" spans="1:24" ht="15.75" customHeight="1" x14ac:dyDescent="0.3">
      <c r="A96" s="31"/>
      <c r="B96" s="51">
        <f t="shared" ref="B96:B98" si="15">B95+0.01</f>
        <v>9.01</v>
      </c>
      <c r="C96" s="55" t="s">
        <v>83</v>
      </c>
      <c r="D96" s="51" t="s">
        <v>31</v>
      </c>
      <c r="E96" s="20">
        <f>+APU!G1639</f>
        <v>231</v>
      </c>
      <c r="F96" s="27">
        <v>70330.284090909088</v>
      </c>
      <c r="G96" s="20">
        <f t="shared" ref="G96:G98" si="16">ROUND(E96*F96,0)</f>
        <v>16246296</v>
      </c>
      <c r="H96" s="1"/>
      <c r="I96" s="1"/>
      <c r="J96" s="31"/>
      <c r="K96" s="31"/>
      <c r="L96" s="31"/>
      <c r="M96" s="31"/>
      <c r="N96" s="31"/>
      <c r="O96" s="31"/>
      <c r="P96" s="31"/>
      <c r="Q96" s="31"/>
      <c r="R96" s="31"/>
      <c r="S96" s="31"/>
      <c r="T96" s="31"/>
      <c r="U96" s="31"/>
      <c r="V96" s="31"/>
      <c r="W96" s="31"/>
      <c r="X96" s="31"/>
    </row>
    <row r="97" spans="1:24" ht="15.75" customHeight="1" x14ac:dyDescent="0.3">
      <c r="A97" s="31"/>
      <c r="B97" s="51">
        <f t="shared" si="15"/>
        <v>9.02</v>
      </c>
      <c r="C97" s="55" t="s">
        <v>84</v>
      </c>
      <c r="D97" s="51" t="s">
        <v>31</v>
      </c>
      <c r="E97" s="20">
        <f>+APU!G1663</f>
        <v>231</v>
      </c>
      <c r="F97" s="27">
        <v>48436</v>
      </c>
      <c r="G97" s="20">
        <f t="shared" si="16"/>
        <v>11188716</v>
      </c>
      <c r="H97" s="1"/>
      <c r="I97" s="1"/>
      <c r="J97" s="31"/>
      <c r="K97" s="31"/>
      <c r="L97" s="31"/>
      <c r="M97" s="31"/>
      <c r="N97" s="31"/>
      <c r="O97" s="31"/>
      <c r="P97" s="31"/>
      <c r="Q97" s="31"/>
      <c r="R97" s="31"/>
      <c r="S97" s="31"/>
      <c r="T97" s="31"/>
      <c r="U97" s="31"/>
      <c r="V97" s="31"/>
      <c r="W97" s="31"/>
      <c r="X97" s="31"/>
    </row>
    <row r="98" spans="1:24" ht="15.75" customHeight="1" x14ac:dyDescent="0.3">
      <c r="A98" s="1"/>
      <c r="B98" s="51">
        <f t="shared" si="15"/>
        <v>9.0299999999999994</v>
      </c>
      <c r="C98" s="55" t="s">
        <v>85</v>
      </c>
      <c r="D98" s="51" t="s">
        <v>31</v>
      </c>
      <c r="E98" s="20">
        <f>+APU!G1687</f>
        <v>231</v>
      </c>
      <c r="F98" s="27">
        <v>4896</v>
      </c>
      <c r="G98" s="20">
        <f t="shared" si="16"/>
        <v>1130976</v>
      </c>
      <c r="H98" s="1"/>
      <c r="I98" s="1"/>
      <c r="J98" s="1"/>
      <c r="K98" s="1"/>
      <c r="L98" s="1"/>
      <c r="M98" s="1"/>
      <c r="N98" s="1"/>
      <c r="O98" s="1"/>
      <c r="P98" s="1"/>
      <c r="Q98" s="1"/>
      <c r="R98" s="1"/>
      <c r="S98" s="1"/>
      <c r="T98" s="1"/>
      <c r="U98" s="1"/>
      <c r="V98" s="1"/>
      <c r="W98" s="1"/>
      <c r="X98" s="1"/>
    </row>
    <row r="99" spans="1:24" ht="15.75" customHeight="1" x14ac:dyDescent="0.3">
      <c r="A99" s="31"/>
      <c r="B99" s="291" t="s">
        <v>76</v>
      </c>
      <c r="C99" s="292"/>
      <c r="D99" s="293"/>
      <c r="E99" s="53"/>
      <c r="F99" s="53"/>
      <c r="G99" s="54">
        <f>SUM(G96:G98)</f>
        <v>28565988</v>
      </c>
      <c r="H99" s="1"/>
      <c r="I99" s="1"/>
      <c r="J99" s="31"/>
      <c r="K99" s="31"/>
      <c r="L99" s="31"/>
      <c r="M99" s="31"/>
      <c r="N99" s="31"/>
      <c r="O99" s="31"/>
      <c r="P99" s="31"/>
      <c r="Q99" s="31"/>
      <c r="R99" s="31"/>
      <c r="S99" s="31"/>
      <c r="T99" s="31"/>
      <c r="U99" s="31"/>
      <c r="V99" s="31"/>
      <c r="W99" s="31"/>
      <c r="X99" s="31"/>
    </row>
    <row r="100" spans="1:24" ht="35.25" customHeight="1" x14ac:dyDescent="0.3">
      <c r="A100" s="31"/>
      <c r="B100" s="294" t="s">
        <v>86</v>
      </c>
      <c r="C100" s="292"/>
      <c r="D100" s="293"/>
      <c r="E100" s="56"/>
      <c r="F100" s="56"/>
      <c r="G100" s="57">
        <f>G99+G94+G91+G88+G84+G71+G58+G46</f>
        <v>279796417</v>
      </c>
      <c r="H100" s="170"/>
      <c r="I100" s="1"/>
      <c r="J100" s="31"/>
      <c r="K100" s="31"/>
      <c r="L100" s="31"/>
      <c r="M100" s="31"/>
      <c r="N100" s="31"/>
      <c r="O100" s="31"/>
      <c r="P100" s="31"/>
      <c r="Q100" s="31"/>
      <c r="R100" s="31"/>
      <c r="S100" s="31"/>
      <c r="T100" s="31"/>
      <c r="U100" s="31"/>
      <c r="V100" s="31"/>
      <c r="W100" s="31"/>
      <c r="X100" s="31"/>
    </row>
    <row r="101" spans="1:24" ht="15.75" customHeight="1" x14ac:dyDescent="0.3">
      <c r="A101" s="31"/>
      <c r="B101" s="32"/>
      <c r="C101" s="33" t="s">
        <v>34</v>
      </c>
      <c r="D101" s="34"/>
      <c r="E101" s="35"/>
      <c r="F101" s="36">
        <v>0.375</v>
      </c>
      <c r="G101" s="37">
        <f>ROUND($G$100*F101,0)</f>
        <v>104923656</v>
      </c>
      <c r="H101" s="170"/>
      <c r="I101" s="1"/>
      <c r="J101" s="31"/>
      <c r="K101" s="31"/>
      <c r="L101" s="31"/>
      <c r="M101" s="31"/>
      <c r="N101" s="31"/>
      <c r="O101" s="31"/>
      <c r="P101" s="31"/>
      <c r="Q101" s="31"/>
      <c r="R101" s="31"/>
      <c r="S101" s="31"/>
      <c r="T101" s="31"/>
      <c r="U101" s="31"/>
      <c r="V101" s="31"/>
      <c r="W101" s="31"/>
      <c r="X101" s="31"/>
    </row>
    <row r="102" spans="1:24" ht="15.75" customHeight="1" x14ac:dyDescent="0.3">
      <c r="A102" s="31"/>
      <c r="B102" s="32"/>
      <c r="C102" s="33" t="s">
        <v>35</v>
      </c>
      <c r="D102" s="34"/>
      <c r="E102" s="35"/>
      <c r="F102" s="36">
        <v>0.05</v>
      </c>
      <c r="G102" s="37">
        <f t="shared" ref="G102" si="17">ROUND($G$100*F102,0)</f>
        <v>13989821</v>
      </c>
      <c r="H102" s="170"/>
      <c r="I102" s="1"/>
      <c r="J102" s="31"/>
      <c r="K102" s="31"/>
      <c r="L102" s="31"/>
      <c r="M102" s="31"/>
      <c r="N102" s="31"/>
      <c r="O102" s="31"/>
      <c r="P102" s="31"/>
      <c r="Q102" s="31"/>
      <c r="R102" s="31"/>
      <c r="S102" s="31"/>
      <c r="T102" s="31"/>
      <c r="U102" s="31"/>
      <c r="V102" s="31"/>
      <c r="W102" s="31"/>
      <c r="X102" s="31"/>
    </row>
    <row r="103" spans="1:24" ht="15.75" customHeight="1" x14ac:dyDescent="0.3">
      <c r="A103" s="31"/>
      <c r="B103" s="32"/>
      <c r="C103" s="33" t="s">
        <v>36</v>
      </c>
      <c r="D103" s="34"/>
      <c r="E103" s="35"/>
      <c r="F103" s="36">
        <f>F101+F102</f>
        <v>0.42499999999999999</v>
      </c>
      <c r="G103" s="37">
        <f>G101+G102</f>
        <v>118913477</v>
      </c>
      <c r="H103" s="170"/>
      <c r="I103" s="1"/>
      <c r="J103" s="31"/>
      <c r="K103" s="31"/>
      <c r="L103" s="31"/>
      <c r="M103" s="31"/>
      <c r="N103" s="31"/>
      <c r="O103" s="31"/>
      <c r="P103" s="31"/>
      <c r="Q103" s="31"/>
      <c r="R103" s="31"/>
      <c r="S103" s="31"/>
      <c r="T103" s="31"/>
      <c r="U103" s="31"/>
      <c r="V103" s="31"/>
      <c r="W103" s="31"/>
      <c r="X103" s="31"/>
    </row>
    <row r="104" spans="1:24" ht="15.75" customHeight="1" x14ac:dyDescent="0.3">
      <c r="A104" s="31"/>
      <c r="B104" s="32"/>
      <c r="C104" s="38" t="s">
        <v>37</v>
      </c>
      <c r="D104" s="35"/>
      <c r="E104" s="35"/>
      <c r="F104" s="39"/>
      <c r="G104" s="40">
        <f>G103+G100</f>
        <v>398709894</v>
      </c>
      <c r="H104" s="170"/>
      <c r="I104" s="1"/>
      <c r="J104" s="31"/>
      <c r="K104" s="31"/>
      <c r="L104" s="31"/>
      <c r="M104" s="31"/>
      <c r="N104" s="31"/>
      <c r="O104" s="31"/>
      <c r="P104" s="31"/>
      <c r="Q104" s="31"/>
      <c r="R104" s="31"/>
      <c r="S104" s="31"/>
      <c r="T104" s="31"/>
      <c r="U104" s="31"/>
      <c r="V104" s="31"/>
      <c r="W104" s="31"/>
      <c r="X104" s="31"/>
    </row>
    <row r="105" spans="1:24" ht="13.5" customHeight="1" x14ac:dyDescent="0.3">
      <c r="A105" s="1"/>
      <c r="B105" s="58"/>
      <c r="C105" s="59"/>
      <c r="D105" s="58"/>
      <c r="E105" s="58"/>
      <c r="F105" s="60"/>
      <c r="G105" s="58"/>
      <c r="H105" s="170"/>
      <c r="I105" s="1"/>
      <c r="J105" s="1"/>
      <c r="K105" s="1"/>
      <c r="L105" s="1"/>
      <c r="M105" s="1"/>
      <c r="N105" s="1"/>
      <c r="O105" s="1"/>
      <c r="P105" s="1"/>
      <c r="Q105" s="1"/>
      <c r="R105" s="1"/>
      <c r="S105" s="1"/>
      <c r="T105" s="1"/>
      <c r="U105" s="1"/>
      <c r="V105" s="1"/>
      <c r="W105" s="1"/>
      <c r="X105" s="1"/>
    </row>
    <row r="106" spans="1:24" ht="13.5" customHeight="1" x14ac:dyDescent="0.3">
      <c r="A106" s="1"/>
      <c r="B106" s="294" t="s">
        <v>87</v>
      </c>
      <c r="C106" s="292"/>
      <c r="D106" s="292"/>
      <c r="E106" s="292"/>
      <c r="F106" s="293"/>
      <c r="G106" s="40">
        <f>G104+G35</f>
        <v>724725354</v>
      </c>
      <c r="H106" s="170"/>
      <c r="I106" s="1"/>
      <c r="J106" s="1"/>
      <c r="K106" s="1"/>
      <c r="L106" s="1"/>
      <c r="M106" s="1"/>
      <c r="N106" s="1"/>
      <c r="O106" s="1"/>
      <c r="P106" s="1"/>
      <c r="Q106" s="1"/>
      <c r="R106" s="1"/>
      <c r="S106" s="1"/>
      <c r="T106" s="1"/>
      <c r="U106" s="1"/>
      <c r="V106" s="1"/>
      <c r="W106" s="1"/>
      <c r="X106" s="1"/>
    </row>
    <row r="107" spans="1:24" ht="13.5" customHeight="1" x14ac:dyDescent="0.3">
      <c r="A107" s="1"/>
      <c r="B107" s="1"/>
      <c r="C107" s="2"/>
      <c r="D107" s="1"/>
      <c r="E107" s="1"/>
      <c r="F107" s="3"/>
      <c r="G107" s="1"/>
      <c r="H107" s="1"/>
      <c r="I107" s="1"/>
      <c r="J107" s="1"/>
      <c r="K107" s="1"/>
      <c r="L107" s="1"/>
      <c r="M107" s="1"/>
      <c r="N107" s="1"/>
      <c r="O107" s="1"/>
      <c r="P107" s="1"/>
      <c r="Q107" s="1"/>
      <c r="R107" s="1"/>
      <c r="S107" s="1"/>
      <c r="T107" s="1"/>
      <c r="U107" s="1"/>
      <c r="V107" s="1"/>
      <c r="W107" s="1"/>
      <c r="X107" s="1"/>
    </row>
    <row r="108" spans="1:24" ht="25.8" customHeight="1" x14ac:dyDescent="0.3">
      <c r="A108" s="1"/>
      <c r="B108" s="62"/>
      <c r="D108" s="62"/>
      <c r="E108" s="62"/>
      <c r="F108" s="98"/>
      <c r="G108" s="98"/>
      <c r="H108" s="1"/>
      <c r="I108" s="1"/>
      <c r="J108" s="1"/>
      <c r="K108" s="1"/>
      <c r="L108" s="1"/>
      <c r="M108" s="1"/>
      <c r="N108" s="1"/>
      <c r="O108" s="1"/>
      <c r="P108" s="1"/>
      <c r="Q108" s="1"/>
      <c r="R108" s="1"/>
      <c r="S108" s="1"/>
      <c r="T108" s="1"/>
      <c r="U108" s="1"/>
      <c r="V108" s="1"/>
      <c r="W108" s="1"/>
      <c r="X108" s="1"/>
    </row>
    <row r="109" spans="1:24" ht="25.8" customHeight="1" x14ac:dyDescent="0.3">
      <c r="A109" s="1"/>
      <c r="B109" s="99"/>
      <c r="C109" s="99"/>
      <c r="D109" s="99"/>
      <c r="E109" s="62"/>
      <c r="F109" s="98"/>
      <c r="G109" s="98"/>
      <c r="I109" s="1"/>
      <c r="J109" s="1"/>
      <c r="K109" s="1"/>
      <c r="L109" s="1"/>
      <c r="M109" s="1"/>
      <c r="N109" s="1"/>
      <c r="O109" s="1"/>
      <c r="P109" s="1"/>
      <c r="Q109" s="1"/>
      <c r="R109" s="1"/>
      <c r="S109" s="1"/>
      <c r="T109" s="1"/>
      <c r="U109" s="1"/>
      <c r="V109" s="1"/>
      <c r="W109" s="1"/>
      <c r="X109" s="1"/>
    </row>
    <row r="110" spans="1:24" ht="25.8" customHeight="1" x14ac:dyDescent="0.3">
      <c r="A110" s="1"/>
      <c r="B110" s="62"/>
      <c r="D110" s="62"/>
      <c r="E110" s="62"/>
      <c r="F110" s="98"/>
      <c r="G110" s="98"/>
      <c r="H110" s="1"/>
      <c r="I110" s="1"/>
      <c r="J110" s="1"/>
      <c r="K110" s="1"/>
      <c r="L110" s="1"/>
      <c r="M110" s="1"/>
      <c r="N110" s="1"/>
      <c r="O110" s="1"/>
      <c r="P110" s="1"/>
      <c r="Q110" s="1"/>
      <c r="R110" s="1"/>
      <c r="S110" s="1"/>
      <c r="T110" s="1"/>
      <c r="U110" s="1"/>
      <c r="V110" s="1"/>
      <c r="W110" s="1"/>
      <c r="X110" s="1"/>
    </row>
    <row r="111" spans="1:24" ht="25.8" customHeight="1" x14ac:dyDescent="0.3">
      <c r="A111" s="1"/>
      <c r="B111" s="99"/>
      <c r="C111" s="99"/>
      <c r="D111" s="99"/>
      <c r="E111" s="62"/>
      <c r="F111" s="98"/>
      <c r="G111" s="98"/>
      <c r="H111" s="1"/>
      <c r="I111" s="1"/>
      <c r="J111" s="1"/>
      <c r="K111" s="1"/>
      <c r="L111" s="1"/>
      <c r="M111" s="1"/>
      <c r="N111" s="1"/>
      <c r="O111" s="1"/>
      <c r="P111" s="1"/>
      <c r="Q111" s="1"/>
      <c r="R111" s="1"/>
      <c r="S111" s="1"/>
      <c r="T111" s="1"/>
      <c r="U111" s="1"/>
      <c r="V111" s="1"/>
      <c r="W111" s="1"/>
      <c r="X111" s="1"/>
    </row>
    <row r="112" spans="1:24" ht="25.8" customHeight="1" x14ac:dyDescent="0.3">
      <c r="A112" s="1"/>
      <c r="B112" s="99"/>
      <c r="C112" s="100"/>
      <c r="D112" s="101"/>
      <c r="E112" s="62"/>
      <c r="F112" s="98"/>
      <c r="G112" s="98"/>
      <c r="H112" s="1"/>
      <c r="I112" s="1"/>
      <c r="J112" s="1"/>
      <c r="K112" s="1"/>
      <c r="L112" s="1"/>
      <c r="M112" s="1"/>
      <c r="N112" s="1"/>
      <c r="O112" s="1"/>
      <c r="P112" s="1"/>
      <c r="Q112" s="1"/>
      <c r="R112" s="1"/>
      <c r="S112" s="1"/>
      <c r="T112" s="1"/>
      <c r="U112" s="1"/>
      <c r="V112" s="1"/>
      <c r="W112" s="1"/>
      <c r="X112" s="1"/>
    </row>
    <row r="113" spans="1:24" ht="25.8" customHeight="1" x14ac:dyDescent="0.3">
      <c r="A113" s="1"/>
      <c r="B113" s="102"/>
      <c r="C113" s="103"/>
      <c r="D113" s="101"/>
      <c r="E113" s="104"/>
      <c r="F113" s="105"/>
      <c r="G113" s="105"/>
      <c r="H113" s="1"/>
      <c r="I113" s="1"/>
      <c r="J113" s="1"/>
      <c r="K113" s="1"/>
      <c r="L113" s="1"/>
      <c r="M113" s="1"/>
      <c r="N113" s="1"/>
      <c r="O113" s="1"/>
      <c r="P113" s="1"/>
      <c r="Q113" s="1"/>
      <c r="R113" s="1"/>
      <c r="S113" s="1"/>
      <c r="T113" s="1"/>
      <c r="U113" s="1"/>
      <c r="V113" s="1"/>
      <c r="W113" s="1"/>
      <c r="X113" s="1"/>
    </row>
    <row r="114" spans="1:24" ht="13.5" customHeight="1" x14ac:dyDescent="0.3">
      <c r="A114" s="1"/>
      <c r="B114" s="286" t="s">
        <v>135</v>
      </c>
      <c r="C114" s="286"/>
      <c r="D114" s="106"/>
      <c r="E114" s="287" t="s">
        <v>136</v>
      </c>
      <c r="F114" s="287"/>
      <c r="G114" s="287"/>
      <c r="H114" s="1"/>
      <c r="I114" s="1"/>
      <c r="J114" s="1"/>
      <c r="K114" s="1"/>
      <c r="L114" s="1"/>
      <c r="M114" s="1"/>
      <c r="N114" s="1"/>
      <c r="O114" s="1"/>
      <c r="P114" s="1"/>
      <c r="Q114" s="1"/>
      <c r="R114" s="1"/>
      <c r="S114" s="1"/>
      <c r="T114" s="1"/>
      <c r="U114" s="1"/>
      <c r="V114" s="1"/>
      <c r="W114" s="1"/>
      <c r="X114" s="1"/>
    </row>
    <row r="115" spans="1:24" ht="13.5" customHeight="1" x14ac:dyDescent="0.3">
      <c r="A115" s="1"/>
      <c r="B115" s="286" t="s">
        <v>137</v>
      </c>
      <c r="C115" s="286"/>
      <c r="D115" s="107"/>
      <c r="E115" s="288" t="s">
        <v>207</v>
      </c>
      <c r="F115" s="289"/>
      <c r="G115" s="289"/>
      <c r="H115" s="1"/>
      <c r="I115" s="1"/>
      <c r="J115" s="1"/>
      <c r="K115" s="1"/>
      <c r="L115" s="1"/>
      <c r="M115" s="1"/>
      <c r="N115" s="1"/>
      <c r="O115" s="1"/>
      <c r="P115" s="1"/>
      <c r="Q115" s="1"/>
      <c r="R115" s="1"/>
      <c r="S115" s="1"/>
      <c r="T115" s="1"/>
      <c r="U115" s="1"/>
      <c r="V115" s="1"/>
      <c r="W115" s="1"/>
      <c r="X115" s="1"/>
    </row>
    <row r="116" spans="1:24" ht="13.5" customHeight="1" x14ac:dyDescent="0.3">
      <c r="A116" s="1"/>
      <c r="B116" s="99"/>
      <c r="C116" s="290"/>
      <c r="D116" s="290"/>
      <c r="E116" s="62"/>
      <c r="F116" s="98"/>
      <c r="G116" s="98"/>
      <c r="H116" s="1"/>
      <c r="I116" s="1"/>
      <c r="J116" s="1"/>
      <c r="K116" s="1"/>
      <c r="L116" s="1"/>
      <c r="M116" s="1"/>
      <c r="N116" s="1"/>
      <c r="O116" s="1"/>
      <c r="P116" s="1"/>
      <c r="Q116" s="1"/>
      <c r="R116" s="1"/>
      <c r="S116" s="1"/>
      <c r="T116" s="1"/>
      <c r="U116" s="1"/>
      <c r="V116" s="1"/>
      <c r="W116" s="1"/>
      <c r="X116" s="1"/>
    </row>
    <row r="117" spans="1:24" ht="58.8" customHeight="1" x14ac:dyDescent="0.3">
      <c r="A117" s="1"/>
      <c r="B117" s="285" t="s">
        <v>208</v>
      </c>
      <c r="C117" s="285"/>
      <c r="D117" s="285"/>
      <c r="E117" s="285"/>
      <c r="F117" s="285"/>
      <c r="G117" s="285"/>
      <c r="H117" s="1"/>
      <c r="I117" s="1"/>
      <c r="J117" s="1"/>
      <c r="K117" s="1"/>
      <c r="L117" s="1"/>
      <c r="M117" s="1"/>
      <c r="N117" s="1"/>
      <c r="O117" s="1"/>
      <c r="P117" s="1"/>
      <c r="Q117" s="1"/>
      <c r="R117" s="1"/>
      <c r="S117" s="1"/>
      <c r="T117" s="1"/>
      <c r="U117" s="1"/>
      <c r="V117" s="1"/>
      <c r="W117" s="1"/>
      <c r="X117" s="1"/>
    </row>
    <row r="118" spans="1:24" ht="13.5" customHeight="1" x14ac:dyDescent="0.3">
      <c r="A118" s="1"/>
      <c r="B118" s="1"/>
      <c r="C118" s="2"/>
      <c r="D118" s="1"/>
      <c r="E118" s="1"/>
      <c r="F118" s="3"/>
      <c r="G118" s="1"/>
      <c r="H118" s="1"/>
      <c r="I118" s="1"/>
      <c r="J118" s="1"/>
      <c r="K118" s="1"/>
      <c r="L118" s="1"/>
      <c r="M118" s="1"/>
      <c r="N118" s="1"/>
      <c r="O118" s="1"/>
      <c r="P118" s="1"/>
      <c r="Q118" s="1"/>
      <c r="R118" s="1"/>
      <c r="S118" s="1"/>
      <c r="T118" s="1"/>
      <c r="U118" s="1"/>
      <c r="V118" s="1"/>
      <c r="W118" s="1"/>
      <c r="X118" s="1"/>
    </row>
    <row r="119" spans="1:24" ht="13.5" customHeight="1" x14ac:dyDescent="0.3">
      <c r="A119" s="1"/>
      <c r="B119" s="1"/>
      <c r="C119" s="2"/>
      <c r="D119" s="1"/>
      <c r="E119" s="1"/>
      <c r="F119" s="3"/>
      <c r="G119" s="1"/>
      <c r="H119" s="1"/>
      <c r="I119" s="1"/>
      <c r="J119" s="1"/>
      <c r="K119" s="1"/>
      <c r="L119" s="1"/>
      <c r="M119" s="1"/>
      <c r="N119" s="1"/>
      <c r="O119" s="1"/>
      <c r="P119" s="1"/>
      <c r="Q119" s="1"/>
      <c r="R119" s="1"/>
      <c r="S119" s="1"/>
      <c r="T119" s="1"/>
      <c r="U119" s="1"/>
      <c r="V119" s="1"/>
      <c r="W119" s="1"/>
      <c r="X119" s="1"/>
    </row>
    <row r="120" spans="1:24" ht="13.5" customHeight="1" x14ac:dyDescent="0.3">
      <c r="A120" s="1"/>
      <c r="B120" s="1"/>
      <c r="C120" s="2"/>
      <c r="D120" s="1"/>
      <c r="E120" s="1"/>
      <c r="F120" s="3"/>
      <c r="G120" s="1"/>
      <c r="H120" s="1"/>
      <c r="I120" s="1"/>
      <c r="J120" s="1"/>
      <c r="K120" s="1"/>
      <c r="L120" s="1"/>
      <c r="M120" s="1"/>
      <c r="N120" s="1"/>
      <c r="O120" s="1"/>
      <c r="P120" s="1"/>
      <c r="Q120" s="1"/>
      <c r="R120" s="1"/>
      <c r="S120" s="1"/>
      <c r="T120" s="1"/>
      <c r="U120" s="1"/>
      <c r="V120" s="1"/>
      <c r="W120" s="1"/>
      <c r="X120" s="1"/>
    </row>
    <row r="121" spans="1:24" ht="13.5" customHeight="1" x14ac:dyDescent="0.3">
      <c r="A121" s="1"/>
      <c r="B121" s="1"/>
      <c r="C121" s="2"/>
      <c r="D121" s="1"/>
      <c r="E121" s="1"/>
      <c r="F121" s="3"/>
      <c r="G121" s="1"/>
      <c r="H121" s="1"/>
      <c r="I121" s="1"/>
      <c r="J121" s="1"/>
      <c r="K121" s="1"/>
      <c r="L121" s="1"/>
      <c r="M121" s="1"/>
      <c r="N121" s="1"/>
      <c r="O121" s="1"/>
      <c r="P121" s="1"/>
      <c r="Q121" s="1"/>
      <c r="R121" s="1"/>
      <c r="S121" s="1"/>
      <c r="T121" s="1"/>
      <c r="U121" s="1"/>
      <c r="V121" s="1"/>
      <c r="W121" s="1"/>
      <c r="X121" s="1"/>
    </row>
    <row r="122" spans="1:24" ht="13.5" customHeight="1" x14ac:dyDescent="0.3">
      <c r="A122" s="1"/>
      <c r="B122" s="1"/>
      <c r="C122" s="2"/>
      <c r="D122" s="1"/>
      <c r="E122" s="1"/>
      <c r="F122" s="3"/>
      <c r="G122" s="1"/>
      <c r="H122" s="1"/>
      <c r="I122" s="1"/>
      <c r="J122" s="1"/>
      <c r="K122" s="1"/>
      <c r="L122" s="1"/>
      <c r="M122" s="1"/>
      <c r="N122" s="1"/>
      <c r="O122" s="1"/>
      <c r="P122" s="1"/>
      <c r="Q122" s="1"/>
      <c r="R122" s="1"/>
      <c r="S122" s="1"/>
      <c r="T122" s="1"/>
      <c r="U122" s="1"/>
      <c r="V122" s="1"/>
      <c r="W122" s="1"/>
      <c r="X122" s="1"/>
    </row>
    <row r="123" spans="1:24" ht="13.5" customHeight="1" x14ac:dyDescent="0.3">
      <c r="A123" s="1"/>
      <c r="B123" s="1"/>
      <c r="C123" s="2"/>
      <c r="D123" s="1"/>
      <c r="E123" s="1"/>
      <c r="F123" s="3"/>
      <c r="G123" s="1"/>
      <c r="H123" s="1"/>
      <c r="I123" s="1"/>
      <c r="J123" s="1"/>
      <c r="K123" s="1"/>
      <c r="L123" s="1"/>
      <c r="M123" s="1"/>
      <c r="N123" s="1"/>
      <c r="O123" s="1"/>
      <c r="P123" s="1"/>
      <c r="Q123" s="1"/>
      <c r="R123" s="1"/>
      <c r="S123" s="1"/>
      <c r="T123" s="1"/>
      <c r="U123" s="1"/>
      <c r="V123" s="1"/>
      <c r="W123" s="1"/>
      <c r="X123" s="1"/>
    </row>
    <row r="124" spans="1:24" ht="13.5" customHeight="1" x14ac:dyDescent="0.3">
      <c r="A124" s="1"/>
      <c r="B124" s="1"/>
      <c r="C124" s="2"/>
      <c r="D124" s="1"/>
      <c r="E124" s="1"/>
      <c r="F124" s="3"/>
      <c r="G124" s="1"/>
      <c r="H124" s="1"/>
      <c r="I124" s="1"/>
      <c r="J124" s="1"/>
      <c r="K124" s="1"/>
      <c r="L124" s="1"/>
      <c r="M124" s="1"/>
      <c r="N124" s="1"/>
      <c r="O124" s="1"/>
      <c r="P124" s="1"/>
      <c r="Q124" s="1"/>
      <c r="R124" s="1"/>
      <c r="S124" s="1"/>
      <c r="T124" s="1"/>
      <c r="U124" s="1"/>
      <c r="V124" s="1"/>
      <c r="W124" s="1"/>
      <c r="X124" s="1"/>
    </row>
    <row r="125" spans="1:24" ht="13.5" customHeight="1" x14ac:dyDescent="0.3">
      <c r="A125" s="1"/>
      <c r="B125" s="1"/>
      <c r="C125" s="2"/>
      <c r="D125" s="1"/>
      <c r="E125" s="1"/>
      <c r="F125" s="3"/>
      <c r="G125" s="1"/>
      <c r="H125" s="1"/>
      <c r="I125" s="1"/>
      <c r="J125" s="1"/>
      <c r="K125" s="1"/>
      <c r="L125" s="1"/>
      <c r="M125" s="1"/>
      <c r="N125" s="1"/>
      <c r="O125" s="1"/>
      <c r="P125" s="1"/>
      <c r="Q125" s="1"/>
      <c r="R125" s="1"/>
      <c r="S125" s="1"/>
      <c r="T125" s="1"/>
      <c r="U125" s="1"/>
      <c r="V125" s="1"/>
      <c r="W125" s="1"/>
      <c r="X125" s="1"/>
    </row>
    <row r="126" spans="1:24" ht="13.5" customHeight="1" x14ac:dyDescent="0.3">
      <c r="A126" s="1"/>
      <c r="B126" s="1"/>
      <c r="C126" s="2"/>
      <c r="D126" s="1"/>
      <c r="E126" s="1"/>
      <c r="F126" s="3"/>
      <c r="G126" s="1"/>
      <c r="H126" s="1"/>
      <c r="I126" s="1"/>
      <c r="J126" s="1"/>
      <c r="K126" s="1"/>
      <c r="L126" s="1"/>
      <c r="M126" s="1"/>
      <c r="N126" s="1"/>
      <c r="O126" s="1"/>
      <c r="P126" s="1"/>
      <c r="Q126" s="1"/>
      <c r="R126" s="1"/>
      <c r="S126" s="1"/>
      <c r="T126" s="1"/>
      <c r="U126" s="1"/>
      <c r="V126" s="1"/>
      <c r="W126" s="1"/>
      <c r="X126" s="1"/>
    </row>
    <row r="127" spans="1:24" ht="13.5" customHeight="1" x14ac:dyDescent="0.3">
      <c r="A127" s="1"/>
      <c r="B127" s="1"/>
      <c r="C127" s="2"/>
      <c r="D127" s="1"/>
      <c r="E127" s="1"/>
      <c r="F127" s="3"/>
      <c r="G127" s="1"/>
      <c r="H127" s="1"/>
      <c r="I127" s="1"/>
      <c r="J127" s="1"/>
      <c r="K127" s="1"/>
      <c r="L127" s="1"/>
      <c r="M127" s="1"/>
      <c r="N127" s="1"/>
      <c r="O127" s="1"/>
      <c r="P127" s="1"/>
      <c r="Q127" s="1"/>
      <c r="R127" s="1"/>
      <c r="S127" s="1"/>
      <c r="T127" s="1"/>
      <c r="U127" s="1"/>
      <c r="V127" s="1"/>
      <c r="W127" s="1"/>
      <c r="X127" s="1"/>
    </row>
    <row r="128" spans="1:24" ht="13.5" customHeight="1" x14ac:dyDescent="0.3">
      <c r="A128" s="1"/>
      <c r="B128" s="1"/>
      <c r="C128" s="2"/>
      <c r="D128" s="1"/>
      <c r="E128" s="1"/>
      <c r="F128" s="3"/>
      <c r="G128" s="1"/>
      <c r="H128" s="1"/>
      <c r="I128" s="1"/>
      <c r="J128" s="1"/>
      <c r="K128" s="1"/>
      <c r="L128" s="1"/>
      <c r="M128" s="1"/>
      <c r="N128" s="1"/>
      <c r="O128" s="1"/>
      <c r="P128" s="1"/>
      <c r="Q128" s="1"/>
      <c r="R128" s="1"/>
      <c r="S128" s="1"/>
      <c r="T128" s="1"/>
      <c r="U128" s="1"/>
      <c r="V128" s="1"/>
      <c r="W128" s="1"/>
      <c r="X128" s="1"/>
    </row>
    <row r="129" spans="1:24" ht="13.5" customHeight="1" x14ac:dyDescent="0.3">
      <c r="A129" s="1"/>
      <c r="B129" s="1"/>
      <c r="C129" s="2"/>
      <c r="D129" s="1"/>
      <c r="E129" s="1"/>
      <c r="F129" s="3"/>
      <c r="G129" s="1"/>
      <c r="H129" s="1"/>
      <c r="I129" s="1"/>
      <c r="J129" s="1"/>
      <c r="K129" s="1"/>
      <c r="L129" s="1"/>
      <c r="M129" s="1"/>
      <c r="N129" s="1"/>
      <c r="O129" s="1"/>
      <c r="P129" s="1"/>
      <c r="Q129" s="1"/>
      <c r="R129" s="1"/>
      <c r="S129" s="1"/>
      <c r="T129" s="1"/>
      <c r="U129" s="1"/>
      <c r="V129" s="1"/>
      <c r="W129" s="1"/>
      <c r="X129" s="1"/>
    </row>
    <row r="130" spans="1:24" ht="13.5" customHeight="1" x14ac:dyDescent="0.3">
      <c r="A130" s="1"/>
      <c r="B130" s="1"/>
      <c r="C130" s="2"/>
      <c r="D130" s="1"/>
      <c r="E130" s="1"/>
      <c r="F130" s="3"/>
      <c r="G130" s="1"/>
      <c r="H130" s="1"/>
      <c r="I130" s="1"/>
      <c r="J130" s="1"/>
      <c r="K130" s="1"/>
      <c r="L130" s="1"/>
      <c r="M130" s="1"/>
      <c r="N130" s="1"/>
      <c r="O130" s="1"/>
      <c r="P130" s="1"/>
      <c r="Q130" s="1"/>
      <c r="R130" s="1"/>
      <c r="S130" s="1"/>
      <c r="T130" s="1"/>
      <c r="U130" s="1"/>
      <c r="V130" s="1"/>
      <c r="W130" s="1"/>
      <c r="X130" s="1"/>
    </row>
    <row r="131" spans="1:24" ht="13.5" customHeight="1" x14ac:dyDescent="0.3">
      <c r="A131" s="1"/>
      <c r="B131" s="1"/>
      <c r="C131" s="2"/>
      <c r="D131" s="1"/>
      <c r="E131" s="1"/>
      <c r="F131" s="3"/>
      <c r="G131" s="1"/>
      <c r="H131" s="1"/>
      <c r="I131" s="1"/>
      <c r="J131" s="1"/>
      <c r="K131" s="1"/>
      <c r="L131" s="1"/>
      <c r="M131" s="1"/>
      <c r="N131" s="1"/>
      <c r="O131" s="1"/>
      <c r="P131" s="1"/>
      <c r="Q131" s="1"/>
      <c r="R131" s="1"/>
      <c r="S131" s="1"/>
      <c r="T131" s="1"/>
      <c r="U131" s="1"/>
      <c r="V131" s="1"/>
      <c r="W131" s="1"/>
      <c r="X131" s="1"/>
    </row>
    <row r="132" spans="1:24" ht="13.5" customHeight="1" x14ac:dyDescent="0.3">
      <c r="A132" s="1"/>
      <c r="B132" s="1"/>
      <c r="C132" s="2"/>
      <c r="D132" s="1"/>
      <c r="E132" s="1"/>
      <c r="F132" s="3"/>
      <c r="G132" s="1"/>
      <c r="H132" s="1"/>
      <c r="I132" s="1"/>
      <c r="J132" s="1"/>
      <c r="K132" s="1"/>
      <c r="L132" s="1"/>
      <c r="M132" s="1"/>
      <c r="N132" s="1"/>
      <c r="O132" s="1"/>
      <c r="P132" s="1"/>
      <c r="Q132" s="1"/>
      <c r="R132" s="1"/>
      <c r="S132" s="1"/>
      <c r="T132" s="1"/>
      <c r="U132" s="1"/>
      <c r="V132" s="1"/>
      <c r="W132" s="1"/>
      <c r="X132" s="1"/>
    </row>
    <row r="133" spans="1:24" ht="13.5" customHeight="1" x14ac:dyDescent="0.3">
      <c r="A133" s="1"/>
      <c r="B133" s="1"/>
      <c r="C133" s="2"/>
      <c r="D133" s="1"/>
      <c r="E133" s="1"/>
      <c r="F133" s="3"/>
      <c r="G133" s="1"/>
      <c r="H133" s="1"/>
      <c r="I133" s="1"/>
      <c r="J133" s="1"/>
      <c r="K133" s="1"/>
      <c r="L133" s="1"/>
      <c r="M133" s="1"/>
      <c r="N133" s="1"/>
      <c r="O133" s="1"/>
      <c r="P133" s="1"/>
      <c r="Q133" s="1"/>
      <c r="R133" s="1"/>
      <c r="S133" s="1"/>
      <c r="T133" s="1"/>
      <c r="U133" s="1"/>
      <c r="V133" s="1"/>
      <c r="W133" s="1"/>
      <c r="X133" s="1"/>
    </row>
    <row r="134" spans="1:24" ht="13.5" customHeight="1" x14ac:dyDescent="0.3">
      <c r="A134" s="1"/>
      <c r="B134" s="1"/>
      <c r="C134" s="2"/>
      <c r="D134" s="1"/>
      <c r="E134" s="1"/>
      <c r="F134" s="3"/>
      <c r="G134" s="1"/>
      <c r="H134" s="1"/>
      <c r="I134" s="1"/>
      <c r="J134" s="1"/>
      <c r="K134" s="1"/>
      <c r="L134" s="1"/>
      <c r="M134" s="1"/>
      <c r="N134" s="1"/>
      <c r="O134" s="1"/>
      <c r="P134" s="1"/>
      <c r="Q134" s="1"/>
      <c r="R134" s="1"/>
      <c r="S134" s="1"/>
      <c r="T134" s="1"/>
      <c r="U134" s="1"/>
      <c r="V134" s="1"/>
      <c r="W134" s="1"/>
      <c r="X134" s="1"/>
    </row>
    <row r="135" spans="1:24" ht="13.5" customHeight="1" x14ac:dyDescent="0.3">
      <c r="A135" s="1"/>
      <c r="B135" s="1"/>
      <c r="C135" s="2"/>
      <c r="D135" s="1"/>
      <c r="E135" s="1"/>
      <c r="F135" s="3"/>
      <c r="G135" s="1"/>
      <c r="H135" s="1"/>
      <c r="I135" s="1"/>
      <c r="J135" s="1"/>
      <c r="K135" s="1"/>
      <c r="L135" s="1"/>
      <c r="M135" s="1"/>
      <c r="N135" s="1"/>
      <c r="O135" s="1"/>
      <c r="P135" s="1"/>
      <c r="Q135" s="1"/>
      <c r="R135" s="1"/>
      <c r="S135" s="1"/>
      <c r="T135" s="1"/>
      <c r="U135" s="1"/>
      <c r="V135" s="1"/>
      <c r="W135" s="1"/>
      <c r="X135" s="1"/>
    </row>
    <row r="136" spans="1:24" ht="13.5" customHeight="1" x14ac:dyDescent="0.3">
      <c r="A136" s="1"/>
      <c r="B136" s="1"/>
      <c r="C136" s="2"/>
      <c r="D136" s="1"/>
      <c r="E136" s="1"/>
      <c r="F136" s="3"/>
      <c r="G136" s="1"/>
      <c r="H136" s="1"/>
      <c r="I136" s="1"/>
      <c r="J136" s="1"/>
      <c r="K136" s="1"/>
      <c r="L136" s="1"/>
      <c r="M136" s="1"/>
      <c r="N136" s="1"/>
      <c r="O136" s="1"/>
      <c r="P136" s="1"/>
      <c r="Q136" s="1"/>
      <c r="R136" s="1"/>
      <c r="S136" s="1"/>
      <c r="T136" s="1"/>
      <c r="U136" s="1"/>
      <c r="V136" s="1"/>
      <c r="W136" s="1"/>
      <c r="X136" s="1"/>
    </row>
    <row r="137" spans="1:24" ht="13.5" customHeight="1" x14ac:dyDescent="0.3">
      <c r="A137" s="1"/>
      <c r="B137" s="1"/>
      <c r="C137" s="2"/>
      <c r="D137" s="1"/>
      <c r="E137" s="1"/>
      <c r="F137" s="3"/>
      <c r="G137" s="1"/>
      <c r="H137" s="1"/>
      <c r="I137" s="1"/>
      <c r="J137" s="1"/>
      <c r="K137" s="1"/>
      <c r="L137" s="1"/>
      <c r="M137" s="1"/>
      <c r="N137" s="1"/>
      <c r="O137" s="1"/>
      <c r="P137" s="1"/>
      <c r="Q137" s="1"/>
      <c r="R137" s="1"/>
      <c r="S137" s="1"/>
      <c r="T137" s="1"/>
      <c r="U137" s="1"/>
      <c r="V137" s="1"/>
      <c r="W137" s="1"/>
      <c r="X137" s="1"/>
    </row>
    <row r="138" spans="1:24" ht="13.5" customHeight="1" x14ac:dyDescent="0.3">
      <c r="A138" s="1"/>
      <c r="B138" s="1"/>
      <c r="C138" s="2"/>
      <c r="D138" s="1"/>
      <c r="E138" s="1"/>
      <c r="F138" s="3"/>
      <c r="G138" s="1"/>
      <c r="H138" s="1"/>
      <c r="I138" s="1"/>
      <c r="J138" s="1"/>
      <c r="K138" s="1"/>
      <c r="L138" s="1"/>
      <c r="M138" s="1"/>
      <c r="N138" s="1"/>
      <c r="O138" s="1"/>
      <c r="P138" s="1"/>
      <c r="Q138" s="1"/>
      <c r="R138" s="1"/>
      <c r="S138" s="1"/>
      <c r="T138" s="1"/>
      <c r="U138" s="1"/>
      <c r="V138" s="1"/>
      <c r="W138" s="1"/>
      <c r="X138" s="1"/>
    </row>
    <row r="139" spans="1:24" ht="13.5" customHeight="1" x14ac:dyDescent="0.3">
      <c r="A139" s="1"/>
      <c r="B139" s="1"/>
      <c r="C139" s="2"/>
      <c r="D139" s="1"/>
      <c r="E139" s="1"/>
      <c r="F139" s="3"/>
      <c r="G139" s="1"/>
      <c r="H139" s="1"/>
      <c r="I139" s="1"/>
      <c r="J139" s="1"/>
      <c r="K139" s="1"/>
      <c r="L139" s="1"/>
      <c r="M139" s="1"/>
      <c r="N139" s="1"/>
      <c r="O139" s="1"/>
      <c r="P139" s="1"/>
      <c r="Q139" s="1"/>
      <c r="R139" s="1"/>
      <c r="S139" s="1"/>
      <c r="T139" s="1"/>
      <c r="U139" s="1"/>
      <c r="V139" s="1"/>
      <c r="W139" s="1"/>
      <c r="X139" s="1"/>
    </row>
    <row r="140" spans="1:24" ht="13.5" customHeight="1" x14ac:dyDescent="0.3">
      <c r="A140" s="1"/>
      <c r="B140" s="1"/>
      <c r="C140" s="2"/>
      <c r="D140" s="1"/>
      <c r="E140" s="1"/>
      <c r="F140" s="3"/>
      <c r="G140" s="1"/>
      <c r="H140" s="1"/>
      <c r="I140" s="1"/>
      <c r="J140" s="1"/>
      <c r="K140" s="1"/>
      <c r="L140" s="1"/>
      <c r="M140" s="1"/>
      <c r="N140" s="1"/>
      <c r="O140" s="1"/>
      <c r="P140" s="1"/>
      <c r="Q140" s="1"/>
      <c r="R140" s="1"/>
      <c r="S140" s="1"/>
      <c r="T140" s="1"/>
      <c r="U140" s="1"/>
      <c r="V140" s="1"/>
      <c r="W140" s="1"/>
      <c r="X140" s="1"/>
    </row>
    <row r="141" spans="1:24" ht="13.5" customHeight="1" x14ac:dyDescent="0.3">
      <c r="A141" s="1"/>
      <c r="B141" s="1"/>
      <c r="C141" s="2"/>
      <c r="D141" s="1"/>
      <c r="E141" s="1"/>
      <c r="F141" s="3"/>
      <c r="G141" s="1"/>
      <c r="H141" s="1"/>
      <c r="I141" s="1"/>
      <c r="J141" s="1"/>
      <c r="K141" s="1"/>
      <c r="L141" s="1"/>
      <c r="M141" s="1"/>
      <c r="N141" s="1"/>
      <c r="O141" s="1"/>
      <c r="P141" s="1"/>
      <c r="Q141" s="1"/>
      <c r="R141" s="1"/>
      <c r="S141" s="1"/>
      <c r="T141" s="1"/>
      <c r="U141" s="1"/>
      <c r="V141" s="1"/>
      <c r="W141" s="1"/>
      <c r="X141" s="1"/>
    </row>
    <row r="142" spans="1:24" ht="13.5" customHeight="1" x14ac:dyDescent="0.3">
      <c r="A142" s="1"/>
      <c r="B142" s="1"/>
      <c r="C142" s="2"/>
      <c r="D142" s="1"/>
      <c r="E142" s="1"/>
      <c r="F142" s="3"/>
      <c r="G142" s="1"/>
      <c r="H142" s="1"/>
      <c r="I142" s="1"/>
      <c r="J142" s="1"/>
      <c r="K142" s="1"/>
      <c r="L142" s="1"/>
      <c r="M142" s="1"/>
      <c r="N142" s="1"/>
      <c r="O142" s="1"/>
      <c r="P142" s="1"/>
      <c r="Q142" s="1"/>
      <c r="R142" s="1"/>
      <c r="S142" s="1"/>
      <c r="T142" s="1"/>
      <c r="U142" s="1"/>
      <c r="V142" s="1"/>
      <c r="W142" s="1"/>
      <c r="X142" s="1"/>
    </row>
    <row r="143" spans="1:24" ht="13.5" customHeight="1" x14ac:dyDescent="0.3">
      <c r="A143" s="1"/>
      <c r="B143" s="1"/>
      <c r="C143" s="2"/>
      <c r="D143" s="1"/>
      <c r="E143" s="1"/>
      <c r="F143" s="3"/>
      <c r="G143" s="1"/>
      <c r="H143" s="1"/>
      <c r="I143" s="1"/>
      <c r="J143" s="1"/>
      <c r="K143" s="1"/>
      <c r="L143" s="1"/>
      <c r="M143" s="1"/>
      <c r="N143" s="1"/>
      <c r="O143" s="1"/>
      <c r="P143" s="1"/>
      <c r="Q143" s="1"/>
      <c r="R143" s="1"/>
      <c r="S143" s="1"/>
      <c r="T143" s="1"/>
      <c r="U143" s="1"/>
      <c r="V143" s="1"/>
      <c r="W143" s="1"/>
      <c r="X143" s="1"/>
    </row>
    <row r="144" spans="1:24" ht="13.5" customHeight="1" x14ac:dyDescent="0.3">
      <c r="A144" s="1"/>
      <c r="B144" s="1"/>
      <c r="C144" s="2"/>
      <c r="D144" s="1"/>
      <c r="E144" s="1"/>
      <c r="F144" s="3"/>
      <c r="G144" s="1"/>
      <c r="H144" s="1"/>
      <c r="I144" s="1"/>
      <c r="J144" s="1"/>
      <c r="K144" s="1"/>
      <c r="L144" s="1"/>
      <c r="M144" s="1"/>
      <c r="N144" s="1"/>
      <c r="O144" s="1"/>
      <c r="P144" s="1"/>
      <c r="Q144" s="1"/>
      <c r="R144" s="1"/>
      <c r="S144" s="1"/>
      <c r="T144" s="1"/>
      <c r="U144" s="1"/>
      <c r="V144" s="1"/>
      <c r="W144" s="1"/>
      <c r="X144" s="1"/>
    </row>
    <row r="145" spans="1:24" ht="13.5" customHeight="1" x14ac:dyDescent="0.3">
      <c r="A145" s="1"/>
      <c r="B145" s="1"/>
      <c r="C145" s="2"/>
      <c r="D145" s="1"/>
      <c r="E145" s="1"/>
      <c r="F145" s="3"/>
      <c r="G145" s="1"/>
      <c r="H145" s="1"/>
      <c r="I145" s="1"/>
      <c r="J145" s="1"/>
      <c r="K145" s="1"/>
      <c r="L145" s="1"/>
      <c r="M145" s="1"/>
      <c r="N145" s="1"/>
      <c r="O145" s="1"/>
      <c r="P145" s="1"/>
      <c r="Q145" s="1"/>
      <c r="R145" s="1"/>
      <c r="S145" s="1"/>
      <c r="T145" s="1"/>
      <c r="U145" s="1"/>
      <c r="V145" s="1"/>
      <c r="W145" s="1"/>
      <c r="X145" s="1"/>
    </row>
    <row r="146" spans="1:24" ht="13.5" customHeight="1" x14ac:dyDescent="0.3">
      <c r="A146" s="1"/>
      <c r="B146" s="1"/>
      <c r="C146" s="2"/>
      <c r="D146" s="1"/>
      <c r="E146" s="1"/>
      <c r="F146" s="3"/>
      <c r="G146" s="1"/>
      <c r="H146" s="1"/>
      <c r="I146" s="1"/>
      <c r="J146" s="1"/>
      <c r="K146" s="1"/>
      <c r="L146" s="1"/>
      <c r="M146" s="1"/>
      <c r="N146" s="1"/>
      <c r="O146" s="1"/>
      <c r="P146" s="1"/>
      <c r="Q146" s="1"/>
      <c r="R146" s="1"/>
      <c r="S146" s="1"/>
      <c r="T146" s="1"/>
      <c r="U146" s="1"/>
      <c r="V146" s="1"/>
      <c r="W146" s="1"/>
      <c r="X146" s="1"/>
    </row>
    <row r="147" spans="1:24" ht="13.5" customHeight="1" x14ac:dyDescent="0.3">
      <c r="A147" s="1"/>
      <c r="B147" s="1"/>
      <c r="C147" s="2"/>
      <c r="D147" s="1"/>
      <c r="E147" s="1"/>
      <c r="F147" s="3"/>
      <c r="G147" s="1"/>
      <c r="H147" s="1"/>
      <c r="I147" s="1"/>
      <c r="J147" s="1"/>
      <c r="K147" s="1"/>
      <c r="L147" s="1"/>
      <c r="M147" s="1"/>
      <c r="N147" s="1"/>
      <c r="O147" s="1"/>
      <c r="P147" s="1"/>
      <c r="Q147" s="1"/>
      <c r="R147" s="1"/>
      <c r="S147" s="1"/>
      <c r="T147" s="1"/>
      <c r="U147" s="1"/>
      <c r="V147" s="1"/>
      <c r="W147" s="1"/>
      <c r="X147" s="1"/>
    </row>
    <row r="148" spans="1:24" ht="13.5" customHeight="1" x14ac:dyDescent="0.3">
      <c r="A148" s="1"/>
      <c r="B148" s="1"/>
      <c r="C148" s="2"/>
      <c r="D148" s="1"/>
      <c r="E148" s="1"/>
      <c r="F148" s="3"/>
      <c r="G148" s="1"/>
      <c r="H148" s="1"/>
      <c r="I148" s="1"/>
      <c r="J148" s="1"/>
      <c r="K148" s="1"/>
      <c r="L148" s="1"/>
      <c r="M148" s="1"/>
      <c r="N148" s="1"/>
      <c r="O148" s="1"/>
      <c r="P148" s="1"/>
      <c r="Q148" s="1"/>
      <c r="R148" s="1"/>
      <c r="S148" s="1"/>
      <c r="T148" s="1"/>
      <c r="U148" s="1"/>
      <c r="V148" s="1"/>
      <c r="W148" s="1"/>
      <c r="X148" s="1"/>
    </row>
    <row r="149" spans="1:24" ht="13.5" customHeight="1" x14ac:dyDescent="0.3">
      <c r="A149" s="1"/>
      <c r="B149" s="1"/>
      <c r="C149" s="2"/>
      <c r="D149" s="1"/>
      <c r="E149" s="1"/>
      <c r="F149" s="3"/>
      <c r="G149" s="1"/>
      <c r="H149" s="1"/>
      <c r="I149" s="1"/>
      <c r="J149" s="1"/>
      <c r="K149" s="1"/>
      <c r="L149" s="1"/>
      <c r="M149" s="1"/>
      <c r="N149" s="1"/>
      <c r="O149" s="1"/>
      <c r="P149" s="1"/>
      <c r="Q149" s="1"/>
      <c r="R149" s="1"/>
      <c r="S149" s="1"/>
      <c r="T149" s="1"/>
      <c r="U149" s="1"/>
      <c r="V149" s="1"/>
      <c r="W149" s="1"/>
      <c r="X149" s="1"/>
    </row>
    <row r="150" spans="1:24" ht="13.5" customHeight="1" x14ac:dyDescent="0.3">
      <c r="A150" s="1"/>
      <c r="B150" s="1"/>
      <c r="C150" s="2"/>
      <c r="D150" s="1"/>
      <c r="E150" s="1"/>
      <c r="F150" s="3"/>
      <c r="G150" s="1"/>
      <c r="H150" s="1"/>
      <c r="I150" s="1"/>
      <c r="J150" s="1"/>
      <c r="K150" s="1"/>
      <c r="L150" s="1"/>
      <c r="M150" s="1"/>
      <c r="N150" s="1"/>
      <c r="O150" s="1"/>
      <c r="P150" s="1"/>
      <c r="Q150" s="1"/>
      <c r="R150" s="1"/>
      <c r="S150" s="1"/>
      <c r="T150" s="1"/>
      <c r="U150" s="1"/>
      <c r="V150" s="1"/>
      <c r="W150" s="1"/>
      <c r="X150" s="1"/>
    </row>
    <row r="151" spans="1:24" ht="13.5" customHeight="1" x14ac:dyDescent="0.3">
      <c r="A151" s="1"/>
      <c r="B151" s="1"/>
      <c r="C151" s="2"/>
      <c r="D151" s="1"/>
      <c r="E151" s="1"/>
      <c r="F151" s="3"/>
      <c r="G151" s="1"/>
      <c r="H151" s="1"/>
      <c r="I151" s="1"/>
      <c r="J151" s="1"/>
      <c r="K151" s="1"/>
      <c r="L151" s="1"/>
      <c r="M151" s="1"/>
      <c r="N151" s="1"/>
      <c r="O151" s="1"/>
      <c r="P151" s="1"/>
      <c r="Q151" s="1"/>
      <c r="R151" s="1"/>
      <c r="S151" s="1"/>
      <c r="T151" s="1"/>
      <c r="U151" s="1"/>
      <c r="V151" s="1"/>
      <c r="W151" s="1"/>
      <c r="X151" s="1"/>
    </row>
    <row r="152" spans="1:24" ht="13.5" customHeight="1" x14ac:dyDescent="0.3">
      <c r="A152" s="1"/>
      <c r="B152" s="1"/>
      <c r="C152" s="2"/>
      <c r="D152" s="1"/>
      <c r="E152" s="1"/>
      <c r="F152" s="3"/>
      <c r="G152" s="1"/>
      <c r="H152" s="1"/>
      <c r="I152" s="1"/>
      <c r="J152" s="1"/>
      <c r="K152" s="1"/>
      <c r="L152" s="1"/>
      <c r="M152" s="1"/>
      <c r="N152" s="1"/>
      <c r="O152" s="1"/>
      <c r="P152" s="1"/>
      <c r="Q152" s="1"/>
      <c r="R152" s="1"/>
      <c r="S152" s="1"/>
      <c r="T152" s="1"/>
      <c r="U152" s="1"/>
      <c r="V152" s="1"/>
      <c r="W152" s="1"/>
      <c r="X152" s="1"/>
    </row>
    <row r="153" spans="1:24" ht="13.5" customHeight="1" x14ac:dyDescent="0.3">
      <c r="A153" s="1"/>
      <c r="B153" s="1"/>
      <c r="C153" s="2"/>
      <c r="D153" s="1"/>
      <c r="E153" s="1"/>
      <c r="F153" s="3"/>
      <c r="G153" s="1"/>
      <c r="H153" s="1"/>
      <c r="I153" s="1"/>
      <c r="J153" s="1"/>
      <c r="K153" s="1"/>
      <c r="L153" s="1"/>
      <c r="M153" s="1"/>
      <c r="N153" s="1"/>
      <c r="O153" s="1"/>
      <c r="P153" s="1"/>
      <c r="Q153" s="1"/>
      <c r="R153" s="1"/>
      <c r="S153" s="1"/>
      <c r="T153" s="1"/>
      <c r="U153" s="1"/>
      <c r="V153" s="1"/>
      <c r="W153" s="1"/>
      <c r="X153" s="1"/>
    </row>
    <row r="154" spans="1:24" ht="13.5" customHeight="1" x14ac:dyDescent="0.3">
      <c r="A154" s="1"/>
      <c r="B154" s="1"/>
      <c r="C154" s="2"/>
      <c r="D154" s="1"/>
      <c r="E154" s="1"/>
      <c r="F154" s="3"/>
      <c r="G154" s="1"/>
      <c r="H154" s="1"/>
      <c r="I154" s="1"/>
      <c r="J154" s="1"/>
      <c r="K154" s="1"/>
      <c r="L154" s="1"/>
      <c r="M154" s="1"/>
      <c r="N154" s="1"/>
      <c r="O154" s="1"/>
      <c r="P154" s="1"/>
      <c r="Q154" s="1"/>
      <c r="R154" s="1"/>
      <c r="S154" s="1"/>
      <c r="T154" s="1"/>
      <c r="U154" s="1"/>
      <c r="V154" s="1"/>
      <c r="W154" s="1"/>
      <c r="X154" s="1"/>
    </row>
    <row r="155" spans="1:24" ht="13.5" customHeight="1" x14ac:dyDescent="0.3">
      <c r="A155" s="1"/>
      <c r="B155" s="1"/>
      <c r="C155" s="2"/>
      <c r="D155" s="1"/>
      <c r="E155" s="1"/>
      <c r="F155" s="3"/>
      <c r="G155" s="1"/>
      <c r="H155" s="1"/>
      <c r="I155" s="1"/>
      <c r="J155" s="1"/>
      <c r="K155" s="1"/>
      <c r="L155" s="1"/>
      <c r="M155" s="1"/>
      <c r="N155" s="1"/>
      <c r="O155" s="1"/>
      <c r="P155" s="1"/>
      <c r="Q155" s="1"/>
      <c r="R155" s="1"/>
      <c r="S155" s="1"/>
      <c r="T155" s="1"/>
      <c r="U155" s="1"/>
      <c r="V155" s="1"/>
      <c r="W155" s="1"/>
      <c r="X155" s="1"/>
    </row>
    <row r="156" spans="1:24" ht="13.5" customHeight="1" x14ac:dyDescent="0.3">
      <c r="A156" s="1"/>
      <c r="B156" s="1"/>
      <c r="C156" s="2"/>
      <c r="D156" s="1"/>
      <c r="E156" s="1"/>
      <c r="F156" s="3"/>
      <c r="G156" s="1"/>
      <c r="H156" s="1"/>
      <c r="I156" s="1"/>
      <c r="J156" s="1"/>
      <c r="K156" s="1"/>
      <c r="L156" s="1"/>
      <c r="M156" s="1"/>
      <c r="N156" s="1"/>
      <c r="O156" s="1"/>
      <c r="P156" s="1"/>
      <c r="Q156" s="1"/>
      <c r="R156" s="1"/>
      <c r="S156" s="1"/>
      <c r="T156" s="1"/>
      <c r="U156" s="1"/>
      <c r="V156" s="1"/>
      <c r="W156" s="1"/>
      <c r="X156" s="1"/>
    </row>
    <row r="157" spans="1:24" ht="13.5" customHeight="1" x14ac:dyDescent="0.3">
      <c r="A157" s="1"/>
      <c r="B157" s="1"/>
      <c r="C157" s="2"/>
      <c r="D157" s="1"/>
      <c r="E157" s="1"/>
      <c r="F157" s="3"/>
      <c r="G157" s="1"/>
      <c r="H157" s="1"/>
      <c r="I157" s="1"/>
      <c r="J157" s="1"/>
      <c r="K157" s="1"/>
      <c r="L157" s="1"/>
      <c r="M157" s="1"/>
      <c r="N157" s="1"/>
      <c r="O157" s="1"/>
      <c r="P157" s="1"/>
      <c r="Q157" s="1"/>
      <c r="R157" s="1"/>
      <c r="S157" s="1"/>
      <c r="T157" s="1"/>
      <c r="U157" s="1"/>
      <c r="V157" s="1"/>
      <c r="W157" s="1"/>
      <c r="X157" s="1"/>
    </row>
    <row r="158" spans="1:24" ht="13.5" customHeight="1" x14ac:dyDescent="0.3">
      <c r="A158" s="1"/>
      <c r="B158" s="1"/>
      <c r="C158" s="2"/>
      <c r="D158" s="1"/>
      <c r="E158" s="1"/>
      <c r="F158" s="3"/>
      <c r="G158" s="1"/>
      <c r="H158" s="1"/>
      <c r="I158" s="1"/>
      <c r="J158" s="1"/>
      <c r="K158" s="1"/>
      <c r="L158" s="1"/>
      <c r="M158" s="1"/>
      <c r="N158" s="1"/>
      <c r="O158" s="1"/>
      <c r="P158" s="1"/>
      <c r="Q158" s="1"/>
      <c r="R158" s="1"/>
      <c r="S158" s="1"/>
      <c r="T158" s="1"/>
      <c r="U158" s="1"/>
      <c r="V158" s="1"/>
      <c r="W158" s="1"/>
      <c r="X158" s="1"/>
    </row>
    <row r="159" spans="1:24" ht="13.5" customHeight="1" x14ac:dyDescent="0.3">
      <c r="A159" s="1"/>
      <c r="B159" s="1"/>
      <c r="C159" s="2"/>
      <c r="D159" s="1"/>
      <c r="E159" s="1"/>
      <c r="F159" s="3"/>
      <c r="G159" s="1"/>
      <c r="H159" s="1"/>
      <c r="I159" s="1"/>
      <c r="J159" s="1"/>
      <c r="K159" s="1"/>
      <c r="L159" s="1"/>
      <c r="M159" s="1"/>
      <c r="N159" s="1"/>
      <c r="O159" s="1"/>
      <c r="P159" s="1"/>
      <c r="Q159" s="1"/>
      <c r="R159" s="1"/>
      <c r="S159" s="1"/>
      <c r="T159" s="1"/>
      <c r="U159" s="1"/>
      <c r="V159" s="1"/>
      <c r="W159" s="1"/>
      <c r="X159" s="1"/>
    </row>
    <row r="160" spans="1:24" ht="13.5" customHeight="1" x14ac:dyDescent="0.3">
      <c r="A160" s="1"/>
      <c r="B160" s="1"/>
      <c r="C160" s="2"/>
      <c r="D160" s="1"/>
      <c r="E160" s="1"/>
      <c r="F160" s="3"/>
      <c r="G160" s="1"/>
      <c r="H160" s="1"/>
      <c r="I160" s="1"/>
      <c r="J160" s="1"/>
      <c r="K160" s="1"/>
      <c r="L160" s="1"/>
      <c r="M160" s="1"/>
      <c r="N160" s="1"/>
      <c r="O160" s="1"/>
      <c r="P160" s="1"/>
      <c r="Q160" s="1"/>
      <c r="R160" s="1"/>
      <c r="S160" s="1"/>
      <c r="T160" s="1"/>
      <c r="U160" s="1"/>
      <c r="V160" s="1"/>
      <c r="W160" s="1"/>
      <c r="X160" s="1"/>
    </row>
    <row r="161" spans="1:24" ht="13.5" customHeight="1" x14ac:dyDescent="0.3">
      <c r="A161" s="1"/>
      <c r="B161" s="1"/>
      <c r="C161" s="2"/>
      <c r="D161" s="1"/>
      <c r="E161" s="1"/>
      <c r="F161" s="3"/>
      <c r="G161" s="1"/>
      <c r="H161" s="1"/>
      <c r="I161" s="1"/>
      <c r="J161" s="1"/>
      <c r="K161" s="1"/>
      <c r="L161" s="1"/>
      <c r="M161" s="1"/>
      <c r="N161" s="1"/>
      <c r="O161" s="1"/>
      <c r="P161" s="1"/>
      <c r="Q161" s="1"/>
      <c r="R161" s="1"/>
      <c r="S161" s="1"/>
      <c r="T161" s="1"/>
      <c r="U161" s="1"/>
      <c r="V161" s="1"/>
      <c r="W161" s="1"/>
      <c r="X161" s="1"/>
    </row>
    <row r="162" spans="1:24" ht="13.5" customHeight="1" x14ac:dyDescent="0.3">
      <c r="A162" s="1"/>
      <c r="B162" s="1"/>
      <c r="C162" s="2"/>
      <c r="D162" s="1"/>
      <c r="E162" s="1"/>
      <c r="F162" s="3"/>
      <c r="G162" s="1"/>
      <c r="H162" s="1"/>
      <c r="I162" s="1"/>
      <c r="J162" s="1"/>
      <c r="K162" s="1"/>
      <c r="L162" s="1"/>
      <c r="M162" s="1"/>
      <c r="N162" s="1"/>
      <c r="O162" s="1"/>
      <c r="P162" s="1"/>
      <c r="Q162" s="1"/>
      <c r="R162" s="1"/>
      <c r="S162" s="1"/>
      <c r="T162" s="1"/>
      <c r="U162" s="1"/>
      <c r="V162" s="1"/>
      <c r="W162" s="1"/>
      <c r="X162" s="1"/>
    </row>
    <row r="163" spans="1:24" ht="13.5" customHeight="1" x14ac:dyDescent="0.3">
      <c r="A163" s="1"/>
      <c r="B163" s="1"/>
      <c r="C163" s="2"/>
      <c r="D163" s="1"/>
      <c r="E163" s="1"/>
      <c r="F163" s="3"/>
      <c r="G163" s="1"/>
      <c r="H163" s="1"/>
      <c r="I163" s="1"/>
      <c r="J163" s="1"/>
      <c r="K163" s="1"/>
      <c r="L163" s="1"/>
      <c r="M163" s="1"/>
      <c r="N163" s="1"/>
      <c r="O163" s="1"/>
      <c r="P163" s="1"/>
      <c r="Q163" s="1"/>
      <c r="R163" s="1"/>
      <c r="S163" s="1"/>
      <c r="T163" s="1"/>
      <c r="U163" s="1"/>
      <c r="V163" s="1"/>
      <c r="W163" s="1"/>
      <c r="X163" s="1"/>
    </row>
    <row r="164" spans="1:24" ht="13.5" customHeight="1" x14ac:dyDescent="0.3">
      <c r="A164" s="1"/>
      <c r="B164" s="1"/>
      <c r="C164" s="2"/>
      <c r="D164" s="1"/>
      <c r="E164" s="1"/>
      <c r="F164" s="3"/>
      <c r="G164" s="1"/>
      <c r="H164" s="1"/>
      <c r="I164" s="1"/>
      <c r="J164" s="1"/>
      <c r="K164" s="1"/>
      <c r="L164" s="1"/>
      <c r="M164" s="1"/>
      <c r="N164" s="1"/>
      <c r="O164" s="1"/>
      <c r="P164" s="1"/>
      <c r="Q164" s="1"/>
      <c r="R164" s="1"/>
      <c r="S164" s="1"/>
      <c r="T164" s="1"/>
      <c r="U164" s="1"/>
      <c r="V164" s="1"/>
      <c r="W164" s="1"/>
      <c r="X164" s="1"/>
    </row>
    <row r="165" spans="1:24" ht="13.5" customHeight="1" x14ac:dyDescent="0.3">
      <c r="A165" s="1"/>
      <c r="B165" s="1"/>
      <c r="C165" s="2"/>
      <c r="D165" s="1"/>
      <c r="E165" s="1"/>
      <c r="F165" s="3"/>
      <c r="G165" s="1"/>
      <c r="H165" s="1"/>
      <c r="I165" s="1"/>
      <c r="J165" s="1"/>
      <c r="K165" s="1"/>
      <c r="L165" s="1"/>
      <c r="M165" s="1"/>
      <c r="N165" s="1"/>
      <c r="O165" s="1"/>
      <c r="P165" s="1"/>
      <c r="Q165" s="1"/>
      <c r="R165" s="1"/>
      <c r="S165" s="1"/>
      <c r="T165" s="1"/>
      <c r="U165" s="1"/>
      <c r="V165" s="1"/>
      <c r="W165" s="1"/>
      <c r="X165" s="1"/>
    </row>
    <row r="166" spans="1:24" ht="13.5" customHeight="1" x14ac:dyDescent="0.3">
      <c r="A166" s="1"/>
      <c r="B166" s="1"/>
      <c r="C166" s="2"/>
      <c r="D166" s="1"/>
      <c r="E166" s="1"/>
      <c r="F166" s="3"/>
      <c r="G166" s="1"/>
      <c r="H166" s="1"/>
      <c r="I166" s="1"/>
      <c r="J166" s="1"/>
      <c r="K166" s="1"/>
      <c r="L166" s="1"/>
      <c r="M166" s="1"/>
      <c r="N166" s="1"/>
      <c r="O166" s="1"/>
      <c r="P166" s="1"/>
      <c r="Q166" s="1"/>
      <c r="R166" s="1"/>
      <c r="S166" s="1"/>
      <c r="T166" s="1"/>
      <c r="U166" s="1"/>
      <c r="V166" s="1"/>
      <c r="W166" s="1"/>
      <c r="X166" s="1"/>
    </row>
    <row r="167" spans="1:24" ht="13.5" customHeight="1" x14ac:dyDescent="0.3">
      <c r="A167" s="1"/>
      <c r="B167" s="1"/>
      <c r="C167" s="2"/>
      <c r="D167" s="1"/>
      <c r="E167" s="1"/>
      <c r="F167" s="3"/>
      <c r="G167" s="1"/>
      <c r="H167" s="1"/>
      <c r="I167" s="1"/>
      <c r="J167" s="1"/>
      <c r="K167" s="1"/>
      <c r="L167" s="1"/>
      <c r="M167" s="1"/>
      <c r="N167" s="1"/>
      <c r="O167" s="1"/>
      <c r="P167" s="1"/>
      <c r="Q167" s="1"/>
      <c r="R167" s="1"/>
      <c r="S167" s="1"/>
      <c r="T167" s="1"/>
      <c r="U167" s="1"/>
      <c r="V167" s="1"/>
      <c r="W167" s="1"/>
      <c r="X167" s="1"/>
    </row>
    <row r="168" spans="1:24" ht="13.5" customHeight="1" x14ac:dyDescent="0.3">
      <c r="A168" s="1"/>
      <c r="B168" s="1"/>
      <c r="C168" s="2"/>
      <c r="D168" s="1"/>
      <c r="E168" s="1"/>
      <c r="F168" s="3"/>
      <c r="G168" s="1"/>
      <c r="H168" s="1"/>
      <c r="I168" s="1"/>
      <c r="J168" s="1"/>
      <c r="K168" s="1"/>
      <c r="L168" s="1"/>
      <c r="M168" s="1"/>
      <c r="N168" s="1"/>
      <c r="O168" s="1"/>
      <c r="P168" s="1"/>
      <c r="Q168" s="1"/>
      <c r="R168" s="1"/>
      <c r="S168" s="1"/>
      <c r="T168" s="1"/>
      <c r="U168" s="1"/>
      <c r="V168" s="1"/>
      <c r="W168" s="1"/>
      <c r="X168" s="1"/>
    </row>
    <row r="169" spans="1:24" ht="13.5" customHeight="1" x14ac:dyDescent="0.3">
      <c r="A169" s="1"/>
      <c r="B169" s="1"/>
      <c r="C169" s="2"/>
      <c r="D169" s="1"/>
      <c r="E169" s="1"/>
      <c r="F169" s="3"/>
      <c r="G169" s="1"/>
      <c r="H169" s="1"/>
      <c r="I169" s="1"/>
      <c r="J169" s="1"/>
      <c r="K169" s="1"/>
      <c r="L169" s="1"/>
      <c r="M169" s="1"/>
      <c r="N169" s="1"/>
      <c r="O169" s="1"/>
      <c r="P169" s="1"/>
      <c r="Q169" s="1"/>
      <c r="R169" s="1"/>
      <c r="S169" s="1"/>
      <c r="T169" s="1"/>
      <c r="U169" s="1"/>
      <c r="V169" s="1"/>
      <c r="W169" s="1"/>
      <c r="X169" s="1"/>
    </row>
    <row r="170" spans="1:24" ht="13.5" customHeight="1" x14ac:dyDescent="0.3">
      <c r="A170" s="1"/>
      <c r="B170" s="1"/>
      <c r="C170" s="2"/>
      <c r="D170" s="1"/>
      <c r="E170" s="1"/>
      <c r="F170" s="3"/>
      <c r="G170" s="1"/>
      <c r="H170" s="1"/>
      <c r="I170" s="1"/>
      <c r="J170" s="1"/>
      <c r="K170" s="1"/>
      <c r="L170" s="1"/>
      <c r="M170" s="1"/>
      <c r="N170" s="1"/>
      <c r="O170" s="1"/>
      <c r="P170" s="1"/>
      <c r="Q170" s="1"/>
      <c r="R170" s="1"/>
      <c r="S170" s="1"/>
      <c r="T170" s="1"/>
      <c r="U170" s="1"/>
      <c r="V170" s="1"/>
      <c r="W170" s="1"/>
      <c r="X170" s="1"/>
    </row>
    <row r="171" spans="1:24" ht="13.5" customHeight="1" x14ac:dyDescent="0.3">
      <c r="A171" s="1"/>
      <c r="B171" s="1"/>
      <c r="C171" s="2"/>
      <c r="D171" s="1"/>
      <c r="E171" s="1"/>
      <c r="F171" s="3"/>
      <c r="G171" s="1"/>
      <c r="H171" s="1"/>
      <c r="I171" s="1"/>
      <c r="J171" s="1"/>
      <c r="K171" s="1"/>
      <c r="L171" s="1"/>
      <c r="M171" s="1"/>
      <c r="N171" s="1"/>
      <c r="O171" s="1"/>
      <c r="P171" s="1"/>
      <c r="Q171" s="1"/>
      <c r="R171" s="1"/>
      <c r="S171" s="1"/>
      <c r="T171" s="1"/>
      <c r="U171" s="1"/>
      <c r="V171" s="1"/>
      <c r="W171" s="1"/>
      <c r="X171" s="1"/>
    </row>
    <row r="172" spans="1:24" ht="13.5" customHeight="1" x14ac:dyDescent="0.3">
      <c r="A172" s="1"/>
      <c r="B172" s="1"/>
      <c r="C172" s="2"/>
      <c r="D172" s="1"/>
      <c r="E172" s="1"/>
      <c r="F172" s="3"/>
      <c r="G172" s="1"/>
      <c r="H172" s="1"/>
      <c r="I172" s="1"/>
      <c r="J172" s="1"/>
      <c r="K172" s="1"/>
      <c r="L172" s="1"/>
      <c r="M172" s="1"/>
      <c r="N172" s="1"/>
      <c r="O172" s="1"/>
      <c r="P172" s="1"/>
      <c r="Q172" s="1"/>
      <c r="R172" s="1"/>
      <c r="S172" s="1"/>
      <c r="T172" s="1"/>
      <c r="U172" s="1"/>
      <c r="V172" s="1"/>
      <c r="W172" s="1"/>
      <c r="X172" s="1"/>
    </row>
    <row r="173" spans="1:24" ht="13.5" customHeight="1" x14ac:dyDescent="0.3">
      <c r="A173" s="1"/>
      <c r="B173" s="1"/>
      <c r="C173" s="2"/>
      <c r="D173" s="1"/>
      <c r="E173" s="1"/>
      <c r="F173" s="3"/>
      <c r="G173" s="1"/>
      <c r="H173" s="1"/>
      <c r="I173" s="1"/>
      <c r="J173" s="1"/>
      <c r="K173" s="1"/>
      <c r="L173" s="1"/>
      <c r="M173" s="1"/>
      <c r="N173" s="1"/>
      <c r="O173" s="1"/>
      <c r="P173" s="1"/>
      <c r="Q173" s="1"/>
      <c r="R173" s="1"/>
      <c r="S173" s="1"/>
      <c r="T173" s="1"/>
      <c r="U173" s="1"/>
      <c r="V173" s="1"/>
      <c r="W173" s="1"/>
      <c r="X173" s="1"/>
    </row>
    <row r="174" spans="1:24" ht="13.5" customHeight="1" x14ac:dyDescent="0.3">
      <c r="A174" s="1"/>
      <c r="B174" s="1"/>
      <c r="C174" s="2"/>
      <c r="D174" s="1"/>
      <c r="E174" s="1"/>
      <c r="F174" s="3"/>
      <c r="G174" s="1"/>
      <c r="H174" s="1"/>
      <c r="I174" s="1"/>
      <c r="J174" s="1"/>
      <c r="K174" s="1"/>
      <c r="L174" s="1"/>
      <c r="M174" s="1"/>
      <c r="N174" s="1"/>
      <c r="O174" s="1"/>
      <c r="P174" s="1"/>
      <c r="Q174" s="1"/>
      <c r="R174" s="1"/>
      <c r="S174" s="1"/>
      <c r="T174" s="1"/>
      <c r="U174" s="1"/>
      <c r="V174" s="1"/>
      <c r="W174" s="1"/>
      <c r="X174" s="1"/>
    </row>
    <row r="175" spans="1:24" ht="13.5" customHeight="1" x14ac:dyDescent="0.3">
      <c r="A175" s="1"/>
      <c r="B175" s="1"/>
      <c r="C175" s="2"/>
      <c r="D175" s="1"/>
      <c r="E175" s="1"/>
      <c r="F175" s="3"/>
      <c r="G175" s="1"/>
      <c r="H175" s="1"/>
      <c r="I175" s="1"/>
      <c r="J175" s="1"/>
      <c r="K175" s="1"/>
      <c r="L175" s="1"/>
      <c r="M175" s="1"/>
      <c r="N175" s="1"/>
      <c r="O175" s="1"/>
      <c r="P175" s="1"/>
      <c r="Q175" s="1"/>
      <c r="R175" s="1"/>
      <c r="S175" s="1"/>
      <c r="T175" s="1"/>
      <c r="U175" s="1"/>
      <c r="V175" s="1"/>
      <c r="W175" s="1"/>
      <c r="X175" s="1"/>
    </row>
    <row r="176" spans="1:24" ht="13.5" customHeight="1" x14ac:dyDescent="0.3">
      <c r="A176" s="1"/>
      <c r="B176" s="1"/>
      <c r="C176" s="2"/>
      <c r="D176" s="1"/>
      <c r="E176" s="1"/>
      <c r="F176" s="3"/>
      <c r="G176" s="1"/>
      <c r="H176" s="1"/>
      <c r="I176" s="1"/>
      <c r="J176" s="1"/>
      <c r="K176" s="1"/>
      <c r="L176" s="1"/>
      <c r="M176" s="1"/>
      <c r="N176" s="1"/>
      <c r="O176" s="1"/>
      <c r="P176" s="1"/>
      <c r="Q176" s="1"/>
      <c r="R176" s="1"/>
      <c r="S176" s="1"/>
      <c r="T176" s="1"/>
      <c r="U176" s="1"/>
      <c r="V176" s="1"/>
      <c r="W176" s="1"/>
      <c r="X176" s="1"/>
    </row>
    <row r="177" spans="1:24" ht="13.5" customHeight="1" x14ac:dyDescent="0.3">
      <c r="A177" s="1"/>
      <c r="B177" s="1"/>
      <c r="C177" s="2"/>
      <c r="D177" s="1"/>
      <c r="E177" s="1"/>
      <c r="F177" s="3"/>
      <c r="G177" s="1"/>
      <c r="H177" s="1"/>
      <c r="I177" s="1"/>
      <c r="J177" s="1"/>
      <c r="K177" s="1"/>
      <c r="L177" s="1"/>
      <c r="M177" s="1"/>
      <c r="N177" s="1"/>
      <c r="O177" s="1"/>
      <c r="P177" s="1"/>
      <c r="Q177" s="1"/>
      <c r="R177" s="1"/>
      <c r="S177" s="1"/>
      <c r="T177" s="1"/>
      <c r="U177" s="1"/>
      <c r="V177" s="1"/>
      <c r="W177" s="1"/>
      <c r="X177" s="1"/>
    </row>
    <row r="178" spans="1:24" ht="13.5" customHeight="1" x14ac:dyDescent="0.3">
      <c r="A178" s="1"/>
      <c r="B178" s="1"/>
      <c r="C178" s="2"/>
      <c r="D178" s="1"/>
      <c r="E178" s="1"/>
      <c r="F178" s="3"/>
      <c r="G178" s="1"/>
      <c r="H178" s="1"/>
      <c r="I178" s="1"/>
      <c r="J178" s="1"/>
      <c r="K178" s="1"/>
      <c r="L178" s="1"/>
      <c r="M178" s="1"/>
      <c r="N178" s="1"/>
      <c r="O178" s="1"/>
      <c r="P178" s="1"/>
      <c r="Q178" s="1"/>
      <c r="R178" s="1"/>
      <c r="S178" s="1"/>
      <c r="T178" s="1"/>
      <c r="U178" s="1"/>
      <c r="V178" s="1"/>
      <c r="W178" s="1"/>
      <c r="X178" s="1"/>
    </row>
    <row r="179" spans="1:24" ht="13.5" customHeight="1" x14ac:dyDescent="0.3">
      <c r="A179" s="1"/>
      <c r="B179" s="1"/>
      <c r="C179" s="2"/>
      <c r="D179" s="1"/>
      <c r="E179" s="1"/>
      <c r="F179" s="3"/>
      <c r="G179" s="1"/>
      <c r="H179" s="1"/>
      <c r="I179" s="1"/>
      <c r="J179" s="1"/>
      <c r="K179" s="1"/>
      <c r="L179" s="1"/>
      <c r="M179" s="1"/>
      <c r="N179" s="1"/>
      <c r="O179" s="1"/>
      <c r="P179" s="1"/>
      <c r="Q179" s="1"/>
      <c r="R179" s="1"/>
      <c r="S179" s="1"/>
      <c r="T179" s="1"/>
      <c r="U179" s="1"/>
      <c r="V179" s="1"/>
      <c r="W179" s="1"/>
      <c r="X179" s="1"/>
    </row>
    <row r="180" spans="1:24" ht="13.5" customHeight="1" x14ac:dyDescent="0.3">
      <c r="A180" s="1"/>
      <c r="B180" s="1"/>
      <c r="C180" s="2"/>
      <c r="D180" s="1"/>
      <c r="E180" s="1"/>
      <c r="F180" s="3"/>
      <c r="G180" s="1"/>
      <c r="H180" s="1"/>
      <c r="I180" s="1"/>
      <c r="J180" s="1"/>
      <c r="K180" s="1"/>
      <c r="L180" s="1"/>
      <c r="M180" s="1"/>
      <c r="N180" s="1"/>
      <c r="O180" s="1"/>
      <c r="P180" s="1"/>
      <c r="Q180" s="1"/>
      <c r="R180" s="1"/>
      <c r="S180" s="1"/>
      <c r="T180" s="1"/>
      <c r="U180" s="1"/>
      <c r="V180" s="1"/>
      <c r="W180" s="1"/>
      <c r="X180" s="1"/>
    </row>
    <row r="181" spans="1:24" ht="13.5" customHeight="1" x14ac:dyDescent="0.3">
      <c r="A181" s="1"/>
      <c r="B181" s="1"/>
      <c r="C181" s="2"/>
      <c r="D181" s="1"/>
      <c r="E181" s="1"/>
      <c r="F181" s="3"/>
      <c r="G181" s="1"/>
      <c r="H181" s="1"/>
      <c r="I181" s="1"/>
      <c r="J181" s="1"/>
      <c r="K181" s="1"/>
      <c r="L181" s="1"/>
      <c r="M181" s="1"/>
      <c r="N181" s="1"/>
      <c r="O181" s="1"/>
      <c r="P181" s="1"/>
      <c r="Q181" s="1"/>
      <c r="R181" s="1"/>
      <c r="S181" s="1"/>
      <c r="T181" s="1"/>
      <c r="U181" s="1"/>
      <c r="V181" s="1"/>
      <c r="W181" s="1"/>
      <c r="X181" s="1"/>
    </row>
    <row r="182" spans="1:24" ht="13.5" customHeight="1" x14ac:dyDescent="0.3">
      <c r="A182" s="1"/>
      <c r="B182" s="1"/>
      <c r="C182" s="2"/>
      <c r="D182" s="1"/>
      <c r="E182" s="1"/>
      <c r="F182" s="3"/>
      <c r="G182" s="1"/>
      <c r="H182" s="1"/>
      <c r="I182" s="1"/>
      <c r="J182" s="1"/>
      <c r="K182" s="1"/>
      <c r="L182" s="1"/>
      <c r="M182" s="1"/>
      <c r="N182" s="1"/>
      <c r="O182" s="1"/>
      <c r="P182" s="1"/>
      <c r="Q182" s="1"/>
      <c r="R182" s="1"/>
      <c r="S182" s="1"/>
      <c r="T182" s="1"/>
      <c r="U182" s="1"/>
      <c r="V182" s="1"/>
      <c r="W182" s="1"/>
      <c r="X182" s="1"/>
    </row>
    <row r="183" spans="1:24" ht="13.5" customHeight="1" x14ac:dyDescent="0.3">
      <c r="A183" s="1"/>
      <c r="B183" s="1"/>
      <c r="C183" s="2"/>
      <c r="D183" s="1"/>
      <c r="E183" s="1"/>
      <c r="F183" s="3"/>
      <c r="G183" s="1"/>
      <c r="H183" s="1"/>
      <c r="I183" s="1"/>
      <c r="J183" s="1"/>
      <c r="K183" s="1"/>
      <c r="L183" s="1"/>
      <c r="M183" s="1"/>
      <c r="N183" s="1"/>
      <c r="O183" s="1"/>
      <c r="P183" s="1"/>
      <c r="Q183" s="1"/>
      <c r="R183" s="1"/>
      <c r="S183" s="1"/>
      <c r="T183" s="1"/>
      <c r="U183" s="1"/>
      <c r="V183" s="1"/>
      <c r="W183" s="1"/>
      <c r="X183" s="1"/>
    </row>
    <row r="184" spans="1:24" ht="13.5" customHeight="1" x14ac:dyDescent="0.3">
      <c r="A184" s="1"/>
      <c r="B184" s="1"/>
      <c r="C184" s="2"/>
      <c r="D184" s="1"/>
      <c r="E184" s="1"/>
      <c r="F184" s="3"/>
      <c r="G184" s="1"/>
      <c r="H184" s="1"/>
      <c r="I184" s="1"/>
      <c r="J184" s="1"/>
      <c r="K184" s="1"/>
      <c r="L184" s="1"/>
      <c r="M184" s="1"/>
      <c r="N184" s="1"/>
      <c r="O184" s="1"/>
      <c r="P184" s="1"/>
      <c r="Q184" s="1"/>
      <c r="R184" s="1"/>
      <c r="S184" s="1"/>
      <c r="T184" s="1"/>
      <c r="U184" s="1"/>
      <c r="V184" s="1"/>
      <c r="W184" s="1"/>
      <c r="X184" s="1"/>
    </row>
    <row r="185" spans="1:24" ht="13.5" customHeight="1" x14ac:dyDescent="0.3">
      <c r="A185" s="1"/>
      <c r="B185" s="1"/>
      <c r="C185" s="2"/>
      <c r="D185" s="1"/>
      <c r="E185" s="1"/>
      <c r="F185" s="3"/>
      <c r="G185" s="1"/>
      <c r="H185" s="1"/>
      <c r="I185" s="1"/>
      <c r="J185" s="1"/>
      <c r="K185" s="1"/>
      <c r="L185" s="1"/>
      <c r="M185" s="1"/>
      <c r="N185" s="1"/>
      <c r="O185" s="1"/>
      <c r="P185" s="1"/>
      <c r="Q185" s="1"/>
      <c r="R185" s="1"/>
      <c r="S185" s="1"/>
      <c r="T185" s="1"/>
      <c r="U185" s="1"/>
      <c r="V185" s="1"/>
      <c r="W185" s="1"/>
      <c r="X185" s="1"/>
    </row>
    <row r="186" spans="1:24" ht="13.5" customHeight="1" x14ac:dyDescent="0.3">
      <c r="A186" s="1"/>
      <c r="B186" s="1"/>
      <c r="C186" s="2"/>
      <c r="D186" s="1"/>
      <c r="E186" s="1"/>
      <c r="F186" s="3"/>
      <c r="G186" s="1"/>
      <c r="H186" s="1"/>
      <c r="I186" s="1"/>
      <c r="J186" s="1"/>
      <c r="K186" s="1"/>
      <c r="L186" s="1"/>
      <c r="M186" s="1"/>
      <c r="N186" s="1"/>
      <c r="O186" s="1"/>
      <c r="P186" s="1"/>
      <c r="Q186" s="1"/>
      <c r="R186" s="1"/>
      <c r="S186" s="1"/>
      <c r="T186" s="1"/>
      <c r="U186" s="1"/>
      <c r="V186" s="1"/>
      <c r="W186" s="1"/>
      <c r="X186" s="1"/>
    </row>
    <row r="187" spans="1:24" ht="13.5" customHeight="1" x14ac:dyDescent="0.3">
      <c r="A187" s="1"/>
      <c r="B187" s="1"/>
      <c r="C187" s="2"/>
      <c r="D187" s="1"/>
      <c r="E187" s="1"/>
      <c r="F187" s="3"/>
      <c r="G187" s="1"/>
      <c r="H187" s="1"/>
      <c r="I187" s="1"/>
      <c r="J187" s="1"/>
      <c r="K187" s="1"/>
      <c r="L187" s="1"/>
      <c r="M187" s="1"/>
      <c r="N187" s="1"/>
      <c r="O187" s="1"/>
      <c r="P187" s="1"/>
      <c r="Q187" s="1"/>
      <c r="R187" s="1"/>
      <c r="S187" s="1"/>
      <c r="T187" s="1"/>
      <c r="U187" s="1"/>
      <c r="V187" s="1"/>
      <c r="W187" s="1"/>
      <c r="X187" s="1"/>
    </row>
    <row r="188" spans="1:24" ht="13.5" customHeight="1" x14ac:dyDescent="0.3">
      <c r="A188" s="1"/>
      <c r="B188" s="1"/>
      <c r="C188" s="2"/>
      <c r="D188" s="1"/>
      <c r="E188" s="1"/>
      <c r="F188" s="3"/>
      <c r="G188" s="1"/>
      <c r="H188" s="1"/>
      <c r="I188" s="1"/>
      <c r="J188" s="1"/>
      <c r="K188" s="1"/>
      <c r="L188" s="1"/>
      <c r="M188" s="1"/>
      <c r="N188" s="1"/>
      <c r="O188" s="1"/>
      <c r="P188" s="1"/>
      <c r="Q188" s="1"/>
      <c r="R188" s="1"/>
      <c r="S188" s="1"/>
      <c r="T188" s="1"/>
      <c r="U188" s="1"/>
      <c r="V188" s="1"/>
      <c r="W188" s="1"/>
      <c r="X188" s="1"/>
    </row>
    <row r="189" spans="1:24" ht="13.5" customHeight="1" x14ac:dyDescent="0.3">
      <c r="A189" s="1"/>
      <c r="B189" s="1"/>
      <c r="C189" s="2"/>
      <c r="D189" s="1"/>
      <c r="E189" s="1"/>
      <c r="F189" s="3"/>
      <c r="G189" s="1"/>
      <c r="H189" s="1"/>
      <c r="I189" s="1"/>
      <c r="J189" s="1"/>
      <c r="K189" s="1"/>
      <c r="L189" s="1"/>
      <c r="M189" s="1"/>
      <c r="N189" s="1"/>
      <c r="O189" s="1"/>
      <c r="P189" s="1"/>
      <c r="Q189" s="1"/>
      <c r="R189" s="1"/>
      <c r="S189" s="1"/>
      <c r="T189" s="1"/>
      <c r="U189" s="1"/>
      <c r="V189" s="1"/>
      <c r="W189" s="1"/>
      <c r="X189" s="1"/>
    </row>
    <row r="190" spans="1:24" ht="13.5" customHeight="1" x14ac:dyDescent="0.3">
      <c r="A190" s="1"/>
      <c r="B190" s="1"/>
      <c r="C190" s="2"/>
      <c r="D190" s="1"/>
      <c r="E190" s="1"/>
      <c r="F190" s="3"/>
      <c r="G190" s="1"/>
      <c r="H190" s="1"/>
      <c r="I190" s="1"/>
      <c r="J190" s="1"/>
      <c r="K190" s="1"/>
      <c r="L190" s="1"/>
      <c r="M190" s="1"/>
      <c r="N190" s="1"/>
      <c r="O190" s="1"/>
      <c r="P190" s="1"/>
      <c r="Q190" s="1"/>
      <c r="R190" s="1"/>
      <c r="S190" s="1"/>
      <c r="T190" s="1"/>
      <c r="U190" s="1"/>
      <c r="V190" s="1"/>
      <c r="W190" s="1"/>
      <c r="X190" s="1"/>
    </row>
    <row r="191" spans="1:24" ht="13.5" customHeight="1" x14ac:dyDescent="0.3">
      <c r="A191" s="1"/>
      <c r="B191" s="1"/>
      <c r="C191" s="2"/>
      <c r="D191" s="1"/>
      <c r="E191" s="1"/>
      <c r="F191" s="3"/>
      <c r="G191" s="1"/>
      <c r="H191" s="1"/>
      <c r="I191" s="1"/>
      <c r="J191" s="1"/>
      <c r="K191" s="1"/>
      <c r="L191" s="1"/>
      <c r="M191" s="1"/>
      <c r="N191" s="1"/>
      <c r="O191" s="1"/>
      <c r="P191" s="1"/>
      <c r="Q191" s="1"/>
      <c r="R191" s="1"/>
      <c r="S191" s="1"/>
      <c r="T191" s="1"/>
      <c r="U191" s="1"/>
      <c r="V191" s="1"/>
      <c r="W191" s="1"/>
      <c r="X191" s="1"/>
    </row>
    <row r="192" spans="1:24" ht="13.5" customHeight="1" x14ac:dyDescent="0.3">
      <c r="A192" s="1"/>
      <c r="B192" s="1"/>
      <c r="C192" s="2"/>
      <c r="D192" s="1"/>
      <c r="E192" s="1"/>
      <c r="F192" s="3"/>
      <c r="G192" s="1"/>
      <c r="H192" s="1"/>
      <c r="I192" s="1"/>
      <c r="J192" s="1"/>
      <c r="K192" s="1"/>
      <c r="L192" s="1"/>
      <c r="M192" s="1"/>
      <c r="N192" s="1"/>
      <c r="O192" s="1"/>
      <c r="P192" s="1"/>
      <c r="Q192" s="1"/>
      <c r="R192" s="1"/>
      <c r="S192" s="1"/>
      <c r="T192" s="1"/>
      <c r="U192" s="1"/>
      <c r="V192" s="1"/>
      <c r="W192" s="1"/>
      <c r="X192" s="1"/>
    </row>
    <row r="193" spans="1:24" ht="13.5" customHeight="1" x14ac:dyDescent="0.3">
      <c r="A193" s="1"/>
      <c r="B193" s="1"/>
      <c r="C193" s="2"/>
      <c r="D193" s="1"/>
      <c r="E193" s="1"/>
      <c r="F193" s="3"/>
      <c r="G193" s="1"/>
      <c r="H193" s="1"/>
      <c r="I193" s="1"/>
      <c r="J193" s="1"/>
      <c r="K193" s="1"/>
      <c r="L193" s="1"/>
      <c r="M193" s="1"/>
      <c r="N193" s="1"/>
      <c r="O193" s="1"/>
      <c r="P193" s="1"/>
      <c r="Q193" s="1"/>
      <c r="R193" s="1"/>
      <c r="S193" s="1"/>
      <c r="T193" s="1"/>
      <c r="U193" s="1"/>
      <c r="V193" s="1"/>
      <c r="W193" s="1"/>
      <c r="X193" s="1"/>
    </row>
    <row r="194" spans="1:24" ht="13.5" customHeight="1" x14ac:dyDescent="0.3">
      <c r="A194" s="1"/>
      <c r="B194" s="1"/>
      <c r="C194" s="2"/>
      <c r="D194" s="1"/>
      <c r="E194" s="1"/>
      <c r="F194" s="3"/>
      <c r="G194" s="1"/>
      <c r="H194" s="1"/>
      <c r="I194" s="1"/>
      <c r="J194" s="1"/>
      <c r="K194" s="1"/>
      <c r="L194" s="1"/>
      <c r="M194" s="1"/>
      <c r="N194" s="1"/>
      <c r="O194" s="1"/>
      <c r="P194" s="1"/>
      <c r="Q194" s="1"/>
      <c r="R194" s="1"/>
      <c r="S194" s="1"/>
      <c r="T194" s="1"/>
      <c r="U194" s="1"/>
      <c r="V194" s="1"/>
      <c r="W194" s="1"/>
      <c r="X194" s="1"/>
    </row>
    <row r="195" spans="1:24" ht="13.5" customHeight="1" x14ac:dyDescent="0.3">
      <c r="A195" s="1"/>
      <c r="B195" s="1"/>
      <c r="C195" s="2"/>
      <c r="D195" s="1"/>
      <c r="E195" s="1"/>
      <c r="F195" s="3"/>
      <c r="G195" s="1"/>
      <c r="H195" s="1"/>
      <c r="I195" s="1"/>
      <c r="J195" s="1"/>
      <c r="K195" s="1"/>
      <c r="L195" s="1"/>
      <c r="M195" s="1"/>
      <c r="N195" s="1"/>
      <c r="O195" s="1"/>
      <c r="P195" s="1"/>
      <c r="Q195" s="1"/>
      <c r="R195" s="1"/>
      <c r="S195" s="1"/>
      <c r="T195" s="1"/>
      <c r="U195" s="1"/>
      <c r="V195" s="1"/>
      <c r="W195" s="1"/>
      <c r="X195" s="1"/>
    </row>
    <row r="196" spans="1:24" ht="13.5" customHeight="1" x14ac:dyDescent="0.3">
      <c r="A196" s="1"/>
      <c r="B196" s="1"/>
      <c r="C196" s="2"/>
      <c r="D196" s="1"/>
      <c r="E196" s="1"/>
      <c r="F196" s="3"/>
      <c r="G196" s="1"/>
      <c r="H196" s="1"/>
      <c r="I196" s="1"/>
      <c r="J196" s="1"/>
      <c r="K196" s="1"/>
      <c r="L196" s="1"/>
      <c r="M196" s="1"/>
      <c r="N196" s="1"/>
      <c r="O196" s="1"/>
      <c r="P196" s="1"/>
      <c r="Q196" s="1"/>
      <c r="R196" s="1"/>
      <c r="S196" s="1"/>
      <c r="T196" s="1"/>
      <c r="U196" s="1"/>
      <c r="V196" s="1"/>
      <c r="W196" s="1"/>
      <c r="X196" s="1"/>
    </row>
    <row r="197" spans="1:24" ht="13.5" customHeight="1" x14ac:dyDescent="0.3">
      <c r="A197" s="1"/>
      <c r="B197" s="1"/>
      <c r="C197" s="2"/>
      <c r="D197" s="1"/>
      <c r="E197" s="1"/>
      <c r="F197" s="3"/>
      <c r="G197" s="1"/>
      <c r="H197" s="1"/>
      <c r="I197" s="1"/>
      <c r="J197" s="1"/>
      <c r="K197" s="1"/>
      <c r="L197" s="1"/>
      <c r="M197" s="1"/>
      <c r="N197" s="1"/>
      <c r="O197" s="1"/>
      <c r="P197" s="1"/>
      <c r="Q197" s="1"/>
      <c r="R197" s="1"/>
      <c r="S197" s="1"/>
      <c r="T197" s="1"/>
      <c r="U197" s="1"/>
      <c r="V197" s="1"/>
      <c r="W197" s="1"/>
      <c r="X197" s="1"/>
    </row>
    <row r="198" spans="1:24" ht="13.5" customHeight="1" x14ac:dyDescent="0.3">
      <c r="A198" s="1"/>
      <c r="B198" s="1"/>
      <c r="C198" s="2"/>
      <c r="D198" s="1"/>
      <c r="E198" s="1"/>
      <c r="F198" s="3"/>
      <c r="G198" s="1"/>
      <c r="H198" s="1"/>
      <c r="I198" s="1"/>
      <c r="J198" s="1"/>
      <c r="K198" s="1"/>
      <c r="L198" s="1"/>
      <c r="M198" s="1"/>
      <c r="N198" s="1"/>
      <c r="O198" s="1"/>
      <c r="P198" s="1"/>
      <c r="Q198" s="1"/>
      <c r="R198" s="1"/>
      <c r="S198" s="1"/>
      <c r="T198" s="1"/>
      <c r="U198" s="1"/>
      <c r="V198" s="1"/>
      <c r="W198" s="1"/>
      <c r="X198" s="1"/>
    </row>
    <row r="199" spans="1:24" ht="13.5" customHeight="1" x14ac:dyDescent="0.3">
      <c r="A199" s="1"/>
      <c r="B199" s="1"/>
      <c r="C199" s="2"/>
      <c r="D199" s="1"/>
      <c r="E199" s="1"/>
      <c r="F199" s="3"/>
      <c r="G199" s="1"/>
      <c r="H199" s="1"/>
      <c r="I199" s="1"/>
      <c r="J199" s="1"/>
      <c r="K199" s="1"/>
      <c r="L199" s="1"/>
      <c r="M199" s="1"/>
      <c r="N199" s="1"/>
      <c r="O199" s="1"/>
      <c r="P199" s="1"/>
      <c r="Q199" s="1"/>
      <c r="R199" s="1"/>
      <c r="S199" s="1"/>
      <c r="T199" s="1"/>
      <c r="U199" s="1"/>
      <c r="V199" s="1"/>
      <c r="W199" s="1"/>
      <c r="X199" s="1"/>
    </row>
    <row r="200" spans="1:24" ht="13.5" customHeight="1" x14ac:dyDescent="0.3">
      <c r="A200" s="1"/>
      <c r="B200" s="1"/>
      <c r="C200" s="2"/>
      <c r="D200" s="1"/>
      <c r="E200" s="1"/>
      <c r="F200" s="3"/>
      <c r="G200" s="1"/>
      <c r="H200" s="1"/>
      <c r="I200" s="1"/>
      <c r="J200" s="1"/>
      <c r="K200" s="1"/>
      <c r="L200" s="1"/>
      <c r="M200" s="1"/>
      <c r="N200" s="1"/>
      <c r="O200" s="1"/>
      <c r="P200" s="1"/>
      <c r="Q200" s="1"/>
      <c r="R200" s="1"/>
      <c r="S200" s="1"/>
      <c r="T200" s="1"/>
      <c r="U200" s="1"/>
      <c r="V200" s="1"/>
      <c r="W200" s="1"/>
      <c r="X200" s="1"/>
    </row>
    <row r="201" spans="1:24" ht="13.5" customHeight="1" x14ac:dyDescent="0.3">
      <c r="A201" s="1"/>
      <c r="B201" s="1"/>
      <c r="C201" s="2"/>
      <c r="D201" s="1"/>
      <c r="E201" s="1"/>
      <c r="F201" s="3"/>
      <c r="G201" s="1"/>
      <c r="H201" s="1"/>
      <c r="I201" s="1"/>
      <c r="J201" s="1"/>
      <c r="K201" s="1"/>
      <c r="L201" s="1"/>
      <c r="M201" s="1"/>
      <c r="N201" s="1"/>
      <c r="O201" s="1"/>
      <c r="P201" s="1"/>
      <c r="Q201" s="1"/>
      <c r="R201" s="1"/>
      <c r="S201" s="1"/>
      <c r="T201" s="1"/>
      <c r="U201" s="1"/>
      <c r="V201" s="1"/>
      <c r="W201" s="1"/>
      <c r="X201" s="1"/>
    </row>
    <row r="202" spans="1:24" ht="13.5" customHeight="1" x14ac:dyDescent="0.3">
      <c r="A202" s="1"/>
      <c r="B202" s="1"/>
      <c r="C202" s="2"/>
      <c r="D202" s="1"/>
      <c r="E202" s="1"/>
      <c r="F202" s="3"/>
      <c r="G202" s="1"/>
      <c r="H202" s="1"/>
      <c r="I202" s="1"/>
      <c r="J202" s="1"/>
      <c r="K202" s="1"/>
      <c r="L202" s="1"/>
      <c r="M202" s="1"/>
      <c r="N202" s="1"/>
      <c r="O202" s="1"/>
      <c r="P202" s="1"/>
      <c r="Q202" s="1"/>
      <c r="R202" s="1"/>
      <c r="S202" s="1"/>
      <c r="T202" s="1"/>
      <c r="U202" s="1"/>
      <c r="V202" s="1"/>
      <c r="W202" s="1"/>
      <c r="X202" s="1"/>
    </row>
    <row r="203" spans="1:24" ht="13.5" customHeight="1" x14ac:dyDescent="0.3">
      <c r="A203" s="1"/>
      <c r="B203" s="1"/>
      <c r="C203" s="2"/>
      <c r="D203" s="1"/>
      <c r="E203" s="1"/>
      <c r="F203" s="3"/>
      <c r="G203" s="1"/>
      <c r="H203" s="1"/>
      <c r="I203" s="1"/>
      <c r="J203" s="1"/>
      <c r="K203" s="1"/>
      <c r="L203" s="1"/>
      <c r="M203" s="1"/>
      <c r="N203" s="1"/>
      <c r="O203" s="1"/>
      <c r="P203" s="1"/>
      <c r="Q203" s="1"/>
      <c r="R203" s="1"/>
      <c r="S203" s="1"/>
      <c r="T203" s="1"/>
      <c r="U203" s="1"/>
      <c r="V203" s="1"/>
      <c r="W203" s="1"/>
      <c r="X203" s="1"/>
    </row>
    <row r="204" spans="1:24" ht="13.5" customHeight="1" x14ac:dyDescent="0.3">
      <c r="A204" s="1"/>
      <c r="B204" s="1"/>
      <c r="C204" s="2"/>
      <c r="D204" s="1"/>
      <c r="E204" s="1"/>
      <c r="F204" s="3"/>
      <c r="G204" s="1"/>
      <c r="H204" s="1"/>
      <c r="I204" s="1"/>
      <c r="J204" s="1"/>
      <c r="K204" s="1"/>
      <c r="L204" s="1"/>
      <c r="M204" s="1"/>
      <c r="N204" s="1"/>
      <c r="O204" s="1"/>
      <c r="P204" s="1"/>
      <c r="Q204" s="1"/>
      <c r="R204" s="1"/>
      <c r="S204" s="1"/>
      <c r="T204" s="1"/>
      <c r="U204" s="1"/>
      <c r="V204" s="1"/>
      <c r="W204" s="1"/>
      <c r="X204" s="1"/>
    </row>
    <row r="205" spans="1:24" ht="13.5" customHeight="1" x14ac:dyDescent="0.3">
      <c r="A205" s="1"/>
      <c r="B205" s="1"/>
      <c r="C205" s="2"/>
      <c r="D205" s="1"/>
      <c r="E205" s="1"/>
      <c r="F205" s="3"/>
      <c r="G205" s="1"/>
      <c r="H205" s="1"/>
      <c r="I205" s="1"/>
      <c r="J205" s="1"/>
      <c r="K205" s="1"/>
      <c r="L205" s="1"/>
      <c r="M205" s="1"/>
      <c r="N205" s="1"/>
      <c r="O205" s="1"/>
      <c r="P205" s="1"/>
      <c r="Q205" s="1"/>
      <c r="R205" s="1"/>
      <c r="S205" s="1"/>
      <c r="T205" s="1"/>
      <c r="U205" s="1"/>
      <c r="V205" s="1"/>
      <c r="W205" s="1"/>
      <c r="X205" s="1"/>
    </row>
    <row r="206" spans="1:24" ht="13.5" customHeight="1" x14ac:dyDescent="0.3">
      <c r="A206" s="1"/>
      <c r="B206" s="1"/>
      <c r="C206" s="2"/>
      <c r="D206" s="1"/>
      <c r="E206" s="1"/>
      <c r="F206" s="3"/>
      <c r="G206" s="1"/>
      <c r="H206" s="1"/>
      <c r="I206" s="1"/>
      <c r="J206" s="1"/>
      <c r="K206" s="1"/>
      <c r="L206" s="1"/>
      <c r="M206" s="1"/>
      <c r="N206" s="1"/>
      <c r="O206" s="1"/>
      <c r="P206" s="1"/>
      <c r="Q206" s="1"/>
      <c r="R206" s="1"/>
      <c r="S206" s="1"/>
      <c r="T206" s="1"/>
      <c r="U206" s="1"/>
      <c r="V206" s="1"/>
      <c r="W206" s="1"/>
      <c r="X206" s="1"/>
    </row>
    <row r="207" spans="1:24" ht="13.5" customHeight="1" x14ac:dyDescent="0.3">
      <c r="A207" s="1"/>
      <c r="B207" s="1"/>
      <c r="C207" s="2"/>
      <c r="D207" s="1"/>
      <c r="E207" s="1"/>
      <c r="F207" s="3"/>
      <c r="G207" s="1"/>
      <c r="H207" s="1"/>
      <c r="I207" s="1"/>
      <c r="J207" s="1"/>
      <c r="K207" s="1"/>
      <c r="L207" s="1"/>
      <c r="M207" s="1"/>
      <c r="N207" s="1"/>
      <c r="O207" s="1"/>
      <c r="P207" s="1"/>
      <c r="Q207" s="1"/>
      <c r="R207" s="1"/>
      <c r="S207" s="1"/>
      <c r="T207" s="1"/>
      <c r="U207" s="1"/>
      <c r="V207" s="1"/>
      <c r="W207" s="1"/>
      <c r="X207" s="1"/>
    </row>
    <row r="208" spans="1:24" ht="13.5" customHeight="1" x14ac:dyDescent="0.3">
      <c r="A208" s="1"/>
      <c r="B208" s="1"/>
      <c r="C208" s="2"/>
      <c r="D208" s="1"/>
      <c r="E208" s="1"/>
      <c r="F208" s="3"/>
      <c r="G208" s="1"/>
      <c r="H208" s="1"/>
      <c r="I208" s="1"/>
      <c r="J208" s="1"/>
      <c r="K208" s="1"/>
      <c r="L208" s="1"/>
      <c r="M208" s="1"/>
      <c r="N208" s="1"/>
      <c r="O208" s="1"/>
      <c r="P208" s="1"/>
      <c r="Q208" s="1"/>
      <c r="R208" s="1"/>
      <c r="S208" s="1"/>
      <c r="T208" s="1"/>
      <c r="U208" s="1"/>
      <c r="V208" s="1"/>
      <c r="W208" s="1"/>
      <c r="X208" s="1"/>
    </row>
    <row r="209" spans="1:24" ht="13.5" customHeight="1" x14ac:dyDescent="0.3">
      <c r="A209" s="1"/>
      <c r="B209" s="1"/>
      <c r="C209" s="2"/>
      <c r="D209" s="1"/>
      <c r="E209" s="1"/>
      <c r="F209" s="3"/>
      <c r="G209" s="1"/>
      <c r="H209" s="1"/>
      <c r="I209" s="1"/>
      <c r="J209" s="1"/>
      <c r="K209" s="1"/>
      <c r="L209" s="1"/>
      <c r="M209" s="1"/>
      <c r="N209" s="1"/>
      <c r="O209" s="1"/>
      <c r="P209" s="1"/>
      <c r="Q209" s="1"/>
      <c r="R209" s="1"/>
      <c r="S209" s="1"/>
      <c r="T209" s="1"/>
      <c r="U209" s="1"/>
      <c r="V209" s="1"/>
      <c r="W209" s="1"/>
      <c r="X209" s="1"/>
    </row>
    <row r="210" spans="1:24" ht="13.5" customHeight="1" x14ac:dyDescent="0.3">
      <c r="A210" s="1"/>
      <c r="B210" s="1"/>
      <c r="C210" s="2"/>
      <c r="D210" s="1"/>
      <c r="E210" s="1"/>
      <c r="F210" s="3"/>
      <c r="G210" s="1"/>
      <c r="H210" s="1"/>
      <c r="I210" s="1"/>
      <c r="J210" s="1"/>
      <c r="K210" s="1"/>
      <c r="L210" s="1"/>
      <c r="M210" s="1"/>
      <c r="N210" s="1"/>
      <c r="O210" s="1"/>
      <c r="P210" s="1"/>
      <c r="Q210" s="1"/>
      <c r="R210" s="1"/>
      <c r="S210" s="1"/>
      <c r="T210" s="1"/>
      <c r="U210" s="1"/>
      <c r="V210" s="1"/>
      <c r="W210" s="1"/>
      <c r="X210" s="1"/>
    </row>
    <row r="211" spans="1:24" ht="13.5" customHeight="1" x14ac:dyDescent="0.3">
      <c r="A211" s="1"/>
      <c r="B211" s="1"/>
      <c r="C211" s="2"/>
      <c r="D211" s="1"/>
      <c r="E211" s="1"/>
      <c r="F211" s="3"/>
      <c r="G211" s="1"/>
      <c r="H211" s="1"/>
      <c r="I211" s="1"/>
      <c r="J211" s="1"/>
      <c r="K211" s="1"/>
      <c r="L211" s="1"/>
      <c r="M211" s="1"/>
      <c r="N211" s="1"/>
      <c r="O211" s="1"/>
      <c r="P211" s="1"/>
      <c r="Q211" s="1"/>
      <c r="R211" s="1"/>
      <c r="S211" s="1"/>
      <c r="T211" s="1"/>
      <c r="U211" s="1"/>
      <c r="V211" s="1"/>
      <c r="W211" s="1"/>
      <c r="X211" s="1"/>
    </row>
    <row r="212" spans="1:24" ht="13.5" customHeight="1" x14ac:dyDescent="0.3">
      <c r="A212" s="1"/>
      <c r="B212" s="1"/>
      <c r="C212" s="2"/>
      <c r="D212" s="1"/>
      <c r="E212" s="1"/>
      <c r="F212" s="3"/>
      <c r="G212" s="1"/>
      <c r="H212" s="1"/>
      <c r="I212" s="1"/>
      <c r="J212" s="1"/>
      <c r="K212" s="1"/>
      <c r="L212" s="1"/>
      <c r="M212" s="1"/>
      <c r="N212" s="1"/>
      <c r="O212" s="1"/>
      <c r="P212" s="1"/>
      <c r="Q212" s="1"/>
      <c r="R212" s="1"/>
      <c r="S212" s="1"/>
      <c r="T212" s="1"/>
      <c r="U212" s="1"/>
      <c r="V212" s="1"/>
      <c r="W212" s="1"/>
      <c r="X212" s="1"/>
    </row>
    <row r="213" spans="1:24" ht="13.5" customHeight="1" x14ac:dyDescent="0.3">
      <c r="A213" s="1"/>
      <c r="B213" s="1"/>
      <c r="C213" s="2"/>
      <c r="D213" s="1"/>
      <c r="E213" s="1"/>
      <c r="F213" s="3"/>
      <c r="G213" s="1"/>
      <c r="H213" s="1"/>
      <c r="I213" s="1"/>
      <c r="J213" s="1"/>
      <c r="K213" s="1"/>
      <c r="L213" s="1"/>
      <c r="M213" s="1"/>
      <c r="N213" s="1"/>
      <c r="O213" s="1"/>
      <c r="P213" s="1"/>
      <c r="Q213" s="1"/>
      <c r="R213" s="1"/>
      <c r="S213" s="1"/>
      <c r="T213" s="1"/>
      <c r="U213" s="1"/>
      <c r="V213" s="1"/>
      <c r="W213" s="1"/>
      <c r="X213" s="1"/>
    </row>
    <row r="214" spans="1:24" ht="13.5" customHeight="1" x14ac:dyDescent="0.3">
      <c r="A214" s="1"/>
      <c r="B214" s="1"/>
      <c r="C214" s="2"/>
      <c r="D214" s="1"/>
      <c r="E214" s="1"/>
      <c r="F214" s="3"/>
      <c r="G214" s="1"/>
      <c r="H214" s="1"/>
      <c r="I214" s="1"/>
      <c r="J214" s="1"/>
      <c r="K214" s="1"/>
      <c r="L214" s="1"/>
      <c r="M214" s="1"/>
      <c r="N214" s="1"/>
      <c r="O214" s="1"/>
      <c r="P214" s="1"/>
      <c r="Q214" s="1"/>
      <c r="R214" s="1"/>
      <c r="S214" s="1"/>
      <c r="T214" s="1"/>
      <c r="U214" s="1"/>
      <c r="V214" s="1"/>
      <c r="W214" s="1"/>
      <c r="X214" s="1"/>
    </row>
    <row r="215" spans="1:24" ht="13.5" customHeight="1" x14ac:dyDescent="0.3">
      <c r="A215" s="1"/>
      <c r="B215" s="1"/>
      <c r="C215" s="2"/>
      <c r="D215" s="1"/>
      <c r="E215" s="1"/>
      <c r="F215" s="3"/>
      <c r="G215" s="1"/>
      <c r="H215" s="1"/>
      <c r="I215" s="1"/>
      <c r="J215" s="1"/>
      <c r="K215" s="1"/>
      <c r="L215" s="1"/>
      <c r="M215" s="1"/>
      <c r="N215" s="1"/>
      <c r="O215" s="1"/>
      <c r="P215" s="1"/>
      <c r="Q215" s="1"/>
      <c r="R215" s="1"/>
      <c r="S215" s="1"/>
      <c r="T215" s="1"/>
      <c r="U215" s="1"/>
      <c r="V215" s="1"/>
      <c r="W215" s="1"/>
      <c r="X215" s="1"/>
    </row>
    <row r="216" spans="1:24" ht="13.5" customHeight="1" x14ac:dyDescent="0.3">
      <c r="A216" s="1"/>
      <c r="B216" s="1"/>
      <c r="C216" s="2"/>
      <c r="D216" s="1"/>
      <c r="E216" s="1"/>
      <c r="F216" s="3"/>
      <c r="G216" s="1"/>
      <c r="H216" s="1"/>
      <c r="I216" s="1"/>
      <c r="J216" s="1"/>
      <c r="K216" s="1"/>
      <c r="L216" s="1"/>
      <c r="M216" s="1"/>
      <c r="N216" s="1"/>
      <c r="O216" s="1"/>
      <c r="P216" s="1"/>
      <c r="Q216" s="1"/>
      <c r="R216" s="1"/>
      <c r="S216" s="1"/>
      <c r="T216" s="1"/>
      <c r="U216" s="1"/>
      <c r="V216" s="1"/>
      <c r="W216" s="1"/>
      <c r="X216" s="1"/>
    </row>
    <row r="217" spans="1:24" ht="13.5" customHeight="1" x14ac:dyDescent="0.3">
      <c r="A217" s="1"/>
      <c r="B217" s="1"/>
      <c r="C217" s="2"/>
      <c r="D217" s="1"/>
      <c r="E217" s="1"/>
      <c r="F217" s="3"/>
      <c r="G217" s="1"/>
      <c r="H217" s="1"/>
      <c r="I217" s="1"/>
      <c r="J217" s="1"/>
      <c r="K217" s="1"/>
      <c r="L217" s="1"/>
      <c r="M217" s="1"/>
      <c r="N217" s="1"/>
      <c r="O217" s="1"/>
      <c r="P217" s="1"/>
      <c r="Q217" s="1"/>
      <c r="R217" s="1"/>
      <c r="S217" s="1"/>
      <c r="T217" s="1"/>
      <c r="U217" s="1"/>
      <c r="V217" s="1"/>
      <c r="W217" s="1"/>
      <c r="X217" s="1"/>
    </row>
    <row r="218" spans="1:24" ht="13.5" customHeight="1" x14ac:dyDescent="0.3">
      <c r="A218" s="1"/>
      <c r="B218" s="1"/>
      <c r="C218" s="2"/>
      <c r="D218" s="1"/>
      <c r="E218" s="1"/>
      <c r="F218" s="3"/>
      <c r="G218" s="1"/>
      <c r="H218" s="1"/>
      <c r="I218" s="1"/>
      <c r="J218" s="1"/>
      <c r="K218" s="1"/>
      <c r="L218" s="1"/>
      <c r="M218" s="1"/>
      <c r="N218" s="1"/>
      <c r="O218" s="1"/>
      <c r="P218" s="1"/>
      <c r="Q218" s="1"/>
      <c r="R218" s="1"/>
      <c r="S218" s="1"/>
      <c r="T218" s="1"/>
      <c r="U218" s="1"/>
      <c r="V218" s="1"/>
      <c r="W218" s="1"/>
      <c r="X218" s="1"/>
    </row>
    <row r="219" spans="1:24" ht="13.5" customHeight="1" x14ac:dyDescent="0.3">
      <c r="A219" s="1"/>
      <c r="B219" s="1"/>
      <c r="C219" s="2"/>
      <c r="D219" s="1"/>
      <c r="E219" s="1"/>
      <c r="F219" s="3"/>
      <c r="G219" s="1"/>
      <c r="H219" s="1"/>
      <c r="I219" s="1"/>
      <c r="J219" s="1"/>
      <c r="K219" s="1"/>
      <c r="L219" s="1"/>
      <c r="M219" s="1"/>
      <c r="N219" s="1"/>
      <c r="O219" s="1"/>
      <c r="P219" s="1"/>
      <c r="Q219" s="1"/>
      <c r="R219" s="1"/>
      <c r="S219" s="1"/>
      <c r="T219" s="1"/>
      <c r="U219" s="1"/>
      <c r="V219" s="1"/>
      <c r="W219" s="1"/>
      <c r="X219" s="1"/>
    </row>
    <row r="220" spans="1:24" ht="13.5" customHeight="1" x14ac:dyDescent="0.3">
      <c r="A220" s="1"/>
      <c r="B220" s="1"/>
      <c r="C220" s="2"/>
      <c r="D220" s="1"/>
      <c r="E220" s="1"/>
      <c r="F220" s="3"/>
      <c r="G220" s="1"/>
      <c r="H220" s="1"/>
      <c r="I220" s="1"/>
      <c r="J220" s="1"/>
      <c r="K220" s="1"/>
      <c r="L220" s="1"/>
      <c r="M220" s="1"/>
      <c r="N220" s="1"/>
      <c r="O220" s="1"/>
      <c r="P220" s="1"/>
      <c r="Q220" s="1"/>
      <c r="R220" s="1"/>
      <c r="S220" s="1"/>
      <c r="T220" s="1"/>
      <c r="U220" s="1"/>
      <c r="V220" s="1"/>
      <c r="W220" s="1"/>
      <c r="X220" s="1"/>
    </row>
    <row r="221" spans="1:24" ht="13.5" customHeight="1" x14ac:dyDescent="0.3">
      <c r="A221" s="1"/>
      <c r="B221" s="1"/>
      <c r="C221" s="2"/>
      <c r="D221" s="1"/>
      <c r="E221" s="1"/>
      <c r="F221" s="3"/>
      <c r="G221" s="1"/>
      <c r="H221" s="1"/>
      <c r="I221" s="1"/>
      <c r="J221" s="1"/>
      <c r="K221" s="1"/>
      <c r="L221" s="1"/>
      <c r="M221" s="1"/>
      <c r="N221" s="1"/>
      <c r="O221" s="1"/>
      <c r="P221" s="1"/>
      <c r="Q221" s="1"/>
      <c r="R221" s="1"/>
      <c r="S221" s="1"/>
      <c r="T221" s="1"/>
      <c r="U221" s="1"/>
      <c r="V221" s="1"/>
      <c r="W221" s="1"/>
      <c r="X221" s="1"/>
    </row>
    <row r="222" spans="1:24" ht="13.5" customHeight="1" x14ac:dyDescent="0.3">
      <c r="A222" s="1"/>
      <c r="B222" s="1"/>
      <c r="C222" s="2"/>
      <c r="D222" s="1"/>
      <c r="E222" s="1"/>
      <c r="F222" s="3"/>
      <c r="G222" s="1"/>
      <c r="H222" s="1"/>
      <c r="I222" s="1"/>
      <c r="J222" s="1"/>
      <c r="K222" s="1"/>
      <c r="L222" s="1"/>
      <c r="M222" s="1"/>
      <c r="N222" s="1"/>
      <c r="O222" s="1"/>
      <c r="P222" s="1"/>
      <c r="Q222" s="1"/>
      <c r="R222" s="1"/>
      <c r="S222" s="1"/>
      <c r="T222" s="1"/>
      <c r="U222" s="1"/>
      <c r="V222" s="1"/>
      <c r="W222" s="1"/>
      <c r="X222" s="1"/>
    </row>
    <row r="223" spans="1:24" ht="13.5" customHeight="1" x14ac:dyDescent="0.3">
      <c r="A223" s="1"/>
      <c r="B223" s="1"/>
      <c r="C223" s="2"/>
      <c r="D223" s="1"/>
      <c r="E223" s="1"/>
      <c r="F223" s="3"/>
      <c r="G223" s="1"/>
      <c r="H223" s="1"/>
      <c r="I223" s="1"/>
      <c r="J223" s="1"/>
      <c r="K223" s="1"/>
      <c r="L223" s="1"/>
      <c r="M223" s="1"/>
      <c r="N223" s="1"/>
      <c r="O223" s="1"/>
      <c r="P223" s="1"/>
      <c r="Q223" s="1"/>
      <c r="R223" s="1"/>
      <c r="S223" s="1"/>
      <c r="T223" s="1"/>
      <c r="U223" s="1"/>
      <c r="V223" s="1"/>
      <c r="W223" s="1"/>
      <c r="X223" s="1"/>
    </row>
    <row r="224" spans="1:24" ht="13.5" customHeight="1" x14ac:dyDescent="0.3">
      <c r="A224" s="1"/>
      <c r="B224" s="1"/>
      <c r="C224" s="2"/>
      <c r="D224" s="1"/>
      <c r="E224" s="1"/>
      <c r="F224" s="3"/>
      <c r="G224" s="1"/>
      <c r="H224" s="1"/>
      <c r="I224" s="1"/>
      <c r="J224" s="1"/>
      <c r="K224" s="1"/>
      <c r="L224" s="1"/>
      <c r="M224" s="1"/>
      <c r="N224" s="1"/>
      <c r="O224" s="1"/>
      <c r="P224" s="1"/>
      <c r="Q224" s="1"/>
      <c r="R224" s="1"/>
      <c r="S224" s="1"/>
      <c r="T224" s="1"/>
      <c r="U224" s="1"/>
      <c r="V224" s="1"/>
      <c r="W224" s="1"/>
      <c r="X224" s="1"/>
    </row>
    <row r="225" spans="1:24" ht="13.5" customHeight="1" x14ac:dyDescent="0.3">
      <c r="A225" s="1"/>
      <c r="B225" s="1"/>
      <c r="C225" s="2"/>
      <c r="D225" s="1"/>
      <c r="E225" s="1"/>
      <c r="F225" s="3"/>
      <c r="G225" s="1"/>
      <c r="H225" s="1"/>
      <c r="I225" s="1"/>
      <c r="J225" s="1"/>
      <c r="K225" s="1"/>
      <c r="L225" s="1"/>
      <c r="M225" s="1"/>
      <c r="N225" s="1"/>
      <c r="O225" s="1"/>
      <c r="P225" s="1"/>
      <c r="Q225" s="1"/>
      <c r="R225" s="1"/>
      <c r="S225" s="1"/>
      <c r="T225" s="1"/>
      <c r="U225" s="1"/>
      <c r="V225" s="1"/>
      <c r="W225" s="1"/>
      <c r="X225" s="1"/>
    </row>
    <row r="226" spans="1:24" ht="13.5" customHeight="1" x14ac:dyDescent="0.3">
      <c r="A226" s="1"/>
      <c r="B226" s="1"/>
      <c r="C226" s="2"/>
      <c r="D226" s="1"/>
      <c r="E226" s="1"/>
      <c r="F226" s="3"/>
      <c r="G226" s="1"/>
      <c r="H226" s="1"/>
      <c r="I226" s="1"/>
      <c r="J226" s="1"/>
      <c r="K226" s="1"/>
      <c r="L226" s="1"/>
      <c r="M226" s="1"/>
      <c r="N226" s="1"/>
      <c r="O226" s="1"/>
      <c r="P226" s="1"/>
      <c r="Q226" s="1"/>
      <c r="R226" s="1"/>
      <c r="S226" s="1"/>
      <c r="T226" s="1"/>
      <c r="U226" s="1"/>
      <c r="V226" s="1"/>
      <c r="W226" s="1"/>
      <c r="X226" s="1"/>
    </row>
    <row r="227" spans="1:24" ht="13.5" customHeight="1" x14ac:dyDescent="0.3">
      <c r="A227" s="1"/>
      <c r="B227" s="1"/>
      <c r="C227" s="2"/>
      <c r="D227" s="1"/>
      <c r="E227" s="1"/>
      <c r="F227" s="3"/>
      <c r="G227" s="1"/>
      <c r="H227" s="1"/>
      <c r="I227" s="1"/>
      <c r="J227" s="1"/>
      <c r="K227" s="1"/>
      <c r="L227" s="1"/>
      <c r="M227" s="1"/>
      <c r="N227" s="1"/>
      <c r="O227" s="1"/>
      <c r="P227" s="1"/>
      <c r="Q227" s="1"/>
      <c r="R227" s="1"/>
      <c r="S227" s="1"/>
      <c r="T227" s="1"/>
      <c r="U227" s="1"/>
      <c r="V227" s="1"/>
      <c r="W227" s="1"/>
      <c r="X227" s="1"/>
    </row>
    <row r="228" spans="1:24" ht="13.5" customHeight="1" x14ac:dyDescent="0.3">
      <c r="A228" s="1"/>
      <c r="B228" s="1"/>
      <c r="C228" s="2"/>
      <c r="D228" s="1"/>
      <c r="E228" s="1"/>
      <c r="F228" s="3"/>
      <c r="G228" s="1"/>
      <c r="H228" s="1"/>
      <c r="I228" s="1"/>
      <c r="J228" s="1"/>
      <c r="K228" s="1"/>
      <c r="L228" s="1"/>
      <c r="M228" s="1"/>
      <c r="N228" s="1"/>
      <c r="O228" s="1"/>
      <c r="P228" s="1"/>
      <c r="Q228" s="1"/>
      <c r="R228" s="1"/>
      <c r="S228" s="1"/>
      <c r="T228" s="1"/>
      <c r="U228" s="1"/>
      <c r="V228" s="1"/>
      <c r="W228" s="1"/>
      <c r="X228" s="1"/>
    </row>
    <row r="229" spans="1:24" ht="13.5" customHeight="1" x14ac:dyDescent="0.3">
      <c r="A229" s="1"/>
      <c r="B229" s="1"/>
      <c r="C229" s="2"/>
      <c r="D229" s="1"/>
      <c r="E229" s="1"/>
      <c r="F229" s="3"/>
      <c r="G229" s="1"/>
      <c r="H229" s="1"/>
      <c r="I229" s="1"/>
      <c r="J229" s="1"/>
      <c r="K229" s="1"/>
      <c r="L229" s="1"/>
      <c r="M229" s="1"/>
      <c r="N229" s="1"/>
      <c r="O229" s="1"/>
      <c r="P229" s="1"/>
      <c r="Q229" s="1"/>
      <c r="R229" s="1"/>
      <c r="S229" s="1"/>
      <c r="T229" s="1"/>
      <c r="U229" s="1"/>
      <c r="V229" s="1"/>
      <c r="W229" s="1"/>
      <c r="X229" s="1"/>
    </row>
    <row r="230" spans="1:24" ht="13.5" customHeight="1" x14ac:dyDescent="0.3">
      <c r="A230" s="1"/>
      <c r="B230" s="1"/>
      <c r="C230" s="2"/>
      <c r="D230" s="1"/>
      <c r="E230" s="1"/>
      <c r="F230" s="3"/>
      <c r="G230" s="1"/>
      <c r="H230" s="1"/>
      <c r="I230" s="1"/>
      <c r="J230" s="1"/>
      <c r="K230" s="1"/>
      <c r="L230" s="1"/>
      <c r="M230" s="1"/>
      <c r="N230" s="1"/>
      <c r="O230" s="1"/>
      <c r="P230" s="1"/>
      <c r="Q230" s="1"/>
      <c r="R230" s="1"/>
      <c r="S230" s="1"/>
      <c r="T230" s="1"/>
      <c r="U230" s="1"/>
      <c r="V230" s="1"/>
      <c r="W230" s="1"/>
      <c r="X230" s="1"/>
    </row>
    <row r="231" spans="1:24" ht="13.5" customHeight="1" x14ac:dyDescent="0.3">
      <c r="A231" s="1"/>
      <c r="B231" s="1"/>
      <c r="C231" s="2"/>
      <c r="D231" s="1"/>
      <c r="E231" s="1"/>
      <c r="F231" s="3"/>
      <c r="G231" s="1"/>
      <c r="H231" s="1"/>
      <c r="I231" s="1"/>
      <c r="J231" s="1"/>
      <c r="K231" s="1"/>
      <c r="L231" s="1"/>
      <c r="M231" s="1"/>
      <c r="N231" s="1"/>
      <c r="O231" s="1"/>
      <c r="P231" s="1"/>
      <c r="Q231" s="1"/>
      <c r="R231" s="1"/>
      <c r="S231" s="1"/>
      <c r="T231" s="1"/>
      <c r="U231" s="1"/>
      <c r="V231" s="1"/>
      <c r="W231" s="1"/>
      <c r="X231" s="1"/>
    </row>
    <row r="232" spans="1:24" ht="13.5" customHeight="1" x14ac:dyDescent="0.3">
      <c r="A232" s="1"/>
      <c r="B232" s="1"/>
      <c r="C232" s="2"/>
      <c r="D232" s="1"/>
      <c r="E232" s="1"/>
      <c r="F232" s="3"/>
      <c r="G232" s="1"/>
      <c r="H232" s="1"/>
      <c r="I232" s="1"/>
      <c r="J232" s="1"/>
      <c r="K232" s="1"/>
      <c r="L232" s="1"/>
      <c r="M232" s="1"/>
      <c r="N232" s="1"/>
      <c r="O232" s="1"/>
      <c r="P232" s="1"/>
      <c r="Q232" s="1"/>
      <c r="R232" s="1"/>
      <c r="S232" s="1"/>
      <c r="T232" s="1"/>
      <c r="U232" s="1"/>
      <c r="V232" s="1"/>
      <c r="W232" s="1"/>
      <c r="X232" s="1"/>
    </row>
    <row r="233" spans="1:24" ht="13.5" customHeight="1" x14ac:dyDescent="0.3">
      <c r="A233" s="1"/>
      <c r="B233" s="1"/>
      <c r="C233" s="2"/>
      <c r="D233" s="1"/>
      <c r="E233" s="1"/>
      <c r="F233" s="3"/>
      <c r="G233" s="1"/>
      <c r="H233" s="1"/>
      <c r="I233" s="1"/>
      <c r="J233" s="1"/>
      <c r="K233" s="1"/>
      <c r="L233" s="1"/>
      <c r="M233" s="1"/>
      <c r="N233" s="1"/>
      <c r="O233" s="1"/>
      <c r="P233" s="1"/>
      <c r="Q233" s="1"/>
      <c r="R233" s="1"/>
      <c r="S233" s="1"/>
      <c r="T233" s="1"/>
      <c r="U233" s="1"/>
      <c r="V233" s="1"/>
      <c r="W233" s="1"/>
      <c r="X233" s="1"/>
    </row>
    <row r="234" spans="1:24" ht="13.5" customHeight="1" x14ac:dyDescent="0.3">
      <c r="A234" s="1"/>
      <c r="B234" s="1"/>
      <c r="C234" s="2"/>
      <c r="D234" s="1"/>
      <c r="E234" s="1"/>
      <c r="F234" s="3"/>
      <c r="G234" s="1"/>
      <c r="H234" s="1"/>
      <c r="I234" s="1"/>
      <c r="J234" s="1"/>
      <c r="K234" s="1"/>
      <c r="L234" s="1"/>
      <c r="M234" s="1"/>
      <c r="N234" s="1"/>
      <c r="O234" s="1"/>
      <c r="P234" s="1"/>
      <c r="Q234" s="1"/>
      <c r="R234" s="1"/>
      <c r="S234" s="1"/>
      <c r="T234" s="1"/>
      <c r="U234" s="1"/>
      <c r="V234" s="1"/>
      <c r="W234" s="1"/>
      <c r="X234" s="1"/>
    </row>
    <row r="235" spans="1:24" ht="13.5" customHeight="1" x14ac:dyDescent="0.3">
      <c r="A235" s="1"/>
      <c r="B235" s="1"/>
      <c r="C235" s="2"/>
      <c r="D235" s="1"/>
      <c r="E235" s="1"/>
      <c r="F235" s="3"/>
      <c r="G235" s="1"/>
      <c r="H235" s="1"/>
      <c r="I235" s="1"/>
      <c r="J235" s="1"/>
      <c r="K235" s="1"/>
      <c r="L235" s="1"/>
      <c r="M235" s="1"/>
      <c r="N235" s="1"/>
      <c r="O235" s="1"/>
      <c r="P235" s="1"/>
      <c r="Q235" s="1"/>
      <c r="R235" s="1"/>
      <c r="S235" s="1"/>
      <c r="T235" s="1"/>
      <c r="U235" s="1"/>
      <c r="V235" s="1"/>
      <c r="W235" s="1"/>
      <c r="X235" s="1"/>
    </row>
    <row r="236" spans="1:24" ht="13.5" customHeight="1" x14ac:dyDescent="0.3">
      <c r="A236" s="1"/>
      <c r="B236" s="1"/>
      <c r="C236" s="2"/>
      <c r="D236" s="1"/>
      <c r="E236" s="1"/>
      <c r="F236" s="3"/>
      <c r="G236" s="1"/>
      <c r="H236" s="1"/>
      <c r="I236" s="1"/>
      <c r="J236" s="1"/>
      <c r="K236" s="1"/>
      <c r="L236" s="1"/>
      <c r="M236" s="1"/>
      <c r="N236" s="1"/>
      <c r="O236" s="1"/>
      <c r="P236" s="1"/>
      <c r="Q236" s="1"/>
      <c r="R236" s="1"/>
      <c r="S236" s="1"/>
      <c r="T236" s="1"/>
      <c r="U236" s="1"/>
      <c r="V236" s="1"/>
      <c r="W236" s="1"/>
      <c r="X236" s="1"/>
    </row>
    <row r="237" spans="1:24" ht="13.5" customHeight="1" x14ac:dyDescent="0.3">
      <c r="A237" s="1"/>
      <c r="B237" s="1"/>
      <c r="C237" s="2"/>
      <c r="D237" s="1"/>
      <c r="E237" s="1"/>
      <c r="F237" s="3"/>
      <c r="G237" s="1"/>
      <c r="H237" s="1"/>
      <c r="I237" s="1"/>
      <c r="J237" s="1"/>
      <c r="K237" s="1"/>
      <c r="L237" s="1"/>
      <c r="M237" s="1"/>
      <c r="N237" s="1"/>
      <c r="O237" s="1"/>
      <c r="P237" s="1"/>
      <c r="Q237" s="1"/>
      <c r="R237" s="1"/>
      <c r="S237" s="1"/>
      <c r="T237" s="1"/>
      <c r="U237" s="1"/>
      <c r="V237" s="1"/>
      <c r="W237" s="1"/>
      <c r="X237" s="1"/>
    </row>
    <row r="238" spans="1:24" ht="13.5" customHeight="1" x14ac:dyDescent="0.3">
      <c r="A238" s="1"/>
      <c r="B238" s="1"/>
      <c r="C238" s="2"/>
      <c r="D238" s="1"/>
      <c r="E238" s="1"/>
      <c r="F238" s="3"/>
      <c r="G238" s="1"/>
      <c r="H238" s="1"/>
      <c r="I238" s="1"/>
      <c r="J238" s="1"/>
      <c r="K238" s="1"/>
      <c r="L238" s="1"/>
      <c r="M238" s="1"/>
      <c r="N238" s="1"/>
      <c r="O238" s="1"/>
      <c r="P238" s="1"/>
      <c r="Q238" s="1"/>
      <c r="R238" s="1"/>
      <c r="S238" s="1"/>
      <c r="T238" s="1"/>
      <c r="U238" s="1"/>
      <c r="V238" s="1"/>
      <c r="W238" s="1"/>
      <c r="X238" s="1"/>
    </row>
    <row r="239" spans="1:24" ht="13.5" customHeight="1" x14ac:dyDescent="0.3">
      <c r="A239" s="1"/>
      <c r="B239" s="1"/>
      <c r="C239" s="2"/>
      <c r="D239" s="1"/>
      <c r="E239" s="1"/>
      <c r="F239" s="3"/>
      <c r="G239" s="1"/>
      <c r="H239" s="1"/>
      <c r="I239" s="1"/>
      <c r="J239" s="1"/>
      <c r="K239" s="1"/>
      <c r="L239" s="1"/>
      <c r="M239" s="1"/>
      <c r="N239" s="1"/>
      <c r="O239" s="1"/>
      <c r="P239" s="1"/>
      <c r="Q239" s="1"/>
      <c r="R239" s="1"/>
      <c r="S239" s="1"/>
      <c r="T239" s="1"/>
      <c r="U239" s="1"/>
      <c r="V239" s="1"/>
      <c r="W239" s="1"/>
      <c r="X239" s="1"/>
    </row>
    <row r="240" spans="1:24" ht="13.5" customHeight="1" x14ac:dyDescent="0.3">
      <c r="A240" s="1"/>
      <c r="B240" s="1"/>
      <c r="C240" s="2"/>
      <c r="D240" s="1"/>
      <c r="E240" s="1"/>
      <c r="F240" s="3"/>
      <c r="G240" s="1"/>
      <c r="H240" s="1"/>
      <c r="I240" s="1"/>
      <c r="J240" s="1"/>
      <c r="K240" s="1"/>
      <c r="L240" s="1"/>
      <c r="M240" s="1"/>
      <c r="N240" s="1"/>
      <c r="O240" s="1"/>
      <c r="P240" s="1"/>
      <c r="Q240" s="1"/>
      <c r="R240" s="1"/>
      <c r="S240" s="1"/>
      <c r="T240" s="1"/>
      <c r="U240" s="1"/>
      <c r="V240" s="1"/>
      <c r="W240" s="1"/>
      <c r="X240" s="1"/>
    </row>
    <row r="241" spans="1:24" ht="13.5" customHeight="1" x14ac:dyDescent="0.3">
      <c r="A241" s="1"/>
      <c r="B241" s="1"/>
      <c r="C241" s="2"/>
      <c r="D241" s="1"/>
      <c r="E241" s="1"/>
      <c r="F241" s="3"/>
      <c r="G241" s="1"/>
      <c r="H241" s="1"/>
      <c r="I241" s="1"/>
      <c r="J241" s="1"/>
      <c r="K241" s="1"/>
      <c r="L241" s="1"/>
      <c r="M241" s="1"/>
      <c r="N241" s="1"/>
      <c r="O241" s="1"/>
      <c r="P241" s="1"/>
      <c r="Q241" s="1"/>
      <c r="R241" s="1"/>
      <c r="S241" s="1"/>
      <c r="T241" s="1"/>
      <c r="U241" s="1"/>
      <c r="V241" s="1"/>
      <c r="W241" s="1"/>
      <c r="X241" s="1"/>
    </row>
    <row r="242" spans="1:24" ht="13.5" customHeight="1" x14ac:dyDescent="0.3">
      <c r="A242" s="1"/>
      <c r="B242" s="1"/>
      <c r="C242" s="2"/>
      <c r="D242" s="1"/>
      <c r="E242" s="1"/>
      <c r="F242" s="3"/>
      <c r="G242" s="1"/>
      <c r="H242" s="1"/>
      <c r="I242" s="1"/>
      <c r="J242" s="1"/>
      <c r="K242" s="1"/>
      <c r="L242" s="1"/>
      <c r="M242" s="1"/>
      <c r="N242" s="1"/>
      <c r="O242" s="1"/>
      <c r="P242" s="1"/>
      <c r="Q242" s="1"/>
      <c r="R242" s="1"/>
      <c r="S242" s="1"/>
      <c r="T242" s="1"/>
      <c r="U242" s="1"/>
      <c r="V242" s="1"/>
      <c r="W242" s="1"/>
      <c r="X242" s="1"/>
    </row>
    <row r="243" spans="1:24" ht="13.5" customHeight="1" x14ac:dyDescent="0.3">
      <c r="A243" s="1"/>
      <c r="B243" s="1"/>
      <c r="C243" s="2"/>
      <c r="D243" s="1"/>
      <c r="E243" s="1"/>
      <c r="F243" s="3"/>
      <c r="G243" s="1"/>
      <c r="H243" s="1"/>
      <c r="I243" s="1"/>
      <c r="J243" s="1"/>
      <c r="K243" s="1"/>
      <c r="L243" s="1"/>
      <c r="M243" s="1"/>
      <c r="N243" s="1"/>
      <c r="O243" s="1"/>
      <c r="P243" s="1"/>
      <c r="Q243" s="1"/>
      <c r="R243" s="1"/>
      <c r="S243" s="1"/>
      <c r="T243" s="1"/>
      <c r="U243" s="1"/>
      <c r="V243" s="1"/>
      <c r="W243" s="1"/>
      <c r="X243" s="1"/>
    </row>
    <row r="244" spans="1:24" ht="13.5" customHeight="1" x14ac:dyDescent="0.3">
      <c r="A244" s="1"/>
      <c r="B244" s="1"/>
      <c r="C244" s="2"/>
      <c r="D244" s="1"/>
      <c r="E244" s="1"/>
      <c r="F244" s="3"/>
      <c r="G244" s="1"/>
      <c r="H244" s="1"/>
      <c r="I244" s="1"/>
      <c r="J244" s="1"/>
      <c r="K244" s="1"/>
      <c r="L244" s="1"/>
      <c r="M244" s="1"/>
      <c r="N244" s="1"/>
      <c r="O244" s="1"/>
      <c r="P244" s="1"/>
      <c r="Q244" s="1"/>
      <c r="R244" s="1"/>
      <c r="S244" s="1"/>
      <c r="T244" s="1"/>
      <c r="U244" s="1"/>
      <c r="V244" s="1"/>
      <c r="W244" s="1"/>
      <c r="X244" s="1"/>
    </row>
    <row r="245" spans="1:24" ht="13.5" customHeight="1" x14ac:dyDescent="0.3">
      <c r="A245" s="1"/>
      <c r="B245" s="1"/>
      <c r="C245" s="2"/>
      <c r="D245" s="1"/>
      <c r="E245" s="1"/>
      <c r="F245" s="3"/>
      <c r="G245" s="1"/>
      <c r="H245" s="1"/>
      <c r="I245" s="1"/>
      <c r="J245" s="1"/>
      <c r="K245" s="1"/>
      <c r="L245" s="1"/>
      <c r="M245" s="1"/>
      <c r="N245" s="1"/>
      <c r="O245" s="1"/>
      <c r="P245" s="1"/>
      <c r="Q245" s="1"/>
      <c r="R245" s="1"/>
      <c r="S245" s="1"/>
      <c r="T245" s="1"/>
      <c r="U245" s="1"/>
      <c r="V245" s="1"/>
      <c r="W245" s="1"/>
      <c r="X245" s="1"/>
    </row>
    <row r="246" spans="1:24" ht="13.5" customHeight="1" x14ac:dyDescent="0.3">
      <c r="A246" s="1"/>
      <c r="B246" s="1"/>
      <c r="C246" s="2"/>
      <c r="D246" s="1"/>
      <c r="E246" s="1"/>
      <c r="F246" s="3"/>
      <c r="G246" s="1"/>
      <c r="H246" s="1"/>
      <c r="I246" s="1"/>
      <c r="J246" s="1"/>
      <c r="K246" s="1"/>
      <c r="L246" s="1"/>
      <c r="M246" s="1"/>
      <c r="N246" s="1"/>
      <c r="O246" s="1"/>
      <c r="P246" s="1"/>
      <c r="Q246" s="1"/>
      <c r="R246" s="1"/>
      <c r="S246" s="1"/>
      <c r="T246" s="1"/>
      <c r="U246" s="1"/>
      <c r="V246" s="1"/>
      <c r="W246" s="1"/>
      <c r="X246" s="1"/>
    </row>
    <row r="247" spans="1:24" ht="13.5" customHeight="1" x14ac:dyDescent="0.3">
      <c r="A247" s="1"/>
      <c r="B247" s="1"/>
      <c r="C247" s="2"/>
      <c r="D247" s="1"/>
      <c r="E247" s="1"/>
      <c r="F247" s="3"/>
      <c r="G247" s="1"/>
      <c r="H247" s="1"/>
      <c r="I247" s="1"/>
      <c r="J247" s="1"/>
      <c r="K247" s="1"/>
      <c r="L247" s="1"/>
      <c r="M247" s="1"/>
      <c r="N247" s="1"/>
      <c r="O247" s="1"/>
      <c r="P247" s="1"/>
      <c r="Q247" s="1"/>
      <c r="R247" s="1"/>
      <c r="S247" s="1"/>
      <c r="T247" s="1"/>
      <c r="U247" s="1"/>
      <c r="V247" s="1"/>
      <c r="W247" s="1"/>
      <c r="X247" s="1"/>
    </row>
    <row r="248" spans="1:24" ht="13.5" customHeight="1" x14ac:dyDescent="0.3">
      <c r="A248" s="1"/>
      <c r="B248" s="1"/>
      <c r="C248" s="2"/>
      <c r="D248" s="1"/>
      <c r="E248" s="1"/>
      <c r="F248" s="3"/>
      <c r="G248" s="1"/>
      <c r="H248" s="1"/>
      <c r="I248" s="1"/>
      <c r="J248" s="1"/>
      <c r="K248" s="1"/>
      <c r="L248" s="1"/>
      <c r="M248" s="1"/>
      <c r="N248" s="1"/>
      <c r="O248" s="1"/>
      <c r="P248" s="1"/>
      <c r="Q248" s="1"/>
      <c r="R248" s="1"/>
      <c r="S248" s="1"/>
      <c r="T248" s="1"/>
      <c r="U248" s="1"/>
      <c r="V248" s="1"/>
      <c r="W248" s="1"/>
      <c r="X248" s="1"/>
    </row>
    <row r="249" spans="1:24" ht="13.5" customHeight="1" x14ac:dyDescent="0.3">
      <c r="A249" s="1"/>
      <c r="B249" s="1"/>
      <c r="C249" s="2"/>
      <c r="D249" s="1"/>
      <c r="E249" s="1"/>
      <c r="F249" s="3"/>
      <c r="G249" s="1"/>
      <c r="H249" s="1"/>
      <c r="I249" s="1"/>
      <c r="J249" s="1"/>
      <c r="K249" s="1"/>
      <c r="L249" s="1"/>
      <c r="M249" s="1"/>
      <c r="N249" s="1"/>
      <c r="O249" s="1"/>
      <c r="P249" s="1"/>
      <c r="Q249" s="1"/>
      <c r="R249" s="1"/>
      <c r="S249" s="1"/>
      <c r="T249" s="1"/>
      <c r="U249" s="1"/>
      <c r="V249" s="1"/>
      <c r="W249" s="1"/>
      <c r="X249" s="1"/>
    </row>
    <row r="250" spans="1:24" ht="13.5" customHeight="1" x14ac:dyDescent="0.3">
      <c r="A250" s="1"/>
      <c r="B250" s="1"/>
      <c r="C250" s="2"/>
      <c r="D250" s="1"/>
      <c r="E250" s="1"/>
      <c r="F250" s="3"/>
      <c r="G250" s="1"/>
      <c r="H250" s="1"/>
      <c r="I250" s="1"/>
      <c r="J250" s="1"/>
      <c r="K250" s="1"/>
      <c r="L250" s="1"/>
      <c r="M250" s="1"/>
      <c r="N250" s="1"/>
      <c r="O250" s="1"/>
      <c r="P250" s="1"/>
      <c r="Q250" s="1"/>
      <c r="R250" s="1"/>
      <c r="S250" s="1"/>
      <c r="T250" s="1"/>
      <c r="U250" s="1"/>
      <c r="V250" s="1"/>
      <c r="W250" s="1"/>
      <c r="X250" s="1"/>
    </row>
    <row r="251" spans="1:24" ht="13.5" customHeight="1" x14ac:dyDescent="0.3">
      <c r="A251" s="1"/>
      <c r="B251" s="1"/>
      <c r="C251" s="2"/>
      <c r="D251" s="1"/>
      <c r="E251" s="1"/>
      <c r="F251" s="3"/>
      <c r="G251" s="1"/>
      <c r="H251" s="1"/>
      <c r="I251" s="1"/>
      <c r="J251" s="1"/>
      <c r="K251" s="1"/>
      <c r="L251" s="1"/>
      <c r="M251" s="1"/>
      <c r="N251" s="1"/>
      <c r="O251" s="1"/>
      <c r="P251" s="1"/>
      <c r="Q251" s="1"/>
      <c r="R251" s="1"/>
      <c r="S251" s="1"/>
      <c r="T251" s="1"/>
      <c r="U251" s="1"/>
      <c r="V251" s="1"/>
      <c r="W251" s="1"/>
      <c r="X251" s="1"/>
    </row>
    <row r="252" spans="1:24" ht="13.5" customHeight="1" x14ac:dyDescent="0.3">
      <c r="A252" s="1"/>
      <c r="B252" s="1"/>
      <c r="C252" s="2"/>
      <c r="D252" s="1"/>
      <c r="E252" s="1"/>
      <c r="F252" s="3"/>
      <c r="G252" s="1"/>
      <c r="H252" s="1"/>
      <c r="I252" s="1"/>
      <c r="J252" s="1"/>
      <c r="K252" s="1"/>
      <c r="L252" s="1"/>
      <c r="M252" s="1"/>
      <c r="N252" s="1"/>
      <c r="O252" s="1"/>
      <c r="P252" s="1"/>
      <c r="Q252" s="1"/>
      <c r="R252" s="1"/>
      <c r="S252" s="1"/>
      <c r="T252" s="1"/>
      <c r="U252" s="1"/>
      <c r="V252" s="1"/>
      <c r="W252" s="1"/>
      <c r="X252" s="1"/>
    </row>
    <row r="253" spans="1:24" ht="13.5" customHeight="1" x14ac:dyDescent="0.3">
      <c r="A253" s="1"/>
      <c r="B253" s="1"/>
      <c r="C253" s="2"/>
      <c r="D253" s="1"/>
      <c r="E253" s="1"/>
      <c r="F253" s="3"/>
      <c r="G253" s="1"/>
      <c r="H253" s="1"/>
      <c r="I253" s="1"/>
      <c r="J253" s="1"/>
      <c r="K253" s="1"/>
      <c r="L253" s="1"/>
      <c r="M253" s="1"/>
      <c r="N253" s="1"/>
      <c r="O253" s="1"/>
      <c r="P253" s="1"/>
      <c r="Q253" s="1"/>
      <c r="R253" s="1"/>
      <c r="S253" s="1"/>
      <c r="T253" s="1"/>
      <c r="U253" s="1"/>
      <c r="V253" s="1"/>
      <c r="W253" s="1"/>
      <c r="X253" s="1"/>
    </row>
    <row r="254" spans="1:24" ht="13.5" customHeight="1" x14ac:dyDescent="0.3">
      <c r="A254" s="1"/>
      <c r="B254" s="1"/>
      <c r="C254" s="2"/>
      <c r="D254" s="1"/>
      <c r="E254" s="1"/>
      <c r="F254" s="3"/>
      <c r="G254" s="1"/>
      <c r="H254" s="1"/>
      <c r="I254" s="1"/>
      <c r="J254" s="1"/>
      <c r="K254" s="1"/>
      <c r="L254" s="1"/>
      <c r="M254" s="1"/>
      <c r="N254" s="1"/>
      <c r="O254" s="1"/>
      <c r="P254" s="1"/>
      <c r="Q254" s="1"/>
      <c r="R254" s="1"/>
      <c r="S254" s="1"/>
      <c r="T254" s="1"/>
      <c r="U254" s="1"/>
      <c r="V254" s="1"/>
      <c r="W254" s="1"/>
      <c r="X254" s="1"/>
    </row>
    <row r="255" spans="1:24" ht="13.5" customHeight="1" x14ac:dyDescent="0.3">
      <c r="A255" s="1"/>
      <c r="B255" s="1"/>
      <c r="C255" s="2"/>
      <c r="D255" s="1"/>
      <c r="E255" s="1"/>
      <c r="F255" s="3"/>
      <c r="G255" s="1"/>
      <c r="H255" s="1"/>
      <c r="I255" s="1"/>
      <c r="J255" s="1"/>
      <c r="K255" s="1"/>
      <c r="L255" s="1"/>
      <c r="M255" s="1"/>
      <c r="N255" s="1"/>
      <c r="O255" s="1"/>
      <c r="P255" s="1"/>
      <c r="Q255" s="1"/>
      <c r="R255" s="1"/>
      <c r="S255" s="1"/>
      <c r="T255" s="1"/>
      <c r="U255" s="1"/>
      <c r="V255" s="1"/>
      <c r="W255" s="1"/>
      <c r="X255" s="1"/>
    </row>
    <row r="256" spans="1:24" ht="13.5" customHeight="1" x14ac:dyDescent="0.3">
      <c r="A256" s="1"/>
      <c r="B256" s="1"/>
      <c r="C256" s="2"/>
      <c r="D256" s="1"/>
      <c r="E256" s="1"/>
      <c r="F256" s="3"/>
      <c r="G256" s="1"/>
      <c r="H256" s="1"/>
      <c r="I256" s="1"/>
      <c r="J256" s="1"/>
      <c r="K256" s="1"/>
      <c r="L256" s="1"/>
      <c r="M256" s="1"/>
      <c r="N256" s="1"/>
      <c r="O256" s="1"/>
      <c r="P256" s="1"/>
      <c r="Q256" s="1"/>
      <c r="R256" s="1"/>
      <c r="S256" s="1"/>
      <c r="T256" s="1"/>
      <c r="U256" s="1"/>
      <c r="V256" s="1"/>
      <c r="W256" s="1"/>
      <c r="X256" s="1"/>
    </row>
    <row r="257" spans="1:24" ht="13.5" customHeight="1" x14ac:dyDescent="0.3">
      <c r="A257" s="1"/>
      <c r="B257" s="1"/>
      <c r="C257" s="2"/>
      <c r="D257" s="1"/>
      <c r="E257" s="1"/>
      <c r="F257" s="3"/>
      <c r="G257" s="1"/>
      <c r="H257" s="1"/>
      <c r="I257" s="1"/>
      <c r="J257" s="1"/>
      <c r="K257" s="1"/>
      <c r="L257" s="1"/>
      <c r="M257" s="1"/>
      <c r="N257" s="1"/>
      <c r="O257" s="1"/>
      <c r="P257" s="1"/>
      <c r="Q257" s="1"/>
      <c r="R257" s="1"/>
      <c r="S257" s="1"/>
      <c r="T257" s="1"/>
      <c r="U257" s="1"/>
      <c r="V257" s="1"/>
      <c r="W257" s="1"/>
      <c r="X257" s="1"/>
    </row>
    <row r="258" spans="1:24" ht="13.5" customHeight="1" x14ac:dyDescent="0.3">
      <c r="A258" s="1"/>
      <c r="B258" s="1"/>
      <c r="C258" s="2"/>
      <c r="D258" s="1"/>
      <c r="E258" s="1"/>
      <c r="F258" s="3"/>
      <c r="G258" s="1"/>
      <c r="H258" s="1"/>
      <c r="I258" s="1"/>
      <c r="J258" s="1"/>
      <c r="K258" s="1"/>
      <c r="L258" s="1"/>
      <c r="M258" s="1"/>
      <c r="N258" s="1"/>
      <c r="O258" s="1"/>
      <c r="P258" s="1"/>
      <c r="Q258" s="1"/>
      <c r="R258" s="1"/>
      <c r="S258" s="1"/>
      <c r="T258" s="1"/>
      <c r="U258" s="1"/>
      <c r="V258" s="1"/>
      <c r="W258" s="1"/>
      <c r="X258" s="1"/>
    </row>
    <row r="259" spans="1:24" ht="13.5" customHeight="1" x14ac:dyDescent="0.3">
      <c r="A259" s="1"/>
      <c r="B259" s="1"/>
      <c r="C259" s="2"/>
      <c r="D259" s="1"/>
      <c r="E259" s="1"/>
      <c r="F259" s="3"/>
      <c r="G259" s="1"/>
      <c r="H259" s="1"/>
      <c r="I259" s="1"/>
      <c r="J259" s="1"/>
      <c r="K259" s="1"/>
      <c r="L259" s="1"/>
      <c r="M259" s="1"/>
      <c r="N259" s="1"/>
      <c r="O259" s="1"/>
      <c r="P259" s="1"/>
      <c r="Q259" s="1"/>
      <c r="R259" s="1"/>
      <c r="S259" s="1"/>
      <c r="T259" s="1"/>
      <c r="U259" s="1"/>
      <c r="V259" s="1"/>
      <c r="W259" s="1"/>
      <c r="X259" s="1"/>
    </row>
    <row r="260" spans="1:24" ht="13.5" customHeight="1" x14ac:dyDescent="0.3">
      <c r="A260" s="1"/>
      <c r="B260" s="1"/>
      <c r="C260" s="2"/>
      <c r="D260" s="1"/>
      <c r="E260" s="1"/>
      <c r="F260" s="3"/>
      <c r="G260" s="1"/>
      <c r="H260" s="1"/>
      <c r="I260" s="1"/>
      <c r="J260" s="1"/>
      <c r="K260" s="1"/>
      <c r="L260" s="1"/>
      <c r="M260" s="1"/>
      <c r="N260" s="1"/>
      <c r="O260" s="1"/>
      <c r="P260" s="1"/>
      <c r="Q260" s="1"/>
      <c r="R260" s="1"/>
      <c r="S260" s="1"/>
      <c r="T260" s="1"/>
      <c r="U260" s="1"/>
      <c r="V260" s="1"/>
      <c r="W260" s="1"/>
      <c r="X260" s="1"/>
    </row>
    <row r="261" spans="1:24" ht="13.5" customHeight="1" x14ac:dyDescent="0.3">
      <c r="A261" s="1"/>
      <c r="B261" s="1"/>
      <c r="C261" s="2"/>
      <c r="D261" s="1"/>
      <c r="E261" s="1"/>
      <c r="F261" s="3"/>
      <c r="G261" s="1"/>
      <c r="H261" s="1"/>
      <c r="I261" s="1"/>
      <c r="J261" s="1"/>
      <c r="K261" s="1"/>
      <c r="L261" s="1"/>
      <c r="M261" s="1"/>
      <c r="N261" s="1"/>
      <c r="O261" s="1"/>
      <c r="P261" s="1"/>
      <c r="Q261" s="1"/>
      <c r="R261" s="1"/>
      <c r="S261" s="1"/>
      <c r="T261" s="1"/>
      <c r="U261" s="1"/>
      <c r="V261" s="1"/>
      <c r="W261" s="1"/>
      <c r="X261" s="1"/>
    </row>
    <row r="262" spans="1:24" ht="13.5" customHeight="1" x14ac:dyDescent="0.3">
      <c r="A262" s="1"/>
      <c r="B262" s="1"/>
      <c r="C262" s="2"/>
      <c r="D262" s="1"/>
      <c r="E262" s="1"/>
      <c r="F262" s="3"/>
      <c r="G262" s="1"/>
      <c r="H262" s="1"/>
      <c r="I262" s="1"/>
      <c r="J262" s="1"/>
      <c r="K262" s="1"/>
      <c r="L262" s="1"/>
      <c r="M262" s="1"/>
      <c r="N262" s="1"/>
      <c r="O262" s="1"/>
      <c r="P262" s="1"/>
      <c r="Q262" s="1"/>
      <c r="R262" s="1"/>
      <c r="S262" s="1"/>
      <c r="T262" s="1"/>
      <c r="U262" s="1"/>
      <c r="V262" s="1"/>
      <c r="W262" s="1"/>
      <c r="X262" s="1"/>
    </row>
    <row r="263" spans="1:24" ht="13.5" customHeight="1" x14ac:dyDescent="0.3">
      <c r="A263" s="1"/>
      <c r="B263" s="1"/>
      <c r="C263" s="2"/>
      <c r="D263" s="1"/>
      <c r="E263" s="1"/>
      <c r="F263" s="3"/>
      <c r="G263" s="1"/>
      <c r="H263" s="1"/>
      <c r="I263" s="1"/>
      <c r="J263" s="1"/>
      <c r="K263" s="1"/>
      <c r="L263" s="1"/>
      <c r="M263" s="1"/>
      <c r="N263" s="1"/>
      <c r="O263" s="1"/>
      <c r="P263" s="1"/>
      <c r="Q263" s="1"/>
      <c r="R263" s="1"/>
      <c r="S263" s="1"/>
      <c r="T263" s="1"/>
      <c r="U263" s="1"/>
      <c r="V263" s="1"/>
      <c r="W263" s="1"/>
      <c r="X263" s="1"/>
    </row>
    <row r="264" spans="1:24" ht="13.5" customHeight="1" x14ac:dyDescent="0.3">
      <c r="A264" s="1"/>
      <c r="B264" s="1"/>
      <c r="C264" s="2"/>
      <c r="D264" s="1"/>
      <c r="E264" s="1"/>
      <c r="F264" s="3"/>
      <c r="G264" s="1"/>
      <c r="H264" s="1"/>
      <c r="I264" s="1"/>
      <c r="J264" s="1"/>
      <c r="K264" s="1"/>
      <c r="L264" s="1"/>
      <c r="M264" s="1"/>
      <c r="N264" s="1"/>
      <c r="O264" s="1"/>
      <c r="P264" s="1"/>
      <c r="Q264" s="1"/>
      <c r="R264" s="1"/>
      <c r="S264" s="1"/>
      <c r="T264" s="1"/>
      <c r="U264" s="1"/>
      <c r="V264" s="1"/>
      <c r="W264" s="1"/>
      <c r="X264" s="1"/>
    </row>
    <row r="265" spans="1:24" ht="13.5" customHeight="1" x14ac:dyDescent="0.3">
      <c r="A265" s="1"/>
      <c r="B265" s="1"/>
      <c r="C265" s="2"/>
      <c r="D265" s="1"/>
      <c r="E265" s="1"/>
      <c r="F265" s="3"/>
      <c r="G265" s="1"/>
      <c r="H265" s="1"/>
      <c r="I265" s="1"/>
      <c r="J265" s="1"/>
      <c r="K265" s="1"/>
      <c r="L265" s="1"/>
      <c r="M265" s="1"/>
      <c r="N265" s="1"/>
      <c r="O265" s="1"/>
      <c r="P265" s="1"/>
      <c r="Q265" s="1"/>
      <c r="R265" s="1"/>
      <c r="S265" s="1"/>
      <c r="T265" s="1"/>
      <c r="U265" s="1"/>
      <c r="V265" s="1"/>
      <c r="W265" s="1"/>
      <c r="X265" s="1"/>
    </row>
    <row r="266" spans="1:24" ht="13.5" customHeight="1" x14ac:dyDescent="0.3">
      <c r="A266" s="1"/>
      <c r="B266" s="1"/>
      <c r="C266" s="2"/>
      <c r="D266" s="1"/>
      <c r="E266" s="1"/>
      <c r="F266" s="3"/>
      <c r="G266" s="1"/>
      <c r="H266" s="1"/>
      <c r="I266" s="1"/>
      <c r="J266" s="1"/>
      <c r="K266" s="1"/>
      <c r="L266" s="1"/>
      <c r="M266" s="1"/>
      <c r="N266" s="1"/>
      <c r="O266" s="1"/>
      <c r="P266" s="1"/>
      <c r="Q266" s="1"/>
      <c r="R266" s="1"/>
      <c r="S266" s="1"/>
      <c r="T266" s="1"/>
      <c r="U266" s="1"/>
      <c r="V266" s="1"/>
      <c r="W266" s="1"/>
      <c r="X266" s="1"/>
    </row>
    <row r="267" spans="1:24" ht="13.5" customHeight="1" x14ac:dyDescent="0.3">
      <c r="A267" s="1"/>
      <c r="B267" s="1"/>
      <c r="C267" s="2"/>
      <c r="D267" s="1"/>
      <c r="E267" s="1"/>
      <c r="F267" s="3"/>
      <c r="G267" s="1"/>
      <c r="H267" s="1"/>
      <c r="I267" s="1"/>
      <c r="J267" s="1"/>
      <c r="K267" s="1"/>
      <c r="L267" s="1"/>
      <c r="M267" s="1"/>
      <c r="N267" s="1"/>
      <c r="O267" s="1"/>
      <c r="P267" s="1"/>
      <c r="Q267" s="1"/>
      <c r="R267" s="1"/>
      <c r="S267" s="1"/>
      <c r="T267" s="1"/>
      <c r="U267" s="1"/>
      <c r="V267" s="1"/>
      <c r="W267" s="1"/>
      <c r="X267" s="1"/>
    </row>
    <row r="268" spans="1:24" ht="13.5" customHeight="1" x14ac:dyDescent="0.3">
      <c r="A268" s="1"/>
      <c r="B268" s="1"/>
      <c r="C268" s="2"/>
      <c r="D268" s="1"/>
      <c r="E268" s="1"/>
      <c r="F268" s="3"/>
      <c r="G268" s="1"/>
      <c r="H268" s="1"/>
      <c r="I268" s="1"/>
      <c r="J268" s="1"/>
      <c r="K268" s="1"/>
      <c r="L268" s="1"/>
      <c r="M268" s="1"/>
      <c r="N268" s="1"/>
      <c r="O268" s="1"/>
      <c r="P268" s="1"/>
      <c r="Q268" s="1"/>
      <c r="R268" s="1"/>
      <c r="S268" s="1"/>
      <c r="T268" s="1"/>
      <c r="U268" s="1"/>
      <c r="V268" s="1"/>
      <c r="W268" s="1"/>
      <c r="X268" s="1"/>
    </row>
    <row r="269" spans="1:24" ht="13.5" customHeight="1" x14ac:dyDescent="0.3">
      <c r="A269" s="1"/>
      <c r="B269" s="1"/>
      <c r="C269" s="2"/>
      <c r="D269" s="1"/>
      <c r="E269" s="1"/>
      <c r="F269" s="3"/>
      <c r="G269" s="1"/>
      <c r="H269" s="1"/>
      <c r="I269" s="1"/>
      <c r="J269" s="1"/>
      <c r="K269" s="1"/>
      <c r="L269" s="1"/>
      <c r="M269" s="1"/>
      <c r="N269" s="1"/>
      <c r="O269" s="1"/>
      <c r="P269" s="1"/>
      <c r="Q269" s="1"/>
      <c r="R269" s="1"/>
      <c r="S269" s="1"/>
      <c r="T269" s="1"/>
      <c r="U269" s="1"/>
      <c r="V269" s="1"/>
      <c r="W269" s="1"/>
      <c r="X269" s="1"/>
    </row>
    <row r="270" spans="1:24" ht="13.5" customHeight="1" x14ac:dyDescent="0.3">
      <c r="A270" s="1"/>
      <c r="B270" s="1"/>
      <c r="C270" s="2"/>
      <c r="D270" s="1"/>
      <c r="E270" s="1"/>
      <c r="F270" s="3"/>
      <c r="G270" s="1"/>
      <c r="H270" s="1"/>
      <c r="I270" s="1"/>
      <c r="J270" s="1"/>
      <c r="K270" s="1"/>
      <c r="L270" s="1"/>
      <c r="M270" s="1"/>
      <c r="N270" s="1"/>
      <c r="O270" s="1"/>
      <c r="P270" s="1"/>
      <c r="Q270" s="1"/>
      <c r="R270" s="1"/>
      <c r="S270" s="1"/>
      <c r="T270" s="1"/>
      <c r="U270" s="1"/>
      <c r="V270" s="1"/>
      <c r="W270" s="1"/>
      <c r="X270" s="1"/>
    </row>
    <row r="271" spans="1:24" ht="13.5" customHeight="1" x14ac:dyDescent="0.3">
      <c r="A271" s="1"/>
      <c r="B271" s="1"/>
      <c r="C271" s="2"/>
      <c r="D271" s="1"/>
      <c r="E271" s="1"/>
      <c r="F271" s="3"/>
      <c r="G271" s="1"/>
      <c r="H271" s="1"/>
      <c r="I271" s="1"/>
      <c r="J271" s="1"/>
      <c r="K271" s="1"/>
      <c r="L271" s="1"/>
      <c r="M271" s="1"/>
      <c r="N271" s="1"/>
      <c r="O271" s="1"/>
      <c r="P271" s="1"/>
      <c r="Q271" s="1"/>
      <c r="R271" s="1"/>
      <c r="S271" s="1"/>
      <c r="T271" s="1"/>
      <c r="U271" s="1"/>
      <c r="V271" s="1"/>
      <c r="W271" s="1"/>
      <c r="X271" s="1"/>
    </row>
    <row r="272" spans="1:24" ht="13.5" customHeight="1" x14ac:dyDescent="0.3">
      <c r="A272" s="1"/>
      <c r="B272" s="1"/>
      <c r="C272" s="2"/>
      <c r="D272" s="1"/>
      <c r="E272" s="1"/>
      <c r="F272" s="3"/>
      <c r="G272" s="1"/>
      <c r="H272" s="1"/>
      <c r="I272" s="1"/>
      <c r="J272" s="1"/>
      <c r="K272" s="1"/>
      <c r="L272" s="1"/>
      <c r="M272" s="1"/>
      <c r="N272" s="1"/>
      <c r="O272" s="1"/>
      <c r="P272" s="1"/>
      <c r="Q272" s="1"/>
      <c r="R272" s="1"/>
      <c r="S272" s="1"/>
      <c r="T272" s="1"/>
      <c r="U272" s="1"/>
      <c r="V272" s="1"/>
      <c r="W272" s="1"/>
      <c r="X272" s="1"/>
    </row>
    <row r="273" spans="1:24" ht="13.5" customHeight="1" x14ac:dyDescent="0.3">
      <c r="A273" s="1"/>
      <c r="B273" s="1"/>
      <c r="C273" s="2"/>
      <c r="D273" s="1"/>
      <c r="E273" s="1"/>
      <c r="F273" s="3"/>
      <c r="G273" s="1"/>
      <c r="H273" s="1"/>
      <c r="I273" s="1"/>
      <c r="J273" s="1"/>
      <c r="K273" s="1"/>
      <c r="L273" s="1"/>
      <c r="M273" s="1"/>
      <c r="N273" s="1"/>
      <c r="O273" s="1"/>
      <c r="P273" s="1"/>
      <c r="Q273" s="1"/>
      <c r="R273" s="1"/>
      <c r="S273" s="1"/>
      <c r="T273" s="1"/>
      <c r="U273" s="1"/>
      <c r="V273" s="1"/>
      <c r="W273" s="1"/>
      <c r="X273" s="1"/>
    </row>
    <row r="274" spans="1:24" ht="13.5" customHeight="1" x14ac:dyDescent="0.3">
      <c r="A274" s="1"/>
      <c r="B274" s="1"/>
      <c r="C274" s="2"/>
      <c r="D274" s="1"/>
      <c r="E274" s="1"/>
      <c r="F274" s="3"/>
      <c r="G274" s="1"/>
      <c r="H274" s="1"/>
      <c r="I274" s="1"/>
      <c r="J274" s="1"/>
      <c r="K274" s="1"/>
      <c r="L274" s="1"/>
      <c r="M274" s="1"/>
      <c r="N274" s="1"/>
      <c r="O274" s="1"/>
      <c r="P274" s="1"/>
      <c r="Q274" s="1"/>
      <c r="R274" s="1"/>
      <c r="S274" s="1"/>
      <c r="T274" s="1"/>
      <c r="U274" s="1"/>
      <c r="V274" s="1"/>
      <c r="W274" s="1"/>
      <c r="X274" s="1"/>
    </row>
    <row r="275" spans="1:24" ht="13.5" customHeight="1" x14ac:dyDescent="0.3">
      <c r="A275" s="1"/>
      <c r="B275" s="1"/>
      <c r="C275" s="2"/>
      <c r="D275" s="1"/>
      <c r="E275" s="1"/>
      <c r="F275" s="3"/>
      <c r="G275" s="1"/>
      <c r="H275" s="1"/>
      <c r="I275" s="1"/>
      <c r="J275" s="1"/>
      <c r="K275" s="1"/>
      <c r="L275" s="1"/>
      <c r="M275" s="1"/>
      <c r="N275" s="1"/>
      <c r="O275" s="1"/>
      <c r="P275" s="1"/>
      <c r="Q275" s="1"/>
      <c r="R275" s="1"/>
      <c r="S275" s="1"/>
      <c r="T275" s="1"/>
      <c r="U275" s="1"/>
      <c r="V275" s="1"/>
      <c r="W275" s="1"/>
      <c r="X275" s="1"/>
    </row>
    <row r="276" spans="1:24" ht="13.5" customHeight="1" x14ac:dyDescent="0.3">
      <c r="A276" s="1"/>
      <c r="B276" s="1"/>
      <c r="C276" s="2"/>
      <c r="D276" s="1"/>
      <c r="E276" s="1"/>
      <c r="F276" s="3"/>
      <c r="G276" s="1"/>
      <c r="H276" s="1"/>
      <c r="I276" s="1"/>
      <c r="J276" s="1"/>
      <c r="K276" s="1"/>
      <c r="L276" s="1"/>
      <c r="M276" s="1"/>
      <c r="N276" s="1"/>
      <c r="O276" s="1"/>
      <c r="P276" s="1"/>
      <c r="Q276" s="1"/>
      <c r="R276" s="1"/>
      <c r="S276" s="1"/>
      <c r="T276" s="1"/>
      <c r="U276" s="1"/>
      <c r="V276" s="1"/>
      <c r="W276" s="1"/>
      <c r="X276" s="1"/>
    </row>
    <row r="277" spans="1:24" ht="13.5" customHeight="1" x14ac:dyDescent="0.3">
      <c r="A277" s="1"/>
      <c r="B277" s="1"/>
      <c r="C277" s="2"/>
      <c r="D277" s="1"/>
      <c r="E277" s="1"/>
      <c r="F277" s="3"/>
      <c r="G277" s="1"/>
      <c r="H277" s="1"/>
      <c r="I277" s="1"/>
      <c r="J277" s="1"/>
      <c r="K277" s="1"/>
      <c r="L277" s="1"/>
      <c r="M277" s="1"/>
      <c r="N277" s="1"/>
      <c r="O277" s="1"/>
      <c r="P277" s="1"/>
      <c r="Q277" s="1"/>
      <c r="R277" s="1"/>
      <c r="S277" s="1"/>
      <c r="T277" s="1"/>
      <c r="U277" s="1"/>
      <c r="V277" s="1"/>
      <c r="W277" s="1"/>
      <c r="X277" s="1"/>
    </row>
    <row r="278" spans="1:24" ht="13.5" customHeight="1" x14ac:dyDescent="0.3">
      <c r="A278" s="1"/>
      <c r="B278" s="1"/>
      <c r="C278" s="2"/>
      <c r="D278" s="1"/>
      <c r="E278" s="1"/>
      <c r="F278" s="3"/>
      <c r="G278" s="1"/>
      <c r="H278" s="1"/>
      <c r="I278" s="1"/>
      <c r="J278" s="1"/>
      <c r="K278" s="1"/>
      <c r="L278" s="1"/>
      <c r="M278" s="1"/>
      <c r="N278" s="1"/>
      <c r="O278" s="1"/>
      <c r="P278" s="1"/>
      <c r="Q278" s="1"/>
      <c r="R278" s="1"/>
      <c r="S278" s="1"/>
      <c r="T278" s="1"/>
      <c r="U278" s="1"/>
      <c r="V278" s="1"/>
      <c r="W278" s="1"/>
      <c r="X278" s="1"/>
    </row>
    <row r="279" spans="1:24" ht="13.5" customHeight="1" x14ac:dyDescent="0.3">
      <c r="A279" s="1"/>
      <c r="B279" s="1"/>
      <c r="C279" s="2"/>
      <c r="D279" s="1"/>
      <c r="E279" s="1"/>
      <c r="F279" s="3"/>
      <c r="G279" s="1"/>
      <c r="H279" s="1"/>
      <c r="I279" s="1"/>
      <c r="J279" s="1"/>
      <c r="K279" s="1"/>
      <c r="L279" s="1"/>
      <c r="M279" s="1"/>
      <c r="N279" s="1"/>
      <c r="O279" s="1"/>
      <c r="P279" s="1"/>
      <c r="Q279" s="1"/>
      <c r="R279" s="1"/>
      <c r="S279" s="1"/>
      <c r="T279" s="1"/>
      <c r="U279" s="1"/>
      <c r="V279" s="1"/>
      <c r="W279" s="1"/>
      <c r="X279" s="1"/>
    </row>
    <row r="280" spans="1:24" ht="13.5" customHeight="1" x14ac:dyDescent="0.3">
      <c r="A280" s="1"/>
      <c r="B280" s="1"/>
      <c r="C280" s="2"/>
      <c r="D280" s="1"/>
      <c r="E280" s="1"/>
      <c r="F280" s="3"/>
      <c r="G280" s="1"/>
      <c r="H280" s="1"/>
      <c r="I280" s="1"/>
      <c r="J280" s="1"/>
      <c r="K280" s="1"/>
      <c r="L280" s="1"/>
      <c r="M280" s="1"/>
      <c r="N280" s="1"/>
      <c r="O280" s="1"/>
      <c r="P280" s="1"/>
      <c r="Q280" s="1"/>
      <c r="R280" s="1"/>
      <c r="S280" s="1"/>
      <c r="T280" s="1"/>
      <c r="U280" s="1"/>
      <c r="V280" s="1"/>
      <c r="W280" s="1"/>
      <c r="X280" s="1"/>
    </row>
    <row r="281" spans="1:24" ht="13.5" customHeight="1" x14ac:dyDescent="0.3">
      <c r="A281" s="1"/>
      <c r="B281" s="1"/>
      <c r="C281" s="2"/>
      <c r="D281" s="1"/>
      <c r="E281" s="1"/>
      <c r="F281" s="3"/>
      <c r="G281" s="1"/>
      <c r="H281" s="1"/>
      <c r="I281" s="1"/>
      <c r="J281" s="1"/>
      <c r="K281" s="1"/>
      <c r="L281" s="1"/>
      <c r="M281" s="1"/>
      <c r="N281" s="1"/>
      <c r="O281" s="1"/>
      <c r="P281" s="1"/>
      <c r="Q281" s="1"/>
      <c r="R281" s="1"/>
      <c r="S281" s="1"/>
      <c r="T281" s="1"/>
      <c r="U281" s="1"/>
      <c r="V281" s="1"/>
      <c r="W281" s="1"/>
      <c r="X281" s="1"/>
    </row>
    <row r="282" spans="1:24" ht="13.5" customHeight="1" x14ac:dyDescent="0.3">
      <c r="A282" s="1"/>
      <c r="B282" s="1"/>
      <c r="C282" s="2"/>
      <c r="D282" s="1"/>
      <c r="E282" s="1"/>
      <c r="F282" s="3"/>
      <c r="G282" s="1"/>
      <c r="H282" s="1"/>
      <c r="I282" s="1"/>
      <c r="J282" s="1"/>
      <c r="K282" s="1"/>
      <c r="L282" s="1"/>
      <c r="M282" s="1"/>
      <c r="N282" s="1"/>
      <c r="O282" s="1"/>
      <c r="P282" s="1"/>
      <c r="Q282" s="1"/>
      <c r="R282" s="1"/>
      <c r="S282" s="1"/>
      <c r="T282" s="1"/>
      <c r="U282" s="1"/>
      <c r="V282" s="1"/>
      <c r="W282" s="1"/>
      <c r="X282" s="1"/>
    </row>
    <row r="283" spans="1:24" ht="13.5" customHeight="1" x14ac:dyDescent="0.3">
      <c r="A283" s="1"/>
      <c r="B283" s="1"/>
      <c r="C283" s="2"/>
      <c r="D283" s="1"/>
      <c r="E283" s="1"/>
      <c r="F283" s="3"/>
      <c r="G283" s="1"/>
      <c r="H283" s="1"/>
      <c r="I283" s="1"/>
      <c r="J283" s="1"/>
      <c r="K283" s="1"/>
      <c r="L283" s="1"/>
      <c r="M283" s="1"/>
      <c r="N283" s="1"/>
      <c r="O283" s="1"/>
      <c r="P283" s="1"/>
      <c r="Q283" s="1"/>
      <c r="R283" s="1"/>
      <c r="S283" s="1"/>
      <c r="T283" s="1"/>
      <c r="U283" s="1"/>
      <c r="V283" s="1"/>
      <c r="W283" s="1"/>
      <c r="X283" s="1"/>
    </row>
    <row r="284" spans="1:24" ht="13.5" customHeight="1" x14ac:dyDescent="0.3">
      <c r="A284" s="1"/>
      <c r="B284" s="1"/>
      <c r="C284" s="2"/>
      <c r="D284" s="1"/>
      <c r="E284" s="1"/>
      <c r="F284" s="3"/>
      <c r="G284" s="1"/>
      <c r="H284" s="1"/>
      <c r="I284" s="1"/>
      <c r="J284" s="1"/>
      <c r="K284" s="1"/>
      <c r="L284" s="1"/>
      <c r="M284" s="1"/>
      <c r="N284" s="1"/>
      <c r="O284" s="1"/>
      <c r="P284" s="1"/>
      <c r="Q284" s="1"/>
      <c r="R284" s="1"/>
      <c r="S284" s="1"/>
      <c r="T284" s="1"/>
      <c r="U284" s="1"/>
      <c r="V284" s="1"/>
      <c r="W284" s="1"/>
      <c r="X284" s="1"/>
    </row>
    <row r="285" spans="1:24" ht="13.5" customHeight="1" x14ac:dyDescent="0.3">
      <c r="A285" s="1"/>
      <c r="B285" s="1"/>
      <c r="C285" s="2"/>
      <c r="D285" s="1"/>
      <c r="E285" s="1"/>
      <c r="F285" s="3"/>
      <c r="G285" s="1"/>
      <c r="H285" s="1"/>
      <c r="I285" s="1"/>
      <c r="J285" s="1"/>
      <c r="K285" s="1"/>
      <c r="L285" s="1"/>
      <c r="M285" s="1"/>
      <c r="N285" s="1"/>
      <c r="O285" s="1"/>
      <c r="P285" s="1"/>
      <c r="Q285" s="1"/>
      <c r="R285" s="1"/>
      <c r="S285" s="1"/>
      <c r="T285" s="1"/>
      <c r="U285" s="1"/>
      <c r="V285" s="1"/>
      <c r="W285" s="1"/>
      <c r="X285" s="1"/>
    </row>
    <row r="286" spans="1:24" ht="13.5" customHeight="1" x14ac:dyDescent="0.3">
      <c r="A286" s="1"/>
      <c r="B286" s="1"/>
      <c r="C286" s="2"/>
      <c r="D286" s="1"/>
      <c r="E286" s="1"/>
      <c r="F286" s="3"/>
      <c r="G286" s="1"/>
      <c r="H286" s="1"/>
      <c r="I286" s="1"/>
      <c r="J286" s="1"/>
      <c r="K286" s="1"/>
      <c r="L286" s="1"/>
      <c r="M286" s="1"/>
      <c r="N286" s="1"/>
      <c r="O286" s="1"/>
      <c r="P286" s="1"/>
      <c r="Q286" s="1"/>
      <c r="R286" s="1"/>
      <c r="S286" s="1"/>
      <c r="T286" s="1"/>
      <c r="U286" s="1"/>
      <c r="V286" s="1"/>
      <c r="W286" s="1"/>
      <c r="X286" s="1"/>
    </row>
    <row r="287" spans="1:24" ht="13.5" customHeight="1" x14ac:dyDescent="0.3">
      <c r="A287" s="1"/>
      <c r="B287" s="1"/>
      <c r="C287" s="2"/>
      <c r="D287" s="1"/>
      <c r="E287" s="1"/>
      <c r="F287" s="3"/>
      <c r="G287" s="1"/>
      <c r="H287" s="1"/>
      <c r="I287" s="1"/>
      <c r="J287" s="1"/>
      <c r="K287" s="1"/>
      <c r="L287" s="1"/>
      <c r="M287" s="1"/>
      <c r="N287" s="1"/>
      <c r="O287" s="1"/>
      <c r="P287" s="1"/>
      <c r="Q287" s="1"/>
      <c r="R287" s="1"/>
      <c r="S287" s="1"/>
      <c r="T287" s="1"/>
      <c r="U287" s="1"/>
      <c r="V287" s="1"/>
      <c r="W287" s="1"/>
      <c r="X287" s="1"/>
    </row>
    <row r="288" spans="1:24" ht="13.5" customHeight="1" x14ac:dyDescent="0.3">
      <c r="A288" s="1"/>
      <c r="B288" s="1"/>
      <c r="C288" s="2"/>
      <c r="D288" s="1"/>
      <c r="E288" s="1"/>
      <c r="F288" s="3"/>
      <c r="G288" s="1"/>
      <c r="H288" s="1"/>
      <c r="I288" s="1"/>
      <c r="J288" s="1"/>
      <c r="K288" s="1"/>
      <c r="L288" s="1"/>
      <c r="M288" s="1"/>
      <c r="N288" s="1"/>
      <c r="O288" s="1"/>
      <c r="P288" s="1"/>
      <c r="Q288" s="1"/>
      <c r="R288" s="1"/>
      <c r="S288" s="1"/>
      <c r="T288" s="1"/>
      <c r="U288" s="1"/>
      <c r="V288" s="1"/>
      <c r="W288" s="1"/>
      <c r="X288" s="1"/>
    </row>
    <row r="289" spans="1:24" ht="13.5" customHeight="1" x14ac:dyDescent="0.3">
      <c r="A289" s="1"/>
      <c r="B289" s="1"/>
      <c r="C289" s="2"/>
      <c r="D289" s="1"/>
      <c r="E289" s="1"/>
      <c r="F289" s="3"/>
      <c r="G289" s="1"/>
      <c r="H289" s="1"/>
      <c r="I289" s="1"/>
      <c r="J289" s="1"/>
      <c r="K289" s="1"/>
      <c r="L289" s="1"/>
      <c r="M289" s="1"/>
      <c r="N289" s="1"/>
      <c r="O289" s="1"/>
      <c r="P289" s="1"/>
      <c r="Q289" s="1"/>
      <c r="R289" s="1"/>
      <c r="S289" s="1"/>
      <c r="T289" s="1"/>
      <c r="U289" s="1"/>
      <c r="V289" s="1"/>
      <c r="W289" s="1"/>
      <c r="X289" s="1"/>
    </row>
    <row r="290" spans="1:24" ht="13.5" customHeight="1" x14ac:dyDescent="0.3">
      <c r="A290" s="1"/>
      <c r="B290" s="1"/>
      <c r="C290" s="2"/>
      <c r="D290" s="1"/>
      <c r="E290" s="1"/>
      <c r="F290" s="3"/>
      <c r="G290" s="1"/>
      <c r="H290" s="1"/>
      <c r="I290" s="1"/>
      <c r="J290" s="1"/>
      <c r="K290" s="1"/>
      <c r="L290" s="1"/>
      <c r="M290" s="1"/>
      <c r="N290" s="1"/>
      <c r="O290" s="1"/>
      <c r="P290" s="1"/>
      <c r="Q290" s="1"/>
      <c r="R290" s="1"/>
      <c r="S290" s="1"/>
      <c r="T290" s="1"/>
      <c r="U290" s="1"/>
      <c r="V290" s="1"/>
      <c r="W290" s="1"/>
      <c r="X290" s="1"/>
    </row>
    <row r="291" spans="1:24" ht="13.5" customHeight="1" x14ac:dyDescent="0.3">
      <c r="A291" s="1"/>
      <c r="B291" s="1"/>
      <c r="C291" s="2"/>
      <c r="D291" s="1"/>
      <c r="E291" s="1"/>
      <c r="F291" s="3"/>
      <c r="G291" s="1"/>
      <c r="H291" s="1"/>
      <c r="I291" s="1"/>
      <c r="J291" s="1"/>
      <c r="K291" s="1"/>
      <c r="L291" s="1"/>
      <c r="M291" s="1"/>
      <c r="N291" s="1"/>
      <c r="O291" s="1"/>
      <c r="P291" s="1"/>
      <c r="Q291" s="1"/>
      <c r="R291" s="1"/>
      <c r="S291" s="1"/>
      <c r="T291" s="1"/>
      <c r="U291" s="1"/>
      <c r="V291" s="1"/>
      <c r="W291" s="1"/>
      <c r="X291" s="1"/>
    </row>
    <row r="292" spans="1:24" ht="13.5" customHeight="1" x14ac:dyDescent="0.3">
      <c r="A292" s="1"/>
      <c r="B292" s="1"/>
      <c r="C292" s="2"/>
      <c r="D292" s="1"/>
      <c r="E292" s="1"/>
      <c r="F292" s="3"/>
      <c r="G292" s="1"/>
      <c r="H292" s="1"/>
      <c r="I292" s="1"/>
      <c r="J292" s="1"/>
      <c r="K292" s="1"/>
      <c r="L292" s="1"/>
      <c r="M292" s="1"/>
      <c r="N292" s="1"/>
      <c r="O292" s="1"/>
      <c r="P292" s="1"/>
      <c r="Q292" s="1"/>
      <c r="R292" s="1"/>
      <c r="S292" s="1"/>
      <c r="T292" s="1"/>
      <c r="U292" s="1"/>
      <c r="V292" s="1"/>
      <c r="W292" s="1"/>
      <c r="X292" s="1"/>
    </row>
    <row r="293" spans="1:24" ht="13.5" customHeight="1" x14ac:dyDescent="0.3">
      <c r="A293" s="1"/>
      <c r="B293" s="1"/>
      <c r="C293" s="2"/>
      <c r="D293" s="1"/>
      <c r="E293" s="1"/>
      <c r="F293" s="3"/>
      <c r="G293" s="1"/>
      <c r="H293" s="1"/>
      <c r="I293" s="1"/>
      <c r="J293" s="1"/>
      <c r="K293" s="1"/>
      <c r="L293" s="1"/>
      <c r="M293" s="1"/>
      <c r="N293" s="1"/>
      <c r="O293" s="1"/>
      <c r="P293" s="1"/>
      <c r="Q293" s="1"/>
      <c r="R293" s="1"/>
      <c r="S293" s="1"/>
      <c r="T293" s="1"/>
      <c r="U293" s="1"/>
      <c r="V293" s="1"/>
      <c r="W293" s="1"/>
      <c r="X293" s="1"/>
    </row>
    <row r="294" spans="1:24" ht="13.5" customHeight="1" x14ac:dyDescent="0.3">
      <c r="A294" s="1"/>
      <c r="B294" s="1"/>
      <c r="C294" s="2"/>
      <c r="D294" s="1"/>
      <c r="E294" s="1"/>
      <c r="F294" s="3"/>
      <c r="G294" s="1"/>
      <c r="H294" s="1"/>
      <c r="I294" s="1"/>
      <c r="J294" s="1"/>
      <c r="K294" s="1"/>
      <c r="L294" s="1"/>
      <c r="M294" s="1"/>
      <c r="N294" s="1"/>
      <c r="O294" s="1"/>
      <c r="P294" s="1"/>
      <c r="Q294" s="1"/>
      <c r="R294" s="1"/>
      <c r="S294" s="1"/>
      <c r="T294" s="1"/>
      <c r="U294" s="1"/>
      <c r="V294" s="1"/>
      <c r="W294" s="1"/>
      <c r="X294" s="1"/>
    </row>
    <row r="295" spans="1:24" ht="13.5" customHeight="1" x14ac:dyDescent="0.3">
      <c r="A295" s="1"/>
      <c r="B295" s="1"/>
      <c r="C295" s="2"/>
      <c r="D295" s="1"/>
      <c r="E295" s="1"/>
      <c r="F295" s="3"/>
      <c r="G295" s="1"/>
      <c r="H295" s="1"/>
      <c r="I295" s="1"/>
      <c r="J295" s="1"/>
      <c r="K295" s="1"/>
      <c r="L295" s="1"/>
      <c r="M295" s="1"/>
      <c r="N295" s="1"/>
      <c r="O295" s="1"/>
      <c r="P295" s="1"/>
      <c r="Q295" s="1"/>
      <c r="R295" s="1"/>
      <c r="S295" s="1"/>
      <c r="T295" s="1"/>
      <c r="U295" s="1"/>
      <c r="V295" s="1"/>
      <c r="W295" s="1"/>
      <c r="X295" s="1"/>
    </row>
    <row r="296" spans="1:24" ht="13.5" customHeight="1" x14ac:dyDescent="0.3">
      <c r="A296" s="1"/>
      <c r="B296" s="1"/>
      <c r="C296" s="2"/>
      <c r="D296" s="1"/>
      <c r="E296" s="1"/>
      <c r="F296" s="3"/>
      <c r="G296" s="1"/>
      <c r="H296" s="1"/>
      <c r="I296" s="1"/>
      <c r="J296" s="1"/>
      <c r="K296" s="1"/>
      <c r="L296" s="1"/>
      <c r="M296" s="1"/>
      <c r="N296" s="1"/>
      <c r="O296" s="1"/>
      <c r="P296" s="1"/>
      <c r="Q296" s="1"/>
      <c r="R296" s="1"/>
      <c r="S296" s="1"/>
      <c r="T296" s="1"/>
      <c r="U296" s="1"/>
      <c r="V296" s="1"/>
      <c r="W296" s="1"/>
      <c r="X296" s="1"/>
    </row>
    <row r="297" spans="1:24" ht="13.5" customHeight="1" x14ac:dyDescent="0.3">
      <c r="A297" s="1"/>
      <c r="B297" s="1"/>
      <c r="C297" s="2"/>
      <c r="D297" s="1"/>
      <c r="E297" s="1"/>
      <c r="F297" s="3"/>
      <c r="G297" s="1"/>
      <c r="H297" s="1"/>
      <c r="I297" s="1"/>
      <c r="J297" s="1"/>
      <c r="K297" s="1"/>
      <c r="L297" s="1"/>
      <c r="M297" s="1"/>
      <c r="N297" s="1"/>
      <c r="O297" s="1"/>
      <c r="P297" s="1"/>
      <c r="Q297" s="1"/>
      <c r="R297" s="1"/>
      <c r="S297" s="1"/>
      <c r="T297" s="1"/>
      <c r="U297" s="1"/>
      <c r="V297" s="1"/>
      <c r="W297" s="1"/>
      <c r="X297" s="1"/>
    </row>
    <row r="298" spans="1:24" ht="13.5" customHeight="1" x14ac:dyDescent="0.3">
      <c r="A298" s="1"/>
      <c r="B298" s="1"/>
      <c r="C298" s="2"/>
      <c r="D298" s="1"/>
      <c r="E298" s="1"/>
      <c r="F298" s="3"/>
      <c r="G298" s="1"/>
      <c r="H298" s="1"/>
      <c r="I298" s="1"/>
      <c r="J298" s="1"/>
      <c r="K298" s="1"/>
      <c r="L298" s="1"/>
      <c r="M298" s="1"/>
      <c r="N298" s="1"/>
      <c r="O298" s="1"/>
      <c r="P298" s="1"/>
      <c r="Q298" s="1"/>
      <c r="R298" s="1"/>
      <c r="S298" s="1"/>
      <c r="T298" s="1"/>
      <c r="U298" s="1"/>
      <c r="V298" s="1"/>
      <c r="W298" s="1"/>
      <c r="X298" s="1"/>
    </row>
    <row r="299" spans="1:24" ht="13.5" customHeight="1" x14ac:dyDescent="0.3">
      <c r="A299" s="1"/>
      <c r="B299" s="1"/>
      <c r="C299" s="2"/>
      <c r="D299" s="1"/>
      <c r="E299" s="1"/>
      <c r="F299" s="3"/>
      <c r="G299" s="1"/>
      <c r="H299" s="1"/>
      <c r="I299" s="1"/>
      <c r="J299" s="1"/>
      <c r="K299" s="1"/>
      <c r="L299" s="1"/>
      <c r="M299" s="1"/>
      <c r="N299" s="1"/>
      <c r="O299" s="1"/>
      <c r="P299" s="1"/>
      <c r="Q299" s="1"/>
      <c r="R299" s="1"/>
      <c r="S299" s="1"/>
      <c r="T299" s="1"/>
      <c r="U299" s="1"/>
      <c r="V299" s="1"/>
      <c r="W299" s="1"/>
      <c r="X299" s="1"/>
    </row>
    <row r="300" spans="1:24" ht="13.5" customHeight="1" x14ac:dyDescent="0.3">
      <c r="A300" s="1"/>
      <c r="B300" s="1"/>
      <c r="C300" s="2"/>
      <c r="D300" s="1"/>
      <c r="E300" s="1"/>
      <c r="F300" s="3"/>
      <c r="G300" s="1"/>
      <c r="H300" s="1"/>
      <c r="I300" s="1"/>
      <c r="J300" s="1"/>
      <c r="K300" s="1"/>
      <c r="L300" s="1"/>
      <c r="M300" s="1"/>
      <c r="N300" s="1"/>
      <c r="O300" s="1"/>
      <c r="P300" s="1"/>
      <c r="Q300" s="1"/>
      <c r="R300" s="1"/>
      <c r="S300" s="1"/>
      <c r="T300" s="1"/>
      <c r="U300" s="1"/>
      <c r="V300" s="1"/>
      <c r="W300" s="1"/>
      <c r="X300" s="1"/>
    </row>
    <row r="301" spans="1:24" ht="13.5" customHeight="1" x14ac:dyDescent="0.3">
      <c r="A301" s="1"/>
      <c r="B301" s="1"/>
      <c r="C301" s="2"/>
      <c r="D301" s="1"/>
      <c r="E301" s="1"/>
      <c r="F301" s="3"/>
      <c r="G301" s="1"/>
      <c r="H301" s="1"/>
      <c r="I301" s="1"/>
      <c r="J301" s="1"/>
      <c r="K301" s="1"/>
      <c r="L301" s="1"/>
      <c r="M301" s="1"/>
      <c r="N301" s="1"/>
      <c r="O301" s="1"/>
      <c r="P301" s="1"/>
      <c r="Q301" s="1"/>
      <c r="R301" s="1"/>
      <c r="S301" s="1"/>
      <c r="T301" s="1"/>
      <c r="U301" s="1"/>
      <c r="V301" s="1"/>
      <c r="W301" s="1"/>
      <c r="X301" s="1"/>
    </row>
    <row r="302" spans="1:24" ht="13.5" customHeight="1" x14ac:dyDescent="0.3">
      <c r="A302" s="1"/>
      <c r="B302" s="1"/>
      <c r="C302" s="2"/>
      <c r="D302" s="1"/>
      <c r="E302" s="1"/>
      <c r="F302" s="3"/>
      <c r="G302" s="1"/>
      <c r="H302" s="1"/>
      <c r="I302" s="1"/>
      <c r="J302" s="1"/>
      <c r="K302" s="1"/>
      <c r="L302" s="1"/>
      <c r="M302" s="1"/>
      <c r="N302" s="1"/>
      <c r="O302" s="1"/>
      <c r="P302" s="1"/>
      <c r="Q302" s="1"/>
      <c r="R302" s="1"/>
      <c r="S302" s="1"/>
      <c r="T302" s="1"/>
      <c r="U302" s="1"/>
      <c r="V302" s="1"/>
      <c r="W302" s="1"/>
      <c r="X302" s="1"/>
    </row>
    <row r="303" spans="1:24" ht="13.5" customHeight="1" x14ac:dyDescent="0.3">
      <c r="A303" s="1"/>
      <c r="B303" s="1"/>
      <c r="C303" s="2"/>
      <c r="D303" s="1"/>
      <c r="E303" s="1"/>
      <c r="F303" s="3"/>
      <c r="G303" s="1"/>
      <c r="H303" s="1"/>
      <c r="I303" s="1"/>
      <c r="J303" s="1"/>
      <c r="K303" s="1"/>
      <c r="L303" s="1"/>
      <c r="M303" s="1"/>
      <c r="N303" s="1"/>
      <c r="O303" s="1"/>
      <c r="P303" s="1"/>
      <c r="Q303" s="1"/>
      <c r="R303" s="1"/>
      <c r="S303" s="1"/>
      <c r="T303" s="1"/>
      <c r="U303" s="1"/>
      <c r="V303" s="1"/>
      <c r="W303" s="1"/>
      <c r="X303" s="1"/>
    </row>
    <row r="304" spans="1:24" ht="13.5" customHeight="1" x14ac:dyDescent="0.3">
      <c r="A304" s="1"/>
      <c r="B304" s="1"/>
      <c r="C304" s="2"/>
      <c r="D304" s="1"/>
      <c r="E304" s="1"/>
      <c r="F304" s="3"/>
      <c r="G304" s="1"/>
      <c r="H304" s="1"/>
      <c r="I304" s="1"/>
      <c r="J304" s="1"/>
      <c r="K304" s="1"/>
      <c r="L304" s="1"/>
      <c r="M304" s="1"/>
      <c r="N304" s="1"/>
      <c r="O304" s="1"/>
      <c r="P304" s="1"/>
      <c r="Q304" s="1"/>
      <c r="R304" s="1"/>
      <c r="S304" s="1"/>
      <c r="T304" s="1"/>
      <c r="U304" s="1"/>
      <c r="V304" s="1"/>
      <c r="W304" s="1"/>
      <c r="X304" s="1"/>
    </row>
    <row r="305" spans="1:24" ht="13.5" customHeight="1" x14ac:dyDescent="0.3">
      <c r="A305" s="1"/>
      <c r="B305" s="1"/>
      <c r="C305" s="2"/>
      <c r="D305" s="1"/>
      <c r="E305" s="1"/>
      <c r="F305" s="3"/>
      <c r="G305" s="1"/>
      <c r="H305" s="1"/>
      <c r="I305" s="1"/>
      <c r="J305" s="1"/>
      <c r="K305" s="1"/>
      <c r="L305" s="1"/>
      <c r="M305" s="1"/>
      <c r="N305" s="1"/>
      <c r="O305" s="1"/>
      <c r="P305" s="1"/>
      <c r="Q305" s="1"/>
      <c r="R305" s="1"/>
      <c r="S305" s="1"/>
      <c r="T305" s="1"/>
      <c r="U305" s="1"/>
      <c r="V305" s="1"/>
      <c r="W305" s="1"/>
      <c r="X305" s="1"/>
    </row>
    <row r="306" spans="1:24" ht="13.5" customHeight="1" x14ac:dyDescent="0.3">
      <c r="A306" s="1"/>
      <c r="B306" s="1"/>
      <c r="C306" s="2"/>
      <c r="D306" s="1"/>
      <c r="E306" s="1"/>
      <c r="F306" s="3"/>
      <c r="G306" s="1"/>
      <c r="H306" s="1"/>
      <c r="I306" s="1"/>
      <c r="J306" s="1"/>
      <c r="K306" s="1"/>
      <c r="L306" s="1"/>
      <c r="M306" s="1"/>
      <c r="N306" s="1"/>
      <c r="O306" s="1"/>
      <c r="P306" s="1"/>
      <c r="Q306" s="1"/>
      <c r="R306" s="1"/>
      <c r="S306" s="1"/>
      <c r="T306" s="1"/>
      <c r="U306" s="1"/>
      <c r="V306" s="1"/>
      <c r="W306" s="1"/>
      <c r="X306" s="1"/>
    </row>
    <row r="307" spans="1:24" ht="13.5" customHeight="1" x14ac:dyDescent="0.3">
      <c r="A307" s="1"/>
      <c r="B307" s="1"/>
      <c r="C307" s="2"/>
      <c r="D307" s="1"/>
      <c r="E307" s="1"/>
      <c r="F307" s="3"/>
      <c r="G307" s="1"/>
      <c r="H307" s="1"/>
      <c r="I307" s="1"/>
      <c r="J307" s="1"/>
      <c r="K307" s="1"/>
      <c r="L307" s="1"/>
      <c r="M307" s="1"/>
      <c r="N307" s="1"/>
      <c r="O307" s="1"/>
      <c r="P307" s="1"/>
      <c r="Q307" s="1"/>
      <c r="R307" s="1"/>
      <c r="S307" s="1"/>
      <c r="T307" s="1"/>
      <c r="U307" s="1"/>
      <c r="V307" s="1"/>
      <c r="W307" s="1"/>
      <c r="X307" s="1"/>
    </row>
    <row r="308" spans="1:24" ht="13.5" customHeight="1" x14ac:dyDescent="0.3">
      <c r="A308" s="1"/>
      <c r="B308" s="1"/>
      <c r="C308" s="2"/>
      <c r="D308" s="1"/>
      <c r="E308" s="1"/>
      <c r="F308" s="3"/>
      <c r="G308" s="1"/>
      <c r="H308" s="1"/>
      <c r="I308" s="1"/>
      <c r="J308" s="1"/>
      <c r="K308" s="1"/>
      <c r="L308" s="1"/>
      <c r="M308" s="1"/>
      <c r="N308" s="1"/>
      <c r="O308" s="1"/>
      <c r="P308" s="1"/>
      <c r="Q308" s="1"/>
      <c r="R308" s="1"/>
      <c r="S308" s="1"/>
      <c r="T308" s="1"/>
      <c r="U308" s="1"/>
      <c r="V308" s="1"/>
      <c r="W308" s="1"/>
      <c r="X308" s="1"/>
    </row>
    <row r="309" spans="1:24" ht="13.5" customHeight="1" x14ac:dyDescent="0.3">
      <c r="A309" s="1"/>
      <c r="B309" s="1"/>
      <c r="C309" s="2"/>
      <c r="D309" s="1"/>
      <c r="E309" s="1"/>
      <c r="F309" s="3"/>
      <c r="G309" s="1"/>
      <c r="H309" s="1"/>
      <c r="I309" s="1"/>
      <c r="J309" s="1"/>
      <c r="K309" s="1"/>
      <c r="L309" s="1"/>
      <c r="M309" s="1"/>
      <c r="N309" s="1"/>
      <c r="O309" s="1"/>
      <c r="P309" s="1"/>
      <c r="Q309" s="1"/>
      <c r="R309" s="1"/>
      <c r="S309" s="1"/>
      <c r="T309" s="1"/>
      <c r="U309" s="1"/>
      <c r="V309" s="1"/>
      <c r="W309" s="1"/>
      <c r="X309" s="1"/>
    </row>
    <row r="310" spans="1:24" ht="13.5" customHeight="1" x14ac:dyDescent="0.3">
      <c r="A310" s="1"/>
      <c r="B310" s="1"/>
      <c r="C310" s="2"/>
      <c r="D310" s="1"/>
      <c r="E310" s="1"/>
      <c r="F310" s="3"/>
      <c r="G310" s="1"/>
      <c r="H310" s="1"/>
      <c r="I310" s="1"/>
      <c r="J310" s="1"/>
      <c r="K310" s="1"/>
      <c r="L310" s="1"/>
      <c r="M310" s="1"/>
      <c r="N310" s="1"/>
      <c r="O310" s="1"/>
      <c r="P310" s="1"/>
      <c r="Q310" s="1"/>
      <c r="R310" s="1"/>
      <c r="S310" s="1"/>
      <c r="T310" s="1"/>
      <c r="U310" s="1"/>
      <c r="V310" s="1"/>
      <c r="W310" s="1"/>
      <c r="X310" s="1"/>
    </row>
    <row r="311" spans="1:24" ht="15.75" customHeight="1" x14ac:dyDescent="0.3">
      <c r="A311" s="1"/>
      <c r="B311" s="1"/>
      <c r="C311" s="2"/>
      <c r="D311" s="1"/>
      <c r="E311" s="1"/>
      <c r="F311" s="3"/>
      <c r="G311" s="1"/>
      <c r="H311" s="1"/>
      <c r="I311" s="1"/>
      <c r="J311" s="1"/>
      <c r="K311" s="1"/>
      <c r="L311" s="1"/>
      <c r="M311" s="1"/>
      <c r="N311" s="1"/>
      <c r="O311" s="1"/>
      <c r="P311" s="1"/>
      <c r="Q311" s="1"/>
      <c r="R311" s="1"/>
      <c r="S311" s="1"/>
      <c r="T311" s="1"/>
      <c r="U311" s="1"/>
      <c r="V311" s="1"/>
      <c r="W311" s="1"/>
      <c r="X311" s="1"/>
    </row>
    <row r="312" spans="1:24" ht="15.75" customHeight="1" x14ac:dyDescent="0.3">
      <c r="A312" s="1"/>
      <c r="B312" s="1"/>
      <c r="C312" s="2"/>
      <c r="D312" s="1"/>
      <c r="E312" s="1"/>
      <c r="F312" s="3"/>
      <c r="G312" s="1"/>
      <c r="H312" s="1"/>
      <c r="I312" s="1"/>
      <c r="J312" s="1"/>
      <c r="K312" s="1"/>
      <c r="L312" s="1"/>
      <c r="M312" s="1"/>
      <c r="N312" s="1"/>
      <c r="O312" s="1"/>
      <c r="P312" s="1"/>
      <c r="Q312" s="1"/>
      <c r="R312" s="1"/>
      <c r="S312" s="1"/>
      <c r="T312" s="1"/>
      <c r="U312" s="1"/>
      <c r="V312" s="1"/>
      <c r="W312" s="1"/>
      <c r="X312" s="1"/>
    </row>
    <row r="313" spans="1:24" ht="15.75" customHeight="1" x14ac:dyDescent="0.3">
      <c r="A313" s="1"/>
      <c r="B313" s="1"/>
      <c r="C313" s="2"/>
      <c r="D313" s="1"/>
      <c r="E313" s="1"/>
      <c r="F313" s="3"/>
      <c r="G313" s="1"/>
      <c r="H313" s="1"/>
      <c r="I313" s="1"/>
      <c r="J313" s="1"/>
      <c r="K313" s="1"/>
      <c r="L313" s="1"/>
      <c r="M313" s="1"/>
      <c r="N313" s="1"/>
      <c r="O313" s="1"/>
      <c r="P313" s="1"/>
      <c r="Q313" s="1"/>
      <c r="R313" s="1"/>
      <c r="S313" s="1"/>
      <c r="T313" s="1"/>
      <c r="U313" s="1"/>
      <c r="V313" s="1"/>
      <c r="W313" s="1"/>
      <c r="X313" s="1"/>
    </row>
    <row r="314" spans="1:24" ht="15.75" customHeight="1" x14ac:dyDescent="0.3">
      <c r="A314" s="1"/>
      <c r="B314" s="1"/>
      <c r="C314" s="2"/>
      <c r="D314" s="1"/>
      <c r="E314" s="1"/>
      <c r="F314" s="3"/>
      <c r="G314" s="1"/>
      <c r="H314" s="1"/>
      <c r="I314" s="1"/>
      <c r="J314" s="1"/>
      <c r="K314" s="1"/>
      <c r="L314" s="1"/>
      <c r="M314" s="1"/>
      <c r="N314" s="1"/>
      <c r="O314" s="1"/>
      <c r="P314" s="1"/>
      <c r="Q314" s="1"/>
      <c r="R314" s="1"/>
      <c r="S314" s="1"/>
      <c r="T314" s="1"/>
      <c r="U314" s="1"/>
      <c r="V314" s="1"/>
      <c r="W314" s="1"/>
      <c r="X314" s="1"/>
    </row>
    <row r="315" spans="1:24" ht="15.75" customHeight="1" x14ac:dyDescent="0.3">
      <c r="A315" s="1"/>
      <c r="B315" s="1"/>
      <c r="C315" s="2"/>
      <c r="D315" s="1"/>
      <c r="E315" s="1"/>
      <c r="F315" s="3"/>
      <c r="G315" s="1"/>
      <c r="H315" s="1"/>
      <c r="I315" s="1"/>
      <c r="J315" s="1"/>
      <c r="K315" s="1"/>
      <c r="L315" s="1"/>
      <c r="M315" s="1"/>
      <c r="N315" s="1"/>
      <c r="O315" s="1"/>
      <c r="P315" s="1"/>
      <c r="Q315" s="1"/>
      <c r="R315" s="1"/>
      <c r="S315" s="1"/>
      <c r="T315" s="1"/>
      <c r="U315" s="1"/>
      <c r="V315" s="1"/>
      <c r="W315" s="1"/>
      <c r="X315" s="1"/>
    </row>
    <row r="316" spans="1:24" ht="15.75" customHeight="1" x14ac:dyDescent="0.3">
      <c r="A316" s="1"/>
      <c r="B316" s="1"/>
      <c r="C316" s="2"/>
      <c r="D316" s="1"/>
      <c r="E316" s="1"/>
      <c r="F316" s="3"/>
      <c r="G316" s="1"/>
      <c r="H316" s="1"/>
      <c r="I316" s="1"/>
      <c r="J316" s="1"/>
      <c r="K316" s="1"/>
      <c r="L316" s="1"/>
      <c r="M316" s="1"/>
      <c r="N316" s="1"/>
      <c r="O316" s="1"/>
      <c r="P316" s="1"/>
      <c r="Q316" s="1"/>
      <c r="R316" s="1"/>
      <c r="S316" s="1"/>
      <c r="T316" s="1"/>
      <c r="U316" s="1"/>
      <c r="V316" s="1"/>
      <c r="W316" s="1"/>
      <c r="X316" s="1"/>
    </row>
    <row r="317" spans="1:24" ht="15.75" customHeight="1" x14ac:dyDescent="0.3">
      <c r="A317" s="1"/>
      <c r="B317" s="1"/>
      <c r="C317" s="2"/>
      <c r="D317" s="1"/>
      <c r="E317" s="1"/>
      <c r="F317" s="3"/>
      <c r="G317" s="1"/>
      <c r="H317" s="1"/>
      <c r="I317" s="1"/>
      <c r="J317" s="1"/>
      <c r="K317" s="1"/>
      <c r="L317" s="1"/>
      <c r="M317" s="1"/>
      <c r="N317" s="1"/>
      <c r="O317" s="1"/>
      <c r="P317" s="1"/>
      <c r="Q317" s="1"/>
      <c r="R317" s="1"/>
      <c r="S317" s="1"/>
      <c r="T317" s="1"/>
      <c r="U317" s="1"/>
      <c r="V317" s="1"/>
      <c r="W317" s="1"/>
      <c r="X317" s="1"/>
    </row>
    <row r="318" spans="1:24" ht="15.75" customHeight="1" x14ac:dyDescent="0.3">
      <c r="A318" s="1"/>
      <c r="B318" s="1"/>
      <c r="C318" s="2"/>
      <c r="D318" s="1"/>
      <c r="E318" s="1"/>
      <c r="F318" s="3"/>
      <c r="G318" s="1"/>
      <c r="H318" s="1"/>
      <c r="I318" s="1"/>
      <c r="J318" s="1"/>
      <c r="K318" s="1"/>
      <c r="L318" s="1"/>
      <c r="M318" s="1"/>
      <c r="N318" s="1"/>
      <c r="O318" s="1"/>
      <c r="P318" s="1"/>
      <c r="Q318" s="1"/>
      <c r="R318" s="1"/>
      <c r="S318" s="1"/>
      <c r="T318" s="1"/>
      <c r="U318" s="1"/>
      <c r="V318" s="1"/>
      <c r="W318" s="1"/>
      <c r="X318" s="1"/>
    </row>
    <row r="319" spans="1:24" ht="15.75" customHeight="1" x14ac:dyDescent="0.3">
      <c r="A319" s="1"/>
      <c r="B319" s="1"/>
      <c r="C319" s="2"/>
      <c r="D319" s="1"/>
      <c r="E319" s="1"/>
      <c r="F319" s="3"/>
      <c r="G319" s="1"/>
      <c r="H319" s="1"/>
      <c r="I319" s="1"/>
      <c r="J319" s="1"/>
      <c r="K319" s="1"/>
      <c r="L319" s="1"/>
      <c r="M319" s="1"/>
      <c r="N319" s="1"/>
      <c r="O319" s="1"/>
      <c r="P319" s="1"/>
      <c r="Q319" s="1"/>
      <c r="R319" s="1"/>
      <c r="S319" s="1"/>
      <c r="T319" s="1"/>
      <c r="U319" s="1"/>
      <c r="V319" s="1"/>
      <c r="W319" s="1"/>
      <c r="X319" s="1"/>
    </row>
    <row r="320" spans="1:24" ht="15.75" customHeight="1" x14ac:dyDescent="0.3">
      <c r="A320" s="1"/>
      <c r="B320" s="1"/>
      <c r="C320" s="2"/>
      <c r="D320" s="1"/>
      <c r="E320" s="1"/>
      <c r="F320" s="3"/>
      <c r="G320" s="1"/>
      <c r="H320" s="1"/>
      <c r="I320" s="1"/>
      <c r="J320" s="1"/>
      <c r="K320" s="1"/>
      <c r="L320" s="1"/>
      <c r="M320" s="1"/>
      <c r="N320" s="1"/>
      <c r="O320" s="1"/>
      <c r="P320" s="1"/>
      <c r="Q320" s="1"/>
      <c r="R320" s="1"/>
      <c r="S320" s="1"/>
      <c r="T320" s="1"/>
      <c r="U320" s="1"/>
      <c r="V320" s="1"/>
      <c r="W320" s="1"/>
      <c r="X320" s="1"/>
    </row>
    <row r="321" spans="1:24" ht="15.75" customHeight="1" x14ac:dyDescent="0.3">
      <c r="A321" s="1"/>
      <c r="B321" s="1"/>
      <c r="C321" s="2"/>
      <c r="D321" s="1"/>
      <c r="E321" s="1"/>
      <c r="F321" s="3"/>
      <c r="G321" s="1"/>
      <c r="H321" s="1"/>
      <c r="I321" s="1"/>
      <c r="J321" s="1"/>
      <c r="K321" s="1"/>
      <c r="L321" s="1"/>
      <c r="M321" s="1"/>
      <c r="N321" s="1"/>
      <c r="O321" s="1"/>
      <c r="P321" s="1"/>
      <c r="Q321" s="1"/>
      <c r="R321" s="1"/>
      <c r="S321" s="1"/>
      <c r="T321" s="1"/>
      <c r="U321" s="1"/>
      <c r="V321" s="1"/>
      <c r="W321" s="1"/>
      <c r="X321" s="1"/>
    </row>
    <row r="322" spans="1:24" ht="15.75" customHeight="1" x14ac:dyDescent="0.3">
      <c r="A322" s="1"/>
      <c r="B322" s="1"/>
      <c r="C322" s="2"/>
      <c r="D322" s="1"/>
      <c r="E322" s="1"/>
      <c r="F322" s="3"/>
      <c r="G322" s="1"/>
      <c r="H322" s="1"/>
      <c r="I322" s="1"/>
      <c r="J322" s="1"/>
      <c r="K322" s="1"/>
      <c r="L322" s="1"/>
      <c r="M322" s="1"/>
      <c r="N322" s="1"/>
      <c r="O322" s="1"/>
      <c r="P322" s="1"/>
      <c r="Q322" s="1"/>
      <c r="R322" s="1"/>
      <c r="S322" s="1"/>
      <c r="T322" s="1"/>
      <c r="U322" s="1"/>
      <c r="V322" s="1"/>
      <c r="W322" s="1"/>
      <c r="X322" s="1"/>
    </row>
    <row r="323" spans="1:24" ht="15.75" customHeight="1" x14ac:dyDescent="0.3">
      <c r="A323" s="1"/>
      <c r="B323" s="1"/>
      <c r="C323" s="2"/>
      <c r="D323" s="1"/>
      <c r="E323" s="1"/>
      <c r="F323" s="3"/>
      <c r="G323" s="1"/>
      <c r="H323" s="1"/>
      <c r="I323" s="1"/>
      <c r="J323" s="1"/>
      <c r="K323" s="1"/>
      <c r="L323" s="1"/>
      <c r="M323" s="1"/>
      <c r="N323" s="1"/>
      <c r="O323" s="1"/>
      <c r="P323" s="1"/>
      <c r="Q323" s="1"/>
      <c r="R323" s="1"/>
      <c r="S323" s="1"/>
      <c r="T323" s="1"/>
      <c r="U323" s="1"/>
      <c r="V323" s="1"/>
      <c r="W323" s="1"/>
      <c r="X323" s="1"/>
    </row>
    <row r="324" spans="1:24" ht="15.75" customHeight="1" x14ac:dyDescent="0.3">
      <c r="A324" s="1"/>
      <c r="B324" s="1"/>
      <c r="C324" s="2"/>
      <c r="D324" s="1"/>
      <c r="E324" s="1"/>
      <c r="F324" s="3"/>
      <c r="G324" s="1"/>
      <c r="H324" s="1"/>
      <c r="I324" s="1"/>
      <c r="J324" s="1"/>
      <c r="K324" s="1"/>
      <c r="L324" s="1"/>
      <c r="M324" s="1"/>
      <c r="N324" s="1"/>
      <c r="O324" s="1"/>
      <c r="P324" s="1"/>
      <c r="Q324" s="1"/>
      <c r="R324" s="1"/>
      <c r="S324" s="1"/>
      <c r="T324" s="1"/>
      <c r="U324" s="1"/>
      <c r="V324" s="1"/>
      <c r="W324" s="1"/>
      <c r="X324" s="1"/>
    </row>
    <row r="325" spans="1:24" ht="15.75" customHeight="1" x14ac:dyDescent="0.3">
      <c r="A325" s="1"/>
      <c r="B325" s="1"/>
      <c r="C325" s="2"/>
      <c r="D325" s="1"/>
      <c r="E325" s="1"/>
      <c r="F325" s="3"/>
      <c r="G325" s="1"/>
      <c r="H325" s="1"/>
      <c r="I325" s="1"/>
      <c r="J325" s="1"/>
      <c r="K325" s="1"/>
      <c r="L325" s="1"/>
      <c r="M325" s="1"/>
      <c r="N325" s="1"/>
      <c r="O325" s="1"/>
      <c r="P325" s="1"/>
      <c r="Q325" s="1"/>
      <c r="R325" s="1"/>
      <c r="S325" s="1"/>
      <c r="T325" s="1"/>
      <c r="U325" s="1"/>
      <c r="V325" s="1"/>
      <c r="W325" s="1"/>
      <c r="X325" s="1"/>
    </row>
    <row r="326" spans="1:24" ht="15.75" customHeight="1" x14ac:dyDescent="0.3">
      <c r="A326" s="1"/>
      <c r="B326" s="1"/>
      <c r="C326" s="2"/>
      <c r="D326" s="1"/>
      <c r="E326" s="1"/>
      <c r="F326" s="3"/>
      <c r="G326" s="1"/>
      <c r="H326" s="1"/>
      <c r="I326" s="1"/>
      <c r="J326" s="1"/>
      <c r="K326" s="1"/>
      <c r="L326" s="1"/>
      <c r="M326" s="1"/>
      <c r="N326" s="1"/>
      <c r="O326" s="1"/>
      <c r="P326" s="1"/>
      <c r="Q326" s="1"/>
      <c r="R326" s="1"/>
      <c r="S326" s="1"/>
      <c r="T326" s="1"/>
      <c r="U326" s="1"/>
      <c r="V326" s="1"/>
      <c r="W326" s="1"/>
      <c r="X326" s="1"/>
    </row>
    <row r="327" spans="1:24" ht="15.75" customHeight="1" x14ac:dyDescent="0.3">
      <c r="A327" s="1"/>
      <c r="B327" s="1"/>
      <c r="C327" s="2"/>
      <c r="D327" s="1"/>
      <c r="E327" s="1"/>
      <c r="F327" s="3"/>
      <c r="G327" s="1"/>
      <c r="H327" s="1"/>
      <c r="I327" s="1"/>
      <c r="J327" s="1"/>
      <c r="K327" s="1"/>
      <c r="L327" s="1"/>
      <c r="M327" s="1"/>
      <c r="N327" s="1"/>
      <c r="O327" s="1"/>
      <c r="P327" s="1"/>
      <c r="Q327" s="1"/>
      <c r="R327" s="1"/>
      <c r="S327" s="1"/>
      <c r="T327" s="1"/>
      <c r="U327" s="1"/>
      <c r="V327" s="1"/>
      <c r="W327" s="1"/>
      <c r="X327" s="1"/>
    </row>
    <row r="328" spans="1:24" ht="15.75" customHeight="1" x14ac:dyDescent="0.3">
      <c r="A328" s="1"/>
      <c r="B328" s="1"/>
      <c r="C328" s="2"/>
      <c r="D328" s="1"/>
      <c r="E328" s="1"/>
      <c r="F328" s="3"/>
      <c r="G328" s="1"/>
      <c r="H328" s="1"/>
      <c r="I328" s="1"/>
      <c r="J328" s="1"/>
      <c r="K328" s="1"/>
      <c r="L328" s="1"/>
      <c r="M328" s="1"/>
      <c r="N328" s="1"/>
      <c r="O328" s="1"/>
      <c r="P328" s="1"/>
      <c r="Q328" s="1"/>
      <c r="R328" s="1"/>
      <c r="S328" s="1"/>
      <c r="T328" s="1"/>
      <c r="U328" s="1"/>
      <c r="V328" s="1"/>
      <c r="W328" s="1"/>
      <c r="X328" s="1"/>
    </row>
    <row r="329" spans="1:24" ht="15.75" customHeight="1" x14ac:dyDescent="0.3">
      <c r="A329" s="1"/>
      <c r="B329" s="1"/>
      <c r="C329" s="2"/>
      <c r="D329" s="1"/>
      <c r="E329" s="1"/>
      <c r="F329" s="3"/>
      <c r="G329" s="1"/>
      <c r="H329" s="1"/>
      <c r="I329" s="1"/>
      <c r="J329" s="1"/>
      <c r="K329" s="1"/>
      <c r="L329" s="1"/>
      <c r="M329" s="1"/>
      <c r="N329" s="1"/>
      <c r="O329" s="1"/>
      <c r="P329" s="1"/>
      <c r="Q329" s="1"/>
      <c r="R329" s="1"/>
      <c r="S329" s="1"/>
      <c r="T329" s="1"/>
      <c r="U329" s="1"/>
      <c r="V329" s="1"/>
      <c r="W329" s="1"/>
      <c r="X329" s="1"/>
    </row>
    <row r="330" spans="1:24" ht="15.75" customHeight="1" x14ac:dyDescent="0.3">
      <c r="A330" s="1"/>
      <c r="B330" s="1"/>
      <c r="C330" s="2"/>
      <c r="D330" s="1"/>
      <c r="E330" s="1"/>
      <c r="F330" s="3"/>
      <c r="G330" s="1"/>
      <c r="H330" s="1"/>
      <c r="I330" s="1"/>
      <c r="J330" s="1"/>
      <c r="K330" s="1"/>
      <c r="L330" s="1"/>
      <c r="M330" s="1"/>
      <c r="N330" s="1"/>
      <c r="O330" s="1"/>
      <c r="P330" s="1"/>
      <c r="Q330" s="1"/>
      <c r="R330" s="1"/>
      <c r="S330" s="1"/>
      <c r="T330" s="1"/>
      <c r="U330" s="1"/>
      <c r="V330" s="1"/>
      <c r="W330" s="1"/>
      <c r="X330" s="1"/>
    </row>
    <row r="331" spans="1:24" ht="15.75" customHeight="1" x14ac:dyDescent="0.3">
      <c r="A331" s="1"/>
      <c r="B331" s="1"/>
      <c r="C331" s="2"/>
      <c r="D331" s="1"/>
      <c r="E331" s="1"/>
      <c r="F331" s="3"/>
      <c r="G331" s="1"/>
      <c r="H331" s="1"/>
      <c r="I331" s="1"/>
      <c r="J331" s="1"/>
      <c r="K331" s="1"/>
      <c r="L331" s="1"/>
      <c r="M331" s="1"/>
      <c r="N331" s="1"/>
      <c r="O331" s="1"/>
      <c r="P331" s="1"/>
      <c r="Q331" s="1"/>
      <c r="R331" s="1"/>
      <c r="S331" s="1"/>
      <c r="T331" s="1"/>
      <c r="U331" s="1"/>
      <c r="V331" s="1"/>
      <c r="W331" s="1"/>
      <c r="X331" s="1"/>
    </row>
    <row r="332" spans="1:24" ht="15.75" customHeight="1" x14ac:dyDescent="0.3">
      <c r="A332" s="1"/>
      <c r="B332" s="1"/>
      <c r="C332" s="2"/>
      <c r="D332" s="1"/>
      <c r="E332" s="1"/>
      <c r="F332" s="3"/>
      <c r="G332" s="1"/>
      <c r="H332" s="1"/>
      <c r="I332" s="1"/>
      <c r="J332" s="1"/>
      <c r="K332" s="1"/>
      <c r="L332" s="1"/>
      <c r="M332" s="1"/>
      <c r="N332" s="1"/>
      <c r="O332" s="1"/>
      <c r="P332" s="1"/>
      <c r="Q332" s="1"/>
      <c r="R332" s="1"/>
      <c r="S332" s="1"/>
      <c r="T332" s="1"/>
      <c r="U332" s="1"/>
      <c r="V332" s="1"/>
      <c r="W332" s="1"/>
      <c r="X332" s="1"/>
    </row>
    <row r="333" spans="1:24" ht="15.75" customHeight="1" x14ac:dyDescent="0.3">
      <c r="A333" s="1"/>
      <c r="B333" s="1"/>
      <c r="C333" s="2"/>
      <c r="D333" s="1"/>
      <c r="E333" s="1"/>
      <c r="F333" s="3"/>
      <c r="G333" s="1"/>
      <c r="H333" s="1"/>
      <c r="I333" s="1"/>
      <c r="J333" s="1"/>
      <c r="K333" s="1"/>
      <c r="L333" s="1"/>
      <c r="M333" s="1"/>
      <c r="N333" s="1"/>
      <c r="O333" s="1"/>
      <c r="P333" s="1"/>
      <c r="Q333" s="1"/>
      <c r="R333" s="1"/>
      <c r="S333" s="1"/>
      <c r="T333" s="1"/>
      <c r="U333" s="1"/>
      <c r="V333" s="1"/>
      <c r="W333" s="1"/>
      <c r="X333" s="1"/>
    </row>
    <row r="334" spans="1:24" ht="15.75" customHeight="1" x14ac:dyDescent="0.3">
      <c r="A334" s="1"/>
      <c r="B334" s="1"/>
      <c r="C334" s="2"/>
      <c r="D334" s="1"/>
      <c r="E334" s="1"/>
      <c r="F334" s="3"/>
      <c r="G334" s="1"/>
      <c r="H334" s="1"/>
      <c r="I334" s="1"/>
      <c r="J334" s="1"/>
      <c r="K334" s="1"/>
      <c r="L334" s="1"/>
      <c r="M334" s="1"/>
      <c r="N334" s="1"/>
      <c r="O334" s="1"/>
      <c r="P334" s="1"/>
      <c r="Q334" s="1"/>
      <c r="R334" s="1"/>
      <c r="S334" s="1"/>
      <c r="T334" s="1"/>
      <c r="U334" s="1"/>
      <c r="V334" s="1"/>
      <c r="W334" s="1"/>
      <c r="X334" s="1"/>
    </row>
    <row r="335" spans="1:24" ht="15.75" customHeight="1" x14ac:dyDescent="0.3">
      <c r="A335" s="1"/>
      <c r="B335" s="1"/>
      <c r="C335" s="2"/>
      <c r="D335" s="1"/>
      <c r="E335" s="1"/>
      <c r="F335" s="3"/>
      <c r="G335" s="1"/>
      <c r="H335" s="1"/>
      <c r="I335" s="1"/>
      <c r="J335" s="1"/>
      <c r="K335" s="1"/>
      <c r="L335" s="1"/>
      <c r="M335" s="1"/>
      <c r="N335" s="1"/>
      <c r="O335" s="1"/>
      <c r="P335" s="1"/>
      <c r="Q335" s="1"/>
      <c r="R335" s="1"/>
      <c r="S335" s="1"/>
      <c r="T335" s="1"/>
      <c r="U335" s="1"/>
      <c r="V335" s="1"/>
      <c r="W335" s="1"/>
      <c r="X335" s="1"/>
    </row>
    <row r="336" spans="1:24" ht="15.75" customHeight="1" x14ac:dyDescent="0.3">
      <c r="A336" s="1"/>
      <c r="B336" s="1"/>
      <c r="C336" s="2"/>
      <c r="D336" s="1"/>
      <c r="E336" s="1"/>
      <c r="F336" s="3"/>
      <c r="G336" s="1"/>
      <c r="H336" s="1"/>
      <c r="I336" s="1"/>
      <c r="J336" s="1"/>
      <c r="K336" s="1"/>
      <c r="L336" s="1"/>
      <c r="M336" s="1"/>
      <c r="N336" s="1"/>
      <c r="O336" s="1"/>
      <c r="P336" s="1"/>
      <c r="Q336" s="1"/>
      <c r="R336" s="1"/>
      <c r="S336" s="1"/>
      <c r="T336" s="1"/>
      <c r="U336" s="1"/>
      <c r="V336" s="1"/>
      <c r="W336" s="1"/>
      <c r="X336" s="1"/>
    </row>
    <row r="337" spans="1:24" ht="15.75" customHeight="1" x14ac:dyDescent="0.3">
      <c r="A337" s="1"/>
      <c r="B337" s="1"/>
      <c r="C337" s="2"/>
      <c r="D337" s="1"/>
      <c r="E337" s="1"/>
      <c r="F337" s="3"/>
      <c r="G337" s="1"/>
      <c r="H337" s="1"/>
      <c r="I337" s="1"/>
      <c r="J337" s="1"/>
      <c r="K337" s="1"/>
      <c r="L337" s="1"/>
      <c r="M337" s="1"/>
      <c r="N337" s="1"/>
      <c r="O337" s="1"/>
      <c r="P337" s="1"/>
      <c r="Q337" s="1"/>
      <c r="R337" s="1"/>
      <c r="S337" s="1"/>
      <c r="T337" s="1"/>
      <c r="U337" s="1"/>
      <c r="V337" s="1"/>
      <c r="W337" s="1"/>
      <c r="X337" s="1"/>
    </row>
    <row r="338" spans="1:24" ht="15.75" customHeight="1" x14ac:dyDescent="0.3">
      <c r="A338" s="1"/>
      <c r="B338" s="1"/>
      <c r="C338" s="2"/>
      <c r="D338" s="1"/>
      <c r="E338" s="1"/>
      <c r="F338" s="3"/>
      <c r="G338" s="1"/>
      <c r="H338" s="1"/>
      <c r="I338" s="1"/>
      <c r="J338" s="1"/>
      <c r="K338" s="1"/>
      <c r="L338" s="1"/>
      <c r="M338" s="1"/>
      <c r="N338" s="1"/>
      <c r="O338" s="1"/>
      <c r="P338" s="1"/>
      <c r="Q338" s="1"/>
      <c r="R338" s="1"/>
      <c r="S338" s="1"/>
      <c r="T338" s="1"/>
      <c r="U338" s="1"/>
      <c r="V338" s="1"/>
      <c r="W338" s="1"/>
      <c r="X338" s="1"/>
    </row>
    <row r="339" spans="1:24" ht="15.75" customHeight="1" x14ac:dyDescent="0.3">
      <c r="A339" s="1"/>
      <c r="B339" s="1"/>
      <c r="C339" s="2"/>
      <c r="D339" s="1"/>
      <c r="E339" s="1"/>
      <c r="F339" s="3"/>
      <c r="G339" s="1"/>
      <c r="H339" s="1"/>
      <c r="I339" s="1"/>
      <c r="J339" s="1"/>
      <c r="K339" s="1"/>
      <c r="L339" s="1"/>
      <c r="M339" s="1"/>
      <c r="N339" s="1"/>
      <c r="O339" s="1"/>
      <c r="P339" s="1"/>
      <c r="Q339" s="1"/>
      <c r="R339" s="1"/>
      <c r="S339" s="1"/>
      <c r="T339" s="1"/>
      <c r="U339" s="1"/>
      <c r="V339" s="1"/>
      <c r="W339" s="1"/>
      <c r="X339" s="1"/>
    </row>
    <row r="340" spans="1:24" ht="15.75" customHeight="1" x14ac:dyDescent="0.3">
      <c r="A340" s="1"/>
      <c r="B340" s="1"/>
      <c r="C340" s="2"/>
      <c r="D340" s="1"/>
      <c r="E340" s="1"/>
      <c r="F340" s="3"/>
      <c r="G340" s="1"/>
      <c r="H340" s="1"/>
      <c r="I340" s="1"/>
      <c r="J340" s="1"/>
      <c r="K340" s="1"/>
      <c r="L340" s="1"/>
      <c r="M340" s="1"/>
      <c r="N340" s="1"/>
      <c r="O340" s="1"/>
      <c r="P340" s="1"/>
      <c r="Q340" s="1"/>
      <c r="R340" s="1"/>
      <c r="S340" s="1"/>
      <c r="T340" s="1"/>
      <c r="U340" s="1"/>
      <c r="V340" s="1"/>
      <c r="W340" s="1"/>
      <c r="X340" s="1"/>
    </row>
    <row r="341" spans="1:24" ht="15.75" customHeight="1" x14ac:dyDescent="0.3">
      <c r="A341" s="1"/>
      <c r="B341" s="1"/>
      <c r="C341" s="2"/>
      <c r="D341" s="1"/>
      <c r="E341" s="1"/>
      <c r="F341" s="3"/>
      <c r="G341" s="1"/>
      <c r="H341" s="1"/>
      <c r="I341" s="1"/>
      <c r="J341" s="1"/>
      <c r="K341" s="1"/>
      <c r="L341" s="1"/>
      <c r="M341" s="1"/>
      <c r="N341" s="1"/>
      <c r="O341" s="1"/>
      <c r="P341" s="1"/>
      <c r="Q341" s="1"/>
      <c r="R341" s="1"/>
      <c r="S341" s="1"/>
      <c r="T341" s="1"/>
      <c r="U341" s="1"/>
      <c r="V341" s="1"/>
      <c r="W341" s="1"/>
      <c r="X341" s="1"/>
    </row>
    <row r="342" spans="1:24" ht="15.75" customHeight="1" x14ac:dyDescent="0.3">
      <c r="A342" s="1"/>
      <c r="B342" s="1"/>
      <c r="C342" s="2"/>
      <c r="D342" s="1"/>
      <c r="E342" s="1"/>
      <c r="F342" s="3"/>
      <c r="G342" s="1"/>
      <c r="H342" s="1"/>
      <c r="I342" s="1"/>
      <c r="J342" s="1"/>
      <c r="K342" s="1"/>
      <c r="L342" s="1"/>
      <c r="M342" s="1"/>
      <c r="N342" s="1"/>
      <c r="O342" s="1"/>
      <c r="P342" s="1"/>
      <c r="Q342" s="1"/>
      <c r="R342" s="1"/>
      <c r="S342" s="1"/>
      <c r="T342" s="1"/>
      <c r="U342" s="1"/>
      <c r="V342" s="1"/>
      <c r="W342" s="1"/>
      <c r="X342" s="1"/>
    </row>
    <row r="343" spans="1:24" ht="15.75" customHeight="1" x14ac:dyDescent="0.3">
      <c r="A343" s="1"/>
      <c r="B343" s="1"/>
      <c r="C343" s="2"/>
      <c r="D343" s="1"/>
      <c r="E343" s="1"/>
      <c r="F343" s="3"/>
      <c r="G343" s="1"/>
      <c r="H343" s="1"/>
      <c r="I343" s="1"/>
      <c r="J343" s="1"/>
      <c r="K343" s="1"/>
      <c r="L343" s="1"/>
      <c r="M343" s="1"/>
      <c r="N343" s="1"/>
      <c r="O343" s="1"/>
      <c r="P343" s="1"/>
      <c r="Q343" s="1"/>
      <c r="R343" s="1"/>
      <c r="S343" s="1"/>
      <c r="T343" s="1"/>
      <c r="U343" s="1"/>
      <c r="V343" s="1"/>
      <c r="W343" s="1"/>
      <c r="X343" s="1"/>
    </row>
    <row r="344" spans="1:24" ht="15.75" customHeight="1" x14ac:dyDescent="0.3">
      <c r="A344" s="1"/>
      <c r="B344" s="1"/>
      <c r="C344" s="2"/>
      <c r="D344" s="1"/>
      <c r="E344" s="1"/>
      <c r="F344" s="3"/>
      <c r="G344" s="1"/>
      <c r="H344" s="1"/>
      <c r="I344" s="1"/>
      <c r="J344" s="1"/>
      <c r="K344" s="1"/>
      <c r="L344" s="1"/>
      <c r="M344" s="1"/>
      <c r="N344" s="1"/>
      <c r="O344" s="1"/>
      <c r="P344" s="1"/>
      <c r="Q344" s="1"/>
      <c r="R344" s="1"/>
      <c r="S344" s="1"/>
      <c r="T344" s="1"/>
      <c r="U344" s="1"/>
      <c r="V344" s="1"/>
      <c r="W344" s="1"/>
      <c r="X344" s="1"/>
    </row>
    <row r="345" spans="1:24" ht="15.75" customHeight="1" x14ac:dyDescent="0.3">
      <c r="A345" s="1"/>
      <c r="B345" s="1"/>
      <c r="C345" s="2"/>
      <c r="D345" s="1"/>
      <c r="E345" s="1"/>
      <c r="F345" s="3"/>
      <c r="G345" s="1"/>
      <c r="H345" s="1"/>
      <c r="I345" s="1"/>
      <c r="J345" s="1"/>
      <c r="K345" s="1"/>
      <c r="L345" s="1"/>
      <c r="M345" s="1"/>
      <c r="N345" s="1"/>
      <c r="O345" s="1"/>
      <c r="P345" s="1"/>
      <c r="Q345" s="1"/>
      <c r="R345" s="1"/>
      <c r="S345" s="1"/>
      <c r="T345" s="1"/>
      <c r="U345" s="1"/>
      <c r="V345" s="1"/>
      <c r="W345" s="1"/>
      <c r="X345" s="1"/>
    </row>
    <row r="346" spans="1:24" ht="15.75" customHeight="1" x14ac:dyDescent="0.3">
      <c r="A346" s="1"/>
      <c r="B346" s="1"/>
      <c r="C346" s="2"/>
      <c r="D346" s="1"/>
      <c r="E346" s="1"/>
      <c r="F346" s="3"/>
      <c r="G346" s="1"/>
      <c r="H346" s="1"/>
      <c r="I346" s="1"/>
      <c r="J346" s="1"/>
      <c r="K346" s="1"/>
      <c r="L346" s="1"/>
      <c r="M346" s="1"/>
      <c r="N346" s="1"/>
      <c r="O346" s="1"/>
      <c r="P346" s="1"/>
      <c r="Q346" s="1"/>
      <c r="R346" s="1"/>
      <c r="S346" s="1"/>
      <c r="T346" s="1"/>
      <c r="U346" s="1"/>
      <c r="V346" s="1"/>
      <c r="W346" s="1"/>
      <c r="X346" s="1"/>
    </row>
    <row r="347" spans="1:24" ht="15.75" customHeight="1" x14ac:dyDescent="0.3">
      <c r="A347" s="1"/>
      <c r="B347" s="1"/>
      <c r="C347" s="2"/>
      <c r="D347" s="1"/>
      <c r="E347" s="1"/>
      <c r="F347" s="3"/>
      <c r="G347" s="1"/>
      <c r="H347" s="1"/>
      <c r="I347" s="1"/>
      <c r="J347" s="1"/>
      <c r="K347" s="1"/>
      <c r="L347" s="1"/>
      <c r="M347" s="1"/>
      <c r="N347" s="1"/>
      <c r="O347" s="1"/>
      <c r="P347" s="1"/>
      <c r="Q347" s="1"/>
      <c r="R347" s="1"/>
      <c r="S347" s="1"/>
      <c r="T347" s="1"/>
      <c r="U347" s="1"/>
      <c r="V347" s="1"/>
      <c r="W347" s="1"/>
      <c r="X347" s="1"/>
    </row>
    <row r="348" spans="1:24" ht="15.75" customHeight="1" x14ac:dyDescent="0.3">
      <c r="A348" s="1"/>
      <c r="B348" s="1"/>
      <c r="C348" s="2"/>
      <c r="D348" s="1"/>
      <c r="E348" s="1"/>
      <c r="F348" s="3"/>
      <c r="G348" s="1"/>
      <c r="H348" s="1"/>
      <c r="I348" s="1"/>
      <c r="J348" s="1"/>
      <c r="K348" s="1"/>
      <c r="L348" s="1"/>
      <c r="M348" s="1"/>
      <c r="N348" s="1"/>
      <c r="O348" s="1"/>
      <c r="P348" s="1"/>
      <c r="Q348" s="1"/>
      <c r="R348" s="1"/>
      <c r="S348" s="1"/>
      <c r="T348" s="1"/>
      <c r="U348" s="1"/>
      <c r="V348" s="1"/>
      <c r="W348" s="1"/>
      <c r="X348" s="1"/>
    </row>
    <row r="349" spans="1:24" ht="15.75" customHeight="1" x14ac:dyDescent="0.3">
      <c r="A349" s="1"/>
      <c r="B349" s="1"/>
      <c r="C349" s="2"/>
      <c r="D349" s="1"/>
      <c r="E349" s="1"/>
      <c r="F349" s="3"/>
      <c r="G349" s="1"/>
      <c r="H349" s="1"/>
      <c r="I349" s="1"/>
      <c r="J349" s="1"/>
      <c r="K349" s="1"/>
      <c r="L349" s="1"/>
      <c r="M349" s="1"/>
      <c r="N349" s="1"/>
      <c r="O349" s="1"/>
      <c r="P349" s="1"/>
      <c r="Q349" s="1"/>
      <c r="R349" s="1"/>
      <c r="S349" s="1"/>
      <c r="T349" s="1"/>
      <c r="U349" s="1"/>
      <c r="V349" s="1"/>
      <c r="W349" s="1"/>
      <c r="X349" s="1"/>
    </row>
    <row r="350" spans="1:24" ht="15.75" customHeight="1" x14ac:dyDescent="0.3">
      <c r="A350" s="1"/>
      <c r="B350" s="1"/>
      <c r="C350" s="2"/>
      <c r="D350" s="1"/>
      <c r="E350" s="1"/>
      <c r="F350" s="3"/>
      <c r="G350" s="1"/>
      <c r="H350" s="1"/>
      <c r="I350" s="1"/>
      <c r="J350" s="1"/>
      <c r="K350" s="1"/>
      <c r="L350" s="1"/>
      <c r="M350" s="1"/>
      <c r="N350" s="1"/>
      <c r="O350" s="1"/>
      <c r="P350" s="1"/>
      <c r="Q350" s="1"/>
      <c r="R350" s="1"/>
      <c r="S350" s="1"/>
      <c r="T350" s="1"/>
      <c r="U350" s="1"/>
      <c r="V350" s="1"/>
      <c r="W350" s="1"/>
      <c r="X350" s="1"/>
    </row>
    <row r="351" spans="1:24" ht="15.75" customHeight="1" x14ac:dyDescent="0.3">
      <c r="A351" s="1"/>
      <c r="B351" s="1"/>
      <c r="C351" s="2"/>
      <c r="D351" s="1"/>
      <c r="E351" s="1"/>
      <c r="F351" s="3"/>
      <c r="G351" s="1"/>
      <c r="H351" s="1"/>
      <c r="I351" s="1"/>
      <c r="J351" s="1"/>
      <c r="K351" s="1"/>
      <c r="L351" s="1"/>
      <c r="M351" s="1"/>
      <c r="N351" s="1"/>
      <c r="O351" s="1"/>
      <c r="P351" s="1"/>
      <c r="Q351" s="1"/>
      <c r="R351" s="1"/>
      <c r="S351" s="1"/>
      <c r="T351" s="1"/>
      <c r="U351" s="1"/>
      <c r="V351" s="1"/>
      <c r="W351" s="1"/>
      <c r="X351" s="1"/>
    </row>
    <row r="352" spans="1:24" ht="15.75" customHeight="1" x14ac:dyDescent="0.3">
      <c r="A352" s="1"/>
      <c r="B352" s="1"/>
      <c r="C352" s="2"/>
      <c r="D352" s="1"/>
      <c r="E352" s="1"/>
      <c r="F352" s="3"/>
      <c r="G352" s="1"/>
      <c r="H352" s="1"/>
      <c r="I352" s="1"/>
      <c r="J352" s="1"/>
      <c r="K352" s="1"/>
      <c r="L352" s="1"/>
      <c r="M352" s="1"/>
      <c r="N352" s="1"/>
      <c r="O352" s="1"/>
      <c r="P352" s="1"/>
      <c r="Q352" s="1"/>
      <c r="R352" s="1"/>
      <c r="S352" s="1"/>
      <c r="T352" s="1"/>
      <c r="U352" s="1"/>
      <c r="V352" s="1"/>
      <c r="W352" s="1"/>
      <c r="X352" s="1"/>
    </row>
    <row r="353" spans="1:24" ht="15.75" customHeight="1" x14ac:dyDescent="0.3">
      <c r="A353" s="1"/>
      <c r="B353" s="1"/>
      <c r="C353" s="2"/>
      <c r="D353" s="1"/>
      <c r="E353" s="1"/>
      <c r="F353" s="3"/>
      <c r="G353" s="1"/>
      <c r="H353" s="1"/>
      <c r="I353" s="1"/>
      <c r="J353" s="1"/>
      <c r="K353" s="1"/>
      <c r="L353" s="1"/>
      <c r="M353" s="1"/>
      <c r="N353" s="1"/>
      <c r="O353" s="1"/>
      <c r="P353" s="1"/>
      <c r="Q353" s="1"/>
      <c r="R353" s="1"/>
      <c r="S353" s="1"/>
      <c r="T353" s="1"/>
      <c r="U353" s="1"/>
      <c r="V353" s="1"/>
      <c r="W353" s="1"/>
      <c r="X353" s="1"/>
    </row>
    <row r="354" spans="1:24" ht="15.75" customHeight="1" x14ac:dyDescent="0.3">
      <c r="A354" s="1"/>
      <c r="B354" s="1"/>
      <c r="C354" s="2"/>
      <c r="D354" s="1"/>
      <c r="E354" s="1"/>
      <c r="F354" s="3"/>
      <c r="G354" s="1"/>
      <c r="H354" s="1"/>
      <c r="I354" s="1"/>
      <c r="J354" s="1"/>
      <c r="K354" s="1"/>
      <c r="L354" s="1"/>
      <c r="M354" s="1"/>
      <c r="N354" s="1"/>
      <c r="O354" s="1"/>
      <c r="P354" s="1"/>
      <c r="Q354" s="1"/>
      <c r="R354" s="1"/>
      <c r="S354" s="1"/>
      <c r="T354" s="1"/>
      <c r="U354" s="1"/>
      <c r="V354" s="1"/>
      <c r="W354" s="1"/>
      <c r="X354" s="1"/>
    </row>
    <row r="355" spans="1:24" ht="15.75" customHeight="1" x14ac:dyDescent="0.3">
      <c r="A355" s="1"/>
      <c r="B355" s="1"/>
      <c r="C355" s="2"/>
      <c r="D355" s="1"/>
      <c r="E355" s="1"/>
      <c r="F355" s="3"/>
      <c r="G355" s="1"/>
      <c r="H355" s="1"/>
      <c r="I355" s="1"/>
      <c r="J355" s="1"/>
      <c r="K355" s="1"/>
      <c r="L355" s="1"/>
      <c r="M355" s="1"/>
      <c r="N355" s="1"/>
      <c r="O355" s="1"/>
      <c r="P355" s="1"/>
      <c r="Q355" s="1"/>
      <c r="R355" s="1"/>
      <c r="S355" s="1"/>
      <c r="T355" s="1"/>
      <c r="U355" s="1"/>
      <c r="V355" s="1"/>
      <c r="W355" s="1"/>
      <c r="X355" s="1"/>
    </row>
    <row r="356" spans="1:24" ht="15.75" customHeight="1" x14ac:dyDescent="0.3">
      <c r="A356" s="1"/>
      <c r="B356" s="1"/>
      <c r="C356" s="2"/>
      <c r="D356" s="1"/>
      <c r="E356" s="1"/>
      <c r="F356" s="3"/>
      <c r="G356" s="1"/>
      <c r="H356" s="1"/>
      <c r="I356" s="1"/>
      <c r="J356" s="1"/>
      <c r="K356" s="1"/>
      <c r="L356" s="1"/>
      <c r="M356" s="1"/>
      <c r="N356" s="1"/>
      <c r="O356" s="1"/>
      <c r="P356" s="1"/>
      <c r="Q356" s="1"/>
      <c r="R356" s="1"/>
      <c r="S356" s="1"/>
      <c r="T356" s="1"/>
      <c r="U356" s="1"/>
      <c r="V356" s="1"/>
      <c r="W356" s="1"/>
      <c r="X356" s="1"/>
    </row>
    <row r="357" spans="1:24" ht="15.75" customHeight="1" x14ac:dyDescent="0.3">
      <c r="A357" s="1"/>
      <c r="B357" s="1"/>
      <c r="C357" s="2"/>
      <c r="D357" s="1"/>
      <c r="E357" s="1"/>
      <c r="F357" s="3"/>
      <c r="G357" s="1"/>
      <c r="H357" s="1"/>
      <c r="I357" s="1"/>
      <c r="J357" s="1"/>
      <c r="K357" s="1"/>
      <c r="L357" s="1"/>
      <c r="M357" s="1"/>
      <c r="N357" s="1"/>
      <c r="O357" s="1"/>
      <c r="P357" s="1"/>
      <c r="Q357" s="1"/>
      <c r="R357" s="1"/>
      <c r="S357" s="1"/>
      <c r="T357" s="1"/>
      <c r="U357" s="1"/>
      <c r="V357" s="1"/>
      <c r="W357" s="1"/>
      <c r="X357" s="1"/>
    </row>
    <row r="358" spans="1:24" ht="15.75" customHeight="1" x14ac:dyDescent="0.3">
      <c r="A358" s="1"/>
      <c r="B358" s="1"/>
      <c r="C358" s="2"/>
      <c r="D358" s="1"/>
      <c r="E358" s="1"/>
      <c r="F358" s="3"/>
      <c r="G358" s="1"/>
      <c r="H358" s="1"/>
      <c r="I358" s="1"/>
      <c r="J358" s="1"/>
      <c r="K358" s="1"/>
      <c r="L358" s="1"/>
      <c r="M358" s="1"/>
      <c r="N358" s="1"/>
      <c r="O358" s="1"/>
      <c r="P358" s="1"/>
      <c r="Q358" s="1"/>
      <c r="R358" s="1"/>
      <c r="S358" s="1"/>
      <c r="T358" s="1"/>
      <c r="U358" s="1"/>
      <c r="V358" s="1"/>
      <c r="W358" s="1"/>
      <c r="X358" s="1"/>
    </row>
    <row r="359" spans="1:24" ht="15.75" customHeight="1" x14ac:dyDescent="0.3">
      <c r="A359" s="1"/>
      <c r="B359" s="1"/>
      <c r="C359" s="2"/>
      <c r="D359" s="1"/>
      <c r="E359" s="1"/>
      <c r="F359" s="3"/>
      <c r="G359" s="1"/>
      <c r="H359" s="1"/>
      <c r="I359" s="1"/>
      <c r="J359" s="1"/>
      <c r="K359" s="1"/>
      <c r="L359" s="1"/>
      <c r="M359" s="1"/>
      <c r="N359" s="1"/>
      <c r="O359" s="1"/>
      <c r="P359" s="1"/>
      <c r="Q359" s="1"/>
      <c r="R359" s="1"/>
      <c r="S359" s="1"/>
      <c r="T359" s="1"/>
      <c r="U359" s="1"/>
      <c r="V359" s="1"/>
      <c r="W359" s="1"/>
      <c r="X359" s="1"/>
    </row>
    <row r="360" spans="1:24" ht="15.75" customHeight="1" x14ac:dyDescent="0.3">
      <c r="A360" s="1"/>
      <c r="B360" s="1"/>
      <c r="C360" s="2"/>
      <c r="D360" s="1"/>
      <c r="E360" s="1"/>
      <c r="F360" s="3"/>
      <c r="G360" s="1"/>
      <c r="H360" s="1"/>
      <c r="I360" s="1"/>
      <c r="J360" s="1"/>
      <c r="K360" s="1"/>
      <c r="L360" s="1"/>
      <c r="M360" s="1"/>
      <c r="N360" s="1"/>
      <c r="O360" s="1"/>
      <c r="P360" s="1"/>
      <c r="Q360" s="1"/>
      <c r="R360" s="1"/>
      <c r="S360" s="1"/>
      <c r="T360" s="1"/>
      <c r="U360" s="1"/>
      <c r="V360" s="1"/>
      <c r="W360" s="1"/>
      <c r="X360" s="1"/>
    </row>
    <row r="361" spans="1:24" ht="15.75" customHeight="1" x14ac:dyDescent="0.3">
      <c r="A361" s="1"/>
      <c r="B361" s="1"/>
      <c r="C361" s="2"/>
      <c r="D361" s="1"/>
      <c r="E361" s="1"/>
      <c r="F361" s="3"/>
      <c r="G361" s="1"/>
      <c r="H361" s="1"/>
      <c r="I361" s="1"/>
      <c r="J361" s="1"/>
      <c r="K361" s="1"/>
      <c r="L361" s="1"/>
      <c r="M361" s="1"/>
      <c r="N361" s="1"/>
      <c r="O361" s="1"/>
      <c r="P361" s="1"/>
      <c r="Q361" s="1"/>
      <c r="R361" s="1"/>
      <c r="S361" s="1"/>
      <c r="T361" s="1"/>
      <c r="U361" s="1"/>
      <c r="V361" s="1"/>
      <c r="W361" s="1"/>
      <c r="X361" s="1"/>
    </row>
    <row r="362" spans="1:24" ht="15.75" customHeight="1" x14ac:dyDescent="0.3">
      <c r="A362" s="1"/>
      <c r="B362" s="1"/>
      <c r="C362" s="2"/>
      <c r="D362" s="1"/>
      <c r="E362" s="1"/>
      <c r="F362" s="3"/>
      <c r="G362" s="1"/>
      <c r="H362" s="1"/>
      <c r="I362" s="1"/>
      <c r="J362" s="1"/>
      <c r="K362" s="1"/>
      <c r="L362" s="1"/>
      <c r="M362" s="1"/>
      <c r="N362" s="1"/>
      <c r="O362" s="1"/>
      <c r="P362" s="1"/>
      <c r="Q362" s="1"/>
      <c r="R362" s="1"/>
      <c r="S362" s="1"/>
      <c r="T362" s="1"/>
      <c r="U362" s="1"/>
      <c r="V362" s="1"/>
      <c r="W362" s="1"/>
      <c r="X362" s="1"/>
    </row>
    <row r="363" spans="1:24" ht="15.75" customHeight="1" x14ac:dyDescent="0.3">
      <c r="A363" s="1"/>
      <c r="B363" s="1"/>
      <c r="C363" s="2"/>
      <c r="D363" s="1"/>
      <c r="E363" s="1"/>
      <c r="F363" s="3"/>
      <c r="G363" s="1"/>
      <c r="H363" s="1"/>
      <c r="I363" s="1"/>
      <c r="J363" s="1"/>
      <c r="K363" s="1"/>
      <c r="L363" s="1"/>
      <c r="M363" s="1"/>
      <c r="N363" s="1"/>
      <c r="O363" s="1"/>
      <c r="P363" s="1"/>
      <c r="Q363" s="1"/>
      <c r="R363" s="1"/>
      <c r="S363" s="1"/>
      <c r="T363" s="1"/>
      <c r="U363" s="1"/>
      <c r="V363" s="1"/>
      <c r="W363" s="1"/>
      <c r="X363" s="1"/>
    </row>
    <row r="364" spans="1:24" ht="15.75" customHeight="1" x14ac:dyDescent="0.3">
      <c r="A364" s="1"/>
      <c r="B364" s="1"/>
      <c r="C364" s="2"/>
      <c r="D364" s="1"/>
      <c r="E364" s="1"/>
      <c r="F364" s="3"/>
      <c r="G364" s="1"/>
      <c r="H364" s="1"/>
      <c r="I364" s="1"/>
      <c r="J364" s="1"/>
      <c r="K364" s="1"/>
      <c r="L364" s="1"/>
      <c r="M364" s="1"/>
      <c r="N364" s="1"/>
      <c r="O364" s="1"/>
      <c r="P364" s="1"/>
      <c r="Q364" s="1"/>
      <c r="R364" s="1"/>
      <c r="S364" s="1"/>
      <c r="T364" s="1"/>
      <c r="U364" s="1"/>
      <c r="V364" s="1"/>
      <c r="W364" s="1"/>
      <c r="X364" s="1"/>
    </row>
    <row r="365" spans="1:24" ht="15.75" customHeight="1" x14ac:dyDescent="0.3">
      <c r="A365" s="1"/>
      <c r="B365" s="1"/>
      <c r="C365" s="2"/>
      <c r="D365" s="1"/>
      <c r="E365" s="1"/>
      <c r="F365" s="3"/>
      <c r="G365" s="1"/>
      <c r="H365" s="1"/>
      <c r="I365" s="1"/>
      <c r="J365" s="1"/>
      <c r="K365" s="1"/>
      <c r="L365" s="1"/>
      <c r="M365" s="1"/>
      <c r="N365" s="1"/>
      <c r="O365" s="1"/>
      <c r="P365" s="1"/>
      <c r="Q365" s="1"/>
      <c r="R365" s="1"/>
      <c r="S365" s="1"/>
      <c r="T365" s="1"/>
      <c r="U365" s="1"/>
      <c r="V365" s="1"/>
      <c r="W365" s="1"/>
      <c r="X365" s="1"/>
    </row>
    <row r="366" spans="1:24" ht="15.75" customHeight="1" x14ac:dyDescent="0.3">
      <c r="A366" s="1"/>
      <c r="B366" s="1"/>
      <c r="C366" s="2"/>
      <c r="D366" s="1"/>
      <c r="E366" s="1"/>
      <c r="F366" s="3"/>
      <c r="G366" s="1"/>
      <c r="H366" s="1"/>
      <c r="I366" s="1"/>
      <c r="J366" s="1"/>
      <c r="K366" s="1"/>
      <c r="L366" s="1"/>
      <c r="M366" s="1"/>
      <c r="N366" s="1"/>
      <c r="O366" s="1"/>
      <c r="P366" s="1"/>
      <c r="Q366" s="1"/>
      <c r="R366" s="1"/>
      <c r="S366" s="1"/>
      <c r="T366" s="1"/>
      <c r="U366" s="1"/>
      <c r="V366" s="1"/>
      <c r="W366" s="1"/>
      <c r="X366" s="1"/>
    </row>
    <row r="367" spans="1:24" ht="15.75" customHeight="1" x14ac:dyDescent="0.3">
      <c r="A367" s="1"/>
      <c r="B367" s="1"/>
      <c r="C367" s="2"/>
      <c r="D367" s="1"/>
      <c r="E367" s="1"/>
      <c r="F367" s="3"/>
      <c r="G367" s="1"/>
      <c r="H367" s="1"/>
      <c r="I367" s="1"/>
      <c r="J367" s="1"/>
      <c r="K367" s="1"/>
      <c r="L367" s="1"/>
      <c r="M367" s="1"/>
      <c r="N367" s="1"/>
      <c r="O367" s="1"/>
      <c r="P367" s="1"/>
      <c r="Q367" s="1"/>
      <c r="R367" s="1"/>
      <c r="S367" s="1"/>
      <c r="T367" s="1"/>
      <c r="U367" s="1"/>
      <c r="V367" s="1"/>
      <c r="W367" s="1"/>
      <c r="X367" s="1"/>
    </row>
    <row r="368" spans="1:24" ht="15.75" customHeight="1" x14ac:dyDescent="0.3">
      <c r="A368" s="1"/>
      <c r="B368" s="1"/>
      <c r="C368" s="2"/>
      <c r="D368" s="1"/>
      <c r="E368" s="1"/>
      <c r="F368" s="3"/>
      <c r="G368" s="1"/>
      <c r="H368" s="1"/>
      <c r="I368" s="1"/>
      <c r="J368" s="1"/>
      <c r="K368" s="1"/>
      <c r="L368" s="1"/>
      <c r="M368" s="1"/>
      <c r="N368" s="1"/>
      <c r="O368" s="1"/>
      <c r="P368" s="1"/>
      <c r="Q368" s="1"/>
      <c r="R368" s="1"/>
      <c r="S368" s="1"/>
      <c r="T368" s="1"/>
      <c r="U368" s="1"/>
      <c r="V368" s="1"/>
      <c r="W368" s="1"/>
      <c r="X368" s="1"/>
    </row>
    <row r="369" spans="1:24" ht="15.75" customHeight="1" x14ac:dyDescent="0.3">
      <c r="A369" s="1"/>
      <c r="B369" s="1"/>
      <c r="C369" s="2"/>
      <c r="D369" s="1"/>
      <c r="E369" s="1"/>
      <c r="F369" s="3"/>
      <c r="G369" s="1"/>
      <c r="H369" s="1"/>
      <c r="I369" s="1"/>
      <c r="J369" s="1"/>
      <c r="K369" s="1"/>
      <c r="L369" s="1"/>
      <c r="M369" s="1"/>
      <c r="N369" s="1"/>
      <c r="O369" s="1"/>
      <c r="P369" s="1"/>
      <c r="Q369" s="1"/>
      <c r="R369" s="1"/>
      <c r="S369" s="1"/>
      <c r="T369" s="1"/>
      <c r="U369" s="1"/>
      <c r="V369" s="1"/>
      <c r="W369" s="1"/>
      <c r="X369" s="1"/>
    </row>
    <row r="370" spans="1:24" ht="15.75" customHeight="1" x14ac:dyDescent="0.3">
      <c r="A370" s="1"/>
      <c r="B370" s="1"/>
      <c r="C370" s="2"/>
      <c r="D370" s="1"/>
      <c r="E370" s="1"/>
      <c r="F370" s="3"/>
      <c r="G370" s="1"/>
      <c r="H370" s="1"/>
      <c r="I370" s="1"/>
      <c r="J370" s="1"/>
      <c r="K370" s="1"/>
      <c r="L370" s="1"/>
      <c r="M370" s="1"/>
      <c r="N370" s="1"/>
      <c r="O370" s="1"/>
      <c r="P370" s="1"/>
      <c r="Q370" s="1"/>
      <c r="R370" s="1"/>
      <c r="S370" s="1"/>
      <c r="T370" s="1"/>
      <c r="U370" s="1"/>
      <c r="V370" s="1"/>
      <c r="W370" s="1"/>
      <c r="X370" s="1"/>
    </row>
    <row r="371" spans="1:24" ht="15.75" customHeight="1" x14ac:dyDescent="0.3">
      <c r="A371" s="1"/>
      <c r="B371" s="1"/>
      <c r="C371" s="2"/>
      <c r="D371" s="1"/>
      <c r="E371" s="1"/>
      <c r="F371" s="3"/>
      <c r="G371" s="1"/>
      <c r="H371" s="1"/>
      <c r="I371" s="1"/>
      <c r="J371" s="1"/>
      <c r="K371" s="1"/>
      <c r="L371" s="1"/>
      <c r="M371" s="1"/>
      <c r="N371" s="1"/>
      <c r="O371" s="1"/>
      <c r="P371" s="1"/>
      <c r="Q371" s="1"/>
      <c r="R371" s="1"/>
      <c r="S371" s="1"/>
      <c r="T371" s="1"/>
      <c r="U371" s="1"/>
      <c r="V371" s="1"/>
      <c r="W371" s="1"/>
      <c r="X371" s="1"/>
    </row>
    <row r="372" spans="1:24" ht="15.75" customHeight="1" x14ac:dyDescent="0.3">
      <c r="A372" s="1"/>
      <c r="B372" s="1"/>
      <c r="C372" s="2"/>
      <c r="D372" s="1"/>
      <c r="E372" s="1"/>
      <c r="F372" s="3"/>
      <c r="G372" s="1"/>
      <c r="H372" s="1"/>
      <c r="I372" s="1"/>
      <c r="J372" s="1"/>
      <c r="K372" s="1"/>
      <c r="L372" s="1"/>
      <c r="M372" s="1"/>
      <c r="N372" s="1"/>
      <c r="O372" s="1"/>
      <c r="P372" s="1"/>
      <c r="Q372" s="1"/>
      <c r="R372" s="1"/>
      <c r="S372" s="1"/>
      <c r="T372" s="1"/>
      <c r="U372" s="1"/>
      <c r="V372" s="1"/>
      <c r="W372" s="1"/>
      <c r="X372" s="1"/>
    </row>
    <row r="373" spans="1:24" ht="15.75" customHeight="1" x14ac:dyDescent="0.3">
      <c r="A373" s="1"/>
      <c r="B373" s="1"/>
      <c r="C373" s="2"/>
      <c r="D373" s="1"/>
      <c r="E373" s="1"/>
      <c r="F373" s="3"/>
      <c r="G373" s="1"/>
      <c r="H373" s="1"/>
      <c r="I373" s="1"/>
      <c r="J373" s="1"/>
      <c r="K373" s="1"/>
      <c r="L373" s="1"/>
      <c r="M373" s="1"/>
      <c r="N373" s="1"/>
      <c r="O373" s="1"/>
      <c r="P373" s="1"/>
      <c r="Q373" s="1"/>
      <c r="R373" s="1"/>
      <c r="S373" s="1"/>
      <c r="T373" s="1"/>
      <c r="U373" s="1"/>
      <c r="V373" s="1"/>
      <c r="W373" s="1"/>
      <c r="X373" s="1"/>
    </row>
    <row r="374" spans="1:24" ht="15.75" customHeight="1" x14ac:dyDescent="0.3">
      <c r="A374" s="1"/>
      <c r="B374" s="1"/>
      <c r="C374" s="2"/>
      <c r="D374" s="1"/>
      <c r="E374" s="1"/>
      <c r="F374" s="3"/>
      <c r="G374" s="1"/>
      <c r="H374" s="1"/>
      <c r="I374" s="1"/>
      <c r="J374" s="1"/>
      <c r="K374" s="1"/>
      <c r="L374" s="1"/>
      <c r="M374" s="1"/>
      <c r="N374" s="1"/>
      <c r="O374" s="1"/>
      <c r="P374" s="1"/>
      <c r="Q374" s="1"/>
      <c r="R374" s="1"/>
      <c r="S374" s="1"/>
      <c r="T374" s="1"/>
      <c r="U374" s="1"/>
      <c r="V374" s="1"/>
      <c r="W374" s="1"/>
      <c r="X374" s="1"/>
    </row>
    <row r="375" spans="1:24" ht="15.75" customHeight="1" x14ac:dyDescent="0.3">
      <c r="A375" s="1"/>
      <c r="B375" s="1"/>
      <c r="C375" s="2"/>
      <c r="D375" s="1"/>
      <c r="E375" s="1"/>
      <c r="F375" s="3"/>
      <c r="G375" s="1"/>
      <c r="H375" s="1"/>
      <c r="I375" s="1"/>
      <c r="J375" s="1"/>
      <c r="K375" s="1"/>
      <c r="L375" s="1"/>
      <c r="M375" s="1"/>
      <c r="N375" s="1"/>
      <c r="O375" s="1"/>
      <c r="P375" s="1"/>
      <c r="Q375" s="1"/>
      <c r="R375" s="1"/>
      <c r="S375" s="1"/>
      <c r="T375" s="1"/>
      <c r="U375" s="1"/>
      <c r="V375" s="1"/>
      <c r="W375" s="1"/>
      <c r="X375" s="1"/>
    </row>
    <row r="376" spans="1:24" ht="15.75" customHeight="1" x14ac:dyDescent="0.3">
      <c r="A376" s="1"/>
      <c r="B376" s="1"/>
      <c r="C376" s="2"/>
      <c r="D376" s="1"/>
      <c r="E376" s="1"/>
      <c r="F376" s="3"/>
      <c r="G376" s="1"/>
      <c r="H376" s="1"/>
      <c r="I376" s="1"/>
      <c r="J376" s="1"/>
      <c r="K376" s="1"/>
      <c r="L376" s="1"/>
      <c r="M376" s="1"/>
      <c r="N376" s="1"/>
      <c r="O376" s="1"/>
      <c r="P376" s="1"/>
      <c r="Q376" s="1"/>
      <c r="R376" s="1"/>
      <c r="S376" s="1"/>
      <c r="T376" s="1"/>
      <c r="U376" s="1"/>
      <c r="V376" s="1"/>
      <c r="W376" s="1"/>
      <c r="X376" s="1"/>
    </row>
    <row r="377" spans="1:24" ht="15.75" customHeight="1" x14ac:dyDescent="0.3">
      <c r="A377" s="1"/>
      <c r="B377" s="1"/>
      <c r="C377" s="2"/>
      <c r="D377" s="1"/>
      <c r="E377" s="1"/>
      <c r="F377" s="3"/>
      <c r="G377" s="1"/>
      <c r="H377" s="1"/>
      <c r="I377" s="1"/>
      <c r="J377" s="1"/>
      <c r="K377" s="1"/>
      <c r="L377" s="1"/>
      <c r="M377" s="1"/>
      <c r="N377" s="1"/>
      <c r="O377" s="1"/>
      <c r="P377" s="1"/>
      <c r="Q377" s="1"/>
      <c r="R377" s="1"/>
      <c r="S377" s="1"/>
      <c r="T377" s="1"/>
      <c r="U377" s="1"/>
      <c r="V377" s="1"/>
      <c r="W377" s="1"/>
      <c r="X377" s="1"/>
    </row>
    <row r="378" spans="1:24" ht="15.75" customHeight="1" x14ac:dyDescent="0.3">
      <c r="A378" s="1"/>
      <c r="B378" s="1"/>
      <c r="C378" s="2"/>
      <c r="D378" s="1"/>
      <c r="E378" s="1"/>
      <c r="F378" s="3"/>
      <c r="G378" s="1"/>
      <c r="H378" s="1"/>
      <c r="I378" s="1"/>
      <c r="J378" s="1"/>
      <c r="K378" s="1"/>
      <c r="L378" s="1"/>
      <c r="M378" s="1"/>
      <c r="N378" s="1"/>
      <c r="O378" s="1"/>
      <c r="P378" s="1"/>
      <c r="Q378" s="1"/>
      <c r="R378" s="1"/>
      <c r="S378" s="1"/>
      <c r="T378" s="1"/>
      <c r="U378" s="1"/>
      <c r="V378" s="1"/>
      <c r="W378" s="1"/>
      <c r="X378" s="1"/>
    </row>
    <row r="379" spans="1:24" ht="15.75" customHeight="1" x14ac:dyDescent="0.3">
      <c r="A379" s="1"/>
      <c r="B379" s="1"/>
      <c r="C379" s="2"/>
      <c r="D379" s="1"/>
      <c r="E379" s="1"/>
      <c r="F379" s="3"/>
      <c r="G379" s="1"/>
      <c r="H379" s="1"/>
      <c r="I379" s="1"/>
      <c r="J379" s="1"/>
      <c r="K379" s="1"/>
      <c r="L379" s="1"/>
      <c r="M379" s="1"/>
      <c r="N379" s="1"/>
      <c r="O379" s="1"/>
      <c r="P379" s="1"/>
      <c r="Q379" s="1"/>
      <c r="R379" s="1"/>
      <c r="S379" s="1"/>
      <c r="T379" s="1"/>
      <c r="U379" s="1"/>
      <c r="V379" s="1"/>
      <c r="W379" s="1"/>
      <c r="X379" s="1"/>
    </row>
    <row r="380" spans="1:24" ht="15.75" customHeight="1" x14ac:dyDescent="0.3">
      <c r="A380" s="1"/>
      <c r="B380" s="1"/>
      <c r="C380" s="2"/>
      <c r="D380" s="1"/>
      <c r="E380" s="1"/>
      <c r="F380" s="3"/>
      <c r="G380" s="1"/>
      <c r="H380" s="1"/>
      <c r="I380" s="1"/>
      <c r="J380" s="1"/>
      <c r="K380" s="1"/>
      <c r="L380" s="1"/>
      <c r="M380" s="1"/>
      <c r="N380" s="1"/>
      <c r="O380" s="1"/>
      <c r="P380" s="1"/>
      <c r="Q380" s="1"/>
      <c r="R380" s="1"/>
      <c r="S380" s="1"/>
      <c r="T380" s="1"/>
      <c r="U380" s="1"/>
      <c r="V380" s="1"/>
      <c r="W380" s="1"/>
      <c r="X380" s="1"/>
    </row>
    <row r="381" spans="1:24" ht="15.75" customHeight="1" x14ac:dyDescent="0.3">
      <c r="A381" s="1"/>
      <c r="B381" s="1"/>
      <c r="C381" s="2"/>
      <c r="D381" s="1"/>
      <c r="E381" s="1"/>
      <c r="F381" s="3"/>
      <c r="G381" s="1"/>
      <c r="H381" s="1"/>
      <c r="I381" s="1"/>
      <c r="J381" s="1"/>
      <c r="K381" s="1"/>
      <c r="L381" s="1"/>
      <c r="M381" s="1"/>
      <c r="N381" s="1"/>
      <c r="O381" s="1"/>
      <c r="P381" s="1"/>
      <c r="Q381" s="1"/>
      <c r="R381" s="1"/>
      <c r="S381" s="1"/>
      <c r="T381" s="1"/>
      <c r="U381" s="1"/>
      <c r="V381" s="1"/>
      <c r="W381" s="1"/>
      <c r="X381" s="1"/>
    </row>
    <row r="382" spans="1:24" ht="15.75" customHeight="1" x14ac:dyDescent="0.3">
      <c r="A382" s="1"/>
      <c r="B382" s="1"/>
      <c r="C382" s="2"/>
      <c r="D382" s="1"/>
      <c r="E382" s="1"/>
      <c r="F382" s="3"/>
      <c r="G382" s="1"/>
      <c r="H382" s="1"/>
      <c r="I382" s="1"/>
      <c r="J382" s="1"/>
      <c r="K382" s="1"/>
      <c r="L382" s="1"/>
      <c r="M382" s="1"/>
      <c r="N382" s="1"/>
      <c r="O382" s="1"/>
      <c r="P382" s="1"/>
      <c r="Q382" s="1"/>
      <c r="R382" s="1"/>
      <c r="S382" s="1"/>
      <c r="T382" s="1"/>
      <c r="U382" s="1"/>
      <c r="V382" s="1"/>
      <c r="W382" s="1"/>
      <c r="X382" s="1"/>
    </row>
    <row r="383" spans="1:24" ht="15.75" customHeight="1" x14ac:dyDescent="0.3">
      <c r="A383" s="1"/>
      <c r="B383" s="1"/>
      <c r="C383" s="2"/>
      <c r="D383" s="1"/>
      <c r="E383" s="1"/>
      <c r="F383" s="3"/>
      <c r="G383" s="1"/>
      <c r="H383" s="1"/>
      <c r="I383" s="1"/>
      <c r="J383" s="1"/>
      <c r="K383" s="1"/>
      <c r="L383" s="1"/>
      <c r="M383" s="1"/>
      <c r="N383" s="1"/>
      <c r="O383" s="1"/>
      <c r="P383" s="1"/>
      <c r="Q383" s="1"/>
      <c r="R383" s="1"/>
      <c r="S383" s="1"/>
      <c r="T383" s="1"/>
      <c r="U383" s="1"/>
      <c r="V383" s="1"/>
      <c r="W383" s="1"/>
      <c r="X383" s="1"/>
    </row>
    <row r="384" spans="1:24" ht="15.75" customHeight="1" x14ac:dyDescent="0.3">
      <c r="A384" s="1"/>
      <c r="B384" s="1"/>
      <c r="C384" s="2"/>
      <c r="D384" s="1"/>
      <c r="E384" s="1"/>
      <c r="F384" s="3"/>
      <c r="G384" s="1"/>
      <c r="H384" s="1"/>
      <c r="I384" s="1"/>
      <c r="J384" s="1"/>
      <c r="K384" s="1"/>
      <c r="L384" s="1"/>
      <c r="M384" s="1"/>
      <c r="N384" s="1"/>
      <c r="O384" s="1"/>
      <c r="P384" s="1"/>
      <c r="Q384" s="1"/>
      <c r="R384" s="1"/>
      <c r="S384" s="1"/>
      <c r="T384" s="1"/>
      <c r="U384" s="1"/>
      <c r="V384" s="1"/>
      <c r="W384" s="1"/>
      <c r="X384" s="1"/>
    </row>
    <row r="385" spans="1:24" ht="15.75" customHeight="1" x14ac:dyDescent="0.3">
      <c r="A385" s="1"/>
      <c r="B385" s="1"/>
      <c r="C385" s="2"/>
      <c r="D385" s="1"/>
      <c r="E385" s="1"/>
      <c r="F385" s="3"/>
      <c r="G385" s="1"/>
      <c r="H385" s="1"/>
      <c r="I385" s="1"/>
      <c r="J385" s="1"/>
      <c r="K385" s="1"/>
      <c r="L385" s="1"/>
      <c r="M385" s="1"/>
      <c r="N385" s="1"/>
      <c r="O385" s="1"/>
      <c r="P385" s="1"/>
      <c r="Q385" s="1"/>
      <c r="R385" s="1"/>
      <c r="S385" s="1"/>
      <c r="T385" s="1"/>
      <c r="U385" s="1"/>
      <c r="V385" s="1"/>
      <c r="W385" s="1"/>
      <c r="X385" s="1"/>
    </row>
    <row r="386" spans="1:24" ht="15.75" customHeight="1" x14ac:dyDescent="0.3">
      <c r="A386" s="1"/>
      <c r="B386" s="1"/>
      <c r="C386" s="2"/>
      <c r="D386" s="1"/>
      <c r="E386" s="1"/>
      <c r="F386" s="3"/>
      <c r="G386" s="1"/>
      <c r="H386" s="1"/>
      <c r="I386" s="1"/>
      <c r="J386" s="1"/>
      <c r="K386" s="1"/>
      <c r="L386" s="1"/>
      <c r="M386" s="1"/>
      <c r="N386" s="1"/>
      <c r="O386" s="1"/>
      <c r="P386" s="1"/>
      <c r="Q386" s="1"/>
      <c r="R386" s="1"/>
      <c r="S386" s="1"/>
      <c r="T386" s="1"/>
      <c r="U386" s="1"/>
      <c r="V386" s="1"/>
      <c r="W386" s="1"/>
      <c r="X386" s="1"/>
    </row>
    <row r="387" spans="1:24" ht="15.75" customHeight="1" x14ac:dyDescent="0.3">
      <c r="A387" s="1"/>
      <c r="B387" s="1"/>
      <c r="C387" s="2"/>
      <c r="D387" s="1"/>
      <c r="E387" s="1"/>
      <c r="F387" s="3"/>
      <c r="G387" s="1"/>
      <c r="H387" s="1"/>
      <c r="I387" s="1"/>
      <c r="J387" s="1"/>
      <c r="K387" s="1"/>
      <c r="L387" s="1"/>
      <c r="M387" s="1"/>
      <c r="N387" s="1"/>
      <c r="O387" s="1"/>
      <c r="P387" s="1"/>
      <c r="Q387" s="1"/>
      <c r="R387" s="1"/>
      <c r="S387" s="1"/>
      <c r="T387" s="1"/>
      <c r="U387" s="1"/>
      <c r="V387" s="1"/>
      <c r="W387" s="1"/>
      <c r="X387" s="1"/>
    </row>
    <row r="388" spans="1:24" ht="15.75" customHeight="1" x14ac:dyDescent="0.3">
      <c r="A388" s="1"/>
      <c r="B388" s="1"/>
      <c r="C388" s="2"/>
      <c r="D388" s="1"/>
      <c r="E388" s="1"/>
      <c r="F388" s="3"/>
      <c r="G388" s="1"/>
      <c r="H388" s="1"/>
      <c r="I388" s="1"/>
      <c r="J388" s="1"/>
      <c r="K388" s="1"/>
      <c r="L388" s="1"/>
      <c r="M388" s="1"/>
      <c r="N388" s="1"/>
      <c r="O388" s="1"/>
      <c r="P388" s="1"/>
      <c r="Q388" s="1"/>
      <c r="R388" s="1"/>
      <c r="S388" s="1"/>
      <c r="T388" s="1"/>
      <c r="U388" s="1"/>
      <c r="V388" s="1"/>
      <c r="W388" s="1"/>
      <c r="X388" s="1"/>
    </row>
    <row r="389" spans="1:24" ht="15.75" customHeight="1" x14ac:dyDescent="0.3">
      <c r="A389" s="1"/>
      <c r="B389" s="1"/>
      <c r="C389" s="2"/>
      <c r="D389" s="1"/>
      <c r="E389" s="1"/>
      <c r="F389" s="3"/>
      <c r="G389" s="1"/>
      <c r="H389" s="1"/>
      <c r="I389" s="1"/>
      <c r="J389" s="1"/>
      <c r="K389" s="1"/>
      <c r="L389" s="1"/>
      <c r="M389" s="1"/>
      <c r="N389" s="1"/>
      <c r="O389" s="1"/>
      <c r="P389" s="1"/>
      <c r="Q389" s="1"/>
      <c r="R389" s="1"/>
      <c r="S389" s="1"/>
      <c r="T389" s="1"/>
      <c r="U389" s="1"/>
      <c r="V389" s="1"/>
      <c r="W389" s="1"/>
      <c r="X389" s="1"/>
    </row>
    <row r="390" spans="1:24" ht="15.75" customHeight="1" x14ac:dyDescent="0.3">
      <c r="A390" s="1"/>
      <c r="B390" s="1"/>
      <c r="C390" s="2"/>
      <c r="D390" s="1"/>
      <c r="E390" s="1"/>
      <c r="F390" s="3"/>
      <c r="G390" s="1"/>
      <c r="H390" s="1"/>
      <c r="I390" s="1"/>
      <c r="J390" s="1"/>
      <c r="K390" s="1"/>
      <c r="L390" s="1"/>
      <c r="M390" s="1"/>
      <c r="N390" s="1"/>
      <c r="O390" s="1"/>
      <c r="P390" s="1"/>
      <c r="Q390" s="1"/>
      <c r="R390" s="1"/>
      <c r="S390" s="1"/>
      <c r="T390" s="1"/>
      <c r="U390" s="1"/>
      <c r="V390" s="1"/>
      <c r="W390" s="1"/>
      <c r="X390" s="1"/>
    </row>
    <row r="391" spans="1:24" ht="15.75" customHeight="1" x14ac:dyDescent="0.3">
      <c r="A391" s="1"/>
      <c r="B391" s="1"/>
      <c r="C391" s="2"/>
      <c r="D391" s="1"/>
      <c r="E391" s="1"/>
      <c r="F391" s="3"/>
      <c r="G391" s="1"/>
      <c r="H391" s="1"/>
      <c r="I391" s="1"/>
      <c r="J391" s="1"/>
      <c r="K391" s="1"/>
      <c r="L391" s="1"/>
      <c r="M391" s="1"/>
      <c r="N391" s="1"/>
      <c r="O391" s="1"/>
      <c r="P391" s="1"/>
      <c r="Q391" s="1"/>
      <c r="R391" s="1"/>
      <c r="S391" s="1"/>
      <c r="T391" s="1"/>
      <c r="U391" s="1"/>
      <c r="V391" s="1"/>
      <c r="W391" s="1"/>
      <c r="X391" s="1"/>
    </row>
    <row r="392" spans="1:24" ht="15.75" customHeight="1" x14ac:dyDescent="0.3">
      <c r="A392" s="1"/>
      <c r="B392" s="1"/>
      <c r="C392" s="2"/>
      <c r="D392" s="1"/>
      <c r="E392" s="1"/>
      <c r="F392" s="3"/>
      <c r="G392" s="1"/>
      <c r="H392" s="1"/>
      <c r="I392" s="1"/>
      <c r="J392" s="1"/>
      <c r="K392" s="1"/>
      <c r="L392" s="1"/>
      <c r="M392" s="1"/>
      <c r="N392" s="1"/>
      <c r="O392" s="1"/>
      <c r="P392" s="1"/>
      <c r="Q392" s="1"/>
      <c r="R392" s="1"/>
      <c r="S392" s="1"/>
      <c r="T392" s="1"/>
      <c r="U392" s="1"/>
      <c r="V392" s="1"/>
      <c r="W392" s="1"/>
      <c r="X392" s="1"/>
    </row>
    <row r="393" spans="1:24" ht="15.75" customHeight="1" x14ac:dyDescent="0.3">
      <c r="A393" s="1"/>
      <c r="B393" s="1"/>
      <c r="C393" s="2"/>
      <c r="D393" s="1"/>
      <c r="E393" s="1"/>
      <c r="F393" s="3"/>
      <c r="G393" s="1"/>
      <c r="H393" s="1"/>
      <c r="I393" s="1"/>
      <c r="J393" s="1"/>
      <c r="K393" s="1"/>
      <c r="L393" s="1"/>
      <c r="M393" s="1"/>
      <c r="N393" s="1"/>
      <c r="O393" s="1"/>
      <c r="P393" s="1"/>
      <c r="Q393" s="1"/>
      <c r="R393" s="1"/>
      <c r="S393" s="1"/>
      <c r="T393" s="1"/>
      <c r="U393" s="1"/>
      <c r="V393" s="1"/>
      <c r="W393" s="1"/>
      <c r="X393" s="1"/>
    </row>
    <row r="394" spans="1:24" ht="15.75" customHeight="1" x14ac:dyDescent="0.3">
      <c r="A394" s="1"/>
      <c r="B394" s="1"/>
      <c r="C394" s="2"/>
      <c r="D394" s="1"/>
      <c r="E394" s="1"/>
      <c r="F394" s="3"/>
      <c r="G394" s="1"/>
      <c r="H394" s="1"/>
      <c r="I394" s="1"/>
      <c r="J394" s="1"/>
      <c r="K394" s="1"/>
      <c r="L394" s="1"/>
      <c r="M394" s="1"/>
      <c r="N394" s="1"/>
      <c r="O394" s="1"/>
      <c r="P394" s="1"/>
      <c r="Q394" s="1"/>
      <c r="R394" s="1"/>
      <c r="S394" s="1"/>
      <c r="T394" s="1"/>
      <c r="U394" s="1"/>
      <c r="V394" s="1"/>
      <c r="W394" s="1"/>
      <c r="X394" s="1"/>
    </row>
    <row r="395" spans="1:24" ht="15.75" customHeight="1" x14ac:dyDescent="0.3">
      <c r="A395" s="1"/>
      <c r="B395" s="1"/>
      <c r="C395" s="2"/>
      <c r="D395" s="1"/>
      <c r="E395" s="1"/>
      <c r="F395" s="3"/>
      <c r="G395" s="1"/>
      <c r="H395" s="1"/>
      <c r="I395" s="1"/>
      <c r="J395" s="1"/>
      <c r="K395" s="1"/>
      <c r="L395" s="1"/>
      <c r="M395" s="1"/>
      <c r="N395" s="1"/>
      <c r="O395" s="1"/>
      <c r="P395" s="1"/>
      <c r="Q395" s="1"/>
      <c r="R395" s="1"/>
      <c r="S395" s="1"/>
      <c r="T395" s="1"/>
      <c r="U395" s="1"/>
      <c r="V395" s="1"/>
      <c r="W395" s="1"/>
      <c r="X395" s="1"/>
    </row>
    <row r="396" spans="1:24" ht="15.75" customHeight="1" x14ac:dyDescent="0.3">
      <c r="A396" s="1"/>
      <c r="B396" s="1"/>
      <c r="C396" s="2"/>
      <c r="D396" s="1"/>
      <c r="E396" s="1"/>
      <c r="F396" s="3"/>
      <c r="G396" s="1"/>
      <c r="H396" s="1"/>
      <c r="I396" s="1"/>
      <c r="J396" s="1"/>
      <c r="K396" s="1"/>
      <c r="L396" s="1"/>
      <c r="M396" s="1"/>
      <c r="N396" s="1"/>
      <c r="O396" s="1"/>
      <c r="P396" s="1"/>
      <c r="Q396" s="1"/>
      <c r="R396" s="1"/>
      <c r="S396" s="1"/>
      <c r="T396" s="1"/>
      <c r="U396" s="1"/>
      <c r="V396" s="1"/>
      <c r="W396" s="1"/>
      <c r="X396" s="1"/>
    </row>
    <row r="397" spans="1:24" ht="15.75" customHeight="1" x14ac:dyDescent="0.3">
      <c r="A397" s="1"/>
      <c r="B397" s="1"/>
      <c r="C397" s="2"/>
      <c r="D397" s="1"/>
      <c r="E397" s="1"/>
      <c r="F397" s="3"/>
      <c r="G397" s="1"/>
      <c r="H397" s="1"/>
      <c r="I397" s="1"/>
      <c r="J397" s="1"/>
      <c r="K397" s="1"/>
      <c r="L397" s="1"/>
      <c r="M397" s="1"/>
      <c r="N397" s="1"/>
      <c r="O397" s="1"/>
      <c r="P397" s="1"/>
      <c r="Q397" s="1"/>
      <c r="R397" s="1"/>
      <c r="S397" s="1"/>
      <c r="T397" s="1"/>
      <c r="U397" s="1"/>
      <c r="V397" s="1"/>
      <c r="W397" s="1"/>
      <c r="X397" s="1"/>
    </row>
    <row r="398" spans="1:24" ht="15.75" customHeight="1" x14ac:dyDescent="0.3">
      <c r="A398" s="1"/>
      <c r="B398" s="1"/>
      <c r="C398" s="2"/>
      <c r="D398" s="1"/>
      <c r="E398" s="1"/>
      <c r="F398" s="3"/>
      <c r="G398" s="1"/>
      <c r="H398" s="1"/>
      <c r="I398" s="1"/>
      <c r="J398" s="1"/>
      <c r="K398" s="1"/>
      <c r="L398" s="1"/>
      <c r="M398" s="1"/>
      <c r="N398" s="1"/>
      <c r="O398" s="1"/>
      <c r="P398" s="1"/>
      <c r="Q398" s="1"/>
      <c r="R398" s="1"/>
      <c r="S398" s="1"/>
      <c r="T398" s="1"/>
      <c r="U398" s="1"/>
      <c r="V398" s="1"/>
      <c r="W398" s="1"/>
      <c r="X398" s="1"/>
    </row>
    <row r="399" spans="1:24" ht="15.75" customHeight="1" x14ac:dyDescent="0.3">
      <c r="A399" s="1"/>
      <c r="B399" s="1"/>
      <c r="C399" s="2"/>
      <c r="D399" s="1"/>
      <c r="E399" s="1"/>
      <c r="F399" s="3"/>
      <c r="G399" s="1"/>
      <c r="H399" s="1"/>
      <c r="I399" s="1"/>
      <c r="J399" s="1"/>
      <c r="K399" s="1"/>
      <c r="L399" s="1"/>
      <c r="M399" s="1"/>
      <c r="N399" s="1"/>
      <c r="O399" s="1"/>
      <c r="P399" s="1"/>
      <c r="Q399" s="1"/>
      <c r="R399" s="1"/>
      <c r="S399" s="1"/>
      <c r="T399" s="1"/>
      <c r="U399" s="1"/>
      <c r="V399" s="1"/>
      <c r="W399" s="1"/>
      <c r="X399" s="1"/>
    </row>
    <row r="400" spans="1:24" ht="15.75" customHeight="1" x14ac:dyDescent="0.3">
      <c r="A400" s="1"/>
      <c r="B400" s="1"/>
      <c r="C400" s="2"/>
      <c r="D400" s="1"/>
      <c r="E400" s="1"/>
      <c r="F400" s="3"/>
      <c r="G400" s="1"/>
      <c r="H400" s="1"/>
      <c r="I400" s="1"/>
      <c r="J400" s="1"/>
      <c r="K400" s="1"/>
      <c r="L400" s="1"/>
      <c r="M400" s="1"/>
      <c r="N400" s="1"/>
      <c r="O400" s="1"/>
      <c r="P400" s="1"/>
      <c r="Q400" s="1"/>
      <c r="R400" s="1"/>
      <c r="S400" s="1"/>
      <c r="T400" s="1"/>
      <c r="U400" s="1"/>
      <c r="V400" s="1"/>
      <c r="W400" s="1"/>
      <c r="X400" s="1"/>
    </row>
    <row r="401" spans="1:24" ht="15.75" customHeight="1" x14ac:dyDescent="0.3">
      <c r="A401" s="1"/>
      <c r="B401" s="1"/>
      <c r="C401" s="2"/>
      <c r="D401" s="1"/>
      <c r="E401" s="1"/>
      <c r="F401" s="3"/>
      <c r="G401" s="1"/>
      <c r="H401" s="1"/>
      <c r="I401" s="1"/>
      <c r="J401" s="1"/>
      <c r="K401" s="1"/>
      <c r="L401" s="1"/>
      <c r="M401" s="1"/>
      <c r="N401" s="1"/>
      <c r="O401" s="1"/>
      <c r="P401" s="1"/>
      <c r="Q401" s="1"/>
      <c r="R401" s="1"/>
      <c r="S401" s="1"/>
      <c r="T401" s="1"/>
      <c r="U401" s="1"/>
      <c r="V401" s="1"/>
      <c r="W401" s="1"/>
      <c r="X401" s="1"/>
    </row>
    <row r="402" spans="1:24" ht="15.75" customHeight="1" x14ac:dyDescent="0.3">
      <c r="A402" s="1"/>
      <c r="B402" s="1"/>
      <c r="C402" s="2"/>
      <c r="D402" s="1"/>
      <c r="E402" s="1"/>
      <c r="F402" s="3"/>
      <c r="G402" s="1"/>
      <c r="H402" s="1"/>
      <c r="I402" s="1"/>
      <c r="J402" s="1"/>
      <c r="K402" s="1"/>
      <c r="L402" s="1"/>
      <c r="M402" s="1"/>
      <c r="N402" s="1"/>
      <c r="O402" s="1"/>
      <c r="P402" s="1"/>
      <c r="Q402" s="1"/>
      <c r="R402" s="1"/>
      <c r="S402" s="1"/>
      <c r="T402" s="1"/>
      <c r="U402" s="1"/>
      <c r="V402" s="1"/>
      <c r="W402" s="1"/>
      <c r="X402" s="1"/>
    </row>
    <row r="403" spans="1:24" ht="15.75" customHeight="1" x14ac:dyDescent="0.3">
      <c r="A403" s="1"/>
      <c r="B403" s="1"/>
      <c r="C403" s="2"/>
      <c r="D403" s="1"/>
      <c r="E403" s="1"/>
      <c r="F403" s="3"/>
      <c r="G403" s="1"/>
      <c r="H403" s="1"/>
      <c r="I403" s="1"/>
      <c r="J403" s="1"/>
      <c r="K403" s="1"/>
      <c r="L403" s="1"/>
      <c r="M403" s="1"/>
      <c r="N403" s="1"/>
      <c r="O403" s="1"/>
      <c r="P403" s="1"/>
      <c r="Q403" s="1"/>
      <c r="R403" s="1"/>
      <c r="S403" s="1"/>
      <c r="T403" s="1"/>
      <c r="U403" s="1"/>
      <c r="V403" s="1"/>
      <c r="W403" s="1"/>
      <c r="X403" s="1"/>
    </row>
    <row r="404" spans="1:24" ht="15.75" customHeight="1" x14ac:dyDescent="0.3">
      <c r="A404" s="1"/>
      <c r="B404" s="1"/>
      <c r="C404" s="2"/>
      <c r="D404" s="1"/>
      <c r="E404" s="1"/>
      <c r="F404" s="3"/>
      <c r="G404" s="1"/>
      <c r="H404" s="1"/>
      <c r="I404" s="1"/>
      <c r="J404" s="1"/>
      <c r="K404" s="1"/>
      <c r="L404" s="1"/>
      <c r="M404" s="1"/>
      <c r="N404" s="1"/>
      <c r="O404" s="1"/>
      <c r="P404" s="1"/>
      <c r="Q404" s="1"/>
      <c r="R404" s="1"/>
      <c r="S404" s="1"/>
      <c r="T404" s="1"/>
      <c r="U404" s="1"/>
      <c r="V404" s="1"/>
      <c r="W404" s="1"/>
      <c r="X404" s="1"/>
    </row>
    <row r="405" spans="1:24" ht="15.75" customHeight="1" x14ac:dyDescent="0.3">
      <c r="A405" s="1"/>
      <c r="B405" s="1"/>
      <c r="C405" s="2"/>
      <c r="D405" s="1"/>
      <c r="E405" s="1"/>
      <c r="F405" s="3"/>
      <c r="G405" s="1"/>
      <c r="H405" s="1"/>
      <c r="I405" s="1"/>
      <c r="J405" s="1"/>
      <c r="K405" s="1"/>
      <c r="L405" s="1"/>
      <c r="M405" s="1"/>
      <c r="N405" s="1"/>
      <c r="O405" s="1"/>
      <c r="P405" s="1"/>
      <c r="Q405" s="1"/>
      <c r="R405" s="1"/>
      <c r="S405" s="1"/>
      <c r="T405" s="1"/>
      <c r="U405" s="1"/>
      <c r="V405" s="1"/>
      <c r="W405" s="1"/>
      <c r="X405" s="1"/>
    </row>
    <row r="406" spans="1:24" ht="15.75" customHeight="1" x14ac:dyDescent="0.3">
      <c r="A406" s="1"/>
      <c r="B406" s="1"/>
      <c r="C406" s="2"/>
      <c r="D406" s="1"/>
      <c r="E406" s="1"/>
      <c r="F406" s="3"/>
      <c r="G406" s="1"/>
      <c r="H406" s="1"/>
      <c r="I406" s="1"/>
      <c r="J406" s="1"/>
      <c r="K406" s="1"/>
      <c r="L406" s="1"/>
      <c r="M406" s="1"/>
      <c r="N406" s="1"/>
      <c r="O406" s="1"/>
      <c r="P406" s="1"/>
      <c r="Q406" s="1"/>
      <c r="R406" s="1"/>
      <c r="S406" s="1"/>
      <c r="T406" s="1"/>
      <c r="U406" s="1"/>
      <c r="V406" s="1"/>
      <c r="W406" s="1"/>
      <c r="X406" s="1"/>
    </row>
    <row r="407" spans="1:24" ht="15.75" customHeight="1" x14ac:dyDescent="0.3">
      <c r="A407" s="1"/>
      <c r="B407" s="1"/>
      <c r="C407" s="2"/>
      <c r="D407" s="1"/>
      <c r="E407" s="1"/>
      <c r="F407" s="3"/>
      <c r="G407" s="1"/>
      <c r="H407" s="1"/>
      <c r="I407" s="1"/>
      <c r="J407" s="1"/>
      <c r="K407" s="1"/>
      <c r="L407" s="1"/>
      <c r="M407" s="1"/>
      <c r="N407" s="1"/>
      <c r="O407" s="1"/>
      <c r="P407" s="1"/>
      <c r="Q407" s="1"/>
      <c r="R407" s="1"/>
      <c r="S407" s="1"/>
      <c r="T407" s="1"/>
      <c r="U407" s="1"/>
      <c r="V407" s="1"/>
      <c r="W407" s="1"/>
      <c r="X407" s="1"/>
    </row>
    <row r="408" spans="1:24" ht="15.75" customHeight="1" x14ac:dyDescent="0.3">
      <c r="A408" s="1"/>
      <c r="B408" s="1"/>
      <c r="C408" s="2"/>
      <c r="D408" s="1"/>
      <c r="E408" s="1"/>
      <c r="F408" s="3"/>
      <c r="G408" s="1"/>
      <c r="H408" s="1"/>
      <c r="I408" s="1"/>
      <c r="J408" s="1"/>
      <c r="K408" s="1"/>
      <c r="L408" s="1"/>
      <c r="M408" s="1"/>
      <c r="N408" s="1"/>
      <c r="O408" s="1"/>
      <c r="P408" s="1"/>
      <c r="Q408" s="1"/>
      <c r="R408" s="1"/>
      <c r="S408" s="1"/>
      <c r="T408" s="1"/>
      <c r="U408" s="1"/>
      <c r="V408" s="1"/>
      <c r="W408" s="1"/>
      <c r="X408" s="1"/>
    </row>
    <row r="409" spans="1:24" ht="15.75" customHeight="1" x14ac:dyDescent="0.3">
      <c r="A409" s="1"/>
      <c r="B409" s="1"/>
      <c r="C409" s="2"/>
      <c r="D409" s="1"/>
      <c r="E409" s="1"/>
      <c r="F409" s="3"/>
      <c r="G409" s="1"/>
      <c r="H409" s="1"/>
      <c r="I409" s="1"/>
      <c r="J409" s="1"/>
      <c r="K409" s="1"/>
      <c r="L409" s="1"/>
      <c r="M409" s="1"/>
      <c r="N409" s="1"/>
      <c r="O409" s="1"/>
      <c r="P409" s="1"/>
      <c r="Q409" s="1"/>
      <c r="R409" s="1"/>
      <c r="S409" s="1"/>
      <c r="T409" s="1"/>
      <c r="U409" s="1"/>
      <c r="V409" s="1"/>
      <c r="W409" s="1"/>
      <c r="X409" s="1"/>
    </row>
    <row r="410" spans="1:24" ht="15.75" customHeight="1" x14ac:dyDescent="0.3">
      <c r="A410" s="1"/>
      <c r="B410" s="1"/>
      <c r="C410" s="2"/>
      <c r="D410" s="1"/>
      <c r="E410" s="1"/>
      <c r="F410" s="3"/>
      <c r="G410" s="1"/>
      <c r="H410" s="1"/>
      <c r="I410" s="1"/>
      <c r="J410" s="1"/>
      <c r="K410" s="1"/>
      <c r="L410" s="1"/>
      <c r="M410" s="1"/>
      <c r="N410" s="1"/>
      <c r="O410" s="1"/>
      <c r="P410" s="1"/>
      <c r="Q410" s="1"/>
      <c r="R410" s="1"/>
      <c r="S410" s="1"/>
      <c r="T410" s="1"/>
      <c r="U410" s="1"/>
      <c r="V410" s="1"/>
      <c r="W410" s="1"/>
      <c r="X410" s="1"/>
    </row>
    <row r="411" spans="1:24" ht="15.75" customHeight="1" x14ac:dyDescent="0.3">
      <c r="A411" s="1"/>
      <c r="B411" s="1"/>
      <c r="C411" s="2"/>
      <c r="D411" s="1"/>
      <c r="E411" s="1"/>
      <c r="F411" s="3"/>
      <c r="G411" s="1"/>
      <c r="H411" s="1"/>
      <c r="I411" s="1"/>
      <c r="J411" s="1"/>
      <c r="K411" s="1"/>
      <c r="L411" s="1"/>
      <c r="M411" s="1"/>
      <c r="N411" s="1"/>
      <c r="O411" s="1"/>
      <c r="P411" s="1"/>
      <c r="Q411" s="1"/>
      <c r="R411" s="1"/>
      <c r="S411" s="1"/>
      <c r="T411" s="1"/>
      <c r="U411" s="1"/>
      <c r="V411" s="1"/>
      <c r="W411" s="1"/>
      <c r="X411" s="1"/>
    </row>
    <row r="412" spans="1:24" ht="15.75" customHeight="1" x14ac:dyDescent="0.3">
      <c r="A412" s="1"/>
      <c r="B412" s="1"/>
      <c r="C412" s="2"/>
      <c r="D412" s="1"/>
      <c r="E412" s="1"/>
      <c r="F412" s="3"/>
      <c r="G412" s="1"/>
      <c r="H412" s="1"/>
      <c r="I412" s="1"/>
      <c r="J412" s="1"/>
      <c r="K412" s="1"/>
      <c r="L412" s="1"/>
      <c r="M412" s="1"/>
      <c r="N412" s="1"/>
      <c r="O412" s="1"/>
      <c r="P412" s="1"/>
      <c r="Q412" s="1"/>
      <c r="R412" s="1"/>
      <c r="S412" s="1"/>
      <c r="T412" s="1"/>
      <c r="U412" s="1"/>
      <c r="V412" s="1"/>
      <c r="W412" s="1"/>
      <c r="X412" s="1"/>
    </row>
    <row r="413" spans="1:24" ht="15.75" customHeight="1" x14ac:dyDescent="0.3">
      <c r="A413" s="1"/>
      <c r="B413" s="1"/>
      <c r="C413" s="2"/>
      <c r="D413" s="1"/>
      <c r="E413" s="1"/>
      <c r="F413" s="3"/>
      <c r="G413" s="1"/>
      <c r="H413" s="1"/>
      <c r="I413" s="1"/>
      <c r="J413" s="1"/>
      <c r="K413" s="1"/>
      <c r="L413" s="1"/>
      <c r="M413" s="1"/>
      <c r="N413" s="1"/>
      <c r="O413" s="1"/>
      <c r="P413" s="1"/>
      <c r="Q413" s="1"/>
      <c r="R413" s="1"/>
      <c r="S413" s="1"/>
      <c r="T413" s="1"/>
      <c r="U413" s="1"/>
      <c r="V413" s="1"/>
      <c r="W413" s="1"/>
      <c r="X413" s="1"/>
    </row>
    <row r="414" spans="1:24" ht="15.75" customHeight="1" x14ac:dyDescent="0.3">
      <c r="A414" s="1"/>
      <c r="B414" s="1"/>
      <c r="C414" s="2"/>
      <c r="D414" s="1"/>
      <c r="E414" s="1"/>
      <c r="F414" s="3"/>
      <c r="G414" s="1"/>
      <c r="H414" s="1"/>
      <c r="I414" s="1"/>
      <c r="J414" s="1"/>
      <c r="K414" s="1"/>
      <c r="L414" s="1"/>
      <c r="M414" s="1"/>
      <c r="N414" s="1"/>
      <c r="O414" s="1"/>
      <c r="P414" s="1"/>
      <c r="Q414" s="1"/>
      <c r="R414" s="1"/>
      <c r="S414" s="1"/>
      <c r="T414" s="1"/>
      <c r="U414" s="1"/>
      <c r="V414" s="1"/>
      <c r="W414" s="1"/>
      <c r="X414" s="1"/>
    </row>
    <row r="415" spans="1:24" ht="15.75" customHeight="1" x14ac:dyDescent="0.3">
      <c r="A415" s="1"/>
      <c r="B415" s="1"/>
      <c r="C415" s="2"/>
      <c r="D415" s="1"/>
      <c r="E415" s="1"/>
      <c r="F415" s="3"/>
      <c r="G415" s="1"/>
      <c r="H415" s="1"/>
      <c r="I415" s="1"/>
      <c r="J415" s="1"/>
      <c r="K415" s="1"/>
      <c r="L415" s="1"/>
      <c r="M415" s="1"/>
      <c r="N415" s="1"/>
      <c r="O415" s="1"/>
      <c r="P415" s="1"/>
      <c r="Q415" s="1"/>
      <c r="R415" s="1"/>
      <c r="S415" s="1"/>
      <c r="T415" s="1"/>
      <c r="U415" s="1"/>
      <c r="V415" s="1"/>
      <c r="W415" s="1"/>
      <c r="X415" s="1"/>
    </row>
    <row r="416" spans="1:24" ht="15.75" customHeight="1" x14ac:dyDescent="0.3">
      <c r="A416" s="1"/>
      <c r="B416" s="1"/>
      <c r="C416" s="2"/>
      <c r="D416" s="1"/>
      <c r="E416" s="1"/>
      <c r="F416" s="3"/>
      <c r="G416" s="1"/>
      <c r="H416" s="1"/>
      <c r="I416" s="1"/>
      <c r="J416" s="1"/>
      <c r="K416" s="1"/>
      <c r="L416" s="1"/>
      <c r="M416" s="1"/>
      <c r="N416" s="1"/>
      <c r="O416" s="1"/>
      <c r="P416" s="1"/>
      <c r="Q416" s="1"/>
      <c r="R416" s="1"/>
      <c r="S416" s="1"/>
      <c r="T416" s="1"/>
      <c r="U416" s="1"/>
      <c r="V416" s="1"/>
      <c r="W416" s="1"/>
      <c r="X416" s="1"/>
    </row>
    <row r="417" spans="1:24" ht="15.75" customHeight="1" x14ac:dyDescent="0.3">
      <c r="A417" s="1"/>
      <c r="B417" s="1"/>
      <c r="C417" s="2"/>
      <c r="D417" s="1"/>
      <c r="E417" s="1"/>
      <c r="F417" s="3"/>
      <c r="G417" s="1"/>
      <c r="H417" s="1"/>
      <c r="I417" s="1"/>
      <c r="J417" s="1"/>
      <c r="K417" s="1"/>
      <c r="L417" s="1"/>
      <c r="M417" s="1"/>
      <c r="N417" s="1"/>
      <c r="O417" s="1"/>
      <c r="P417" s="1"/>
      <c r="Q417" s="1"/>
      <c r="R417" s="1"/>
      <c r="S417" s="1"/>
      <c r="T417" s="1"/>
      <c r="U417" s="1"/>
      <c r="V417" s="1"/>
      <c r="W417" s="1"/>
      <c r="X417" s="1"/>
    </row>
    <row r="418" spans="1:24" ht="15.75" customHeight="1" x14ac:dyDescent="0.3">
      <c r="A418" s="1"/>
      <c r="B418" s="1"/>
      <c r="C418" s="2"/>
      <c r="D418" s="1"/>
      <c r="E418" s="1"/>
      <c r="F418" s="3"/>
      <c r="G418" s="1"/>
      <c r="H418" s="1"/>
      <c r="I418" s="1"/>
      <c r="J418" s="1"/>
      <c r="K418" s="1"/>
      <c r="L418" s="1"/>
      <c r="M418" s="1"/>
      <c r="N418" s="1"/>
      <c r="O418" s="1"/>
      <c r="P418" s="1"/>
      <c r="Q418" s="1"/>
      <c r="R418" s="1"/>
      <c r="S418" s="1"/>
      <c r="T418" s="1"/>
      <c r="U418" s="1"/>
      <c r="V418" s="1"/>
      <c r="W418" s="1"/>
      <c r="X418" s="1"/>
    </row>
    <row r="419" spans="1:24" ht="15.75" customHeight="1" x14ac:dyDescent="0.3">
      <c r="A419" s="1"/>
      <c r="B419" s="1"/>
      <c r="C419" s="2"/>
      <c r="D419" s="1"/>
      <c r="E419" s="1"/>
      <c r="F419" s="3"/>
      <c r="G419" s="1"/>
      <c r="H419" s="1"/>
      <c r="I419" s="1"/>
      <c r="J419" s="1"/>
      <c r="K419" s="1"/>
      <c r="L419" s="1"/>
      <c r="M419" s="1"/>
      <c r="N419" s="1"/>
      <c r="O419" s="1"/>
      <c r="P419" s="1"/>
      <c r="Q419" s="1"/>
      <c r="R419" s="1"/>
      <c r="S419" s="1"/>
      <c r="T419" s="1"/>
      <c r="U419" s="1"/>
      <c r="V419" s="1"/>
      <c r="W419" s="1"/>
      <c r="X419" s="1"/>
    </row>
    <row r="420" spans="1:24" ht="15.75" customHeight="1" x14ac:dyDescent="0.3">
      <c r="A420" s="1"/>
      <c r="B420" s="1"/>
      <c r="C420" s="2"/>
      <c r="D420" s="1"/>
      <c r="E420" s="1"/>
      <c r="F420" s="3"/>
      <c r="G420" s="1"/>
      <c r="H420" s="1"/>
      <c r="I420" s="1"/>
      <c r="J420" s="1"/>
      <c r="K420" s="1"/>
      <c r="L420" s="1"/>
      <c r="M420" s="1"/>
      <c r="N420" s="1"/>
      <c r="O420" s="1"/>
      <c r="P420" s="1"/>
      <c r="Q420" s="1"/>
      <c r="R420" s="1"/>
      <c r="S420" s="1"/>
      <c r="T420" s="1"/>
      <c r="U420" s="1"/>
      <c r="V420" s="1"/>
      <c r="W420" s="1"/>
      <c r="X420" s="1"/>
    </row>
    <row r="421" spans="1:24" ht="15.75" customHeight="1" x14ac:dyDescent="0.3">
      <c r="A421" s="1"/>
      <c r="B421" s="1"/>
      <c r="C421" s="2"/>
      <c r="D421" s="1"/>
      <c r="E421" s="1"/>
      <c r="F421" s="3"/>
      <c r="G421" s="1"/>
      <c r="H421" s="1"/>
      <c r="I421" s="1"/>
      <c r="J421" s="1"/>
      <c r="K421" s="1"/>
      <c r="L421" s="1"/>
      <c r="M421" s="1"/>
      <c r="N421" s="1"/>
      <c r="O421" s="1"/>
      <c r="P421" s="1"/>
      <c r="Q421" s="1"/>
      <c r="R421" s="1"/>
      <c r="S421" s="1"/>
      <c r="T421" s="1"/>
      <c r="U421" s="1"/>
      <c r="V421" s="1"/>
      <c r="W421" s="1"/>
      <c r="X421" s="1"/>
    </row>
    <row r="422" spans="1:24" ht="15.75" customHeight="1" x14ac:dyDescent="0.3">
      <c r="A422" s="1"/>
      <c r="B422" s="1"/>
      <c r="C422" s="2"/>
      <c r="D422" s="1"/>
      <c r="E422" s="1"/>
      <c r="F422" s="3"/>
      <c r="G422" s="1"/>
      <c r="H422" s="1"/>
      <c r="I422" s="1"/>
      <c r="J422" s="1"/>
      <c r="K422" s="1"/>
      <c r="L422" s="1"/>
      <c r="M422" s="1"/>
      <c r="N422" s="1"/>
      <c r="O422" s="1"/>
      <c r="P422" s="1"/>
      <c r="Q422" s="1"/>
      <c r="R422" s="1"/>
      <c r="S422" s="1"/>
      <c r="T422" s="1"/>
      <c r="U422" s="1"/>
      <c r="V422" s="1"/>
      <c r="W422" s="1"/>
      <c r="X422" s="1"/>
    </row>
    <row r="423" spans="1:24" ht="15.75" customHeight="1" x14ac:dyDescent="0.3">
      <c r="A423" s="1"/>
      <c r="B423" s="1"/>
      <c r="C423" s="2"/>
      <c r="D423" s="1"/>
      <c r="E423" s="1"/>
      <c r="F423" s="3"/>
      <c r="G423" s="1"/>
      <c r="H423" s="1"/>
      <c r="I423" s="1"/>
      <c r="J423" s="1"/>
      <c r="K423" s="1"/>
      <c r="L423" s="1"/>
      <c r="M423" s="1"/>
      <c r="N423" s="1"/>
      <c r="O423" s="1"/>
      <c r="P423" s="1"/>
      <c r="Q423" s="1"/>
      <c r="R423" s="1"/>
      <c r="S423" s="1"/>
      <c r="T423" s="1"/>
      <c r="U423" s="1"/>
      <c r="V423" s="1"/>
      <c r="W423" s="1"/>
      <c r="X423" s="1"/>
    </row>
    <row r="424" spans="1:24" ht="15.75" customHeight="1" x14ac:dyDescent="0.3">
      <c r="A424" s="1"/>
      <c r="B424" s="1"/>
      <c r="C424" s="2"/>
      <c r="D424" s="1"/>
      <c r="E424" s="1"/>
      <c r="F424" s="3"/>
      <c r="G424" s="1"/>
      <c r="H424" s="1"/>
      <c r="I424" s="1"/>
      <c r="J424" s="1"/>
      <c r="K424" s="1"/>
      <c r="L424" s="1"/>
      <c r="M424" s="1"/>
      <c r="N424" s="1"/>
      <c r="O424" s="1"/>
      <c r="P424" s="1"/>
      <c r="Q424" s="1"/>
      <c r="R424" s="1"/>
      <c r="S424" s="1"/>
      <c r="T424" s="1"/>
      <c r="U424" s="1"/>
      <c r="V424" s="1"/>
      <c r="W424" s="1"/>
      <c r="X424" s="1"/>
    </row>
    <row r="425" spans="1:24" ht="15.75" customHeight="1" x14ac:dyDescent="0.3">
      <c r="A425" s="1"/>
      <c r="B425" s="1"/>
      <c r="C425" s="2"/>
      <c r="D425" s="1"/>
      <c r="E425" s="1"/>
      <c r="F425" s="3"/>
      <c r="G425" s="1"/>
      <c r="H425" s="1"/>
      <c r="I425" s="1"/>
      <c r="J425" s="1"/>
      <c r="K425" s="1"/>
      <c r="L425" s="1"/>
      <c r="M425" s="1"/>
      <c r="N425" s="1"/>
      <c r="O425" s="1"/>
      <c r="P425" s="1"/>
      <c r="Q425" s="1"/>
      <c r="R425" s="1"/>
      <c r="S425" s="1"/>
      <c r="T425" s="1"/>
      <c r="U425" s="1"/>
      <c r="V425" s="1"/>
      <c r="W425" s="1"/>
      <c r="X425" s="1"/>
    </row>
    <row r="426" spans="1:24" ht="15.75" customHeight="1" x14ac:dyDescent="0.3">
      <c r="A426" s="1"/>
      <c r="B426" s="1"/>
      <c r="C426" s="2"/>
      <c r="D426" s="1"/>
      <c r="E426" s="1"/>
      <c r="F426" s="3"/>
      <c r="G426" s="1"/>
      <c r="H426" s="1"/>
      <c r="I426" s="1"/>
      <c r="J426" s="1"/>
      <c r="K426" s="1"/>
      <c r="L426" s="1"/>
      <c r="M426" s="1"/>
      <c r="N426" s="1"/>
      <c r="O426" s="1"/>
      <c r="P426" s="1"/>
      <c r="Q426" s="1"/>
      <c r="R426" s="1"/>
      <c r="S426" s="1"/>
      <c r="T426" s="1"/>
      <c r="U426" s="1"/>
      <c r="V426" s="1"/>
      <c r="W426" s="1"/>
      <c r="X426" s="1"/>
    </row>
    <row r="427" spans="1:24" ht="15.75" customHeight="1" x14ac:dyDescent="0.3">
      <c r="A427" s="1"/>
      <c r="B427" s="1"/>
      <c r="C427" s="2"/>
      <c r="D427" s="1"/>
      <c r="E427" s="1"/>
      <c r="F427" s="3"/>
      <c r="G427" s="1"/>
      <c r="H427" s="1"/>
      <c r="I427" s="1"/>
      <c r="J427" s="1"/>
      <c r="K427" s="1"/>
      <c r="L427" s="1"/>
      <c r="M427" s="1"/>
      <c r="N427" s="1"/>
      <c r="O427" s="1"/>
      <c r="P427" s="1"/>
      <c r="Q427" s="1"/>
      <c r="R427" s="1"/>
      <c r="S427" s="1"/>
      <c r="T427" s="1"/>
      <c r="U427" s="1"/>
      <c r="V427" s="1"/>
      <c r="W427" s="1"/>
      <c r="X427" s="1"/>
    </row>
    <row r="428" spans="1:24" ht="15.75" customHeight="1" x14ac:dyDescent="0.3">
      <c r="A428" s="1"/>
      <c r="B428" s="1"/>
      <c r="C428" s="2"/>
      <c r="D428" s="1"/>
      <c r="E428" s="1"/>
      <c r="F428" s="3"/>
      <c r="G428" s="1"/>
      <c r="H428" s="1"/>
      <c r="I428" s="1"/>
      <c r="J428" s="1"/>
      <c r="K428" s="1"/>
      <c r="L428" s="1"/>
      <c r="M428" s="1"/>
      <c r="N428" s="1"/>
      <c r="O428" s="1"/>
      <c r="P428" s="1"/>
      <c r="Q428" s="1"/>
      <c r="R428" s="1"/>
      <c r="S428" s="1"/>
      <c r="T428" s="1"/>
      <c r="U428" s="1"/>
      <c r="V428" s="1"/>
      <c r="W428" s="1"/>
      <c r="X428" s="1"/>
    </row>
    <row r="429" spans="1:24" ht="15.75" customHeight="1" x14ac:dyDescent="0.3">
      <c r="A429" s="1"/>
      <c r="B429" s="1"/>
      <c r="C429" s="2"/>
      <c r="D429" s="1"/>
      <c r="E429" s="1"/>
      <c r="F429" s="3"/>
      <c r="G429" s="1"/>
      <c r="H429" s="1"/>
      <c r="I429" s="1"/>
      <c r="J429" s="1"/>
      <c r="K429" s="1"/>
      <c r="L429" s="1"/>
      <c r="M429" s="1"/>
      <c r="N429" s="1"/>
      <c r="O429" s="1"/>
      <c r="P429" s="1"/>
      <c r="Q429" s="1"/>
      <c r="R429" s="1"/>
      <c r="S429" s="1"/>
      <c r="T429" s="1"/>
      <c r="U429" s="1"/>
      <c r="V429" s="1"/>
      <c r="W429" s="1"/>
      <c r="X429" s="1"/>
    </row>
    <row r="430" spans="1:24" ht="15.75" customHeight="1" x14ac:dyDescent="0.3">
      <c r="A430" s="1"/>
      <c r="B430" s="1"/>
      <c r="C430" s="2"/>
      <c r="D430" s="1"/>
      <c r="E430" s="1"/>
      <c r="F430" s="3"/>
      <c r="G430" s="1"/>
      <c r="H430" s="1"/>
      <c r="I430" s="1"/>
      <c r="J430" s="1"/>
      <c r="K430" s="1"/>
      <c r="L430" s="1"/>
      <c r="M430" s="1"/>
      <c r="N430" s="1"/>
      <c r="O430" s="1"/>
      <c r="P430" s="1"/>
      <c r="Q430" s="1"/>
      <c r="R430" s="1"/>
      <c r="S430" s="1"/>
      <c r="T430" s="1"/>
      <c r="U430" s="1"/>
      <c r="V430" s="1"/>
      <c r="W430" s="1"/>
      <c r="X430" s="1"/>
    </row>
    <row r="431" spans="1:24" ht="15.75" customHeight="1" x14ac:dyDescent="0.3">
      <c r="A431" s="1"/>
      <c r="B431" s="1"/>
      <c r="C431" s="2"/>
      <c r="D431" s="1"/>
      <c r="E431" s="1"/>
      <c r="F431" s="3"/>
      <c r="G431" s="1"/>
      <c r="H431" s="1"/>
      <c r="I431" s="1"/>
      <c r="J431" s="1"/>
      <c r="K431" s="1"/>
      <c r="L431" s="1"/>
      <c r="M431" s="1"/>
      <c r="N431" s="1"/>
      <c r="O431" s="1"/>
      <c r="P431" s="1"/>
      <c r="Q431" s="1"/>
      <c r="R431" s="1"/>
      <c r="S431" s="1"/>
      <c r="T431" s="1"/>
      <c r="U431" s="1"/>
      <c r="V431" s="1"/>
      <c r="W431" s="1"/>
      <c r="X431" s="1"/>
    </row>
    <row r="432" spans="1:24" ht="15.75" customHeight="1" x14ac:dyDescent="0.3">
      <c r="A432" s="1"/>
      <c r="B432" s="1"/>
      <c r="C432" s="2"/>
      <c r="D432" s="1"/>
      <c r="E432" s="1"/>
      <c r="F432" s="3"/>
      <c r="G432" s="1"/>
      <c r="H432" s="1"/>
      <c r="I432" s="1"/>
      <c r="J432" s="1"/>
      <c r="K432" s="1"/>
      <c r="L432" s="1"/>
      <c r="M432" s="1"/>
      <c r="N432" s="1"/>
      <c r="O432" s="1"/>
      <c r="P432" s="1"/>
      <c r="Q432" s="1"/>
      <c r="R432" s="1"/>
      <c r="S432" s="1"/>
      <c r="T432" s="1"/>
      <c r="U432" s="1"/>
      <c r="V432" s="1"/>
      <c r="W432" s="1"/>
      <c r="X432" s="1"/>
    </row>
    <row r="433" spans="1:24" ht="15.75" customHeight="1" x14ac:dyDescent="0.3">
      <c r="A433" s="1"/>
      <c r="B433" s="1"/>
      <c r="C433" s="2"/>
      <c r="D433" s="1"/>
      <c r="E433" s="1"/>
      <c r="F433" s="3"/>
      <c r="G433" s="1"/>
      <c r="H433" s="1"/>
      <c r="I433" s="1"/>
      <c r="J433" s="1"/>
      <c r="K433" s="1"/>
      <c r="L433" s="1"/>
      <c r="M433" s="1"/>
      <c r="N433" s="1"/>
      <c r="O433" s="1"/>
      <c r="P433" s="1"/>
      <c r="Q433" s="1"/>
      <c r="R433" s="1"/>
      <c r="S433" s="1"/>
      <c r="T433" s="1"/>
      <c r="U433" s="1"/>
      <c r="V433" s="1"/>
      <c r="W433" s="1"/>
      <c r="X433" s="1"/>
    </row>
    <row r="434" spans="1:24" ht="15.75" customHeight="1" x14ac:dyDescent="0.3">
      <c r="A434" s="1"/>
      <c r="B434" s="1"/>
      <c r="C434" s="2"/>
      <c r="D434" s="1"/>
      <c r="E434" s="1"/>
      <c r="F434" s="3"/>
      <c r="G434" s="1"/>
      <c r="H434" s="1"/>
      <c r="I434" s="1"/>
      <c r="J434" s="1"/>
      <c r="K434" s="1"/>
      <c r="L434" s="1"/>
      <c r="M434" s="1"/>
      <c r="N434" s="1"/>
      <c r="O434" s="1"/>
      <c r="P434" s="1"/>
      <c r="Q434" s="1"/>
      <c r="R434" s="1"/>
      <c r="S434" s="1"/>
      <c r="T434" s="1"/>
      <c r="U434" s="1"/>
      <c r="V434" s="1"/>
      <c r="W434" s="1"/>
      <c r="X434" s="1"/>
    </row>
    <row r="435" spans="1:24" ht="15.75" customHeight="1" x14ac:dyDescent="0.3">
      <c r="A435" s="1"/>
      <c r="B435" s="1"/>
      <c r="C435" s="2"/>
      <c r="D435" s="1"/>
      <c r="E435" s="1"/>
      <c r="F435" s="3"/>
      <c r="G435" s="1"/>
      <c r="H435" s="1"/>
      <c r="I435" s="1"/>
      <c r="J435" s="1"/>
      <c r="K435" s="1"/>
      <c r="L435" s="1"/>
      <c r="M435" s="1"/>
      <c r="N435" s="1"/>
      <c r="O435" s="1"/>
      <c r="P435" s="1"/>
      <c r="Q435" s="1"/>
      <c r="R435" s="1"/>
      <c r="S435" s="1"/>
      <c r="T435" s="1"/>
      <c r="U435" s="1"/>
      <c r="V435" s="1"/>
      <c r="W435" s="1"/>
      <c r="X435" s="1"/>
    </row>
    <row r="436" spans="1:24" ht="15.75" customHeight="1" x14ac:dyDescent="0.3">
      <c r="A436" s="1"/>
      <c r="B436" s="1"/>
      <c r="C436" s="2"/>
      <c r="D436" s="1"/>
      <c r="E436" s="1"/>
      <c r="F436" s="3"/>
      <c r="G436" s="1"/>
      <c r="H436" s="1"/>
      <c r="I436" s="1"/>
      <c r="J436" s="1"/>
      <c r="K436" s="1"/>
      <c r="L436" s="1"/>
      <c r="M436" s="1"/>
      <c r="N436" s="1"/>
      <c r="O436" s="1"/>
      <c r="P436" s="1"/>
      <c r="Q436" s="1"/>
      <c r="R436" s="1"/>
      <c r="S436" s="1"/>
      <c r="T436" s="1"/>
      <c r="U436" s="1"/>
      <c r="V436" s="1"/>
      <c r="W436" s="1"/>
      <c r="X436" s="1"/>
    </row>
    <row r="437" spans="1:24" ht="15.75" customHeight="1" x14ac:dyDescent="0.3">
      <c r="A437" s="1"/>
      <c r="B437" s="1"/>
      <c r="C437" s="2"/>
      <c r="D437" s="1"/>
      <c r="E437" s="1"/>
      <c r="F437" s="3"/>
      <c r="G437" s="1"/>
      <c r="H437" s="1"/>
      <c r="I437" s="1"/>
      <c r="J437" s="1"/>
      <c r="K437" s="1"/>
      <c r="L437" s="1"/>
      <c r="M437" s="1"/>
      <c r="N437" s="1"/>
      <c r="O437" s="1"/>
      <c r="P437" s="1"/>
      <c r="Q437" s="1"/>
      <c r="R437" s="1"/>
      <c r="S437" s="1"/>
      <c r="T437" s="1"/>
      <c r="U437" s="1"/>
      <c r="V437" s="1"/>
      <c r="W437" s="1"/>
      <c r="X437" s="1"/>
    </row>
    <row r="438" spans="1:24" ht="15.75" customHeight="1" x14ac:dyDescent="0.3">
      <c r="A438" s="1"/>
      <c r="B438" s="1"/>
      <c r="C438" s="2"/>
      <c r="D438" s="1"/>
      <c r="E438" s="1"/>
      <c r="F438" s="3"/>
      <c r="G438" s="1"/>
      <c r="H438" s="1"/>
      <c r="I438" s="1"/>
      <c r="J438" s="1"/>
      <c r="K438" s="1"/>
      <c r="L438" s="1"/>
      <c r="M438" s="1"/>
      <c r="N438" s="1"/>
      <c r="O438" s="1"/>
      <c r="P438" s="1"/>
      <c r="Q438" s="1"/>
      <c r="R438" s="1"/>
      <c r="S438" s="1"/>
      <c r="T438" s="1"/>
      <c r="U438" s="1"/>
      <c r="V438" s="1"/>
      <c r="W438" s="1"/>
      <c r="X438" s="1"/>
    </row>
    <row r="439" spans="1:24" ht="15.75" customHeight="1" x14ac:dyDescent="0.3">
      <c r="A439" s="1"/>
      <c r="B439" s="1"/>
      <c r="C439" s="2"/>
      <c r="D439" s="1"/>
      <c r="E439" s="1"/>
      <c r="F439" s="3"/>
      <c r="G439" s="1"/>
      <c r="H439" s="1"/>
      <c r="I439" s="1"/>
      <c r="J439" s="1"/>
      <c r="K439" s="1"/>
      <c r="L439" s="1"/>
      <c r="M439" s="1"/>
      <c r="N439" s="1"/>
      <c r="O439" s="1"/>
      <c r="P439" s="1"/>
      <c r="Q439" s="1"/>
      <c r="R439" s="1"/>
      <c r="S439" s="1"/>
      <c r="T439" s="1"/>
      <c r="U439" s="1"/>
      <c r="V439" s="1"/>
      <c r="W439" s="1"/>
      <c r="X439" s="1"/>
    </row>
    <row r="440" spans="1:24" ht="15.75" customHeight="1" x14ac:dyDescent="0.3">
      <c r="A440" s="1"/>
      <c r="B440" s="1"/>
      <c r="C440" s="2"/>
      <c r="D440" s="1"/>
      <c r="E440" s="1"/>
      <c r="F440" s="3"/>
      <c r="G440" s="1"/>
      <c r="H440" s="1"/>
      <c r="I440" s="1"/>
      <c r="J440" s="1"/>
      <c r="K440" s="1"/>
      <c r="L440" s="1"/>
      <c r="M440" s="1"/>
      <c r="N440" s="1"/>
      <c r="O440" s="1"/>
      <c r="P440" s="1"/>
      <c r="Q440" s="1"/>
      <c r="R440" s="1"/>
      <c r="S440" s="1"/>
      <c r="T440" s="1"/>
      <c r="U440" s="1"/>
      <c r="V440" s="1"/>
      <c r="W440" s="1"/>
      <c r="X440" s="1"/>
    </row>
    <row r="441" spans="1:24" ht="15.75" customHeight="1" x14ac:dyDescent="0.3">
      <c r="A441" s="1"/>
      <c r="B441" s="1"/>
      <c r="C441" s="2"/>
      <c r="D441" s="1"/>
      <c r="E441" s="1"/>
      <c r="F441" s="3"/>
      <c r="G441" s="1"/>
      <c r="H441" s="1"/>
      <c r="I441" s="1"/>
      <c r="J441" s="1"/>
      <c r="K441" s="1"/>
      <c r="L441" s="1"/>
      <c r="M441" s="1"/>
      <c r="N441" s="1"/>
      <c r="O441" s="1"/>
      <c r="P441" s="1"/>
      <c r="Q441" s="1"/>
      <c r="R441" s="1"/>
      <c r="S441" s="1"/>
      <c r="T441" s="1"/>
      <c r="U441" s="1"/>
      <c r="V441" s="1"/>
      <c r="W441" s="1"/>
      <c r="X441" s="1"/>
    </row>
    <row r="442" spans="1:24" ht="15.75" customHeight="1" x14ac:dyDescent="0.3">
      <c r="A442" s="1"/>
      <c r="B442" s="1"/>
      <c r="C442" s="2"/>
      <c r="D442" s="1"/>
      <c r="E442" s="1"/>
      <c r="F442" s="3"/>
      <c r="G442" s="1"/>
      <c r="H442" s="1"/>
      <c r="I442" s="1"/>
      <c r="J442" s="1"/>
      <c r="K442" s="1"/>
      <c r="L442" s="1"/>
      <c r="M442" s="1"/>
      <c r="N442" s="1"/>
      <c r="O442" s="1"/>
      <c r="P442" s="1"/>
      <c r="Q442" s="1"/>
      <c r="R442" s="1"/>
      <c r="S442" s="1"/>
      <c r="T442" s="1"/>
      <c r="U442" s="1"/>
      <c r="V442" s="1"/>
      <c r="W442" s="1"/>
      <c r="X442" s="1"/>
    </row>
    <row r="443" spans="1:24" ht="15.75" customHeight="1" x14ac:dyDescent="0.3">
      <c r="A443" s="1"/>
      <c r="B443" s="1"/>
      <c r="C443" s="2"/>
      <c r="D443" s="1"/>
      <c r="E443" s="1"/>
      <c r="F443" s="3"/>
      <c r="G443" s="1"/>
      <c r="H443" s="1"/>
      <c r="I443" s="1"/>
      <c r="J443" s="1"/>
      <c r="K443" s="1"/>
      <c r="L443" s="1"/>
      <c r="M443" s="1"/>
      <c r="N443" s="1"/>
      <c r="O443" s="1"/>
      <c r="P443" s="1"/>
      <c r="Q443" s="1"/>
      <c r="R443" s="1"/>
      <c r="S443" s="1"/>
      <c r="T443" s="1"/>
      <c r="U443" s="1"/>
      <c r="V443" s="1"/>
      <c r="W443" s="1"/>
      <c r="X443" s="1"/>
    </row>
    <row r="444" spans="1:24" ht="15.75" customHeight="1" x14ac:dyDescent="0.3">
      <c r="A444" s="1"/>
      <c r="B444" s="1"/>
      <c r="C444" s="2"/>
      <c r="D444" s="1"/>
      <c r="E444" s="1"/>
      <c r="F444" s="3"/>
      <c r="G444" s="1"/>
      <c r="H444" s="1"/>
      <c r="I444" s="1"/>
      <c r="J444" s="1"/>
      <c r="K444" s="1"/>
      <c r="L444" s="1"/>
      <c r="M444" s="1"/>
      <c r="N444" s="1"/>
      <c r="O444" s="1"/>
      <c r="P444" s="1"/>
      <c r="Q444" s="1"/>
      <c r="R444" s="1"/>
      <c r="S444" s="1"/>
      <c r="T444" s="1"/>
      <c r="U444" s="1"/>
      <c r="V444" s="1"/>
      <c r="W444" s="1"/>
      <c r="X444" s="1"/>
    </row>
    <row r="445" spans="1:24" ht="15.75" customHeight="1" x14ac:dyDescent="0.3">
      <c r="A445" s="1"/>
      <c r="B445" s="1"/>
      <c r="C445" s="2"/>
      <c r="D445" s="1"/>
      <c r="E445" s="1"/>
      <c r="F445" s="3"/>
      <c r="G445" s="1"/>
      <c r="H445" s="1"/>
      <c r="I445" s="1"/>
      <c r="J445" s="1"/>
      <c r="K445" s="1"/>
      <c r="L445" s="1"/>
      <c r="M445" s="1"/>
      <c r="N445" s="1"/>
      <c r="O445" s="1"/>
      <c r="P445" s="1"/>
      <c r="Q445" s="1"/>
      <c r="R445" s="1"/>
      <c r="S445" s="1"/>
      <c r="T445" s="1"/>
      <c r="U445" s="1"/>
      <c r="V445" s="1"/>
      <c r="W445" s="1"/>
      <c r="X445" s="1"/>
    </row>
    <row r="446" spans="1:24" ht="15.75" customHeight="1" x14ac:dyDescent="0.3">
      <c r="A446" s="1"/>
      <c r="B446" s="1"/>
      <c r="C446" s="2"/>
      <c r="D446" s="1"/>
      <c r="E446" s="1"/>
      <c r="F446" s="3"/>
      <c r="G446" s="1"/>
      <c r="H446" s="1"/>
      <c r="I446" s="1"/>
      <c r="J446" s="1"/>
      <c r="K446" s="1"/>
      <c r="L446" s="1"/>
      <c r="M446" s="1"/>
      <c r="N446" s="1"/>
      <c r="O446" s="1"/>
      <c r="P446" s="1"/>
      <c r="Q446" s="1"/>
      <c r="R446" s="1"/>
      <c r="S446" s="1"/>
      <c r="T446" s="1"/>
      <c r="U446" s="1"/>
      <c r="V446" s="1"/>
      <c r="W446" s="1"/>
      <c r="X446" s="1"/>
    </row>
    <row r="447" spans="1:24" ht="15.75" customHeight="1" x14ac:dyDescent="0.3">
      <c r="A447" s="1"/>
      <c r="B447" s="1"/>
      <c r="C447" s="2"/>
      <c r="D447" s="1"/>
      <c r="E447" s="1"/>
      <c r="F447" s="3"/>
      <c r="G447" s="1"/>
      <c r="H447" s="1"/>
      <c r="I447" s="1"/>
      <c r="J447" s="1"/>
      <c r="K447" s="1"/>
      <c r="L447" s="1"/>
      <c r="M447" s="1"/>
      <c r="N447" s="1"/>
      <c r="O447" s="1"/>
      <c r="P447" s="1"/>
      <c r="Q447" s="1"/>
      <c r="R447" s="1"/>
      <c r="S447" s="1"/>
      <c r="T447" s="1"/>
      <c r="U447" s="1"/>
      <c r="V447" s="1"/>
      <c r="W447" s="1"/>
      <c r="X447" s="1"/>
    </row>
    <row r="448" spans="1:24" ht="15.75" customHeight="1" x14ac:dyDescent="0.3">
      <c r="A448" s="1"/>
      <c r="B448" s="1"/>
      <c r="C448" s="2"/>
      <c r="D448" s="1"/>
      <c r="E448" s="1"/>
      <c r="F448" s="3"/>
      <c r="G448" s="1"/>
      <c r="H448" s="1"/>
      <c r="I448" s="1"/>
      <c r="J448" s="1"/>
      <c r="K448" s="1"/>
      <c r="L448" s="1"/>
      <c r="M448" s="1"/>
      <c r="N448" s="1"/>
      <c r="O448" s="1"/>
      <c r="P448" s="1"/>
      <c r="Q448" s="1"/>
      <c r="R448" s="1"/>
      <c r="S448" s="1"/>
      <c r="T448" s="1"/>
      <c r="U448" s="1"/>
      <c r="V448" s="1"/>
      <c r="W448" s="1"/>
      <c r="X448" s="1"/>
    </row>
    <row r="449" spans="1:24" ht="15.75" customHeight="1" x14ac:dyDescent="0.3">
      <c r="A449" s="1"/>
      <c r="B449" s="1"/>
      <c r="C449" s="2"/>
      <c r="D449" s="1"/>
      <c r="E449" s="1"/>
      <c r="F449" s="3"/>
      <c r="G449" s="1"/>
      <c r="H449" s="1"/>
      <c r="I449" s="1"/>
      <c r="J449" s="1"/>
      <c r="K449" s="1"/>
      <c r="L449" s="1"/>
      <c r="M449" s="1"/>
      <c r="N449" s="1"/>
      <c r="O449" s="1"/>
      <c r="P449" s="1"/>
      <c r="Q449" s="1"/>
      <c r="R449" s="1"/>
      <c r="S449" s="1"/>
      <c r="T449" s="1"/>
      <c r="U449" s="1"/>
      <c r="V449" s="1"/>
      <c r="W449" s="1"/>
      <c r="X449" s="1"/>
    </row>
    <row r="450" spans="1:24" ht="15.75" customHeight="1" x14ac:dyDescent="0.3">
      <c r="A450" s="1"/>
      <c r="B450" s="1"/>
      <c r="C450" s="2"/>
      <c r="D450" s="1"/>
      <c r="E450" s="1"/>
      <c r="F450" s="3"/>
      <c r="G450" s="1"/>
      <c r="H450" s="1"/>
      <c r="I450" s="1"/>
      <c r="J450" s="1"/>
      <c r="K450" s="1"/>
      <c r="L450" s="1"/>
      <c r="M450" s="1"/>
      <c r="N450" s="1"/>
      <c r="O450" s="1"/>
      <c r="P450" s="1"/>
      <c r="Q450" s="1"/>
      <c r="R450" s="1"/>
      <c r="S450" s="1"/>
      <c r="T450" s="1"/>
      <c r="U450" s="1"/>
      <c r="V450" s="1"/>
      <c r="W450" s="1"/>
      <c r="X450" s="1"/>
    </row>
    <row r="451" spans="1:24" ht="15.75" customHeight="1" x14ac:dyDescent="0.3">
      <c r="A451" s="1"/>
      <c r="B451" s="1"/>
      <c r="C451" s="2"/>
      <c r="D451" s="1"/>
      <c r="E451" s="1"/>
      <c r="F451" s="3"/>
      <c r="G451" s="1"/>
      <c r="H451" s="1"/>
      <c r="I451" s="1"/>
      <c r="J451" s="1"/>
      <c r="K451" s="1"/>
      <c r="L451" s="1"/>
      <c r="M451" s="1"/>
      <c r="N451" s="1"/>
      <c r="O451" s="1"/>
      <c r="P451" s="1"/>
      <c r="Q451" s="1"/>
      <c r="R451" s="1"/>
      <c r="S451" s="1"/>
      <c r="T451" s="1"/>
      <c r="U451" s="1"/>
      <c r="V451" s="1"/>
      <c r="W451" s="1"/>
      <c r="X451" s="1"/>
    </row>
    <row r="452" spans="1:24" ht="15.75" customHeight="1" x14ac:dyDescent="0.3">
      <c r="A452" s="1"/>
      <c r="B452" s="1"/>
      <c r="C452" s="2"/>
      <c r="D452" s="1"/>
      <c r="E452" s="1"/>
      <c r="F452" s="3"/>
      <c r="G452" s="1"/>
      <c r="H452" s="1"/>
      <c r="I452" s="1"/>
      <c r="J452" s="1"/>
      <c r="K452" s="1"/>
      <c r="L452" s="1"/>
      <c r="M452" s="1"/>
      <c r="N452" s="1"/>
      <c r="O452" s="1"/>
      <c r="P452" s="1"/>
      <c r="Q452" s="1"/>
      <c r="R452" s="1"/>
      <c r="S452" s="1"/>
      <c r="T452" s="1"/>
      <c r="U452" s="1"/>
      <c r="V452" s="1"/>
      <c r="W452" s="1"/>
      <c r="X452" s="1"/>
    </row>
    <row r="453" spans="1:24" ht="15.75" customHeight="1" x14ac:dyDescent="0.3">
      <c r="A453" s="1"/>
      <c r="B453" s="1"/>
      <c r="C453" s="2"/>
      <c r="D453" s="1"/>
      <c r="E453" s="1"/>
      <c r="F453" s="3"/>
      <c r="G453" s="1"/>
      <c r="H453" s="1"/>
      <c r="I453" s="1"/>
      <c r="J453" s="1"/>
      <c r="K453" s="1"/>
      <c r="L453" s="1"/>
      <c r="M453" s="1"/>
      <c r="N453" s="1"/>
      <c r="O453" s="1"/>
      <c r="P453" s="1"/>
      <c r="Q453" s="1"/>
      <c r="R453" s="1"/>
      <c r="S453" s="1"/>
      <c r="T453" s="1"/>
      <c r="U453" s="1"/>
      <c r="V453" s="1"/>
      <c r="W453" s="1"/>
      <c r="X453" s="1"/>
    </row>
    <row r="454" spans="1:24" ht="15.75" customHeight="1" x14ac:dyDescent="0.3">
      <c r="A454" s="1"/>
      <c r="B454" s="1"/>
      <c r="C454" s="2"/>
      <c r="D454" s="1"/>
      <c r="E454" s="1"/>
      <c r="F454" s="3"/>
      <c r="G454" s="1"/>
      <c r="H454" s="1"/>
      <c r="I454" s="1"/>
      <c r="J454" s="1"/>
      <c r="K454" s="1"/>
      <c r="L454" s="1"/>
      <c r="M454" s="1"/>
      <c r="N454" s="1"/>
      <c r="O454" s="1"/>
      <c r="P454" s="1"/>
      <c r="Q454" s="1"/>
      <c r="R454" s="1"/>
      <c r="S454" s="1"/>
      <c r="T454" s="1"/>
      <c r="U454" s="1"/>
      <c r="V454" s="1"/>
      <c r="W454" s="1"/>
      <c r="X454" s="1"/>
    </row>
    <row r="455" spans="1:24" ht="15.75" customHeight="1" x14ac:dyDescent="0.3">
      <c r="A455" s="1"/>
      <c r="B455" s="1"/>
      <c r="C455" s="2"/>
      <c r="D455" s="1"/>
      <c r="E455" s="1"/>
      <c r="F455" s="3"/>
      <c r="G455" s="1"/>
      <c r="H455" s="1"/>
      <c r="I455" s="1"/>
      <c r="J455" s="1"/>
      <c r="K455" s="1"/>
      <c r="L455" s="1"/>
      <c r="M455" s="1"/>
      <c r="N455" s="1"/>
      <c r="O455" s="1"/>
      <c r="P455" s="1"/>
      <c r="Q455" s="1"/>
      <c r="R455" s="1"/>
      <c r="S455" s="1"/>
      <c r="T455" s="1"/>
      <c r="U455" s="1"/>
      <c r="V455" s="1"/>
      <c r="W455" s="1"/>
      <c r="X455" s="1"/>
    </row>
    <row r="456" spans="1:24" ht="15.75" customHeight="1" x14ac:dyDescent="0.3">
      <c r="A456" s="1"/>
      <c r="B456" s="1"/>
      <c r="C456" s="2"/>
      <c r="D456" s="1"/>
      <c r="E456" s="1"/>
      <c r="F456" s="3"/>
      <c r="G456" s="1"/>
      <c r="H456" s="1"/>
      <c r="I456" s="1"/>
      <c r="J456" s="1"/>
      <c r="K456" s="1"/>
      <c r="L456" s="1"/>
      <c r="M456" s="1"/>
      <c r="N456" s="1"/>
      <c r="O456" s="1"/>
      <c r="P456" s="1"/>
      <c r="Q456" s="1"/>
      <c r="R456" s="1"/>
      <c r="S456" s="1"/>
      <c r="T456" s="1"/>
      <c r="U456" s="1"/>
      <c r="V456" s="1"/>
      <c r="W456" s="1"/>
      <c r="X456" s="1"/>
    </row>
    <row r="457" spans="1:24" ht="15.75" customHeight="1" x14ac:dyDescent="0.3">
      <c r="A457" s="1"/>
      <c r="B457" s="1"/>
      <c r="C457" s="2"/>
      <c r="D457" s="1"/>
      <c r="E457" s="1"/>
      <c r="F457" s="3"/>
      <c r="G457" s="1"/>
      <c r="H457" s="1"/>
      <c r="I457" s="1"/>
      <c r="J457" s="1"/>
      <c r="K457" s="1"/>
      <c r="L457" s="1"/>
      <c r="M457" s="1"/>
      <c r="N457" s="1"/>
      <c r="O457" s="1"/>
      <c r="P457" s="1"/>
      <c r="Q457" s="1"/>
      <c r="R457" s="1"/>
      <c r="S457" s="1"/>
      <c r="T457" s="1"/>
      <c r="U457" s="1"/>
      <c r="V457" s="1"/>
      <c r="W457" s="1"/>
      <c r="X457" s="1"/>
    </row>
    <row r="458" spans="1:24" ht="15.75" customHeight="1" x14ac:dyDescent="0.3">
      <c r="A458" s="1"/>
      <c r="B458" s="1"/>
      <c r="C458" s="2"/>
      <c r="D458" s="1"/>
      <c r="E458" s="1"/>
      <c r="F458" s="3"/>
      <c r="G458" s="1"/>
      <c r="H458" s="1"/>
      <c r="I458" s="1"/>
      <c r="J458" s="1"/>
      <c r="K458" s="1"/>
      <c r="L458" s="1"/>
      <c r="M458" s="1"/>
      <c r="N458" s="1"/>
      <c r="O458" s="1"/>
      <c r="P458" s="1"/>
      <c r="Q458" s="1"/>
      <c r="R458" s="1"/>
      <c r="S458" s="1"/>
      <c r="T458" s="1"/>
      <c r="U458" s="1"/>
      <c r="V458" s="1"/>
      <c r="W458" s="1"/>
      <c r="X458" s="1"/>
    </row>
    <row r="459" spans="1:24" ht="15.75" customHeight="1" x14ac:dyDescent="0.3">
      <c r="A459" s="1"/>
      <c r="B459" s="1"/>
      <c r="C459" s="2"/>
      <c r="D459" s="1"/>
      <c r="E459" s="1"/>
      <c r="F459" s="3"/>
      <c r="G459" s="1"/>
      <c r="H459" s="1"/>
      <c r="I459" s="1"/>
      <c r="J459" s="1"/>
      <c r="K459" s="1"/>
      <c r="L459" s="1"/>
      <c r="M459" s="1"/>
      <c r="N459" s="1"/>
      <c r="O459" s="1"/>
      <c r="P459" s="1"/>
      <c r="Q459" s="1"/>
      <c r="R459" s="1"/>
      <c r="S459" s="1"/>
      <c r="T459" s="1"/>
      <c r="U459" s="1"/>
      <c r="V459" s="1"/>
      <c r="W459" s="1"/>
      <c r="X459" s="1"/>
    </row>
    <row r="460" spans="1:24" ht="15.75" customHeight="1" x14ac:dyDescent="0.3">
      <c r="A460" s="1"/>
      <c r="B460" s="1"/>
      <c r="C460" s="2"/>
      <c r="D460" s="1"/>
      <c r="E460" s="1"/>
      <c r="F460" s="3"/>
      <c r="G460" s="1"/>
      <c r="H460" s="1"/>
      <c r="I460" s="1"/>
      <c r="J460" s="1"/>
      <c r="K460" s="1"/>
      <c r="L460" s="1"/>
      <c r="M460" s="1"/>
      <c r="N460" s="1"/>
      <c r="O460" s="1"/>
      <c r="P460" s="1"/>
      <c r="Q460" s="1"/>
      <c r="R460" s="1"/>
      <c r="S460" s="1"/>
      <c r="T460" s="1"/>
      <c r="U460" s="1"/>
      <c r="V460" s="1"/>
      <c r="W460" s="1"/>
      <c r="X460" s="1"/>
    </row>
    <row r="461" spans="1:24" ht="15.75" customHeight="1" x14ac:dyDescent="0.3">
      <c r="A461" s="1"/>
      <c r="B461" s="1"/>
      <c r="C461" s="2"/>
      <c r="D461" s="1"/>
      <c r="E461" s="1"/>
      <c r="F461" s="3"/>
      <c r="G461" s="1"/>
      <c r="H461" s="1"/>
      <c r="I461" s="1"/>
      <c r="J461" s="1"/>
      <c r="K461" s="1"/>
      <c r="L461" s="1"/>
      <c r="M461" s="1"/>
      <c r="N461" s="1"/>
      <c r="O461" s="1"/>
      <c r="P461" s="1"/>
      <c r="Q461" s="1"/>
      <c r="R461" s="1"/>
      <c r="S461" s="1"/>
      <c r="T461" s="1"/>
      <c r="U461" s="1"/>
      <c r="V461" s="1"/>
      <c r="W461" s="1"/>
      <c r="X461" s="1"/>
    </row>
    <row r="462" spans="1:24" ht="15.75" customHeight="1" x14ac:dyDescent="0.3">
      <c r="A462" s="1"/>
      <c r="B462" s="1"/>
      <c r="C462" s="2"/>
      <c r="D462" s="1"/>
      <c r="E462" s="1"/>
      <c r="F462" s="3"/>
      <c r="G462" s="1"/>
      <c r="H462" s="1"/>
      <c r="I462" s="1"/>
      <c r="J462" s="1"/>
      <c r="K462" s="1"/>
      <c r="L462" s="1"/>
      <c r="M462" s="1"/>
      <c r="N462" s="1"/>
      <c r="O462" s="1"/>
      <c r="P462" s="1"/>
      <c r="Q462" s="1"/>
      <c r="R462" s="1"/>
      <c r="S462" s="1"/>
      <c r="T462" s="1"/>
      <c r="U462" s="1"/>
      <c r="V462" s="1"/>
      <c r="W462" s="1"/>
      <c r="X462" s="1"/>
    </row>
    <row r="463" spans="1:24" ht="15.75" customHeight="1" x14ac:dyDescent="0.3">
      <c r="A463" s="1"/>
      <c r="B463" s="1"/>
      <c r="C463" s="2"/>
      <c r="D463" s="1"/>
      <c r="E463" s="1"/>
      <c r="F463" s="3"/>
      <c r="G463" s="1"/>
      <c r="H463" s="1"/>
      <c r="I463" s="1"/>
      <c r="J463" s="1"/>
      <c r="K463" s="1"/>
      <c r="L463" s="1"/>
      <c r="M463" s="1"/>
      <c r="N463" s="1"/>
      <c r="O463" s="1"/>
      <c r="P463" s="1"/>
      <c r="Q463" s="1"/>
      <c r="R463" s="1"/>
      <c r="S463" s="1"/>
      <c r="T463" s="1"/>
      <c r="U463" s="1"/>
      <c r="V463" s="1"/>
      <c r="W463" s="1"/>
      <c r="X463" s="1"/>
    </row>
    <row r="464" spans="1:24" ht="15.75" customHeight="1" x14ac:dyDescent="0.3">
      <c r="A464" s="1"/>
      <c r="B464" s="1"/>
      <c r="C464" s="2"/>
      <c r="D464" s="1"/>
      <c r="E464" s="1"/>
      <c r="F464" s="3"/>
      <c r="G464" s="1"/>
      <c r="H464" s="1"/>
      <c r="I464" s="1"/>
      <c r="J464" s="1"/>
      <c r="K464" s="1"/>
      <c r="L464" s="1"/>
      <c r="M464" s="1"/>
      <c r="N464" s="1"/>
      <c r="O464" s="1"/>
      <c r="P464" s="1"/>
      <c r="Q464" s="1"/>
      <c r="R464" s="1"/>
      <c r="S464" s="1"/>
      <c r="T464" s="1"/>
      <c r="U464" s="1"/>
      <c r="V464" s="1"/>
      <c r="W464" s="1"/>
      <c r="X464" s="1"/>
    </row>
    <row r="465" spans="1:24" ht="15.75" customHeight="1" x14ac:dyDescent="0.3">
      <c r="A465" s="1"/>
      <c r="B465" s="1"/>
      <c r="C465" s="2"/>
      <c r="D465" s="1"/>
      <c r="E465" s="1"/>
      <c r="F465" s="3"/>
      <c r="G465" s="1"/>
      <c r="H465" s="1"/>
      <c r="I465" s="1"/>
      <c r="J465" s="1"/>
      <c r="K465" s="1"/>
      <c r="L465" s="1"/>
      <c r="M465" s="1"/>
      <c r="N465" s="1"/>
      <c r="O465" s="1"/>
      <c r="P465" s="1"/>
      <c r="Q465" s="1"/>
      <c r="R465" s="1"/>
      <c r="S465" s="1"/>
      <c r="T465" s="1"/>
      <c r="U465" s="1"/>
      <c r="V465" s="1"/>
      <c r="W465" s="1"/>
      <c r="X465" s="1"/>
    </row>
    <row r="466" spans="1:24" ht="15.75" customHeight="1" x14ac:dyDescent="0.3">
      <c r="A466" s="1"/>
      <c r="B466" s="1"/>
      <c r="C466" s="2"/>
      <c r="D466" s="1"/>
      <c r="E466" s="1"/>
      <c r="F466" s="3"/>
      <c r="G466" s="1"/>
      <c r="H466" s="1"/>
      <c r="I466" s="1"/>
      <c r="J466" s="1"/>
      <c r="K466" s="1"/>
      <c r="L466" s="1"/>
      <c r="M466" s="1"/>
      <c r="N466" s="1"/>
      <c r="O466" s="1"/>
      <c r="P466" s="1"/>
      <c r="Q466" s="1"/>
      <c r="R466" s="1"/>
      <c r="S466" s="1"/>
      <c r="T466" s="1"/>
      <c r="U466" s="1"/>
      <c r="V466" s="1"/>
      <c r="W466" s="1"/>
      <c r="X466" s="1"/>
    </row>
    <row r="467" spans="1:24" ht="15.75" customHeight="1" x14ac:dyDescent="0.3">
      <c r="A467" s="1"/>
      <c r="B467" s="1"/>
      <c r="C467" s="2"/>
      <c r="D467" s="1"/>
      <c r="E467" s="1"/>
      <c r="F467" s="3"/>
      <c r="G467" s="1"/>
      <c r="H467" s="1"/>
      <c r="I467" s="1"/>
      <c r="J467" s="1"/>
      <c r="K467" s="1"/>
      <c r="L467" s="1"/>
      <c r="M467" s="1"/>
      <c r="N467" s="1"/>
      <c r="O467" s="1"/>
      <c r="P467" s="1"/>
      <c r="Q467" s="1"/>
      <c r="R467" s="1"/>
      <c r="S467" s="1"/>
      <c r="T467" s="1"/>
      <c r="U467" s="1"/>
      <c r="V467" s="1"/>
      <c r="W467" s="1"/>
      <c r="X467" s="1"/>
    </row>
    <row r="468" spans="1:24" ht="15.75" customHeight="1" x14ac:dyDescent="0.3">
      <c r="A468" s="1"/>
      <c r="B468" s="1"/>
      <c r="C468" s="2"/>
      <c r="D468" s="1"/>
      <c r="E468" s="1"/>
      <c r="F468" s="3"/>
      <c r="G468" s="1"/>
      <c r="H468" s="1"/>
      <c r="I468" s="1"/>
      <c r="J468" s="1"/>
      <c r="K468" s="1"/>
      <c r="L468" s="1"/>
      <c r="M468" s="1"/>
      <c r="N468" s="1"/>
      <c r="O468" s="1"/>
      <c r="P468" s="1"/>
      <c r="Q468" s="1"/>
      <c r="R468" s="1"/>
      <c r="S468" s="1"/>
      <c r="T468" s="1"/>
      <c r="U468" s="1"/>
      <c r="V468" s="1"/>
      <c r="W468" s="1"/>
      <c r="X468" s="1"/>
    </row>
    <row r="469" spans="1:24" ht="15.75" customHeight="1" x14ac:dyDescent="0.3">
      <c r="A469" s="1"/>
      <c r="B469" s="1"/>
      <c r="C469" s="2"/>
      <c r="D469" s="1"/>
      <c r="E469" s="1"/>
      <c r="F469" s="3"/>
      <c r="G469" s="1"/>
      <c r="H469" s="1"/>
      <c r="I469" s="1"/>
      <c r="J469" s="1"/>
      <c r="K469" s="1"/>
      <c r="L469" s="1"/>
      <c r="M469" s="1"/>
      <c r="N469" s="1"/>
      <c r="O469" s="1"/>
      <c r="P469" s="1"/>
      <c r="Q469" s="1"/>
      <c r="R469" s="1"/>
      <c r="S469" s="1"/>
      <c r="T469" s="1"/>
      <c r="U469" s="1"/>
      <c r="V469" s="1"/>
      <c r="W469" s="1"/>
      <c r="X469" s="1"/>
    </row>
    <row r="470" spans="1:24" ht="15.75" customHeight="1" x14ac:dyDescent="0.3">
      <c r="A470" s="1"/>
      <c r="B470" s="1"/>
      <c r="C470" s="2"/>
      <c r="D470" s="1"/>
      <c r="E470" s="1"/>
      <c r="F470" s="3"/>
      <c r="G470" s="1"/>
      <c r="H470" s="1"/>
      <c r="I470" s="1"/>
      <c r="J470" s="1"/>
      <c r="K470" s="1"/>
      <c r="L470" s="1"/>
      <c r="M470" s="1"/>
      <c r="N470" s="1"/>
      <c r="O470" s="1"/>
      <c r="P470" s="1"/>
      <c r="Q470" s="1"/>
      <c r="R470" s="1"/>
      <c r="S470" s="1"/>
      <c r="T470" s="1"/>
      <c r="U470" s="1"/>
      <c r="V470" s="1"/>
      <c r="W470" s="1"/>
      <c r="X470" s="1"/>
    </row>
    <row r="471" spans="1:24" ht="15.75" customHeight="1" x14ac:dyDescent="0.3">
      <c r="A471" s="1"/>
      <c r="B471" s="1"/>
      <c r="C471" s="2"/>
      <c r="D471" s="1"/>
      <c r="E471" s="1"/>
      <c r="F471" s="3"/>
      <c r="G471" s="1"/>
      <c r="H471" s="1"/>
      <c r="I471" s="1"/>
      <c r="J471" s="1"/>
      <c r="K471" s="1"/>
      <c r="L471" s="1"/>
      <c r="M471" s="1"/>
      <c r="N471" s="1"/>
      <c r="O471" s="1"/>
      <c r="P471" s="1"/>
      <c r="Q471" s="1"/>
      <c r="R471" s="1"/>
      <c r="S471" s="1"/>
      <c r="T471" s="1"/>
      <c r="U471" s="1"/>
      <c r="V471" s="1"/>
      <c r="W471" s="1"/>
      <c r="X471" s="1"/>
    </row>
    <row r="472" spans="1:24" ht="15.75" customHeight="1" x14ac:dyDescent="0.3">
      <c r="A472" s="1"/>
      <c r="B472" s="1"/>
      <c r="C472" s="2"/>
      <c r="D472" s="1"/>
      <c r="E472" s="1"/>
      <c r="F472" s="3"/>
      <c r="G472" s="1"/>
      <c r="H472" s="1"/>
      <c r="I472" s="1"/>
      <c r="J472" s="1"/>
      <c r="K472" s="1"/>
      <c r="L472" s="1"/>
      <c r="M472" s="1"/>
      <c r="N472" s="1"/>
      <c r="O472" s="1"/>
      <c r="P472" s="1"/>
      <c r="Q472" s="1"/>
      <c r="R472" s="1"/>
      <c r="S472" s="1"/>
      <c r="T472" s="1"/>
      <c r="U472" s="1"/>
      <c r="V472" s="1"/>
      <c r="W472" s="1"/>
      <c r="X472" s="1"/>
    </row>
    <row r="473" spans="1:24" ht="15.75" customHeight="1" x14ac:dyDescent="0.3">
      <c r="A473" s="1"/>
      <c r="B473" s="1"/>
      <c r="C473" s="2"/>
      <c r="D473" s="1"/>
      <c r="E473" s="1"/>
      <c r="F473" s="3"/>
      <c r="G473" s="1"/>
      <c r="H473" s="1"/>
      <c r="I473" s="1"/>
      <c r="J473" s="1"/>
      <c r="K473" s="1"/>
      <c r="L473" s="1"/>
      <c r="M473" s="1"/>
      <c r="N473" s="1"/>
      <c r="O473" s="1"/>
      <c r="P473" s="1"/>
      <c r="Q473" s="1"/>
      <c r="R473" s="1"/>
      <c r="S473" s="1"/>
      <c r="T473" s="1"/>
      <c r="U473" s="1"/>
      <c r="V473" s="1"/>
      <c r="W473" s="1"/>
      <c r="X473" s="1"/>
    </row>
    <row r="474" spans="1:24" ht="15.75" customHeight="1" x14ac:dyDescent="0.3">
      <c r="A474" s="1"/>
      <c r="B474" s="1"/>
      <c r="C474" s="2"/>
      <c r="D474" s="1"/>
      <c r="E474" s="1"/>
      <c r="F474" s="3"/>
      <c r="G474" s="1"/>
      <c r="H474" s="1"/>
      <c r="I474" s="1"/>
      <c r="J474" s="1"/>
      <c r="K474" s="1"/>
      <c r="L474" s="1"/>
      <c r="M474" s="1"/>
      <c r="N474" s="1"/>
      <c r="O474" s="1"/>
      <c r="P474" s="1"/>
      <c r="Q474" s="1"/>
      <c r="R474" s="1"/>
      <c r="S474" s="1"/>
      <c r="T474" s="1"/>
      <c r="U474" s="1"/>
      <c r="V474" s="1"/>
      <c r="W474" s="1"/>
      <c r="X474" s="1"/>
    </row>
    <row r="475" spans="1:24" ht="15.75" customHeight="1" x14ac:dyDescent="0.3">
      <c r="A475" s="1"/>
      <c r="B475" s="1"/>
      <c r="C475" s="2"/>
      <c r="D475" s="1"/>
      <c r="E475" s="1"/>
      <c r="F475" s="3"/>
      <c r="G475" s="1"/>
      <c r="H475" s="1"/>
      <c r="I475" s="1"/>
      <c r="J475" s="1"/>
      <c r="K475" s="1"/>
      <c r="L475" s="1"/>
      <c r="M475" s="1"/>
      <c r="N475" s="1"/>
      <c r="O475" s="1"/>
      <c r="P475" s="1"/>
      <c r="Q475" s="1"/>
      <c r="R475" s="1"/>
      <c r="S475" s="1"/>
      <c r="T475" s="1"/>
      <c r="U475" s="1"/>
      <c r="V475" s="1"/>
      <c r="W475" s="1"/>
      <c r="X475" s="1"/>
    </row>
    <row r="476" spans="1:24" ht="15.75" customHeight="1" x14ac:dyDescent="0.3">
      <c r="A476" s="1"/>
      <c r="B476" s="1"/>
      <c r="C476" s="2"/>
      <c r="D476" s="1"/>
      <c r="E476" s="1"/>
      <c r="F476" s="3"/>
      <c r="G476" s="1"/>
      <c r="H476" s="1"/>
      <c r="I476" s="1"/>
      <c r="J476" s="1"/>
      <c r="K476" s="1"/>
      <c r="L476" s="1"/>
      <c r="M476" s="1"/>
      <c r="N476" s="1"/>
      <c r="O476" s="1"/>
      <c r="P476" s="1"/>
      <c r="Q476" s="1"/>
      <c r="R476" s="1"/>
      <c r="S476" s="1"/>
      <c r="T476" s="1"/>
      <c r="U476" s="1"/>
      <c r="V476" s="1"/>
      <c r="W476" s="1"/>
      <c r="X476" s="1"/>
    </row>
    <row r="477" spans="1:24" ht="15.75" customHeight="1" x14ac:dyDescent="0.3">
      <c r="A477" s="1"/>
      <c r="B477" s="1"/>
      <c r="C477" s="2"/>
      <c r="D477" s="1"/>
      <c r="E477" s="1"/>
      <c r="F477" s="3"/>
      <c r="G477" s="1"/>
      <c r="H477" s="1"/>
      <c r="I477" s="1"/>
      <c r="J477" s="1"/>
      <c r="K477" s="1"/>
      <c r="L477" s="1"/>
      <c r="M477" s="1"/>
      <c r="N477" s="1"/>
      <c r="O477" s="1"/>
      <c r="P477" s="1"/>
      <c r="Q477" s="1"/>
      <c r="R477" s="1"/>
      <c r="S477" s="1"/>
      <c r="T477" s="1"/>
      <c r="U477" s="1"/>
      <c r="V477" s="1"/>
      <c r="W477" s="1"/>
      <c r="X477" s="1"/>
    </row>
    <row r="478" spans="1:24" ht="15.75" customHeight="1" x14ac:dyDescent="0.3">
      <c r="A478" s="1"/>
      <c r="B478" s="1"/>
      <c r="C478" s="2"/>
      <c r="D478" s="1"/>
      <c r="E478" s="1"/>
      <c r="F478" s="3"/>
      <c r="G478" s="1"/>
      <c r="H478" s="1"/>
      <c r="I478" s="1"/>
      <c r="J478" s="1"/>
      <c r="K478" s="1"/>
      <c r="L478" s="1"/>
      <c r="M478" s="1"/>
      <c r="N478" s="1"/>
      <c r="O478" s="1"/>
      <c r="P478" s="1"/>
      <c r="Q478" s="1"/>
      <c r="R478" s="1"/>
      <c r="S478" s="1"/>
      <c r="T478" s="1"/>
      <c r="U478" s="1"/>
      <c r="V478" s="1"/>
      <c r="W478" s="1"/>
      <c r="X478" s="1"/>
    </row>
    <row r="479" spans="1:24" ht="15.75" customHeight="1" x14ac:dyDescent="0.3">
      <c r="A479" s="1"/>
      <c r="B479" s="1"/>
      <c r="C479" s="2"/>
      <c r="D479" s="1"/>
      <c r="E479" s="1"/>
      <c r="F479" s="3"/>
      <c r="G479" s="1"/>
      <c r="H479" s="1"/>
      <c r="I479" s="1"/>
      <c r="J479" s="1"/>
      <c r="K479" s="1"/>
      <c r="L479" s="1"/>
      <c r="M479" s="1"/>
      <c r="N479" s="1"/>
      <c r="O479" s="1"/>
      <c r="P479" s="1"/>
      <c r="Q479" s="1"/>
      <c r="R479" s="1"/>
      <c r="S479" s="1"/>
      <c r="T479" s="1"/>
      <c r="U479" s="1"/>
      <c r="V479" s="1"/>
      <c r="W479" s="1"/>
      <c r="X479" s="1"/>
    </row>
    <row r="480" spans="1:24" ht="15.75" customHeight="1" x14ac:dyDescent="0.3">
      <c r="A480" s="1"/>
      <c r="B480" s="1"/>
      <c r="C480" s="2"/>
      <c r="D480" s="1"/>
      <c r="E480" s="1"/>
      <c r="F480" s="3"/>
      <c r="G480" s="1"/>
      <c r="H480" s="1"/>
      <c r="I480" s="1"/>
      <c r="J480" s="1"/>
      <c r="K480" s="1"/>
      <c r="L480" s="1"/>
      <c r="M480" s="1"/>
      <c r="N480" s="1"/>
      <c r="O480" s="1"/>
      <c r="P480" s="1"/>
      <c r="Q480" s="1"/>
      <c r="R480" s="1"/>
      <c r="S480" s="1"/>
      <c r="T480" s="1"/>
      <c r="U480" s="1"/>
      <c r="V480" s="1"/>
      <c r="W480" s="1"/>
      <c r="X480" s="1"/>
    </row>
    <row r="481" spans="1:24" ht="15.75" customHeight="1" x14ac:dyDescent="0.3">
      <c r="A481" s="1"/>
      <c r="B481" s="1"/>
      <c r="C481" s="2"/>
      <c r="D481" s="1"/>
      <c r="E481" s="1"/>
      <c r="F481" s="3"/>
      <c r="G481" s="1"/>
      <c r="H481" s="1"/>
      <c r="I481" s="1"/>
      <c r="J481" s="1"/>
      <c r="K481" s="1"/>
      <c r="L481" s="1"/>
      <c r="M481" s="1"/>
      <c r="N481" s="1"/>
      <c r="O481" s="1"/>
      <c r="P481" s="1"/>
      <c r="Q481" s="1"/>
      <c r="R481" s="1"/>
      <c r="S481" s="1"/>
      <c r="T481" s="1"/>
      <c r="U481" s="1"/>
      <c r="V481" s="1"/>
      <c r="W481" s="1"/>
      <c r="X481" s="1"/>
    </row>
    <row r="482" spans="1:24" ht="15.75" customHeight="1" x14ac:dyDescent="0.3">
      <c r="A482" s="1"/>
      <c r="B482" s="1"/>
      <c r="C482" s="2"/>
      <c r="D482" s="1"/>
      <c r="E482" s="1"/>
      <c r="F482" s="3"/>
      <c r="G482" s="1"/>
      <c r="H482" s="1"/>
      <c r="I482" s="1"/>
      <c r="J482" s="1"/>
      <c r="K482" s="1"/>
      <c r="L482" s="1"/>
      <c r="M482" s="1"/>
      <c r="N482" s="1"/>
      <c r="O482" s="1"/>
      <c r="P482" s="1"/>
      <c r="Q482" s="1"/>
      <c r="R482" s="1"/>
      <c r="S482" s="1"/>
      <c r="T482" s="1"/>
      <c r="U482" s="1"/>
      <c r="V482" s="1"/>
      <c r="W482" s="1"/>
      <c r="X482" s="1"/>
    </row>
    <row r="483" spans="1:24" ht="15.75" customHeight="1" x14ac:dyDescent="0.3">
      <c r="A483" s="1"/>
      <c r="B483" s="1"/>
      <c r="C483" s="2"/>
      <c r="D483" s="1"/>
      <c r="E483" s="1"/>
      <c r="F483" s="3"/>
      <c r="G483" s="1"/>
      <c r="H483" s="1"/>
      <c r="I483" s="1"/>
      <c r="J483" s="1"/>
      <c r="K483" s="1"/>
      <c r="L483" s="1"/>
      <c r="M483" s="1"/>
      <c r="N483" s="1"/>
      <c r="O483" s="1"/>
      <c r="P483" s="1"/>
      <c r="Q483" s="1"/>
      <c r="R483" s="1"/>
      <c r="S483" s="1"/>
      <c r="T483" s="1"/>
      <c r="U483" s="1"/>
      <c r="V483" s="1"/>
      <c r="W483" s="1"/>
      <c r="X483" s="1"/>
    </row>
    <row r="484" spans="1:24" ht="15.75" customHeight="1" x14ac:dyDescent="0.3">
      <c r="A484" s="1"/>
      <c r="B484" s="1"/>
      <c r="C484" s="2"/>
      <c r="D484" s="1"/>
      <c r="E484" s="1"/>
      <c r="F484" s="3"/>
      <c r="G484" s="1"/>
      <c r="H484" s="1"/>
      <c r="I484" s="1"/>
      <c r="J484" s="1"/>
      <c r="K484" s="1"/>
      <c r="L484" s="1"/>
      <c r="M484" s="1"/>
      <c r="N484" s="1"/>
      <c r="O484" s="1"/>
      <c r="P484" s="1"/>
      <c r="Q484" s="1"/>
      <c r="R484" s="1"/>
      <c r="S484" s="1"/>
      <c r="T484" s="1"/>
      <c r="U484" s="1"/>
      <c r="V484" s="1"/>
      <c r="W484" s="1"/>
      <c r="X484" s="1"/>
    </row>
    <row r="485" spans="1:24" ht="15.75" customHeight="1" x14ac:dyDescent="0.3">
      <c r="A485" s="1"/>
      <c r="B485" s="1"/>
      <c r="C485" s="2"/>
      <c r="D485" s="1"/>
      <c r="E485" s="1"/>
      <c r="F485" s="3"/>
      <c r="G485" s="1"/>
      <c r="H485" s="1"/>
      <c r="I485" s="1"/>
      <c r="J485" s="1"/>
      <c r="K485" s="1"/>
      <c r="L485" s="1"/>
      <c r="M485" s="1"/>
      <c r="N485" s="1"/>
      <c r="O485" s="1"/>
      <c r="P485" s="1"/>
      <c r="Q485" s="1"/>
      <c r="R485" s="1"/>
      <c r="S485" s="1"/>
      <c r="T485" s="1"/>
      <c r="U485" s="1"/>
      <c r="V485" s="1"/>
      <c r="W485" s="1"/>
      <c r="X485" s="1"/>
    </row>
    <row r="486" spans="1:24" ht="15.75" customHeight="1" x14ac:dyDescent="0.3">
      <c r="A486" s="1"/>
      <c r="B486" s="1"/>
      <c r="C486" s="2"/>
      <c r="D486" s="1"/>
      <c r="E486" s="1"/>
      <c r="F486" s="3"/>
      <c r="G486" s="1"/>
      <c r="H486" s="1"/>
      <c r="I486" s="1"/>
      <c r="J486" s="1"/>
      <c r="K486" s="1"/>
      <c r="L486" s="1"/>
      <c r="M486" s="1"/>
      <c r="N486" s="1"/>
      <c r="O486" s="1"/>
      <c r="P486" s="1"/>
      <c r="Q486" s="1"/>
      <c r="R486" s="1"/>
      <c r="S486" s="1"/>
      <c r="T486" s="1"/>
      <c r="U486" s="1"/>
      <c r="V486" s="1"/>
      <c r="W486" s="1"/>
      <c r="X486" s="1"/>
    </row>
    <row r="487" spans="1:24" ht="15.75" customHeight="1" x14ac:dyDescent="0.3">
      <c r="A487" s="1"/>
      <c r="B487" s="1"/>
      <c r="C487" s="2"/>
      <c r="D487" s="1"/>
      <c r="E487" s="1"/>
      <c r="F487" s="3"/>
      <c r="G487" s="1"/>
      <c r="H487" s="1"/>
      <c r="I487" s="1"/>
      <c r="J487" s="1"/>
      <c r="K487" s="1"/>
      <c r="L487" s="1"/>
      <c r="M487" s="1"/>
      <c r="N487" s="1"/>
      <c r="O487" s="1"/>
      <c r="P487" s="1"/>
      <c r="Q487" s="1"/>
      <c r="R487" s="1"/>
      <c r="S487" s="1"/>
      <c r="T487" s="1"/>
      <c r="U487" s="1"/>
      <c r="V487" s="1"/>
      <c r="W487" s="1"/>
      <c r="X487" s="1"/>
    </row>
    <row r="488" spans="1:24" ht="15.75" customHeight="1" x14ac:dyDescent="0.3">
      <c r="A488" s="1"/>
      <c r="B488" s="1"/>
      <c r="C488" s="2"/>
      <c r="D488" s="1"/>
      <c r="E488" s="1"/>
      <c r="F488" s="3"/>
      <c r="G488" s="1"/>
      <c r="H488" s="1"/>
      <c r="I488" s="1"/>
      <c r="J488" s="1"/>
      <c r="K488" s="1"/>
      <c r="L488" s="1"/>
      <c r="M488" s="1"/>
      <c r="N488" s="1"/>
      <c r="O488" s="1"/>
      <c r="P488" s="1"/>
      <c r="Q488" s="1"/>
      <c r="R488" s="1"/>
      <c r="S488" s="1"/>
      <c r="T488" s="1"/>
      <c r="U488" s="1"/>
      <c r="V488" s="1"/>
      <c r="W488" s="1"/>
      <c r="X488" s="1"/>
    </row>
    <row r="489" spans="1:24" ht="15.75" customHeight="1" x14ac:dyDescent="0.3">
      <c r="A489" s="1"/>
      <c r="B489" s="1"/>
      <c r="C489" s="2"/>
      <c r="D489" s="1"/>
      <c r="E489" s="1"/>
      <c r="F489" s="3"/>
      <c r="G489" s="1"/>
      <c r="H489" s="1"/>
      <c r="I489" s="1"/>
      <c r="J489" s="1"/>
      <c r="K489" s="1"/>
      <c r="L489" s="1"/>
      <c r="M489" s="1"/>
      <c r="N489" s="1"/>
      <c r="O489" s="1"/>
      <c r="P489" s="1"/>
      <c r="Q489" s="1"/>
      <c r="R489" s="1"/>
      <c r="S489" s="1"/>
      <c r="T489" s="1"/>
      <c r="U489" s="1"/>
      <c r="V489" s="1"/>
      <c r="W489" s="1"/>
      <c r="X489" s="1"/>
    </row>
    <row r="490" spans="1:24" ht="15.75" customHeight="1" x14ac:dyDescent="0.3">
      <c r="A490" s="1"/>
      <c r="B490" s="1"/>
      <c r="C490" s="2"/>
      <c r="D490" s="1"/>
      <c r="E490" s="1"/>
      <c r="F490" s="3"/>
      <c r="G490" s="1"/>
      <c r="H490" s="1"/>
      <c r="I490" s="1"/>
      <c r="J490" s="1"/>
      <c r="K490" s="1"/>
      <c r="L490" s="1"/>
      <c r="M490" s="1"/>
      <c r="N490" s="1"/>
      <c r="O490" s="1"/>
      <c r="P490" s="1"/>
      <c r="Q490" s="1"/>
      <c r="R490" s="1"/>
      <c r="S490" s="1"/>
      <c r="T490" s="1"/>
      <c r="U490" s="1"/>
      <c r="V490" s="1"/>
      <c r="W490" s="1"/>
      <c r="X490" s="1"/>
    </row>
    <row r="491" spans="1:24" ht="15.75" customHeight="1" x14ac:dyDescent="0.3">
      <c r="A491" s="1"/>
      <c r="B491" s="1"/>
      <c r="C491" s="2"/>
      <c r="D491" s="1"/>
      <c r="E491" s="1"/>
      <c r="F491" s="3"/>
      <c r="G491" s="1"/>
      <c r="H491" s="1"/>
      <c r="I491" s="1"/>
      <c r="J491" s="1"/>
      <c r="K491" s="1"/>
      <c r="L491" s="1"/>
      <c r="M491" s="1"/>
      <c r="N491" s="1"/>
      <c r="O491" s="1"/>
      <c r="P491" s="1"/>
      <c r="Q491" s="1"/>
      <c r="R491" s="1"/>
      <c r="S491" s="1"/>
      <c r="T491" s="1"/>
      <c r="U491" s="1"/>
      <c r="V491" s="1"/>
      <c r="W491" s="1"/>
      <c r="X491" s="1"/>
    </row>
    <row r="492" spans="1:24" ht="15.75" customHeight="1" x14ac:dyDescent="0.3">
      <c r="A492" s="1"/>
      <c r="B492" s="1"/>
      <c r="C492" s="2"/>
      <c r="D492" s="1"/>
      <c r="E492" s="1"/>
      <c r="F492" s="3"/>
      <c r="G492" s="1"/>
      <c r="H492" s="1"/>
      <c r="I492" s="1"/>
      <c r="J492" s="1"/>
      <c r="K492" s="1"/>
      <c r="L492" s="1"/>
      <c r="M492" s="1"/>
      <c r="N492" s="1"/>
      <c r="O492" s="1"/>
      <c r="P492" s="1"/>
      <c r="Q492" s="1"/>
      <c r="R492" s="1"/>
      <c r="S492" s="1"/>
      <c r="T492" s="1"/>
      <c r="U492" s="1"/>
      <c r="V492" s="1"/>
      <c r="W492" s="1"/>
      <c r="X492" s="1"/>
    </row>
    <row r="493" spans="1:24" ht="15.75" customHeight="1" x14ac:dyDescent="0.3">
      <c r="A493" s="1"/>
      <c r="B493" s="1"/>
      <c r="C493" s="2"/>
      <c r="D493" s="1"/>
      <c r="E493" s="1"/>
      <c r="F493" s="3"/>
      <c r="G493" s="1"/>
      <c r="H493" s="1"/>
      <c r="I493" s="1"/>
      <c r="J493" s="1"/>
      <c r="K493" s="1"/>
      <c r="L493" s="1"/>
      <c r="M493" s="1"/>
      <c r="N493" s="1"/>
      <c r="O493" s="1"/>
      <c r="P493" s="1"/>
      <c r="Q493" s="1"/>
      <c r="R493" s="1"/>
      <c r="S493" s="1"/>
      <c r="T493" s="1"/>
      <c r="U493" s="1"/>
      <c r="V493" s="1"/>
      <c r="W493" s="1"/>
      <c r="X493" s="1"/>
    </row>
    <row r="494" spans="1:24" ht="15.75" customHeight="1" x14ac:dyDescent="0.3">
      <c r="A494" s="1"/>
      <c r="B494" s="1"/>
      <c r="C494" s="2"/>
      <c r="D494" s="1"/>
      <c r="E494" s="1"/>
      <c r="F494" s="3"/>
      <c r="G494" s="1"/>
      <c r="H494" s="1"/>
      <c r="I494" s="1"/>
      <c r="J494" s="1"/>
      <c r="K494" s="1"/>
      <c r="L494" s="1"/>
      <c r="M494" s="1"/>
      <c r="N494" s="1"/>
      <c r="O494" s="1"/>
      <c r="P494" s="1"/>
      <c r="Q494" s="1"/>
      <c r="R494" s="1"/>
      <c r="S494" s="1"/>
      <c r="T494" s="1"/>
      <c r="U494" s="1"/>
      <c r="V494" s="1"/>
      <c r="W494" s="1"/>
      <c r="X494" s="1"/>
    </row>
    <row r="495" spans="1:24" ht="15.75" customHeight="1" x14ac:dyDescent="0.3">
      <c r="A495" s="1"/>
      <c r="B495" s="1"/>
      <c r="C495" s="2"/>
      <c r="D495" s="1"/>
      <c r="E495" s="1"/>
      <c r="F495" s="3"/>
      <c r="G495" s="1"/>
      <c r="H495" s="1"/>
      <c r="I495" s="1"/>
      <c r="J495" s="1"/>
      <c r="K495" s="1"/>
      <c r="L495" s="1"/>
      <c r="M495" s="1"/>
      <c r="N495" s="1"/>
      <c r="O495" s="1"/>
      <c r="P495" s="1"/>
      <c r="Q495" s="1"/>
      <c r="R495" s="1"/>
      <c r="S495" s="1"/>
      <c r="T495" s="1"/>
      <c r="U495" s="1"/>
      <c r="V495" s="1"/>
      <c r="W495" s="1"/>
      <c r="X495" s="1"/>
    </row>
    <row r="496" spans="1:24" ht="15.75" customHeight="1" x14ac:dyDescent="0.3">
      <c r="A496" s="1"/>
      <c r="B496" s="1"/>
      <c r="C496" s="2"/>
      <c r="D496" s="1"/>
      <c r="E496" s="1"/>
      <c r="F496" s="3"/>
      <c r="G496" s="1"/>
      <c r="H496" s="1"/>
      <c r="I496" s="1"/>
      <c r="J496" s="1"/>
      <c r="K496" s="1"/>
      <c r="L496" s="1"/>
      <c r="M496" s="1"/>
      <c r="N496" s="1"/>
      <c r="O496" s="1"/>
      <c r="P496" s="1"/>
      <c r="Q496" s="1"/>
      <c r="R496" s="1"/>
      <c r="S496" s="1"/>
      <c r="T496" s="1"/>
      <c r="U496" s="1"/>
      <c r="V496" s="1"/>
      <c r="W496" s="1"/>
      <c r="X496" s="1"/>
    </row>
    <row r="497" spans="1:24" ht="15.75" customHeight="1" x14ac:dyDescent="0.3">
      <c r="A497" s="1"/>
      <c r="B497" s="1"/>
      <c r="C497" s="2"/>
      <c r="D497" s="1"/>
      <c r="E497" s="1"/>
      <c r="F497" s="3"/>
      <c r="G497" s="1"/>
      <c r="H497" s="1"/>
      <c r="I497" s="1"/>
      <c r="J497" s="1"/>
      <c r="K497" s="1"/>
      <c r="L497" s="1"/>
      <c r="M497" s="1"/>
      <c r="N497" s="1"/>
      <c r="O497" s="1"/>
      <c r="P497" s="1"/>
      <c r="Q497" s="1"/>
      <c r="R497" s="1"/>
      <c r="S497" s="1"/>
      <c r="T497" s="1"/>
      <c r="U497" s="1"/>
      <c r="V497" s="1"/>
      <c r="W497" s="1"/>
      <c r="X497" s="1"/>
    </row>
    <row r="498" spans="1:24" ht="15.75" customHeight="1" x14ac:dyDescent="0.3">
      <c r="A498" s="1"/>
      <c r="B498" s="1"/>
      <c r="C498" s="2"/>
      <c r="D498" s="1"/>
      <c r="E498" s="1"/>
      <c r="F498" s="3"/>
      <c r="G498" s="1"/>
      <c r="H498" s="1"/>
      <c r="I498" s="1"/>
      <c r="J498" s="1"/>
      <c r="K498" s="1"/>
      <c r="L498" s="1"/>
      <c r="M498" s="1"/>
      <c r="N498" s="1"/>
      <c r="O498" s="1"/>
      <c r="P498" s="1"/>
      <c r="Q498" s="1"/>
      <c r="R498" s="1"/>
      <c r="S498" s="1"/>
      <c r="T498" s="1"/>
      <c r="U498" s="1"/>
      <c r="V498" s="1"/>
      <c r="W498" s="1"/>
      <c r="X498" s="1"/>
    </row>
    <row r="499" spans="1:24" ht="15.75" customHeight="1" x14ac:dyDescent="0.3">
      <c r="A499" s="1"/>
      <c r="B499" s="1"/>
      <c r="C499" s="2"/>
      <c r="D499" s="1"/>
      <c r="E499" s="1"/>
      <c r="F499" s="3"/>
      <c r="G499" s="1"/>
      <c r="H499" s="1"/>
      <c r="I499" s="1"/>
      <c r="J499" s="1"/>
      <c r="K499" s="1"/>
      <c r="L499" s="1"/>
      <c r="M499" s="1"/>
      <c r="N499" s="1"/>
      <c r="O499" s="1"/>
      <c r="P499" s="1"/>
      <c r="Q499" s="1"/>
      <c r="R499" s="1"/>
      <c r="S499" s="1"/>
      <c r="T499" s="1"/>
      <c r="U499" s="1"/>
      <c r="V499" s="1"/>
      <c r="W499" s="1"/>
      <c r="X499" s="1"/>
    </row>
    <row r="500" spans="1:24" ht="15.75" customHeight="1" x14ac:dyDescent="0.3">
      <c r="A500" s="1"/>
      <c r="B500" s="1"/>
      <c r="C500" s="2"/>
      <c r="D500" s="1"/>
      <c r="E500" s="1"/>
      <c r="F500" s="3"/>
      <c r="G500" s="1"/>
      <c r="H500" s="1"/>
      <c r="I500" s="1"/>
      <c r="J500" s="1"/>
      <c r="K500" s="1"/>
      <c r="L500" s="1"/>
      <c r="M500" s="1"/>
      <c r="N500" s="1"/>
      <c r="O500" s="1"/>
      <c r="P500" s="1"/>
      <c r="Q500" s="1"/>
      <c r="R500" s="1"/>
      <c r="S500" s="1"/>
      <c r="T500" s="1"/>
      <c r="U500" s="1"/>
      <c r="V500" s="1"/>
      <c r="W500" s="1"/>
      <c r="X500" s="1"/>
    </row>
    <row r="501" spans="1:24" ht="15.75" customHeight="1" x14ac:dyDescent="0.3">
      <c r="A501" s="1"/>
      <c r="B501" s="1"/>
      <c r="C501" s="2"/>
      <c r="D501" s="1"/>
      <c r="E501" s="1"/>
      <c r="F501" s="3"/>
      <c r="G501" s="1"/>
      <c r="H501" s="1"/>
      <c r="I501" s="1"/>
      <c r="J501" s="1"/>
      <c r="K501" s="1"/>
      <c r="L501" s="1"/>
      <c r="M501" s="1"/>
      <c r="N501" s="1"/>
      <c r="O501" s="1"/>
      <c r="P501" s="1"/>
      <c r="Q501" s="1"/>
      <c r="R501" s="1"/>
      <c r="S501" s="1"/>
      <c r="T501" s="1"/>
      <c r="U501" s="1"/>
      <c r="V501" s="1"/>
      <c r="W501" s="1"/>
      <c r="X501" s="1"/>
    </row>
    <row r="502" spans="1:24" ht="15.75" customHeight="1" x14ac:dyDescent="0.3">
      <c r="A502" s="1"/>
      <c r="B502" s="1"/>
      <c r="C502" s="2"/>
      <c r="D502" s="1"/>
      <c r="E502" s="1"/>
      <c r="F502" s="3"/>
      <c r="G502" s="1"/>
      <c r="H502" s="1"/>
      <c r="I502" s="1"/>
      <c r="J502" s="1"/>
      <c r="K502" s="1"/>
      <c r="L502" s="1"/>
      <c r="M502" s="1"/>
      <c r="N502" s="1"/>
      <c r="O502" s="1"/>
      <c r="P502" s="1"/>
      <c r="Q502" s="1"/>
      <c r="R502" s="1"/>
      <c r="S502" s="1"/>
      <c r="T502" s="1"/>
      <c r="U502" s="1"/>
      <c r="V502" s="1"/>
      <c r="W502" s="1"/>
      <c r="X502" s="1"/>
    </row>
    <row r="503" spans="1:24" ht="15.75" customHeight="1" x14ac:dyDescent="0.3">
      <c r="A503" s="1"/>
      <c r="B503" s="1"/>
      <c r="C503" s="2"/>
      <c r="D503" s="1"/>
      <c r="E503" s="1"/>
      <c r="F503" s="3"/>
      <c r="G503" s="1"/>
      <c r="H503" s="1"/>
      <c r="I503" s="1"/>
      <c r="J503" s="1"/>
      <c r="K503" s="1"/>
      <c r="L503" s="1"/>
      <c r="M503" s="1"/>
      <c r="N503" s="1"/>
      <c r="O503" s="1"/>
      <c r="P503" s="1"/>
      <c r="Q503" s="1"/>
      <c r="R503" s="1"/>
      <c r="S503" s="1"/>
      <c r="T503" s="1"/>
      <c r="U503" s="1"/>
      <c r="V503" s="1"/>
      <c r="W503" s="1"/>
      <c r="X503" s="1"/>
    </row>
    <row r="504" spans="1:24" ht="15.75" customHeight="1" x14ac:dyDescent="0.3">
      <c r="A504" s="1"/>
      <c r="B504" s="1"/>
      <c r="C504" s="2"/>
      <c r="D504" s="1"/>
      <c r="E504" s="1"/>
      <c r="F504" s="3"/>
      <c r="G504" s="1"/>
      <c r="H504" s="1"/>
      <c r="I504" s="1"/>
      <c r="J504" s="1"/>
      <c r="K504" s="1"/>
      <c r="L504" s="1"/>
      <c r="M504" s="1"/>
      <c r="N504" s="1"/>
      <c r="O504" s="1"/>
      <c r="P504" s="1"/>
      <c r="Q504" s="1"/>
      <c r="R504" s="1"/>
      <c r="S504" s="1"/>
      <c r="T504" s="1"/>
      <c r="U504" s="1"/>
      <c r="V504" s="1"/>
      <c r="W504" s="1"/>
      <c r="X504" s="1"/>
    </row>
    <row r="505" spans="1:24" ht="15.75" customHeight="1" x14ac:dyDescent="0.3">
      <c r="A505" s="1"/>
      <c r="B505" s="1"/>
      <c r="C505" s="2"/>
      <c r="D505" s="1"/>
      <c r="E505" s="1"/>
      <c r="F505" s="3"/>
      <c r="G505" s="1"/>
      <c r="H505" s="1"/>
      <c r="I505" s="1"/>
      <c r="J505" s="1"/>
      <c r="K505" s="1"/>
      <c r="L505" s="1"/>
      <c r="M505" s="1"/>
      <c r="N505" s="1"/>
      <c r="O505" s="1"/>
      <c r="P505" s="1"/>
      <c r="Q505" s="1"/>
      <c r="R505" s="1"/>
      <c r="S505" s="1"/>
      <c r="T505" s="1"/>
      <c r="U505" s="1"/>
      <c r="V505" s="1"/>
      <c r="W505" s="1"/>
      <c r="X505" s="1"/>
    </row>
    <row r="506" spans="1:24" ht="15.75" customHeight="1" x14ac:dyDescent="0.3">
      <c r="A506" s="1"/>
      <c r="B506" s="1"/>
      <c r="C506" s="2"/>
      <c r="D506" s="1"/>
      <c r="E506" s="1"/>
      <c r="F506" s="3"/>
      <c r="G506" s="1"/>
      <c r="H506" s="1"/>
      <c r="I506" s="1"/>
      <c r="J506" s="1"/>
      <c r="K506" s="1"/>
      <c r="L506" s="1"/>
      <c r="M506" s="1"/>
      <c r="N506" s="1"/>
      <c r="O506" s="1"/>
      <c r="P506" s="1"/>
      <c r="Q506" s="1"/>
      <c r="R506" s="1"/>
      <c r="S506" s="1"/>
      <c r="T506" s="1"/>
      <c r="U506" s="1"/>
      <c r="V506" s="1"/>
      <c r="W506" s="1"/>
      <c r="X506" s="1"/>
    </row>
    <row r="507" spans="1:24" ht="15.75" customHeight="1" x14ac:dyDescent="0.3">
      <c r="A507" s="1"/>
      <c r="B507" s="1"/>
      <c r="C507" s="2"/>
      <c r="D507" s="1"/>
      <c r="E507" s="1"/>
      <c r="F507" s="3"/>
      <c r="G507" s="1"/>
      <c r="H507" s="1"/>
      <c r="I507" s="1"/>
      <c r="J507" s="1"/>
      <c r="K507" s="1"/>
      <c r="L507" s="1"/>
      <c r="M507" s="1"/>
      <c r="N507" s="1"/>
      <c r="O507" s="1"/>
      <c r="P507" s="1"/>
      <c r="Q507" s="1"/>
      <c r="R507" s="1"/>
      <c r="S507" s="1"/>
      <c r="T507" s="1"/>
      <c r="U507" s="1"/>
      <c r="V507" s="1"/>
      <c r="W507" s="1"/>
      <c r="X507" s="1"/>
    </row>
    <row r="508" spans="1:24" ht="15.75" customHeight="1" x14ac:dyDescent="0.3">
      <c r="A508" s="1"/>
      <c r="B508" s="1"/>
      <c r="C508" s="2"/>
      <c r="D508" s="1"/>
      <c r="E508" s="1"/>
      <c r="F508" s="3"/>
      <c r="G508" s="1"/>
      <c r="H508" s="1"/>
      <c r="I508" s="1"/>
      <c r="J508" s="1"/>
      <c r="K508" s="1"/>
      <c r="L508" s="1"/>
      <c r="M508" s="1"/>
      <c r="N508" s="1"/>
      <c r="O508" s="1"/>
      <c r="P508" s="1"/>
      <c r="Q508" s="1"/>
      <c r="R508" s="1"/>
      <c r="S508" s="1"/>
      <c r="T508" s="1"/>
      <c r="U508" s="1"/>
      <c r="V508" s="1"/>
      <c r="W508" s="1"/>
      <c r="X508" s="1"/>
    </row>
    <row r="509" spans="1:24" ht="15.75" customHeight="1" x14ac:dyDescent="0.3">
      <c r="A509" s="1"/>
      <c r="B509" s="1"/>
      <c r="C509" s="2"/>
      <c r="D509" s="1"/>
      <c r="E509" s="1"/>
      <c r="F509" s="3"/>
      <c r="G509" s="1"/>
      <c r="H509" s="1"/>
      <c r="I509" s="1"/>
      <c r="J509" s="1"/>
      <c r="K509" s="1"/>
      <c r="L509" s="1"/>
      <c r="M509" s="1"/>
      <c r="N509" s="1"/>
      <c r="O509" s="1"/>
      <c r="P509" s="1"/>
      <c r="Q509" s="1"/>
      <c r="R509" s="1"/>
      <c r="S509" s="1"/>
      <c r="T509" s="1"/>
      <c r="U509" s="1"/>
      <c r="V509" s="1"/>
      <c r="W509" s="1"/>
      <c r="X509" s="1"/>
    </row>
    <row r="510" spans="1:24" ht="15.75" customHeight="1" x14ac:dyDescent="0.3">
      <c r="A510" s="1"/>
      <c r="B510" s="1"/>
      <c r="C510" s="2"/>
      <c r="D510" s="1"/>
      <c r="E510" s="1"/>
      <c r="F510" s="3"/>
      <c r="G510" s="1"/>
      <c r="H510" s="1"/>
      <c r="I510" s="1"/>
      <c r="J510" s="1"/>
      <c r="K510" s="1"/>
      <c r="L510" s="1"/>
      <c r="M510" s="1"/>
      <c r="N510" s="1"/>
      <c r="O510" s="1"/>
      <c r="P510" s="1"/>
      <c r="Q510" s="1"/>
      <c r="R510" s="1"/>
      <c r="S510" s="1"/>
      <c r="T510" s="1"/>
      <c r="U510" s="1"/>
      <c r="V510" s="1"/>
      <c r="W510" s="1"/>
      <c r="X510" s="1"/>
    </row>
    <row r="511" spans="1:24" ht="15.75" customHeight="1" x14ac:dyDescent="0.3">
      <c r="A511" s="1"/>
      <c r="B511" s="1"/>
      <c r="C511" s="2"/>
      <c r="D511" s="1"/>
      <c r="E511" s="1"/>
      <c r="F511" s="3"/>
      <c r="G511" s="1"/>
      <c r="H511" s="1"/>
      <c r="I511" s="1"/>
      <c r="J511" s="1"/>
      <c r="K511" s="1"/>
      <c r="L511" s="1"/>
      <c r="M511" s="1"/>
      <c r="N511" s="1"/>
      <c r="O511" s="1"/>
      <c r="P511" s="1"/>
      <c r="Q511" s="1"/>
      <c r="R511" s="1"/>
      <c r="S511" s="1"/>
      <c r="T511" s="1"/>
      <c r="U511" s="1"/>
      <c r="V511" s="1"/>
      <c r="W511" s="1"/>
      <c r="X511" s="1"/>
    </row>
    <row r="512" spans="1:24" ht="15.75" customHeight="1" x14ac:dyDescent="0.3">
      <c r="A512" s="1"/>
      <c r="B512" s="1"/>
      <c r="C512" s="2"/>
      <c r="D512" s="1"/>
      <c r="E512" s="1"/>
      <c r="F512" s="3"/>
      <c r="G512" s="1"/>
      <c r="H512" s="1"/>
      <c r="I512" s="1"/>
      <c r="J512" s="1"/>
      <c r="K512" s="1"/>
      <c r="L512" s="1"/>
      <c r="M512" s="1"/>
      <c r="N512" s="1"/>
      <c r="O512" s="1"/>
      <c r="P512" s="1"/>
      <c r="Q512" s="1"/>
      <c r="R512" s="1"/>
      <c r="S512" s="1"/>
      <c r="T512" s="1"/>
      <c r="U512" s="1"/>
      <c r="V512" s="1"/>
      <c r="W512" s="1"/>
      <c r="X512" s="1"/>
    </row>
    <row r="513" spans="1:24" ht="15.75" customHeight="1" x14ac:dyDescent="0.3">
      <c r="A513" s="1"/>
      <c r="B513" s="1"/>
      <c r="C513" s="2"/>
      <c r="D513" s="1"/>
      <c r="E513" s="1"/>
      <c r="F513" s="3"/>
      <c r="G513" s="1"/>
      <c r="H513" s="1"/>
      <c r="I513" s="1"/>
      <c r="J513" s="1"/>
      <c r="K513" s="1"/>
      <c r="L513" s="1"/>
      <c r="M513" s="1"/>
      <c r="N513" s="1"/>
      <c r="O513" s="1"/>
      <c r="P513" s="1"/>
      <c r="Q513" s="1"/>
      <c r="R513" s="1"/>
      <c r="S513" s="1"/>
      <c r="T513" s="1"/>
      <c r="U513" s="1"/>
      <c r="V513" s="1"/>
      <c r="W513" s="1"/>
      <c r="X513" s="1"/>
    </row>
    <row r="514" spans="1:24" ht="15.75" customHeight="1" x14ac:dyDescent="0.3">
      <c r="A514" s="1"/>
      <c r="B514" s="1"/>
      <c r="C514" s="2"/>
      <c r="D514" s="1"/>
      <c r="E514" s="1"/>
      <c r="F514" s="3"/>
      <c r="G514" s="1"/>
      <c r="H514" s="1"/>
      <c r="I514" s="1"/>
      <c r="J514" s="1"/>
      <c r="K514" s="1"/>
      <c r="L514" s="1"/>
      <c r="M514" s="1"/>
      <c r="N514" s="1"/>
      <c r="O514" s="1"/>
      <c r="P514" s="1"/>
      <c r="Q514" s="1"/>
      <c r="R514" s="1"/>
      <c r="S514" s="1"/>
      <c r="T514" s="1"/>
      <c r="U514" s="1"/>
      <c r="V514" s="1"/>
      <c r="W514" s="1"/>
      <c r="X514" s="1"/>
    </row>
    <row r="515" spans="1:24" ht="15.75" customHeight="1" x14ac:dyDescent="0.3">
      <c r="A515" s="1"/>
      <c r="B515" s="1"/>
      <c r="C515" s="2"/>
      <c r="D515" s="1"/>
      <c r="E515" s="1"/>
      <c r="F515" s="3"/>
      <c r="G515" s="1"/>
      <c r="H515" s="1"/>
      <c r="I515" s="1"/>
      <c r="J515" s="1"/>
      <c r="K515" s="1"/>
      <c r="L515" s="1"/>
      <c r="M515" s="1"/>
      <c r="N515" s="1"/>
      <c r="O515" s="1"/>
      <c r="P515" s="1"/>
      <c r="Q515" s="1"/>
      <c r="R515" s="1"/>
      <c r="S515" s="1"/>
      <c r="T515" s="1"/>
      <c r="U515" s="1"/>
      <c r="V515" s="1"/>
      <c r="W515" s="1"/>
      <c r="X515" s="1"/>
    </row>
    <row r="516" spans="1:24" ht="15.75" customHeight="1" x14ac:dyDescent="0.3">
      <c r="A516" s="1"/>
      <c r="B516" s="1"/>
      <c r="C516" s="2"/>
      <c r="D516" s="1"/>
      <c r="E516" s="1"/>
      <c r="F516" s="3"/>
      <c r="G516" s="1"/>
      <c r="H516" s="1"/>
      <c r="I516" s="1"/>
      <c r="J516" s="1"/>
      <c r="K516" s="1"/>
      <c r="L516" s="1"/>
      <c r="M516" s="1"/>
      <c r="N516" s="1"/>
      <c r="O516" s="1"/>
      <c r="P516" s="1"/>
      <c r="Q516" s="1"/>
      <c r="R516" s="1"/>
      <c r="S516" s="1"/>
      <c r="T516" s="1"/>
      <c r="U516" s="1"/>
      <c r="V516" s="1"/>
      <c r="W516" s="1"/>
      <c r="X516" s="1"/>
    </row>
    <row r="517" spans="1:24" ht="15.75" customHeight="1" x14ac:dyDescent="0.3">
      <c r="A517" s="1"/>
      <c r="B517" s="1"/>
      <c r="C517" s="2"/>
      <c r="D517" s="1"/>
      <c r="E517" s="1"/>
      <c r="F517" s="3"/>
      <c r="G517" s="1"/>
      <c r="H517" s="1"/>
      <c r="I517" s="1"/>
      <c r="J517" s="1"/>
      <c r="K517" s="1"/>
      <c r="L517" s="1"/>
      <c r="M517" s="1"/>
      <c r="N517" s="1"/>
      <c r="O517" s="1"/>
      <c r="P517" s="1"/>
      <c r="Q517" s="1"/>
      <c r="R517" s="1"/>
      <c r="S517" s="1"/>
      <c r="T517" s="1"/>
      <c r="U517" s="1"/>
      <c r="V517" s="1"/>
      <c r="W517" s="1"/>
      <c r="X517" s="1"/>
    </row>
    <row r="518" spans="1:24" ht="15.75" customHeight="1" x14ac:dyDescent="0.3">
      <c r="A518" s="1"/>
      <c r="B518" s="1"/>
      <c r="C518" s="2"/>
      <c r="D518" s="1"/>
      <c r="E518" s="1"/>
      <c r="F518" s="3"/>
      <c r="G518" s="1"/>
      <c r="H518" s="1"/>
      <c r="I518" s="1"/>
      <c r="J518" s="1"/>
      <c r="K518" s="1"/>
      <c r="L518" s="1"/>
      <c r="M518" s="1"/>
      <c r="N518" s="1"/>
      <c r="O518" s="1"/>
      <c r="P518" s="1"/>
      <c r="Q518" s="1"/>
      <c r="R518" s="1"/>
      <c r="S518" s="1"/>
      <c r="T518" s="1"/>
      <c r="U518" s="1"/>
      <c r="V518" s="1"/>
      <c r="W518" s="1"/>
      <c r="X518" s="1"/>
    </row>
    <row r="519" spans="1:24" ht="15.75" customHeight="1" x14ac:dyDescent="0.3">
      <c r="A519" s="1"/>
      <c r="B519" s="1"/>
      <c r="C519" s="2"/>
      <c r="D519" s="1"/>
      <c r="E519" s="1"/>
      <c r="F519" s="3"/>
      <c r="G519" s="1"/>
      <c r="H519" s="1"/>
      <c r="I519" s="1"/>
      <c r="J519" s="1"/>
      <c r="K519" s="1"/>
      <c r="L519" s="1"/>
      <c r="M519" s="1"/>
      <c r="N519" s="1"/>
      <c r="O519" s="1"/>
      <c r="P519" s="1"/>
      <c r="Q519" s="1"/>
      <c r="R519" s="1"/>
      <c r="S519" s="1"/>
      <c r="T519" s="1"/>
      <c r="U519" s="1"/>
      <c r="V519" s="1"/>
      <c r="W519" s="1"/>
      <c r="X519" s="1"/>
    </row>
    <row r="520" spans="1:24" ht="15.75" customHeight="1" x14ac:dyDescent="0.3">
      <c r="A520" s="1"/>
      <c r="B520" s="1"/>
      <c r="C520" s="2"/>
      <c r="D520" s="1"/>
      <c r="E520" s="1"/>
      <c r="F520" s="3"/>
      <c r="G520" s="1"/>
      <c r="H520" s="1"/>
      <c r="I520" s="1"/>
      <c r="J520" s="1"/>
      <c r="K520" s="1"/>
      <c r="L520" s="1"/>
      <c r="M520" s="1"/>
      <c r="N520" s="1"/>
      <c r="O520" s="1"/>
      <c r="P520" s="1"/>
      <c r="Q520" s="1"/>
      <c r="R520" s="1"/>
      <c r="S520" s="1"/>
      <c r="T520" s="1"/>
      <c r="U520" s="1"/>
      <c r="V520" s="1"/>
      <c r="W520" s="1"/>
      <c r="X520" s="1"/>
    </row>
    <row r="521" spans="1:24" ht="15.75" customHeight="1" x14ac:dyDescent="0.3">
      <c r="A521" s="1"/>
      <c r="B521" s="1"/>
      <c r="C521" s="2"/>
      <c r="D521" s="1"/>
      <c r="E521" s="1"/>
      <c r="F521" s="3"/>
      <c r="G521" s="1"/>
      <c r="H521" s="1"/>
      <c r="I521" s="1"/>
      <c r="J521" s="1"/>
      <c r="K521" s="1"/>
      <c r="L521" s="1"/>
      <c r="M521" s="1"/>
      <c r="N521" s="1"/>
      <c r="O521" s="1"/>
      <c r="P521" s="1"/>
      <c r="Q521" s="1"/>
      <c r="R521" s="1"/>
      <c r="S521" s="1"/>
      <c r="T521" s="1"/>
      <c r="U521" s="1"/>
      <c r="V521" s="1"/>
      <c r="W521" s="1"/>
      <c r="X521" s="1"/>
    </row>
    <row r="522" spans="1:24" ht="15.75" customHeight="1" x14ac:dyDescent="0.3">
      <c r="A522" s="1"/>
      <c r="B522" s="1"/>
      <c r="C522" s="2"/>
      <c r="D522" s="1"/>
      <c r="E522" s="1"/>
      <c r="F522" s="3"/>
      <c r="G522" s="1"/>
      <c r="H522" s="1"/>
      <c r="I522" s="1"/>
      <c r="J522" s="1"/>
      <c r="K522" s="1"/>
      <c r="L522" s="1"/>
      <c r="M522" s="1"/>
      <c r="N522" s="1"/>
      <c r="O522" s="1"/>
      <c r="P522" s="1"/>
      <c r="Q522" s="1"/>
      <c r="R522" s="1"/>
      <c r="S522" s="1"/>
      <c r="T522" s="1"/>
      <c r="U522" s="1"/>
      <c r="V522" s="1"/>
      <c r="W522" s="1"/>
      <c r="X522" s="1"/>
    </row>
    <row r="523" spans="1:24" ht="15.75" customHeight="1" x14ac:dyDescent="0.3">
      <c r="A523" s="1"/>
      <c r="B523" s="1"/>
      <c r="C523" s="2"/>
      <c r="D523" s="1"/>
      <c r="E523" s="1"/>
      <c r="F523" s="3"/>
      <c r="G523" s="1"/>
      <c r="H523" s="1"/>
      <c r="I523" s="1"/>
      <c r="J523" s="1"/>
      <c r="K523" s="1"/>
      <c r="L523" s="1"/>
      <c r="M523" s="1"/>
      <c r="N523" s="1"/>
      <c r="O523" s="1"/>
      <c r="P523" s="1"/>
      <c r="Q523" s="1"/>
      <c r="R523" s="1"/>
      <c r="S523" s="1"/>
      <c r="T523" s="1"/>
      <c r="U523" s="1"/>
      <c r="V523" s="1"/>
      <c r="W523" s="1"/>
      <c r="X523" s="1"/>
    </row>
    <row r="524" spans="1:24" ht="15.75" customHeight="1" x14ac:dyDescent="0.3">
      <c r="A524" s="1"/>
      <c r="B524" s="1"/>
      <c r="C524" s="2"/>
      <c r="D524" s="1"/>
      <c r="E524" s="1"/>
      <c r="F524" s="3"/>
      <c r="G524" s="1"/>
      <c r="H524" s="1"/>
      <c r="I524" s="1"/>
      <c r="J524" s="1"/>
      <c r="K524" s="1"/>
      <c r="L524" s="1"/>
      <c r="M524" s="1"/>
      <c r="N524" s="1"/>
      <c r="O524" s="1"/>
      <c r="P524" s="1"/>
      <c r="Q524" s="1"/>
      <c r="R524" s="1"/>
      <c r="S524" s="1"/>
      <c r="T524" s="1"/>
      <c r="U524" s="1"/>
      <c r="V524" s="1"/>
      <c r="W524" s="1"/>
      <c r="X524" s="1"/>
    </row>
    <row r="525" spans="1:24" ht="15.75" customHeight="1" x14ac:dyDescent="0.3">
      <c r="A525" s="1"/>
      <c r="B525" s="1"/>
      <c r="C525" s="2"/>
      <c r="D525" s="1"/>
      <c r="E525" s="1"/>
      <c r="F525" s="3"/>
      <c r="G525" s="1"/>
      <c r="H525" s="1"/>
      <c r="I525" s="1"/>
      <c r="J525" s="1"/>
      <c r="K525" s="1"/>
      <c r="L525" s="1"/>
      <c r="M525" s="1"/>
      <c r="N525" s="1"/>
      <c r="O525" s="1"/>
      <c r="P525" s="1"/>
      <c r="Q525" s="1"/>
      <c r="R525" s="1"/>
      <c r="S525" s="1"/>
      <c r="T525" s="1"/>
      <c r="U525" s="1"/>
      <c r="V525" s="1"/>
      <c r="W525" s="1"/>
      <c r="X525" s="1"/>
    </row>
    <row r="526" spans="1:24" ht="15.75" customHeight="1" x14ac:dyDescent="0.3">
      <c r="A526" s="1"/>
      <c r="B526" s="1"/>
      <c r="C526" s="2"/>
      <c r="D526" s="1"/>
      <c r="E526" s="1"/>
      <c r="F526" s="3"/>
      <c r="G526" s="1"/>
      <c r="H526" s="1"/>
      <c r="I526" s="1"/>
      <c r="J526" s="1"/>
      <c r="K526" s="1"/>
      <c r="L526" s="1"/>
      <c r="M526" s="1"/>
      <c r="N526" s="1"/>
      <c r="O526" s="1"/>
      <c r="P526" s="1"/>
      <c r="Q526" s="1"/>
      <c r="R526" s="1"/>
      <c r="S526" s="1"/>
      <c r="T526" s="1"/>
      <c r="U526" s="1"/>
      <c r="V526" s="1"/>
      <c r="W526" s="1"/>
      <c r="X526" s="1"/>
    </row>
    <row r="527" spans="1:24" ht="15.75" customHeight="1" x14ac:dyDescent="0.3">
      <c r="A527" s="1"/>
      <c r="B527" s="1"/>
      <c r="C527" s="2"/>
      <c r="D527" s="1"/>
      <c r="E527" s="1"/>
      <c r="F527" s="3"/>
      <c r="G527" s="1"/>
      <c r="H527" s="1"/>
      <c r="I527" s="1"/>
      <c r="J527" s="1"/>
      <c r="K527" s="1"/>
      <c r="L527" s="1"/>
      <c r="M527" s="1"/>
      <c r="N527" s="1"/>
      <c r="O527" s="1"/>
      <c r="P527" s="1"/>
      <c r="Q527" s="1"/>
      <c r="R527" s="1"/>
      <c r="S527" s="1"/>
      <c r="T527" s="1"/>
      <c r="U527" s="1"/>
      <c r="V527" s="1"/>
      <c r="W527" s="1"/>
      <c r="X527" s="1"/>
    </row>
    <row r="528" spans="1:24" ht="15.75" customHeight="1" x14ac:dyDescent="0.3">
      <c r="A528" s="1"/>
      <c r="B528" s="1"/>
      <c r="C528" s="2"/>
      <c r="D528" s="1"/>
      <c r="E528" s="1"/>
      <c r="F528" s="3"/>
      <c r="G528" s="1"/>
      <c r="H528" s="1"/>
      <c r="I528" s="1"/>
      <c r="J528" s="1"/>
      <c r="K528" s="1"/>
      <c r="L528" s="1"/>
      <c r="M528" s="1"/>
      <c r="N528" s="1"/>
      <c r="O528" s="1"/>
      <c r="P528" s="1"/>
      <c r="Q528" s="1"/>
      <c r="R528" s="1"/>
      <c r="S528" s="1"/>
      <c r="T528" s="1"/>
      <c r="U528" s="1"/>
      <c r="V528" s="1"/>
      <c r="W528" s="1"/>
      <c r="X528" s="1"/>
    </row>
    <row r="529" spans="1:24" ht="15.75" customHeight="1" x14ac:dyDescent="0.3">
      <c r="A529" s="1"/>
      <c r="B529" s="1"/>
      <c r="C529" s="2"/>
      <c r="D529" s="1"/>
      <c r="E529" s="1"/>
      <c r="F529" s="3"/>
      <c r="G529" s="1"/>
      <c r="H529" s="1"/>
      <c r="I529" s="1"/>
      <c r="J529" s="1"/>
      <c r="K529" s="1"/>
      <c r="L529" s="1"/>
      <c r="M529" s="1"/>
      <c r="N529" s="1"/>
      <c r="O529" s="1"/>
      <c r="P529" s="1"/>
      <c r="Q529" s="1"/>
      <c r="R529" s="1"/>
      <c r="S529" s="1"/>
      <c r="T529" s="1"/>
      <c r="U529" s="1"/>
      <c r="V529" s="1"/>
      <c r="W529" s="1"/>
      <c r="X529" s="1"/>
    </row>
    <row r="530" spans="1:24" ht="15.75" customHeight="1" x14ac:dyDescent="0.3">
      <c r="A530" s="1"/>
      <c r="B530" s="1"/>
      <c r="C530" s="2"/>
      <c r="D530" s="1"/>
      <c r="E530" s="1"/>
      <c r="F530" s="3"/>
      <c r="G530" s="1"/>
      <c r="H530" s="1"/>
      <c r="I530" s="1"/>
      <c r="J530" s="1"/>
      <c r="K530" s="1"/>
      <c r="L530" s="1"/>
      <c r="M530" s="1"/>
      <c r="N530" s="1"/>
      <c r="O530" s="1"/>
      <c r="P530" s="1"/>
      <c r="Q530" s="1"/>
      <c r="R530" s="1"/>
      <c r="S530" s="1"/>
      <c r="T530" s="1"/>
      <c r="U530" s="1"/>
      <c r="V530" s="1"/>
      <c r="W530" s="1"/>
      <c r="X530" s="1"/>
    </row>
    <row r="531" spans="1:24" ht="15.75" customHeight="1" x14ac:dyDescent="0.3">
      <c r="A531" s="1"/>
      <c r="B531" s="1"/>
      <c r="C531" s="2"/>
      <c r="D531" s="1"/>
      <c r="E531" s="1"/>
      <c r="F531" s="3"/>
      <c r="G531" s="1"/>
      <c r="H531" s="1"/>
      <c r="I531" s="1"/>
      <c r="J531" s="1"/>
      <c r="K531" s="1"/>
      <c r="L531" s="1"/>
      <c r="M531" s="1"/>
      <c r="N531" s="1"/>
      <c r="O531" s="1"/>
      <c r="P531" s="1"/>
      <c r="Q531" s="1"/>
      <c r="R531" s="1"/>
      <c r="S531" s="1"/>
      <c r="T531" s="1"/>
      <c r="U531" s="1"/>
      <c r="V531" s="1"/>
      <c r="W531" s="1"/>
      <c r="X531" s="1"/>
    </row>
    <row r="532" spans="1:24" ht="15.75" customHeight="1" x14ac:dyDescent="0.3">
      <c r="A532" s="1"/>
      <c r="B532" s="1"/>
      <c r="C532" s="2"/>
      <c r="D532" s="1"/>
      <c r="E532" s="1"/>
      <c r="F532" s="3"/>
      <c r="G532" s="1"/>
      <c r="H532" s="1"/>
      <c r="I532" s="1"/>
      <c r="J532" s="1"/>
      <c r="K532" s="1"/>
      <c r="L532" s="1"/>
      <c r="M532" s="1"/>
      <c r="N532" s="1"/>
      <c r="O532" s="1"/>
      <c r="P532" s="1"/>
      <c r="Q532" s="1"/>
      <c r="R532" s="1"/>
      <c r="S532" s="1"/>
      <c r="T532" s="1"/>
      <c r="U532" s="1"/>
      <c r="V532" s="1"/>
      <c r="W532" s="1"/>
      <c r="X532" s="1"/>
    </row>
    <row r="533" spans="1:24" ht="15.75" customHeight="1" x14ac:dyDescent="0.3">
      <c r="A533" s="1"/>
      <c r="B533" s="1"/>
      <c r="C533" s="2"/>
      <c r="D533" s="1"/>
      <c r="E533" s="1"/>
      <c r="F533" s="3"/>
      <c r="G533" s="1"/>
      <c r="H533" s="1"/>
      <c r="I533" s="1"/>
      <c r="J533" s="1"/>
      <c r="K533" s="1"/>
      <c r="L533" s="1"/>
      <c r="M533" s="1"/>
      <c r="N533" s="1"/>
      <c r="O533" s="1"/>
      <c r="P533" s="1"/>
      <c r="Q533" s="1"/>
      <c r="R533" s="1"/>
      <c r="S533" s="1"/>
      <c r="T533" s="1"/>
      <c r="U533" s="1"/>
      <c r="V533" s="1"/>
      <c r="W533" s="1"/>
      <c r="X533" s="1"/>
    </row>
    <row r="534" spans="1:24" ht="15.75" customHeight="1" x14ac:dyDescent="0.3">
      <c r="A534" s="1"/>
      <c r="B534" s="1"/>
      <c r="C534" s="2"/>
      <c r="D534" s="1"/>
      <c r="E534" s="1"/>
      <c r="F534" s="3"/>
      <c r="G534" s="1"/>
      <c r="H534" s="1"/>
      <c r="I534" s="1"/>
      <c r="J534" s="1"/>
      <c r="K534" s="1"/>
      <c r="L534" s="1"/>
      <c r="M534" s="1"/>
      <c r="N534" s="1"/>
      <c r="O534" s="1"/>
      <c r="P534" s="1"/>
      <c r="Q534" s="1"/>
      <c r="R534" s="1"/>
      <c r="S534" s="1"/>
      <c r="T534" s="1"/>
      <c r="U534" s="1"/>
      <c r="V534" s="1"/>
      <c r="W534" s="1"/>
      <c r="X534" s="1"/>
    </row>
    <row r="535" spans="1:24" ht="15.75" customHeight="1" x14ac:dyDescent="0.3">
      <c r="A535" s="1"/>
      <c r="B535" s="1"/>
      <c r="C535" s="2"/>
      <c r="D535" s="1"/>
      <c r="E535" s="1"/>
      <c r="F535" s="3"/>
      <c r="G535" s="1"/>
      <c r="H535" s="1"/>
      <c r="I535" s="1"/>
      <c r="J535" s="1"/>
      <c r="K535" s="1"/>
      <c r="L535" s="1"/>
      <c r="M535" s="1"/>
      <c r="N535" s="1"/>
      <c r="O535" s="1"/>
      <c r="P535" s="1"/>
      <c r="Q535" s="1"/>
      <c r="R535" s="1"/>
      <c r="S535" s="1"/>
      <c r="T535" s="1"/>
      <c r="U535" s="1"/>
      <c r="V535" s="1"/>
      <c r="W535" s="1"/>
      <c r="X535" s="1"/>
    </row>
    <row r="536" spans="1:24" ht="15.75" customHeight="1" x14ac:dyDescent="0.3">
      <c r="A536" s="1"/>
      <c r="B536" s="1"/>
      <c r="C536" s="2"/>
      <c r="D536" s="1"/>
      <c r="E536" s="1"/>
      <c r="F536" s="3"/>
      <c r="G536" s="1"/>
      <c r="H536" s="1"/>
      <c r="I536" s="1"/>
      <c r="J536" s="1"/>
      <c r="K536" s="1"/>
      <c r="L536" s="1"/>
      <c r="M536" s="1"/>
      <c r="N536" s="1"/>
      <c r="O536" s="1"/>
      <c r="P536" s="1"/>
      <c r="Q536" s="1"/>
      <c r="R536" s="1"/>
      <c r="S536" s="1"/>
      <c r="T536" s="1"/>
      <c r="U536" s="1"/>
      <c r="V536" s="1"/>
      <c r="W536" s="1"/>
      <c r="X536" s="1"/>
    </row>
    <row r="537" spans="1:24" ht="15.75" customHeight="1" x14ac:dyDescent="0.3">
      <c r="A537" s="1"/>
      <c r="B537" s="1"/>
      <c r="C537" s="2"/>
      <c r="D537" s="1"/>
      <c r="E537" s="1"/>
      <c r="F537" s="3"/>
      <c r="G537" s="1"/>
      <c r="H537" s="1"/>
      <c r="I537" s="1"/>
      <c r="J537" s="1"/>
      <c r="K537" s="1"/>
      <c r="L537" s="1"/>
      <c r="M537" s="1"/>
      <c r="N537" s="1"/>
      <c r="O537" s="1"/>
      <c r="P537" s="1"/>
      <c r="Q537" s="1"/>
      <c r="R537" s="1"/>
      <c r="S537" s="1"/>
      <c r="T537" s="1"/>
      <c r="U537" s="1"/>
      <c r="V537" s="1"/>
      <c r="W537" s="1"/>
      <c r="X537" s="1"/>
    </row>
    <row r="538" spans="1:24" ht="15.75" customHeight="1" x14ac:dyDescent="0.3">
      <c r="A538" s="1"/>
      <c r="B538" s="1"/>
      <c r="C538" s="2"/>
      <c r="D538" s="1"/>
      <c r="E538" s="1"/>
      <c r="F538" s="3"/>
      <c r="G538" s="1"/>
      <c r="H538" s="1"/>
      <c r="I538" s="1"/>
      <c r="J538" s="1"/>
      <c r="K538" s="1"/>
      <c r="L538" s="1"/>
      <c r="M538" s="1"/>
      <c r="N538" s="1"/>
      <c r="O538" s="1"/>
      <c r="P538" s="1"/>
      <c r="Q538" s="1"/>
      <c r="R538" s="1"/>
      <c r="S538" s="1"/>
      <c r="T538" s="1"/>
      <c r="U538" s="1"/>
      <c r="V538" s="1"/>
      <c r="W538" s="1"/>
      <c r="X538" s="1"/>
    </row>
    <row r="539" spans="1:24" ht="15.75" customHeight="1" x14ac:dyDescent="0.3">
      <c r="A539" s="1"/>
      <c r="B539" s="1"/>
      <c r="C539" s="2"/>
      <c r="D539" s="1"/>
      <c r="E539" s="1"/>
      <c r="F539" s="3"/>
      <c r="G539" s="1"/>
      <c r="H539" s="1"/>
      <c r="I539" s="1"/>
      <c r="J539" s="1"/>
      <c r="K539" s="1"/>
      <c r="L539" s="1"/>
      <c r="M539" s="1"/>
      <c r="N539" s="1"/>
      <c r="O539" s="1"/>
      <c r="P539" s="1"/>
      <c r="Q539" s="1"/>
      <c r="R539" s="1"/>
      <c r="S539" s="1"/>
      <c r="T539" s="1"/>
      <c r="U539" s="1"/>
      <c r="V539" s="1"/>
      <c r="W539" s="1"/>
      <c r="X539" s="1"/>
    </row>
    <row r="540" spans="1:24" ht="15.75" customHeight="1" x14ac:dyDescent="0.3">
      <c r="A540" s="1"/>
      <c r="B540" s="1"/>
      <c r="C540" s="2"/>
      <c r="D540" s="1"/>
      <c r="E540" s="1"/>
      <c r="F540" s="3"/>
      <c r="G540" s="1"/>
      <c r="H540" s="1"/>
      <c r="I540" s="1"/>
      <c r="J540" s="1"/>
      <c r="K540" s="1"/>
      <c r="L540" s="1"/>
      <c r="M540" s="1"/>
      <c r="N540" s="1"/>
      <c r="O540" s="1"/>
      <c r="P540" s="1"/>
      <c r="Q540" s="1"/>
      <c r="R540" s="1"/>
      <c r="S540" s="1"/>
      <c r="T540" s="1"/>
      <c r="U540" s="1"/>
      <c r="V540" s="1"/>
      <c r="W540" s="1"/>
      <c r="X540" s="1"/>
    </row>
    <row r="541" spans="1:24" ht="15.75" customHeight="1" x14ac:dyDescent="0.3">
      <c r="A541" s="1"/>
      <c r="B541" s="1"/>
      <c r="C541" s="2"/>
      <c r="D541" s="1"/>
      <c r="E541" s="1"/>
      <c r="F541" s="3"/>
      <c r="G541" s="1"/>
      <c r="H541" s="1"/>
      <c r="I541" s="1"/>
      <c r="J541" s="1"/>
      <c r="K541" s="1"/>
      <c r="L541" s="1"/>
      <c r="M541" s="1"/>
      <c r="N541" s="1"/>
      <c r="O541" s="1"/>
      <c r="P541" s="1"/>
      <c r="Q541" s="1"/>
      <c r="R541" s="1"/>
      <c r="S541" s="1"/>
      <c r="T541" s="1"/>
      <c r="U541" s="1"/>
      <c r="V541" s="1"/>
      <c r="W541" s="1"/>
      <c r="X541" s="1"/>
    </row>
    <row r="542" spans="1:24" ht="15.75" customHeight="1" x14ac:dyDescent="0.3">
      <c r="A542" s="1"/>
      <c r="B542" s="1"/>
      <c r="C542" s="2"/>
      <c r="D542" s="1"/>
      <c r="E542" s="1"/>
      <c r="F542" s="3"/>
      <c r="G542" s="1"/>
      <c r="H542" s="1"/>
      <c r="I542" s="1"/>
      <c r="J542" s="1"/>
      <c r="K542" s="1"/>
      <c r="L542" s="1"/>
      <c r="M542" s="1"/>
      <c r="N542" s="1"/>
      <c r="O542" s="1"/>
      <c r="P542" s="1"/>
      <c r="Q542" s="1"/>
      <c r="R542" s="1"/>
      <c r="S542" s="1"/>
      <c r="T542" s="1"/>
      <c r="U542" s="1"/>
      <c r="V542" s="1"/>
      <c r="W542" s="1"/>
      <c r="X542" s="1"/>
    </row>
    <row r="543" spans="1:24" ht="15.75" customHeight="1" x14ac:dyDescent="0.3">
      <c r="A543" s="1"/>
      <c r="B543" s="1"/>
      <c r="C543" s="2"/>
      <c r="D543" s="1"/>
      <c r="E543" s="1"/>
      <c r="F543" s="3"/>
      <c r="G543" s="1"/>
      <c r="H543" s="1"/>
      <c r="I543" s="1"/>
      <c r="J543" s="1"/>
      <c r="K543" s="1"/>
      <c r="L543" s="1"/>
      <c r="M543" s="1"/>
      <c r="N543" s="1"/>
      <c r="O543" s="1"/>
      <c r="P543" s="1"/>
      <c r="Q543" s="1"/>
      <c r="R543" s="1"/>
      <c r="S543" s="1"/>
      <c r="T543" s="1"/>
      <c r="U543" s="1"/>
      <c r="V543" s="1"/>
      <c r="W543" s="1"/>
      <c r="X543" s="1"/>
    </row>
    <row r="544" spans="1:24" ht="15.75" customHeight="1" x14ac:dyDescent="0.3">
      <c r="A544" s="1"/>
      <c r="B544" s="1"/>
      <c r="C544" s="2"/>
      <c r="D544" s="1"/>
      <c r="E544" s="1"/>
      <c r="F544" s="3"/>
      <c r="G544" s="1"/>
      <c r="H544" s="1"/>
      <c r="I544" s="1"/>
      <c r="J544" s="1"/>
      <c r="K544" s="1"/>
      <c r="L544" s="1"/>
      <c r="M544" s="1"/>
      <c r="N544" s="1"/>
      <c r="O544" s="1"/>
      <c r="P544" s="1"/>
      <c r="Q544" s="1"/>
      <c r="R544" s="1"/>
      <c r="S544" s="1"/>
      <c r="T544" s="1"/>
      <c r="U544" s="1"/>
      <c r="V544" s="1"/>
      <c r="W544" s="1"/>
      <c r="X544" s="1"/>
    </row>
    <row r="545" spans="1:24" ht="15.75" customHeight="1" x14ac:dyDescent="0.3">
      <c r="A545" s="1"/>
      <c r="B545" s="1"/>
      <c r="C545" s="2"/>
      <c r="D545" s="1"/>
      <c r="E545" s="1"/>
      <c r="F545" s="3"/>
      <c r="G545" s="1"/>
      <c r="H545" s="1"/>
      <c r="I545" s="1"/>
      <c r="J545" s="1"/>
      <c r="K545" s="1"/>
      <c r="L545" s="1"/>
      <c r="M545" s="1"/>
      <c r="N545" s="1"/>
      <c r="O545" s="1"/>
      <c r="P545" s="1"/>
      <c r="Q545" s="1"/>
      <c r="R545" s="1"/>
      <c r="S545" s="1"/>
      <c r="T545" s="1"/>
      <c r="U545" s="1"/>
      <c r="V545" s="1"/>
      <c r="W545" s="1"/>
      <c r="X545" s="1"/>
    </row>
    <row r="546" spans="1:24" ht="15.75" customHeight="1" x14ac:dyDescent="0.3">
      <c r="A546" s="1"/>
      <c r="B546" s="1"/>
      <c r="C546" s="2"/>
      <c r="D546" s="1"/>
      <c r="E546" s="1"/>
      <c r="F546" s="3"/>
      <c r="G546" s="1"/>
      <c r="H546" s="1"/>
      <c r="I546" s="1"/>
      <c r="J546" s="1"/>
      <c r="K546" s="1"/>
      <c r="L546" s="1"/>
      <c r="M546" s="1"/>
      <c r="N546" s="1"/>
      <c r="O546" s="1"/>
      <c r="P546" s="1"/>
      <c r="Q546" s="1"/>
      <c r="R546" s="1"/>
      <c r="S546" s="1"/>
      <c r="T546" s="1"/>
      <c r="U546" s="1"/>
      <c r="V546" s="1"/>
      <c r="W546" s="1"/>
      <c r="X546" s="1"/>
    </row>
    <row r="547" spans="1:24" ht="15.75" customHeight="1" x14ac:dyDescent="0.3">
      <c r="A547" s="1"/>
      <c r="B547" s="1"/>
      <c r="C547" s="2"/>
      <c r="D547" s="1"/>
      <c r="E547" s="1"/>
      <c r="F547" s="3"/>
      <c r="G547" s="1"/>
      <c r="H547" s="1"/>
      <c r="I547" s="1"/>
      <c r="J547" s="1"/>
      <c r="K547" s="1"/>
      <c r="L547" s="1"/>
      <c r="M547" s="1"/>
      <c r="N547" s="1"/>
      <c r="O547" s="1"/>
      <c r="P547" s="1"/>
      <c r="Q547" s="1"/>
      <c r="R547" s="1"/>
      <c r="S547" s="1"/>
      <c r="T547" s="1"/>
      <c r="U547" s="1"/>
      <c r="V547" s="1"/>
      <c r="W547" s="1"/>
      <c r="X547" s="1"/>
    </row>
    <row r="548" spans="1:24" ht="15.75" customHeight="1" x14ac:dyDescent="0.3">
      <c r="A548" s="1"/>
      <c r="B548" s="1"/>
      <c r="C548" s="2"/>
      <c r="D548" s="1"/>
      <c r="E548" s="1"/>
      <c r="F548" s="3"/>
      <c r="G548" s="1"/>
      <c r="H548" s="1"/>
      <c r="I548" s="1"/>
      <c r="J548" s="1"/>
      <c r="K548" s="1"/>
      <c r="L548" s="1"/>
      <c r="M548" s="1"/>
      <c r="N548" s="1"/>
      <c r="O548" s="1"/>
      <c r="P548" s="1"/>
      <c r="Q548" s="1"/>
      <c r="R548" s="1"/>
      <c r="S548" s="1"/>
      <c r="T548" s="1"/>
      <c r="U548" s="1"/>
      <c r="V548" s="1"/>
      <c r="W548" s="1"/>
      <c r="X548" s="1"/>
    </row>
    <row r="549" spans="1:24" ht="15.75" customHeight="1" x14ac:dyDescent="0.3">
      <c r="A549" s="1"/>
      <c r="B549" s="1"/>
      <c r="C549" s="2"/>
      <c r="D549" s="1"/>
      <c r="E549" s="1"/>
      <c r="F549" s="3"/>
      <c r="G549" s="1"/>
      <c r="H549" s="1"/>
      <c r="I549" s="1"/>
      <c r="J549" s="1"/>
      <c r="K549" s="1"/>
      <c r="L549" s="1"/>
      <c r="M549" s="1"/>
      <c r="N549" s="1"/>
      <c r="O549" s="1"/>
      <c r="P549" s="1"/>
      <c r="Q549" s="1"/>
      <c r="R549" s="1"/>
      <c r="S549" s="1"/>
      <c r="T549" s="1"/>
      <c r="U549" s="1"/>
      <c r="V549" s="1"/>
      <c r="W549" s="1"/>
      <c r="X549" s="1"/>
    </row>
    <row r="550" spans="1:24" ht="15.75" customHeight="1" x14ac:dyDescent="0.3">
      <c r="A550" s="1"/>
      <c r="B550" s="1"/>
      <c r="C550" s="2"/>
      <c r="D550" s="1"/>
      <c r="E550" s="1"/>
      <c r="F550" s="3"/>
      <c r="G550" s="1"/>
      <c r="H550" s="1"/>
      <c r="I550" s="1"/>
      <c r="J550" s="1"/>
      <c r="K550" s="1"/>
      <c r="L550" s="1"/>
      <c r="M550" s="1"/>
      <c r="N550" s="1"/>
      <c r="O550" s="1"/>
      <c r="P550" s="1"/>
      <c r="Q550" s="1"/>
      <c r="R550" s="1"/>
      <c r="S550" s="1"/>
      <c r="T550" s="1"/>
      <c r="U550" s="1"/>
      <c r="V550" s="1"/>
      <c r="W550" s="1"/>
      <c r="X550" s="1"/>
    </row>
    <row r="551" spans="1:24" ht="15.75" customHeight="1" x14ac:dyDescent="0.3">
      <c r="A551" s="1"/>
      <c r="B551" s="1"/>
      <c r="C551" s="2"/>
      <c r="D551" s="1"/>
      <c r="E551" s="1"/>
      <c r="F551" s="3"/>
      <c r="G551" s="1"/>
      <c r="H551" s="1"/>
      <c r="I551" s="1"/>
      <c r="J551" s="1"/>
      <c r="K551" s="1"/>
      <c r="L551" s="1"/>
      <c r="M551" s="1"/>
      <c r="N551" s="1"/>
      <c r="O551" s="1"/>
      <c r="P551" s="1"/>
      <c r="Q551" s="1"/>
      <c r="R551" s="1"/>
      <c r="S551" s="1"/>
      <c r="T551" s="1"/>
      <c r="U551" s="1"/>
      <c r="V551" s="1"/>
      <c r="W551" s="1"/>
      <c r="X551" s="1"/>
    </row>
    <row r="552" spans="1:24" ht="15.75" customHeight="1" x14ac:dyDescent="0.3">
      <c r="A552" s="1"/>
      <c r="B552" s="1"/>
      <c r="C552" s="2"/>
      <c r="D552" s="1"/>
      <c r="E552" s="1"/>
      <c r="F552" s="3"/>
      <c r="G552" s="1"/>
      <c r="H552" s="1"/>
      <c r="I552" s="1"/>
      <c r="J552" s="1"/>
      <c r="K552" s="1"/>
      <c r="L552" s="1"/>
      <c r="M552" s="1"/>
      <c r="N552" s="1"/>
      <c r="O552" s="1"/>
      <c r="P552" s="1"/>
      <c r="Q552" s="1"/>
      <c r="R552" s="1"/>
      <c r="S552" s="1"/>
      <c r="T552" s="1"/>
      <c r="U552" s="1"/>
      <c r="V552" s="1"/>
      <c r="W552" s="1"/>
      <c r="X552" s="1"/>
    </row>
    <row r="553" spans="1:24" ht="15.75" customHeight="1" x14ac:dyDescent="0.3">
      <c r="A553" s="1"/>
      <c r="B553" s="1"/>
      <c r="C553" s="2"/>
      <c r="D553" s="1"/>
      <c r="E553" s="1"/>
      <c r="F553" s="3"/>
      <c r="G553" s="1"/>
      <c r="H553" s="1"/>
      <c r="I553" s="1"/>
      <c r="J553" s="1"/>
      <c r="K553" s="1"/>
      <c r="L553" s="1"/>
      <c r="M553" s="1"/>
      <c r="N553" s="1"/>
      <c r="O553" s="1"/>
      <c r="P553" s="1"/>
      <c r="Q553" s="1"/>
      <c r="R553" s="1"/>
      <c r="S553" s="1"/>
      <c r="T553" s="1"/>
      <c r="U553" s="1"/>
      <c r="V553" s="1"/>
      <c r="W553" s="1"/>
      <c r="X553" s="1"/>
    </row>
    <row r="554" spans="1:24" ht="15.75" customHeight="1" x14ac:dyDescent="0.3">
      <c r="A554" s="1"/>
      <c r="B554" s="1"/>
      <c r="C554" s="2"/>
      <c r="D554" s="1"/>
      <c r="E554" s="1"/>
      <c r="F554" s="3"/>
      <c r="G554" s="1"/>
      <c r="H554" s="1"/>
      <c r="I554" s="1"/>
      <c r="J554" s="1"/>
      <c r="K554" s="1"/>
      <c r="L554" s="1"/>
      <c r="M554" s="1"/>
      <c r="N554" s="1"/>
      <c r="O554" s="1"/>
      <c r="P554" s="1"/>
      <c r="Q554" s="1"/>
      <c r="R554" s="1"/>
      <c r="S554" s="1"/>
      <c r="T554" s="1"/>
      <c r="U554" s="1"/>
      <c r="V554" s="1"/>
      <c r="W554" s="1"/>
      <c r="X554" s="1"/>
    </row>
    <row r="555" spans="1:24" ht="15.75" customHeight="1" x14ac:dyDescent="0.3">
      <c r="A555" s="1"/>
      <c r="B555" s="1"/>
      <c r="C555" s="2"/>
      <c r="D555" s="1"/>
      <c r="E555" s="1"/>
      <c r="F555" s="3"/>
      <c r="G555" s="1"/>
      <c r="H555" s="1"/>
      <c r="I555" s="1"/>
      <c r="J555" s="1"/>
      <c r="K555" s="1"/>
      <c r="L555" s="1"/>
      <c r="M555" s="1"/>
      <c r="N555" s="1"/>
      <c r="O555" s="1"/>
      <c r="P555" s="1"/>
      <c r="Q555" s="1"/>
      <c r="R555" s="1"/>
      <c r="S555" s="1"/>
      <c r="T555" s="1"/>
      <c r="U555" s="1"/>
      <c r="V555" s="1"/>
      <c r="W555" s="1"/>
      <c r="X555" s="1"/>
    </row>
    <row r="556" spans="1:24" ht="15.75" customHeight="1" x14ac:dyDescent="0.3">
      <c r="A556" s="1"/>
      <c r="B556" s="1"/>
      <c r="C556" s="2"/>
      <c r="D556" s="1"/>
      <c r="E556" s="1"/>
      <c r="F556" s="3"/>
      <c r="G556" s="1"/>
      <c r="H556" s="1"/>
      <c r="I556" s="1"/>
      <c r="J556" s="1"/>
      <c r="K556" s="1"/>
      <c r="L556" s="1"/>
      <c r="M556" s="1"/>
      <c r="N556" s="1"/>
      <c r="O556" s="1"/>
      <c r="P556" s="1"/>
      <c r="Q556" s="1"/>
      <c r="R556" s="1"/>
      <c r="S556" s="1"/>
      <c r="T556" s="1"/>
      <c r="U556" s="1"/>
      <c r="V556" s="1"/>
      <c r="W556" s="1"/>
      <c r="X556" s="1"/>
    </row>
    <row r="557" spans="1:24" ht="15.75" customHeight="1" x14ac:dyDescent="0.3">
      <c r="A557" s="1"/>
      <c r="B557" s="1"/>
      <c r="C557" s="2"/>
      <c r="D557" s="1"/>
      <c r="E557" s="1"/>
      <c r="F557" s="3"/>
      <c r="G557" s="1"/>
      <c r="H557" s="1"/>
      <c r="I557" s="1"/>
      <c r="J557" s="1"/>
      <c r="K557" s="1"/>
      <c r="L557" s="1"/>
      <c r="M557" s="1"/>
      <c r="N557" s="1"/>
      <c r="O557" s="1"/>
      <c r="P557" s="1"/>
      <c r="Q557" s="1"/>
      <c r="R557" s="1"/>
      <c r="S557" s="1"/>
      <c r="T557" s="1"/>
      <c r="U557" s="1"/>
      <c r="V557" s="1"/>
      <c r="W557" s="1"/>
      <c r="X557" s="1"/>
    </row>
    <row r="558" spans="1:24" ht="15.75" customHeight="1" x14ac:dyDescent="0.3">
      <c r="A558" s="1"/>
      <c r="B558" s="1"/>
      <c r="C558" s="2"/>
      <c r="D558" s="1"/>
      <c r="E558" s="1"/>
      <c r="F558" s="3"/>
      <c r="G558" s="1"/>
      <c r="H558" s="1"/>
      <c r="I558" s="1"/>
      <c r="J558" s="1"/>
      <c r="K558" s="1"/>
      <c r="L558" s="1"/>
      <c r="M558" s="1"/>
      <c r="N558" s="1"/>
      <c r="O558" s="1"/>
      <c r="P558" s="1"/>
      <c r="Q558" s="1"/>
      <c r="R558" s="1"/>
      <c r="S558" s="1"/>
      <c r="T558" s="1"/>
      <c r="U558" s="1"/>
      <c r="V558" s="1"/>
      <c r="W558" s="1"/>
      <c r="X558" s="1"/>
    </row>
    <row r="559" spans="1:24" ht="15.75" customHeight="1" x14ac:dyDescent="0.3">
      <c r="A559" s="1"/>
      <c r="B559" s="1"/>
      <c r="C559" s="2"/>
      <c r="D559" s="1"/>
      <c r="E559" s="1"/>
      <c r="F559" s="3"/>
      <c r="G559" s="1"/>
      <c r="H559" s="1"/>
      <c r="I559" s="1"/>
      <c r="J559" s="1"/>
      <c r="K559" s="1"/>
      <c r="L559" s="1"/>
      <c r="M559" s="1"/>
      <c r="N559" s="1"/>
      <c r="O559" s="1"/>
      <c r="P559" s="1"/>
      <c r="Q559" s="1"/>
      <c r="R559" s="1"/>
      <c r="S559" s="1"/>
      <c r="T559" s="1"/>
      <c r="U559" s="1"/>
      <c r="V559" s="1"/>
      <c r="W559" s="1"/>
      <c r="X559" s="1"/>
    </row>
    <row r="560" spans="1:24" ht="15.75" customHeight="1" x14ac:dyDescent="0.3">
      <c r="A560" s="1"/>
      <c r="B560" s="1"/>
      <c r="C560" s="2"/>
      <c r="D560" s="1"/>
      <c r="E560" s="1"/>
      <c r="F560" s="3"/>
      <c r="G560" s="1"/>
      <c r="H560" s="1"/>
      <c r="I560" s="1"/>
      <c r="J560" s="1"/>
      <c r="K560" s="1"/>
      <c r="L560" s="1"/>
      <c r="M560" s="1"/>
      <c r="N560" s="1"/>
      <c r="O560" s="1"/>
      <c r="P560" s="1"/>
      <c r="Q560" s="1"/>
      <c r="R560" s="1"/>
      <c r="S560" s="1"/>
      <c r="T560" s="1"/>
      <c r="U560" s="1"/>
      <c r="V560" s="1"/>
      <c r="W560" s="1"/>
      <c r="X560" s="1"/>
    </row>
    <row r="561" spans="1:24" ht="15.75" customHeight="1" x14ac:dyDescent="0.3">
      <c r="A561" s="1"/>
      <c r="B561" s="1"/>
      <c r="C561" s="2"/>
      <c r="D561" s="1"/>
      <c r="E561" s="1"/>
      <c r="F561" s="3"/>
      <c r="G561" s="1"/>
      <c r="H561" s="1"/>
      <c r="I561" s="1"/>
      <c r="J561" s="1"/>
      <c r="K561" s="1"/>
      <c r="L561" s="1"/>
      <c r="M561" s="1"/>
      <c r="N561" s="1"/>
      <c r="O561" s="1"/>
      <c r="P561" s="1"/>
      <c r="Q561" s="1"/>
      <c r="R561" s="1"/>
      <c r="S561" s="1"/>
      <c r="T561" s="1"/>
      <c r="U561" s="1"/>
      <c r="V561" s="1"/>
      <c r="W561" s="1"/>
      <c r="X561" s="1"/>
    </row>
    <row r="562" spans="1:24" ht="15.75" customHeight="1" x14ac:dyDescent="0.3">
      <c r="A562" s="1"/>
      <c r="B562" s="1"/>
      <c r="C562" s="2"/>
      <c r="D562" s="1"/>
      <c r="E562" s="1"/>
      <c r="F562" s="3"/>
      <c r="G562" s="1"/>
      <c r="H562" s="1"/>
      <c r="I562" s="1"/>
      <c r="J562" s="1"/>
      <c r="K562" s="1"/>
      <c r="L562" s="1"/>
      <c r="M562" s="1"/>
      <c r="N562" s="1"/>
      <c r="O562" s="1"/>
      <c r="P562" s="1"/>
      <c r="Q562" s="1"/>
      <c r="R562" s="1"/>
      <c r="S562" s="1"/>
      <c r="T562" s="1"/>
      <c r="U562" s="1"/>
      <c r="V562" s="1"/>
      <c r="W562" s="1"/>
      <c r="X562" s="1"/>
    </row>
    <row r="563" spans="1:24" ht="15.75" customHeight="1" x14ac:dyDescent="0.3">
      <c r="A563" s="1"/>
      <c r="B563" s="1"/>
      <c r="C563" s="2"/>
      <c r="D563" s="1"/>
      <c r="E563" s="1"/>
      <c r="F563" s="3"/>
      <c r="G563" s="1"/>
      <c r="H563" s="1"/>
      <c r="I563" s="1"/>
      <c r="J563" s="1"/>
      <c r="K563" s="1"/>
      <c r="L563" s="1"/>
      <c r="M563" s="1"/>
      <c r="N563" s="1"/>
      <c r="O563" s="1"/>
      <c r="P563" s="1"/>
      <c r="Q563" s="1"/>
      <c r="R563" s="1"/>
      <c r="S563" s="1"/>
      <c r="T563" s="1"/>
      <c r="U563" s="1"/>
      <c r="V563" s="1"/>
      <c r="W563" s="1"/>
      <c r="X563" s="1"/>
    </row>
    <row r="564" spans="1:24" ht="15.75" customHeight="1" x14ac:dyDescent="0.3">
      <c r="A564" s="1"/>
      <c r="B564" s="1"/>
      <c r="C564" s="2"/>
      <c r="D564" s="1"/>
      <c r="E564" s="1"/>
      <c r="F564" s="3"/>
      <c r="G564" s="1"/>
      <c r="H564" s="1"/>
      <c r="I564" s="1"/>
      <c r="J564" s="1"/>
      <c r="K564" s="1"/>
      <c r="L564" s="1"/>
      <c r="M564" s="1"/>
      <c r="N564" s="1"/>
      <c r="O564" s="1"/>
      <c r="P564" s="1"/>
      <c r="Q564" s="1"/>
      <c r="R564" s="1"/>
      <c r="S564" s="1"/>
      <c r="T564" s="1"/>
      <c r="U564" s="1"/>
      <c r="V564" s="1"/>
      <c r="W564" s="1"/>
      <c r="X564" s="1"/>
    </row>
    <row r="565" spans="1:24" ht="15.75" customHeight="1" x14ac:dyDescent="0.3">
      <c r="A565" s="1"/>
      <c r="B565" s="1"/>
      <c r="C565" s="2"/>
      <c r="D565" s="1"/>
      <c r="E565" s="1"/>
      <c r="F565" s="3"/>
      <c r="G565" s="1"/>
      <c r="H565" s="1"/>
      <c r="I565" s="1"/>
      <c r="J565" s="1"/>
      <c r="K565" s="1"/>
      <c r="L565" s="1"/>
      <c r="M565" s="1"/>
      <c r="N565" s="1"/>
      <c r="O565" s="1"/>
      <c r="P565" s="1"/>
      <c r="Q565" s="1"/>
      <c r="R565" s="1"/>
      <c r="S565" s="1"/>
      <c r="T565" s="1"/>
      <c r="U565" s="1"/>
      <c r="V565" s="1"/>
      <c r="W565" s="1"/>
      <c r="X565" s="1"/>
    </row>
    <row r="566" spans="1:24" ht="15.75" customHeight="1" x14ac:dyDescent="0.3">
      <c r="A566" s="1"/>
      <c r="B566" s="1"/>
      <c r="C566" s="2"/>
      <c r="D566" s="1"/>
      <c r="E566" s="1"/>
      <c r="F566" s="3"/>
      <c r="G566" s="1"/>
      <c r="H566" s="1"/>
      <c r="I566" s="1"/>
      <c r="J566" s="1"/>
      <c r="K566" s="1"/>
      <c r="L566" s="1"/>
      <c r="M566" s="1"/>
      <c r="N566" s="1"/>
      <c r="O566" s="1"/>
      <c r="P566" s="1"/>
      <c r="Q566" s="1"/>
      <c r="R566" s="1"/>
      <c r="S566" s="1"/>
      <c r="T566" s="1"/>
      <c r="U566" s="1"/>
      <c r="V566" s="1"/>
      <c r="W566" s="1"/>
      <c r="X566" s="1"/>
    </row>
    <row r="567" spans="1:24" ht="15.75" customHeight="1" x14ac:dyDescent="0.3">
      <c r="A567" s="1"/>
      <c r="B567" s="1"/>
      <c r="C567" s="2"/>
      <c r="D567" s="1"/>
      <c r="E567" s="1"/>
      <c r="F567" s="3"/>
      <c r="G567" s="1"/>
      <c r="H567" s="1"/>
      <c r="I567" s="1"/>
      <c r="J567" s="1"/>
      <c r="K567" s="1"/>
      <c r="L567" s="1"/>
      <c r="M567" s="1"/>
      <c r="N567" s="1"/>
      <c r="O567" s="1"/>
      <c r="P567" s="1"/>
      <c r="Q567" s="1"/>
      <c r="R567" s="1"/>
      <c r="S567" s="1"/>
      <c r="T567" s="1"/>
      <c r="U567" s="1"/>
      <c r="V567" s="1"/>
      <c r="W567" s="1"/>
      <c r="X567" s="1"/>
    </row>
    <row r="568" spans="1:24" ht="15.75" customHeight="1" x14ac:dyDescent="0.3">
      <c r="A568" s="1"/>
      <c r="B568" s="1"/>
      <c r="C568" s="2"/>
      <c r="D568" s="1"/>
      <c r="E568" s="1"/>
      <c r="F568" s="3"/>
      <c r="G568" s="1"/>
      <c r="H568" s="1"/>
      <c r="I568" s="1"/>
      <c r="J568" s="1"/>
      <c r="K568" s="1"/>
      <c r="L568" s="1"/>
      <c r="M568" s="1"/>
      <c r="N568" s="1"/>
      <c r="O568" s="1"/>
      <c r="P568" s="1"/>
      <c r="Q568" s="1"/>
      <c r="R568" s="1"/>
      <c r="S568" s="1"/>
      <c r="T568" s="1"/>
      <c r="U568" s="1"/>
      <c r="V568" s="1"/>
      <c r="W568" s="1"/>
      <c r="X568" s="1"/>
    </row>
    <row r="569" spans="1:24" ht="15.75" customHeight="1" x14ac:dyDescent="0.3">
      <c r="A569" s="1"/>
      <c r="B569" s="1"/>
      <c r="C569" s="2"/>
      <c r="D569" s="1"/>
      <c r="E569" s="1"/>
      <c r="F569" s="3"/>
      <c r="G569" s="1"/>
      <c r="H569" s="1"/>
      <c r="I569" s="1"/>
      <c r="J569" s="1"/>
      <c r="K569" s="1"/>
      <c r="L569" s="1"/>
      <c r="M569" s="1"/>
      <c r="N569" s="1"/>
      <c r="O569" s="1"/>
      <c r="P569" s="1"/>
      <c r="Q569" s="1"/>
      <c r="R569" s="1"/>
      <c r="S569" s="1"/>
      <c r="T569" s="1"/>
      <c r="U569" s="1"/>
      <c r="V569" s="1"/>
      <c r="W569" s="1"/>
      <c r="X569" s="1"/>
    </row>
    <row r="570" spans="1:24" ht="15.75" customHeight="1" x14ac:dyDescent="0.3">
      <c r="A570" s="1"/>
      <c r="B570" s="1"/>
      <c r="C570" s="2"/>
      <c r="D570" s="1"/>
      <c r="E570" s="1"/>
      <c r="F570" s="3"/>
      <c r="G570" s="1"/>
      <c r="H570" s="1"/>
      <c r="I570" s="1"/>
      <c r="J570" s="1"/>
      <c r="K570" s="1"/>
      <c r="L570" s="1"/>
      <c r="M570" s="1"/>
      <c r="N570" s="1"/>
      <c r="O570" s="1"/>
      <c r="P570" s="1"/>
      <c r="Q570" s="1"/>
      <c r="R570" s="1"/>
      <c r="S570" s="1"/>
      <c r="T570" s="1"/>
      <c r="U570" s="1"/>
      <c r="V570" s="1"/>
      <c r="W570" s="1"/>
      <c r="X570" s="1"/>
    </row>
    <row r="571" spans="1:24" ht="15.75" customHeight="1" x14ac:dyDescent="0.3">
      <c r="A571" s="1"/>
      <c r="B571" s="1"/>
      <c r="C571" s="2"/>
      <c r="D571" s="1"/>
      <c r="E571" s="1"/>
      <c r="F571" s="3"/>
      <c r="G571" s="1"/>
      <c r="H571" s="1"/>
      <c r="I571" s="1"/>
      <c r="J571" s="1"/>
      <c r="K571" s="1"/>
      <c r="L571" s="1"/>
      <c r="M571" s="1"/>
      <c r="N571" s="1"/>
      <c r="O571" s="1"/>
      <c r="P571" s="1"/>
      <c r="Q571" s="1"/>
      <c r="R571" s="1"/>
      <c r="S571" s="1"/>
      <c r="T571" s="1"/>
      <c r="U571" s="1"/>
      <c r="V571" s="1"/>
      <c r="W571" s="1"/>
      <c r="X571" s="1"/>
    </row>
    <row r="572" spans="1:24" ht="15.75" customHeight="1" x14ac:dyDescent="0.3">
      <c r="A572" s="1"/>
      <c r="B572" s="1"/>
      <c r="C572" s="2"/>
      <c r="D572" s="1"/>
      <c r="E572" s="1"/>
      <c r="F572" s="3"/>
      <c r="G572" s="1"/>
      <c r="H572" s="1"/>
      <c r="I572" s="1"/>
      <c r="J572" s="1"/>
      <c r="K572" s="1"/>
      <c r="L572" s="1"/>
      <c r="M572" s="1"/>
      <c r="N572" s="1"/>
      <c r="O572" s="1"/>
      <c r="P572" s="1"/>
      <c r="Q572" s="1"/>
      <c r="R572" s="1"/>
      <c r="S572" s="1"/>
      <c r="T572" s="1"/>
      <c r="U572" s="1"/>
      <c r="V572" s="1"/>
      <c r="W572" s="1"/>
      <c r="X572" s="1"/>
    </row>
    <row r="573" spans="1:24" ht="15.75" customHeight="1" x14ac:dyDescent="0.3">
      <c r="A573" s="1"/>
      <c r="B573" s="1"/>
      <c r="C573" s="2"/>
      <c r="D573" s="1"/>
      <c r="E573" s="1"/>
      <c r="F573" s="3"/>
      <c r="G573" s="1"/>
      <c r="H573" s="1"/>
      <c r="I573" s="1"/>
      <c r="J573" s="1"/>
      <c r="K573" s="1"/>
      <c r="L573" s="1"/>
      <c r="M573" s="1"/>
      <c r="N573" s="1"/>
      <c r="O573" s="1"/>
      <c r="P573" s="1"/>
      <c r="Q573" s="1"/>
      <c r="R573" s="1"/>
      <c r="S573" s="1"/>
      <c r="T573" s="1"/>
      <c r="U573" s="1"/>
      <c r="V573" s="1"/>
      <c r="W573" s="1"/>
      <c r="X573" s="1"/>
    </row>
    <row r="574" spans="1:24" ht="15.75" customHeight="1" x14ac:dyDescent="0.3">
      <c r="A574" s="1"/>
      <c r="B574" s="1"/>
      <c r="C574" s="2"/>
      <c r="D574" s="1"/>
      <c r="E574" s="1"/>
      <c r="F574" s="3"/>
      <c r="G574" s="1"/>
      <c r="H574" s="1"/>
      <c r="I574" s="1"/>
      <c r="J574" s="1"/>
      <c r="K574" s="1"/>
      <c r="L574" s="1"/>
      <c r="M574" s="1"/>
      <c r="N574" s="1"/>
      <c r="O574" s="1"/>
      <c r="P574" s="1"/>
      <c r="Q574" s="1"/>
      <c r="R574" s="1"/>
      <c r="S574" s="1"/>
      <c r="T574" s="1"/>
      <c r="U574" s="1"/>
      <c r="V574" s="1"/>
      <c r="W574" s="1"/>
      <c r="X574" s="1"/>
    </row>
    <row r="575" spans="1:24" ht="15.75" customHeight="1" x14ac:dyDescent="0.3">
      <c r="A575" s="1"/>
      <c r="B575" s="1"/>
      <c r="C575" s="2"/>
      <c r="D575" s="1"/>
      <c r="E575" s="1"/>
      <c r="F575" s="3"/>
      <c r="G575" s="1"/>
      <c r="H575" s="1"/>
      <c r="I575" s="1"/>
      <c r="J575" s="1"/>
      <c r="K575" s="1"/>
      <c r="L575" s="1"/>
      <c r="M575" s="1"/>
      <c r="N575" s="1"/>
      <c r="O575" s="1"/>
      <c r="P575" s="1"/>
      <c r="Q575" s="1"/>
      <c r="R575" s="1"/>
      <c r="S575" s="1"/>
      <c r="T575" s="1"/>
      <c r="U575" s="1"/>
      <c r="V575" s="1"/>
      <c r="W575" s="1"/>
      <c r="X575" s="1"/>
    </row>
    <row r="576" spans="1:24" ht="15.75" customHeight="1" x14ac:dyDescent="0.3">
      <c r="A576" s="1"/>
      <c r="B576" s="1"/>
      <c r="C576" s="2"/>
      <c r="D576" s="1"/>
      <c r="E576" s="1"/>
      <c r="F576" s="3"/>
      <c r="G576" s="1"/>
      <c r="H576" s="1"/>
      <c r="I576" s="1"/>
      <c r="J576" s="1"/>
      <c r="K576" s="1"/>
      <c r="L576" s="1"/>
      <c r="M576" s="1"/>
      <c r="N576" s="1"/>
      <c r="O576" s="1"/>
      <c r="P576" s="1"/>
      <c r="Q576" s="1"/>
      <c r="R576" s="1"/>
      <c r="S576" s="1"/>
      <c r="T576" s="1"/>
      <c r="U576" s="1"/>
      <c r="V576" s="1"/>
      <c r="W576" s="1"/>
      <c r="X576" s="1"/>
    </row>
    <row r="577" spans="1:24" ht="15.75" customHeight="1" x14ac:dyDescent="0.3">
      <c r="A577" s="1"/>
      <c r="B577" s="1"/>
      <c r="C577" s="2"/>
      <c r="D577" s="1"/>
      <c r="E577" s="1"/>
      <c r="F577" s="3"/>
      <c r="G577" s="1"/>
      <c r="H577" s="1"/>
      <c r="I577" s="1"/>
      <c r="J577" s="1"/>
      <c r="K577" s="1"/>
      <c r="L577" s="1"/>
      <c r="M577" s="1"/>
      <c r="N577" s="1"/>
      <c r="O577" s="1"/>
      <c r="P577" s="1"/>
      <c r="Q577" s="1"/>
      <c r="R577" s="1"/>
      <c r="S577" s="1"/>
      <c r="T577" s="1"/>
      <c r="U577" s="1"/>
      <c r="V577" s="1"/>
      <c r="W577" s="1"/>
      <c r="X577" s="1"/>
    </row>
    <row r="578" spans="1:24" ht="15.75" customHeight="1" x14ac:dyDescent="0.3">
      <c r="A578" s="1"/>
      <c r="B578" s="1"/>
      <c r="C578" s="2"/>
      <c r="D578" s="1"/>
      <c r="E578" s="1"/>
      <c r="F578" s="3"/>
      <c r="G578" s="1"/>
      <c r="H578" s="1"/>
      <c r="I578" s="1"/>
      <c r="J578" s="1"/>
      <c r="K578" s="1"/>
      <c r="L578" s="1"/>
      <c r="M578" s="1"/>
      <c r="N578" s="1"/>
      <c r="O578" s="1"/>
      <c r="P578" s="1"/>
      <c r="Q578" s="1"/>
      <c r="R578" s="1"/>
      <c r="S578" s="1"/>
      <c r="T578" s="1"/>
      <c r="U578" s="1"/>
      <c r="V578" s="1"/>
      <c r="W578" s="1"/>
      <c r="X578" s="1"/>
    </row>
    <row r="579" spans="1:24" ht="15.75" customHeight="1" x14ac:dyDescent="0.3">
      <c r="A579" s="1"/>
      <c r="B579" s="1"/>
      <c r="C579" s="2"/>
      <c r="D579" s="1"/>
      <c r="E579" s="1"/>
      <c r="F579" s="3"/>
      <c r="G579" s="1"/>
      <c r="H579" s="1"/>
      <c r="I579" s="1"/>
      <c r="J579" s="1"/>
      <c r="K579" s="1"/>
      <c r="L579" s="1"/>
      <c r="M579" s="1"/>
      <c r="N579" s="1"/>
      <c r="O579" s="1"/>
      <c r="P579" s="1"/>
      <c r="Q579" s="1"/>
      <c r="R579" s="1"/>
      <c r="S579" s="1"/>
      <c r="T579" s="1"/>
      <c r="U579" s="1"/>
      <c r="V579" s="1"/>
      <c r="W579" s="1"/>
      <c r="X579" s="1"/>
    </row>
    <row r="580" spans="1:24" ht="15.75" customHeight="1" x14ac:dyDescent="0.3">
      <c r="A580" s="1"/>
      <c r="B580" s="1"/>
      <c r="C580" s="2"/>
      <c r="D580" s="1"/>
      <c r="E580" s="1"/>
      <c r="F580" s="3"/>
      <c r="G580" s="1"/>
      <c r="H580" s="1"/>
      <c r="I580" s="1"/>
      <c r="J580" s="1"/>
      <c r="K580" s="1"/>
      <c r="L580" s="1"/>
      <c r="M580" s="1"/>
      <c r="N580" s="1"/>
      <c r="O580" s="1"/>
      <c r="P580" s="1"/>
      <c r="Q580" s="1"/>
      <c r="R580" s="1"/>
      <c r="S580" s="1"/>
      <c r="T580" s="1"/>
      <c r="U580" s="1"/>
      <c r="V580" s="1"/>
      <c r="W580" s="1"/>
      <c r="X580" s="1"/>
    </row>
    <row r="581" spans="1:24" ht="15.75" customHeight="1" x14ac:dyDescent="0.3">
      <c r="A581" s="1"/>
      <c r="B581" s="1"/>
      <c r="C581" s="2"/>
      <c r="D581" s="1"/>
      <c r="E581" s="1"/>
      <c r="F581" s="3"/>
      <c r="G581" s="1"/>
      <c r="H581" s="1"/>
      <c r="I581" s="1"/>
      <c r="J581" s="1"/>
      <c r="K581" s="1"/>
      <c r="L581" s="1"/>
      <c r="M581" s="1"/>
      <c r="N581" s="1"/>
      <c r="O581" s="1"/>
      <c r="P581" s="1"/>
      <c r="Q581" s="1"/>
      <c r="R581" s="1"/>
      <c r="S581" s="1"/>
      <c r="T581" s="1"/>
      <c r="U581" s="1"/>
      <c r="V581" s="1"/>
      <c r="W581" s="1"/>
      <c r="X581" s="1"/>
    </row>
    <row r="582" spans="1:24" ht="15.75" customHeight="1" x14ac:dyDescent="0.3">
      <c r="A582" s="1"/>
      <c r="B582" s="1"/>
      <c r="C582" s="2"/>
      <c r="D582" s="1"/>
      <c r="E582" s="1"/>
      <c r="F582" s="3"/>
      <c r="G582" s="1"/>
      <c r="H582" s="1"/>
      <c r="I582" s="1"/>
      <c r="J582" s="1"/>
      <c r="K582" s="1"/>
      <c r="L582" s="1"/>
      <c r="M582" s="1"/>
      <c r="N582" s="1"/>
      <c r="O582" s="1"/>
      <c r="P582" s="1"/>
      <c r="Q582" s="1"/>
      <c r="R582" s="1"/>
      <c r="S582" s="1"/>
      <c r="T582" s="1"/>
      <c r="U582" s="1"/>
      <c r="V582" s="1"/>
      <c r="W582" s="1"/>
      <c r="X582" s="1"/>
    </row>
    <row r="583" spans="1:24" ht="15.75" customHeight="1" x14ac:dyDescent="0.3">
      <c r="A583" s="1"/>
      <c r="B583" s="1"/>
      <c r="C583" s="2"/>
      <c r="D583" s="1"/>
      <c r="E583" s="1"/>
      <c r="F583" s="3"/>
      <c r="G583" s="1"/>
      <c r="H583" s="1"/>
      <c r="I583" s="1"/>
      <c r="J583" s="1"/>
      <c r="K583" s="1"/>
      <c r="L583" s="1"/>
      <c r="M583" s="1"/>
      <c r="N583" s="1"/>
      <c r="O583" s="1"/>
      <c r="P583" s="1"/>
      <c r="Q583" s="1"/>
      <c r="R583" s="1"/>
      <c r="S583" s="1"/>
      <c r="T583" s="1"/>
      <c r="U583" s="1"/>
      <c r="V583" s="1"/>
      <c r="W583" s="1"/>
      <c r="X583" s="1"/>
    </row>
    <row r="584" spans="1:24" ht="15.75" customHeight="1" x14ac:dyDescent="0.3">
      <c r="A584" s="1"/>
      <c r="B584" s="1"/>
      <c r="C584" s="2"/>
      <c r="D584" s="1"/>
      <c r="E584" s="1"/>
      <c r="F584" s="3"/>
      <c r="G584" s="1"/>
      <c r="H584" s="1"/>
      <c r="I584" s="1"/>
      <c r="J584" s="1"/>
      <c r="K584" s="1"/>
      <c r="L584" s="1"/>
      <c r="M584" s="1"/>
      <c r="N584" s="1"/>
      <c r="O584" s="1"/>
      <c r="P584" s="1"/>
      <c r="Q584" s="1"/>
      <c r="R584" s="1"/>
      <c r="S584" s="1"/>
      <c r="T584" s="1"/>
      <c r="U584" s="1"/>
      <c r="V584" s="1"/>
      <c r="W584" s="1"/>
      <c r="X584" s="1"/>
    </row>
    <row r="585" spans="1:24" ht="15.75" customHeight="1" x14ac:dyDescent="0.3">
      <c r="A585" s="1"/>
      <c r="B585" s="1"/>
      <c r="C585" s="2"/>
      <c r="D585" s="1"/>
      <c r="E585" s="1"/>
      <c r="F585" s="3"/>
      <c r="G585" s="1"/>
      <c r="H585" s="1"/>
      <c r="I585" s="1"/>
      <c r="J585" s="1"/>
      <c r="K585" s="1"/>
      <c r="L585" s="1"/>
      <c r="M585" s="1"/>
      <c r="N585" s="1"/>
      <c r="O585" s="1"/>
      <c r="P585" s="1"/>
      <c r="Q585" s="1"/>
      <c r="R585" s="1"/>
      <c r="S585" s="1"/>
      <c r="T585" s="1"/>
      <c r="U585" s="1"/>
      <c r="V585" s="1"/>
      <c r="W585" s="1"/>
      <c r="X585" s="1"/>
    </row>
    <row r="586" spans="1:24" ht="15.75" customHeight="1" x14ac:dyDescent="0.3">
      <c r="A586" s="1"/>
      <c r="B586" s="1"/>
      <c r="C586" s="2"/>
      <c r="D586" s="1"/>
      <c r="E586" s="1"/>
      <c r="F586" s="3"/>
      <c r="G586" s="1"/>
      <c r="H586" s="1"/>
      <c r="I586" s="1"/>
      <c r="J586" s="1"/>
      <c r="K586" s="1"/>
      <c r="L586" s="1"/>
      <c r="M586" s="1"/>
      <c r="N586" s="1"/>
      <c r="O586" s="1"/>
      <c r="P586" s="1"/>
      <c r="Q586" s="1"/>
      <c r="R586" s="1"/>
      <c r="S586" s="1"/>
      <c r="T586" s="1"/>
      <c r="U586" s="1"/>
      <c r="V586" s="1"/>
      <c r="W586" s="1"/>
      <c r="X586" s="1"/>
    </row>
    <row r="587" spans="1:24" ht="15.75" customHeight="1" x14ac:dyDescent="0.3">
      <c r="A587" s="1"/>
      <c r="B587" s="1"/>
      <c r="C587" s="2"/>
      <c r="D587" s="1"/>
      <c r="E587" s="1"/>
      <c r="F587" s="3"/>
      <c r="G587" s="1"/>
      <c r="H587" s="1"/>
      <c r="I587" s="1"/>
      <c r="J587" s="1"/>
      <c r="K587" s="1"/>
      <c r="L587" s="1"/>
      <c r="M587" s="1"/>
      <c r="N587" s="1"/>
      <c r="O587" s="1"/>
      <c r="P587" s="1"/>
      <c r="Q587" s="1"/>
      <c r="R587" s="1"/>
      <c r="S587" s="1"/>
      <c r="T587" s="1"/>
      <c r="U587" s="1"/>
      <c r="V587" s="1"/>
      <c r="W587" s="1"/>
      <c r="X587" s="1"/>
    </row>
    <row r="588" spans="1:24" ht="15.75" customHeight="1" x14ac:dyDescent="0.3">
      <c r="A588" s="1"/>
      <c r="B588" s="1"/>
      <c r="C588" s="2"/>
      <c r="D588" s="1"/>
      <c r="E588" s="1"/>
      <c r="F588" s="3"/>
      <c r="G588" s="1"/>
      <c r="H588" s="1"/>
      <c r="I588" s="1"/>
      <c r="J588" s="1"/>
      <c r="K588" s="1"/>
      <c r="L588" s="1"/>
      <c r="M588" s="1"/>
      <c r="N588" s="1"/>
      <c r="O588" s="1"/>
      <c r="P588" s="1"/>
      <c r="Q588" s="1"/>
      <c r="R588" s="1"/>
      <c r="S588" s="1"/>
      <c r="T588" s="1"/>
      <c r="U588" s="1"/>
      <c r="V588" s="1"/>
      <c r="W588" s="1"/>
      <c r="X588" s="1"/>
    </row>
    <row r="589" spans="1:24" ht="15.75" customHeight="1" x14ac:dyDescent="0.3">
      <c r="A589" s="1"/>
      <c r="B589" s="1"/>
      <c r="C589" s="2"/>
      <c r="D589" s="1"/>
      <c r="E589" s="1"/>
      <c r="F589" s="3"/>
      <c r="G589" s="1"/>
      <c r="H589" s="1"/>
      <c r="I589" s="1"/>
      <c r="J589" s="1"/>
      <c r="K589" s="1"/>
      <c r="L589" s="1"/>
      <c r="M589" s="1"/>
      <c r="N589" s="1"/>
      <c r="O589" s="1"/>
      <c r="P589" s="1"/>
      <c r="Q589" s="1"/>
      <c r="R589" s="1"/>
      <c r="S589" s="1"/>
      <c r="T589" s="1"/>
      <c r="U589" s="1"/>
      <c r="V589" s="1"/>
      <c r="W589" s="1"/>
      <c r="X589" s="1"/>
    </row>
    <row r="590" spans="1:24" ht="15.75" customHeight="1" x14ac:dyDescent="0.3">
      <c r="A590" s="1"/>
      <c r="B590" s="1"/>
      <c r="C590" s="2"/>
      <c r="D590" s="1"/>
      <c r="E590" s="1"/>
      <c r="F590" s="3"/>
      <c r="G590" s="1"/>
      <c r="H590" s="1"/>
      <c r="I590" s="1"/>
      <c r="J590" s="1"/>
      <c r="K590" s="1"/>
      <c r="L590" s="1"/>
      <c r="M590" s="1"/>
      <c r="N590" s="1"/>
      <c r="O590" s="1"/>
      <c r="P590" s="1"/>
      <c r="Q590" s="1"/>
      <c r="R590" s="1"/>
      <c r="S590" s="1"/>
      <c r="T590" s="1"/>
      <c r="U590" s="1"/>
      <c r="V590" s="1"/>
      <c r="W590" s="1"/>
      <c r="X590" s="1"/>
    </row>
    <row r="591" spans="1:24" ht="15.75" customHeight="1" x14ac:dyDescent="0.3">
      <c r="A591" s="1"/>
      <c r="B591" s="1"/>
      <c r="C591" s="2"/>
      <c r="D591" s="1"/>
      <c r="E591" s="1"/>
      <c r="F591" s="3"/>
      <c r="G591" s="1"/>
      <c r="H591" s="1"/>
      <c r="I591" s="1"/>
      <c r="J591" s="1"/>
      <c r="K591" s="1"/>
      <c r="L591" s="1"/>
      <c r="M591" s="1"/>
      <c r="N591" s="1"/>
      <c r="O591" s="1"/>
      <c r="P591" s="1"/>
      <c r="Q591" s="1"/>
      <c r="R591" s="1"/>
      <c r="S591" s="1"/>
      <c r="T591" s="1"/>
      <c r="U591" s="1"/>
      <c r="V591" s="1"/>
      <c r="W591" s="1"/>
      <c r="X591" s="1"/>
    </row>
    <row r="592" spans="1:24" ht="15.75" customHeight="1" x14ac:dyDescent="0.3">
      <c r="A592" s="1"/>
      <c r="B592" s="1"/>
      <c r="C592" s="2"/>
      <c r="D592" s="1"/>
      <c r="E592" s="1"/>
      <c r="F592" s="3"/>
      <c r="G592" s="1"/>
      <c r="H592" s="1"/>
      <c r="I592" s="1"/>
      <c r="J592" s="1"/>
      <c r="K592" s="1"/>
      <c r="L592" s="1"/>
      <c r="M592" s="1"/>
      <c r="N592" s="1"/>
      <c r="O592" s="1"/>
      <c r="P592" s="1"/>
      <c r="Q592" s="1"/>
      <c r="R592" s="1"/>
      <c r="S592" s="1"/>
      <c r="T592" s="1"/>
      <c r="U592" s="1"/>
      <c r="V592" s="1"/>
      <c r="W592" s="1"/>
      <c r="X592" s="1"/>
    </row>
    <row r="593" spans="1:24" ht="15.75" customHeight="1" x14ac:dyDescent="0.3">
      <c r="A593" s="1"/>
      <c r="B593" s="1"/>
      <c r="C593" s="2"/>
      <c r="D593" s="1"/>
      <c r="E593" s="1"/>
      <c r="F593" s="3"/>
      <c r="G593" s="1"/>
      <c r="H593" s="1"/>
      <c r="I593" s="1"/>
      <c r="J593" s="1"/>
      <c r="K593" s="1"/>
      <c r="L593" s="1"/>
      <c r="M593" s="1"/>
      <c r="N593" s="1"/>
      <c r="O593" s="1"/>
      <c r="P593" s="1"/>
      <c r="Q593" s="1"/>
      <c r="R593" s="1"/>
      <c r="S593" s="1"/>
      <c r="T593" s="1"/>
      <c r="U593" s="1"/>
      <c r="V593" s="1"/>
      <c r="W593" s="1"/>
      <c r="X593" s="1"/>
    </row>
    <row r="594" spans="1:24" ht="15.75" customHeight="1" x14ac:dyDescent="0.3">
      <c r="A594" s="1"/>
      <c r="B594" s="1"/>
      <c r="C594" s="2"/>
      <c r="D594" s="1"/>
      <c r="E594" s="1"/>
      <c r="F594" s="3"/>
      <c r="G594" s="1"/>
      <c r="H594" s="1"/>
      <c r="I594" s="1"/>
      <c r="J594" s="1"/>
      <c r="K594" s="1"/>
      <c r="L594" s="1"/>
      <c r="M594" s="1"/>
      <c r="N594" s="1"/>
      <c r="O594" s="1"/>
      <c r="P594" s="1"/>
      <c r="Q594" s="1"/>
      <c r="R594" s="1"/>
      <c r="S594" s="1"/>
      <c r="T594" s="1"/>
      <c r="U594" s="1"/>
      <c r="V594" s="1"/>
      <c r="W594" s="1"/>
      <c r="X594" s="1"/>
    </row>
    <row r="595" spans="1:24" ht="15.75" customHeight="1" x14ac:dyDescent="0.3">
      <c r="A595" s="1"/>
      <c r="B595" s="1"/>
      <c r="C595" s="2"/>
      <c r="D595" s="1"/>
      <c r="E595" s="1"/>
      <c r="F595" s="3"/>
      <c r="G595" s="1"/>
      <c r="H595" s="1"/>
      <c r="I595" s="1"/>
      <c r="J595" s="1"/>
      <c r="K595" s="1"/>
      <c r="L595" s="1"/>
      <c r="M595" s="1"/>
      <c r="N595" s="1"/>
      <c r="O595" s="1"/>
      <c r="P595" s="1"/>
      <c r="Q595" s="1"/>
      <c r="R595" s="1"/>
      <c r="S595" s="1"/>
      <c r="T595" s="1"/>
      <c r="U595" s="1"/>
      <c r="V595" s="1"/>
      <c r="W595" s="1"/>
      <c r="X595" s="1"/>
    </row>
    <row r="596" spans="1:24" ht="15.75" customHeight="1" x14ac:dyDescent="0.3">
      <c r="A596" s="1"/>
      <c r="B596" s="1"/>
      <c r="C596" s="2"/>
      <c r="D596" s="1"/>
      <c r="E596" s="1"/>
      <c r="F596" s="3"/>
      <c r="G596" s="1"/>
      <c r="H596" s="1"/>
      <c r="I596" s="1"/>
      <c r="J596" s="1"/>
      <c r="K596" s="1"/>
      <c r="L596" s="1"/>
      <c r="M596" s="1"/>
      <c r="N596" s="1"/>
      <c r="O596" s="1"/>
      <c r="P596" s="1"/>
      <c r="Q596" s="1"/>
      <c r="R596" s="1"/>
      <c r="S596" s="1"/>
      <c r="T596" s="1"/>
      <c r="U596" s="1"/>
      <c r="V596" s="1"/>
      <c r="W596" s="1"/>
      <c r="X596" s="1"/>
    </row>
    <row r="597" spans="1:24" ht="15.75" customHeight="1" x14ac:dyDescent="0.3">
      <c r="A597" s="1"/>
      <c r="B597" s="1"/>
      <c r="C597" s="2"/>
      <c r="D597" s="1"/>
      <c r="E597" s="1"/>
      <c r="F597" s="3"/>
      <c r="G597" s="1"/>
      <c r="H597" s="1"/>
      <c r="I597" s="1"/>
      <c r="J597" s="1"/>
      <c r="K597" s="1"/>
      <c r="L597" s="1"/>
      <c r="M597" s="1"/>
      <c r="N597" s="1"/>
      <c r="O597" s="1"/>
      <c r="P597" s="1"/>
      <c r="Q597" s="1"/>
      <c r="R597" s="1"/>
      <c r="S597" s="1"/>
      <c r="T597" s="1"/>
      <c r="U597" s="1"/>
      <c r="V597" s="1"/>
      <c r="W597" s="1"/>
      <c r="X597" s="1"/>
    </row>
    <row r="598" spans="1:24" ht="15.75" customHeight="1" x14ac:dyDescent="0.3">
      <c r="A598" s="1"/>
      <c r="B598" s="1"/>
      <c r="C598" s="2"/>
      <c r="D598" s="1"/>
      <c r="E598" s="1"/>
      <c r="F598" s="3"/>
      <c r="G598" s="1"/>
      <c r="H598" s="1"/>
      <c r="I598" s="1"/>
      <c r="J598" s="1"/>
      <c r="K598" s="1"/>
      <c r="L598" s="1"/>
      <c r="M598" s="1"/>
      <c r="N598" s="1"/>
      <c r="O598" s="1"/>
      <c r="P598" s="1"/>
      <c r="Q598" s="1"/>
      <c r="R598" s="1"/>
      <c r="S598" s="1"/>
      <c r="T598" s="1"/>
      <c r="U598" s="1"/>
      <c r="V598" s="1"/>
      <c r="W598" s="1"/>
      <c r="X598" s="1"/>
    </row>
    <row r="599" spans="1:24" ht="15.75" customHeight="1" x14ac:dyDescent="0.3">
      <c r="A599" s="1"/>
      <c r="B599" s="1"/>
      <c r="C599" s="2"/>
      <c r="D599" s="1"/>
      <c r="E599" s="1"/>
      <c r="F599" s="3"/>
      <c r="G599" s="1"/>
      <c r="H599" s="1"/>
      <c r="I599" s="1"/>
      <c r="J599" s="1"/>
      <c r="K599" s="1"/>
      <c r="L599" s="1"/>
      <c r="M599" s="1"/>
      <c r="N599" s="1"/>
      <c r="O599" s="1"/>
      <c r="P599" s="1"/>
      <c r="Q599" s="1"/>
      <c r="R599" s="1"/>
      <c r="S599" s="1"/>
      <c r="T599" s="1"/>
      <c r="U599" s="1"/>
      <c r="V599" s="1"/>
      <c r="W599" s="1"/>
      <c r="X599" s="1"/>
    </row>
    <row r="600" spans="1:24" ht="15.75" customHeight="1" x14ac:dyDescent="0.3">
      <c r="A600" s="1"/>
      <c r="B600" s="1"/>
      <c r="C600" s="2"/>
      <c r="D600" s="1"/>
      <c r="E600" s="1"/>
      <c r="F600" s="3"/>
      <c r="G600" s="1"/>
      <c r="H600" s="1"/>
      <c r="I600" s="1"/>
      <c r="J600" s="1"/>
      <c r="K600" s="1"/>
      <c r="L600" s="1"/>
      <c r="M600" s="1"/>
      <c r="N600" s="1"/>
      <c r="O600" s="1"/>
      <c r="P600" s="1"/>
      <c r="Q600" s="1"/>
      <c r="R600" s="1"/>
      <c r="S600" s="1"/>
      <c r="T600" s="1"/>
      <c r="U600" s="1"/>
      <c r="V600" s="1"/>
      <c r="W600" s="1"/>
      <c r="X600" s="1"/>
    </row>
    <row r="601" spans="1:24" ht="15.75" customHeight="1" x14ac:dyDescent="0.3">
      <c r="A601" s="1"/>
      <c r="B601" s="1"/>
      <c r="C601" s="2"/>
      <c r="D601" s="1"/>
      <c r="E601" s="1"/>
      <c r="F601" s="3"/>
      <c r="G601" s="1"/>
      <c r="H601" s="1"/>
      <c r="I601" s="1"/>
      <c r="J601" s="1"/>
      <c r="K601" s="1"/>
      <c r="L601" s="1"/>
      <c r="M601" s="1"/>
      <c r="N601" s="1"/>
      <c r="O601" s="1"/>
      <c r="P601" s="1"/>
      <c r="Q601" s="1"/>
      <c r="R601" s="1"/>
      <c r="S601" s="1"/>
      <c r="T601" s="1"/>
      <c r="U601" s="1"/>
      <c r="V601" s="1"/>
      <c r="W601" s="1"/>
      <c r="X601" s="1"/>
    </row>
    <row r="602" spans="1:24" ht="15.75" customHeight="1" x14ac:dyDescent="0.3">
      <c r="A602" s="1"/>
      <c r="B602" s="1"/>
      <c r="C602" s="2"/>
      <c r="D602" s="1"/>
      <c r="E602" s="1"/>
      <c r="F602" s="3"/>
      <c r="G602" s="1"/>
      <c r="H602" s="1"/>
      <c r="I602" s="1"/>
      <c r="J602" s="1"/>
      <c r="K602" s="1"/>
      <c r="L602" s="1"/>
      <c r="M602" s="1"/>
      <c r="N602" s="1"/>
      <c r="O602" s="1"/>
      <c r="P602" s="1"/>
      <c r="Q602" s="1"/>
      <c r="R602" s="1"/>
      <c r="S602" s="1"/>
      <c r="T602" s="1"/>
      <c r="U602" s="1"/>
      <c r="V602" s="1"/>
      <c r="W602" s="1"/>
      <c r="X602" s="1"/>
    </row>
    <row r="603" spans="1:24" ht="15.75" customHeight="1" x14ac:dyDescent="0.3">
      <c r="A603" s="1"/>
      <c r="B603" s="1"/>
      <c r="C603" s="2"/>
      <c r="D603" s="1"/>
      <c r="E603" s="1"/>
      <c r="F603" s="3"/>
      <c r="G603" s="1"/>
      <c r="H603" s="1"/>
      <c r="I603" s="1"/>
      <c r="J603" s="1"/>
      <c r="K603" s="1"/>
      <c r="L603" s="1"/>
      <c r="M603" s="1"/>
      <c r="N603" s="1"/>
      <c r="O603" s="1"/>
      <c r="P603" s="1"/>
      <c r="Q603" s="1"/>
      <c r="R603" s="1"/>
      <c r="S603" s="1"/>
      <c r="T603" s="1"/>
      <c r="U603" s="1"/>
      <c r="V603" s="1"/>
      <c r="W603" s="1"/>
      <c r="X603" s="1"/>
    </row>
    <row r="604" spans="1:24" ht="15.75" customHeight="1" x14ac:dyDescent="0.3">
      <c r="A604" s="1"/>
      <c r="B604" s="1"/>
      <c r="C604" s="2"/>
      <c r="D604" s="1"/>
      <c r="E604" s="1"/>
      <c r="F604" s="3"/>
      <c r="G604" s="1"/>
      <c r="H604" s="1"/>
      <c r="I604" s="1"/>
      <c r="J604" s="1"/>
      <c r="K604" s="1"/>
      <c r="L604" s="1"/>
      <c r="M604" s="1"/>
      <c r="N604" s="1"/>
      <c r="O604" s="1"/>
      <c r="P604" s="1"/>
      <c r="Q604" s="1"/>
      <c r="R604" s="1"/>
      <c r="S604" s="1"/>
      <c r="T604" s="1"/>
      <c r="U604" s="1"/>
      <c r="V604" s="1"/>
      <c r="W604" s="1"/>
      <c r="X604" s="1"/>
    </row>
    <row r="605" spans="1:24" ht="15.75" customHeight="1" x14ac:dyDescent="0.3">
      <c r="A605" s="1"/>
      <c r="B605" s="1"/>
      <c r="C605" s="2"/>
      <c r="D605" s="1"/>
      <c r="E605" s="1"/>
      <c r="F605" s="3"/>
      <c r="G605" s="1"/>
      <c r="H605" s="1"/>
      <c r="I605" s="1"/>
      <c r="J605" s="1"/>
      <c r="K605" s="1"/>
      <c r="L605" s="1"/>
      <c r="M605" s="1"/>
      <c r="N605" s="1"/>
      <c r="O605" s="1"/>
      <c r="P605" s="1"/>
      <c r="Q605" s="1"/>
      <c r="R605" s="1"/>
      <c r="S605" s="1"/>
      <c r="T605" s="1"/>
      <c r="U605" s="1"/>
      <c r="V605" s="1"/>
      <c r="W605" s="1"/>
      <c r="X605" s="1"/>
    </row>
    <row r="606" spans="1:24" ht="15.75" customHeight="1" x14ac:dyDescent="0.3">
      <c r="A606" s="1"/>
      <c r="B606" s="1"/>
      <c r="C606" s="2"/>
      <c r="D606" s="1"/>
      <c r="E606" s="1"/>
      <c r="F606" s="3"/>
      <c r="G606" s="1"/>
      <c r="H606" s="1"/>
      <c r="I606" s="1"/>
      <c r="J606" s="1"/>
      <c r="K606" s="1"/>
      <c r="L606" s="1"/>
      <c r="M606" s="1"/>
      <c r="N606" s="1"/>
      <c r="O606" s="1"/>
      <c r="P606" s="1"/>
      <c r="Q606" s="1"/>
      <c r="R606" s="1"/>
      <c r="S606" s="1"/>
      <c r="T606" s="1"/>
      <c r="U606" s="1"/>
      <c r="V606" s="1"/>
      <c r="W606" s="1"/>
      <c r="X606" s="1"/>
    </row>
    <row r="607" spans="1:24" ht="15.75" customHeight="1" x14ac:dyDescent="0.3">
      <c r="A607" s="1"/>
      <c r="B607" s="1"/>
      <c r="C607" s="2"/>
      <c r="D607" s="1"/>
      <c r="E607" s="1"/>
      <c r="F607" s="3"/>
      <c r="G607" s="1"/>
      <c r="H607" s="1"/>
      <c r="I607" s="1"/>
      <c r="J607" s="1"/>
      <c r="K607" s="1"/>
      <c r="L607" s="1"/>
      <c r="M607" s="1"/>
      <c r="N607" s="1"/>
      <c r="O607" s="1"/>
      <c r="P607" s="1"/>
      <c r="Q607" s="1"/>
      <c r="R607" s="1"/>
      <c r="S607" s="1"/>
      <c r="T607" s="1"/>
      <c r="U607" s="1"/>
      <c r="V607" s="1"/>
      <c r="W607" s="1"/>
      <c r="X607" s="1"/>
    </row>
    <row r="608" spans="1:24" ht="15.75" customHeight="1" x14ac:dyDescent="0.3">
      <c r="A608" s="1"/>
      <c r="B608" s="1"/>
      <c r="C608" s="2"/>
      <c r="D608" s="1"/>
      <c r="E608" s="1"/>
      <c r="F608" s="3"/>
      <c r="G608" s="1"/>
      <c r="H608" s="1"/>
      <c r="I608" s="1"/>
      <c r="J608" s="1"/>
      <c r="K608" s="1"/>
      <c r="L608" s="1"/>
      <c r="M608" s="1"/>
      <c r="N608" s="1"/>
      <c r="O608" s="1"/>
      <c r="P608" s="1"/>
      <c r="Q608" s="1"/>
      <c r="R608" s="1"/>
      <c r="S608" s="1"/>
      <c r="T608" s="1"/>
      <c r="U608" s="1"/>
      <c r="V608" s="1"/>
      <c r="W608" s="1"/>
      <c r="X608" s="1"/>
    </row>
    <row r="609" spans="1:24" ht="15.75" customHeight="1" x14ac:dyDescent="0.3">
      <c r="A609" s="1"/>
      <c r="B609" s="1"/>
      <c r="C609" s="2"/>
      <c r="D609" s="1"/>
      <c r="E609" s="1"/>
      <c r="F609" s="3"/>
      <c r="G609" s="1"/>
      <c r="H609" s="1"/>
      <c r="I609" s="1"/>
      <c r="J609" s="1"/>
      <c r="K609" s="1"/>
      <c r="L609" s="1"/>
      <c r="M609" s="1"/>
      <c r="N609" s="1"/>
      <c r="O609" s="1"/>
      <c r="P609" s="1"/>
      <c r="Q609" s="1"/>
      <c r="R609" s="1"/>
      <c r="S609" s="1"/>
      <c r="T609" s="1"/>
      <c r="U609" s="1"/>
      <c r="V609" s="1"/>
      <c r="W609" s="1"/>
      <c r="X609" s="1"/>
    </row>
    <row r="610" spans="1:24" ht="15.75" customHeight="1" x14ac:dyDescent="0.3">
      <c r="A610" s="1"/>
      <c r="B610" s="1"/>
      <c r="C610" s="2"/>
      <c r="D610" s="1"/>
      <c r="E610" s="1"/>
      <c r="F610" s="3"/>
      <c r="G610" s="1"/>
      <c r="H610" s="1"/>
      <c r="I610" s="1"/>
      <c r="J610" s="1"/>
      <c r="K610" s="1"/>
      <c r="L610" s="1"/>
      <c r="M610" s="1"/>
      <c r="N610" s="1"/>
      <c r="O610" s="1"/>
      <c r="P610" s="1"/>
      <c r="Q610" s="1"/>
      <c r="R610" s="1"/>
      <c r="S610" s="1"/>
      <c r="T610" s="1"/>
      <c r="U610" s="1"/>
      <c r="V610" s="1"/>
      <c r="W610" s="1"/>
      <c r="X610" s="1"/>
    </row>
    <row r="611" spans="1:24" ht="15.75" customHeight="1" x14ac:dyDescent="0.3">
      <c r="A611" s="1"/>
      <c r="B611" s="1"/>
      <c r="C611" s="2"/>
      <c r="D611" s="1"/>
      <c r="E611" s="1"/>
      <c r="F611" s="3"/>
      <c r="G611" s="1"/>
      <c r="H611" s="1"/>
      <c r="I611" s="1"/>
      <c r="J611" s="1"/>
      <c r="K611" s="1"/>
      <c r="L611" s="1"/>
      <c r="M611" s="1"/>
      <c r="N611" s="1"/>
      <c r="O611" s="1"/>
      <c r="P611" s="1"/>
      <c r="Q611" s="1"/>
      <c r="R611" s="1"/>
      <c r="S611" s="1"/>
      <c r="T611" s="1"/>
      <c r="U611" s="1"/>
      <c r="V611" s="1"/>
      <c r="W611" s="1"/>
      <c r="X611" s="1"/>
    </row>
    <row r="612" spans="1:24" ht="15.75" customHeight="1" x14ac:dyDescent="0.3">
      <c r="A612" s="1"/>
      <c r="B612" s="1"/>
      <c r="C612" s="2"/>
      <c r="D612" s="1"/>
      <c r="E612" s="1"/>
      <c r="F612" s="3"/>
      <c r="G612" s="1"/>
      <c r="H612" s="1"/>
      <c r="I612" s="1"/>
      <c r="J612" s="1"/>
      <c r="K612" s="1"/>
      <c r="L612" s="1"/>
      <c r="M612" s="1"/>
      <c r="N612" s="1"/>
      <c r="O612" s="1"/>
      <c r="P612" s="1"/>
      <c r="Q612" s="1"/>
      <c r="R612" s="1"/>
      <c r="S612" s="1"/>
      <c r="T612" s="1"/>
      <c r="U612" s="1"/>
      <c r="V612" s="1"/>
      <c r="W612" s="1"/>
      <c r="X612" s="1"/>
    </row>
    <row r="613" spans="1:24" ht="15.75" customHeight="1" x14ac:dyDescent="0.3">
      <c r="A613" s="1"/>
      <c r="B613" s="1"/>
      <c r="C613" s="2"/>
      <c r="D613" s="1"/>
      <c r="E613" s="1"/>
      <c r="F613" s="3"/>
      <c r="G613" s="1"/>
      <c r="H613" s="1"/>
      <c r="I613" s="1"/>
      <c r="J613" s="1"/>
      <c r="K613" s="1"/>
      <c r="L613" s="1"/>
      <c r="M613" s="1"/>
      <c r="N613" s="1"/>
      <c r="O613" s="1"/>
      <c r="P613" s="1"/>
      <c r="Q613" s="1"/>
      <c r="R613" s="1"/>
      <c r="S613" s="1"/>
      <c r="T613" s="1"/>
      <c r="U613" s="1"/>
      <c r="V613" s="1"/>
      <c r="W613" s="1"/>
      <c r="X613" s="1"/>
    </row>
    <row r="614" spans="1:24" ht="15.75" customHeight="1" x14ac:dyDescent="0.3">
      <c r="A614" s="1"/>
      <c r="B614" s="1"/>
      <c r="C614" s="2"/>
      <c r="D614" s="1"/>
      <c r="E614" s="1"/>
      <c r="F614" s="3"/>
      <c r="G614" s="1"/>
      <c r="H614" s="1"/>
      <c r="I614" s="1"/>
      <c r="J614" s="1"/>
      <c r="K614" s="1"/>
      <c r="L614" s="1"/>
      <c r="M614" s="1"/>
      <c r="N614" s="1"/>
      <c r="O614" s="1"/>
      <c r="P614" s="1"/>
      <c r="Q614" s="1"/>
      <c r="R614" s="1"/>
      <c r="S614" s="1"/>
      <c r="T614" s="1"/>
      <c r="U614" s="1"/>
      <c r="V614" s="1"/>
      <c r="W614" s="1"/>
      <c r="X614" s="1"/>
    </row>
    <row r="615" spans="1:24" ht="15.75" customHeight="1" x14ac:dyDescent="0.3">
      <c r="A615" s="1"/>
      <c r="B615" s="1"/>
      <c r="C615" s="2"/>
      <c r="D615" s="1"/>
      <c r="E615" s="1"/>
      <c r="F615" s="3"/>
      <c r="G615" s="1"/>
      <c r="H615" s="1"/>
      <c r="I615" s="1"/>
      <c r="J615" s="1"/>
      <c r="K615" s="1"/>
      <c r="L615" s="1"/>
      <c r="M615" s="1"/>
      <c r="N615" s="1"/>
      <c r="O615" s="1"/>
      <c r="P615" s="1"/>
      <c r="Q615" s="1"/>
      <c r="R615" s="1"/>
      <c r="S615" s="1"/>
      <c r="T615" s="1"/>
      <c r="U615" s="1"/>
      <c r="V615" s="1"/>
      <c r="W615" s="1"/>
      <c r="X615" s="1"/>
    </row>
    <row r="616" spans="1:24" ht="15.75" customHeight="1" x14ac:dyDescent="0.3">
      <c r="A616" s="1"/>
      <c r="B616" s="1"/>
      <c r="C616" s="2"/>
      <c r="D616" s="1"/>
      <c r="E616" s="1"/>
      <c r="F616" s="3"/>
      <c r="G616" s="1"/>
      <c r="H616" s="1"/>
      <c r="I616" s="1"/>
      <c r="J616" s="1"/>
      <c r="K616" s="1"/>
      <c r="L616" s="1"/>
      <c r="M616" s="1"/>
      <c r="N616" s="1"/>
      <c r="O616" s="1"/>
      <c r="P616" s="1"/>
      <c r="Q616" s="1"/>
      <c r="R616" s="1"/>
      <c r="S616" s="1"/>
      <c r="T616" s="1"/>
      <c r="U616" s="1"/>
      <c r="V616" s="1"/>
      <c r="W616" s="1"/>
      <c r="X616" s="1"/>
    </row>
    <row r="617" spans="1:24" ht="15.75" customHeight="1" x14ac:dyDescent="0.3">
      <c r="A617" s="1"/>
      <c r="B617" s="1"/>
      <c r="C617" s="2"/>
      <c r="D617" s="1"/>
      <c r="E617" s="1"/>
      <c r="F617" s="3"/>
      <c r="G617" s="1"/>
      <c r="H617" s="1"/>
      <c r="I617" s="1"/>
      <c r="J617" s="1"/>
      <c r="K617" s="1"/>
      <c r="L617" s="1"/>
      <c r="M617" s="1"/>
      <c r="N617" s="1"/>
      <c r="O617" s="1"/>
      <c r="P617" s="1"/>
      <c r="Q617" s="1"/>
      <c r="R617" s="1"/>
      <c r="S617" s="1"/>
      <c r="T617" s="1"/>
      <c r="U617" s="1"/>
      <c r="V617" s="1"/>
      <c r="W617" s="1"/>
      <c r="X617" s="1"/>
    </row>
    <row r="618" spans="1:24" ht="15.75" customHeight="1" x14ac:dyDescent="0.3">
      <c r="A618" s="1"/>
      <c r="B618" s="1"/>
      <c r="C618" s="2"/>
      <c r="D618" s="1"/>
      <c r="E618" s="1"/>
      <c r="F618" s="3"/>
      <c r="G618" s="1"/>
      <c r="H618" s="1"/>
      <c r="I618" s="1"/>
      <c r="J618" s="1"/>
      <c r="K618" s="1"/>
      <c r="L618" s="1"/>
      <c r="M618" s="1"/>
      <c r="N618" s="1"/>
      <c r="O618" s="1"/>
      <c r="P618" s="1"/>
      <c r="Q618" s="1"/>
      <c r="R618" s="1"/>
      <c r="S618" s="1"/>
      <c r="T618" s="1"/>
      <c r="U618" s="1"/>
      <c r="V618" s="1"/>
      <c r="W618" s="1"/>
      <c r="X618" s="1"/>
    </row>
    <row r="619" spans="1:24" ht="15.75" customHeight="1" x14ac:dyDescent="0.3">
      <c r="A619" s="1"/>
      <c r="B619" s="1"/>
      <c r="C619" s="2"/>
      <c r="D619" s="1"/>
      <c r="E619" s="1"/>
      <c r="F619" s="3"/>
      <c r="G619" s="1"/>
      <c r="H619" s="1"/>
      <c r="I619" s="1"/>
      <c r="J619" s="1"/>
      <c r="K619" s="1"/>
      <c r="L619" s="1"/>
      <c r="M619" s="1"/>
      <c r="N619" s="1"/>
      <c r="O619" s="1"/>
      <c r="P619" s="1"/>
      <c r="Q619" s="1"/>
      <c r="R619" s="1"/>
      <c r="S619" s="1"/>
      <c r="T619" s="1"/>
      <c r="U619" s="1"/>
      <c r="V619" s="1"/>
      <c r="W619" s="1"/>
      <c r="X619" s="1"/>
    </row>
    <row r="620" spans="1:24" ht="15.75" customHeight="1" x14ac:dyDescent="0.3">
      <c r="A620" s="1"/>
      <c r="B620" s="1"/>
      <c r="C620" s="2"/>
      <c r="D620" s="1"/>
      <c r="E620" s="1"/>
      <c r="F620" s="3"/>
      <c r="G620" s="1"/>
      <c r="H620" s="1"/>
      <c r="I620" s="1"/>
      <c r="J620" s="1"/>
      <c r="K620" s="1"/>
      <c r="L620" s="1"/>
      <c r="M620" s="1"/>
      <c r="N620" s="1"/>
      <c r="O620" s="1"/>
      <c r="P620" s="1"/>
      <c r="Q620" s="1"/>
      <c r="R620" s="1"/>
      <c r="S620" s="1"/>
      <c r="T620" s="1"/>
      <c r="U620" s="1"/>
      <c r="V620" s="1"/>
      <c r="W620" s="1"/>
      <c r="X620" s="1"/>
    </row>
    <row r="621" spans="1:24" ht="15.75" customHeight="1" x14ac:dyDescent="0.3">
      <c r="A621" s="1"/>
      <c r="B621" s="1"/>
      <c r="C621" s="2"/>
      <c r="D621" s="1"/>
      <c r="E621" s="1"/>
      <c r="F621" s="3"/>
      <c r="G621" s="1"/>
      <c r="H621" s="1"/>
      <c r="I621" s="1"/>
      <c r="J621" s="1"/>
      <c r="K621" s="1"/>
      <c r="L621" s="1"/>
      <c r="M621" s="1"/>
      <c r="N621" s="1"/>
      <c r="O621" s="1"/>
      <c r="P621" s="1"/>
      <c r="Q621" s="1"/>
      <c r="R621" s="1"/>
      <c r="S621" s="1"/>
      <c r="T621" s="1"/>
      <c r="U621" s="1"/>
      <c r="V621" s="1"/>
      <c r="W621" s="1"/>
      <c r="X621" s="1"/>
    </row>
    <row r="622" spans="1:24" ht="15.75" customHeight="1" x14ac:dyDescent="0.3">
      <c r="A622" s="1"/>
      <c r="B622" s="1"/>
      <c r="C622" s="2"/>
      <c r="D622" s="1"/>
      <c r="E622" s="1"/>
      <c r="F622" s="3"/>
      <c r="G622" s="1"/>
      <c r="H622" s="1"/>
      <c r="I622" s="1"/>
      <c r="J622" s="1"/>
      <c r="K622" s="1"/>
      <c r="L622" s="1"/>
      <c r="M622" s="1"/>
      <c r="N622" s="1"/>
      <c r="O622" s="1"/>
      <c r="P622" s="1"/>
      <c r="Q622" s="1"/>
      <c r="R622" s="1"/>
      <c r="S622" s="1"/>
      <c r="T622" s="1"/>
      <c r="U622" s="1"/>
      <c r="V622" s="1"/>
      <c r="W622" s="1"/>
      <c r="X622" s="1"/>
    </row>
    <row r="623" spans="1:24" ht="15.75" customHeight="1" x14ac:dyDescent="0.3">
      <c r="A623" s="1"/>
      <c r="B623" s="1"/>
      <c r="C623" s="2"/>
      <c r="D623" s="1"/>
      <c r="E623" s="1"/>
      <c r="F623" s="3"/>
      <c r="G623" s="1"/>
      <c r="H623" s="1"/>
      <c r="I623" s="1"/>
      <c r="J623" s="1"/>
      <c r="K623" s="1"/>
      <c r="L623" s="1"/>
      <c r="M623" s="1"/>
      <c r="N623" s="1"/>
      <c r="O623" s="1"/>
      <c r="P623" s="1"/>
      <c r="Q623" s="1"/>
      <c r="R623" s="1"/>
      <c r="S623" s="1"/>
      <c r="T623" s="1"/>
      <c r="U623" s="1"/>
      <c r="V623" s="1"/>
      <c r="W623" s="1"/>
      <c r="X623" s="1"/>
    </row>
    <row r="624" spans="1:24" ht="15.75" customHeight="1" x14ac:dyDescent="0.3">
      <c r="A624" s="1"/>
      <c r="B624" s="1"/>
      <c r="C624" s="2"/>
      <c r="D624" s="1"/>
      <c r="E624" s="1"/>
      <c r="F624" s="3"/>
      <c r="G624" s="1"/>
      <c r="H624" s="1"/>
      <c r="I624" s="1"/>
      <c r="J624" s="1"/>
      <c r="K624" s="1"/>
      <c r="L624" s="1"/>
      <c r="M624" s="1"/>
      <c r="N624" s="1"/>
      <c r="O624" s="1"/>
      <c r="P624" s="1"/>
      <c r="Q624" s="1"/>
      <c r="R624" s="1"/>
      <c r="S624" s="1"/>
      <c r="T624" s="1"/>
      <c r="U624" s="1"/>
      <c r="V624" s="1"/>
      <c r="W624" s="1"/>
      <c r="X624" s="1"/>
    </row>
    <row r="625" spans="1:24" ht="15.75" customHeight="1" x14ac:dyDescent="0.3">
      <c r="A625" s="1"/>
      <c r="B625" s="1"/>
      <c r="C625" s="2"/>
      <c r="D625" s="1"/>
      <c r="E625" s="1"/>
      <c r="F625" s="3"/>
      <c r="G625" s="1"/>
      <c r="H625" s="1"/>
      <c r="I625" s="1"/>
      <c r="J625" s="1"/>
      <c r="K625" s="1"/>
      <c r="L625" s="1"/>
      <c r="M625" s="1"/>
      <c r="N625" s="1"/>
      <c r="O625" s="1"/>
      <c r="P625" s="1"/>
      <c r="Q625" s="1"/>
      <c r="R625" s="1"/>
      <c r="S625" s="1"/>
      <c r="T625" s="1"/>
      <c r="U625" s="1"/>
      <c r="V625" s="1"/>
      <c r="W625" s="1"/>
      <c r="X625" s="1"/>
    </row>
    <row r="626" spans="1:24" ht="15.75" customHeight="1" x14ac:dyDescent="0.3">
      <c r="A626" s="1"/>
      <c r="B626" s="1"/>
      <c r="C626" s="2"/>
      <c r="D626" s="1"/>
      <c r="E626" s="1"/>
      <c r="F626" s="3"/>
      <c r="G626" s="1"/>
      <c r="H626" s="1"/>
      <c r="I626" s="1"/>
      <c r="J626" s="1"/>
      <c r="K626" s="1"/>
      <c r="L626" s="1"/>
      <c r="M626" s="1"/>
      <c r="N626" s="1"/>
      <c r="O626" s="1"/>
      <c r="P626" s="1"/>
      <c r="Q626" s="1"/>
      <c r="R626" s="1"/>
      <c r="S626" s="1"/>
      <c r="T626" s="1"/>
      <c r="U626" s="1"/>
      <c r="V626" s="1"/>
      <c r="W626" s="1"/>
      <c r="X626" s="1"/>
    </row>
    <row r="627" spans="1:24" ht="15.75" customHeight="1" x14ac:dyDescent="0.3">
      <c r="A627" s="1"/>
      <c r="B627" s="1"/>
      <c r="C627" s="2"/>
      <c r="D627" s="1"/>
      <c r="E627" s="1"/>
      <c r="F627" s="3"/>
      <c r="G627" s="1"/>
      <c r="H627" s="1"/>
      <c r="I627" s="1"/>
      <c r="J627" s="1"/>
      <c r="K627" s="1"/>
      <c r="L627" s="1"/>
      <c r="M627" s="1"/>
      <c r="N627" s="1"/>
      <c r="O627" s="1"/>
      <c r="P627" s="1"/>
      <c r="Q627" s="1"/>
      <c r="R627" s="1"/>
      <c r="S627" s="1"/>
      <c r="T627" s="1"/>
      <c r="U627" s="1"/>
      <c r="V627" s="1"/>
      <c r="W627" s="1"/>
      <c r="X627" s="1"/>
    </row>
    <row r="628" spans="1:24" ht="15.75" customHeight="1" x14ac:dyDescent="0.3">
      <c r="A628" s="1"/>
      <c r="B628" s="1"/>
      <c r="C628" s="2"/>
      <c r="D628" s="1"/>
      <c r="E628" s="1"/>
      <c r="F628" s="3"/>
      <c r="G628" s="1"/>
      <c r="H628" s="1"/>
      <c r="I628" s="1"/>
      <c r="J628" s="1"/>
      <c r="K628" s="1"/>
      <c r="L628" s="1"/>
      <c r="M628" s="1"/>
      <c r="N628" s="1"/>
      <c r="O628" s="1"/>
      <c r="P628" s="1"/>
      <c r="Q628" s="1"/>
      <c r="R628" s="1"/>
      <c r="S628" s="1"/>
      <c r="T628" s="1"/>
      <c r="U628" s="1"/>
      <c r="V628" s="1"/>
      <c r="W628" s="1"/>
      <c r="X628" s="1"/>
    </row>
    <row r="629" spans="1:24" ht="15.75" customHeight="1" x14ac:dyDescent="0.3">
      <c r="A629" s="1"/>
      <c r="B629" s="1"/>
      <c r="C629" s="2"/>
      <c r="D629" s="1"/>
      <c r="E629" s="1"/>
      <c r="F629" s="3"/>
      <c r="G629" s="1"/>
      <c r="H629" s="1"/>
      <c r="I629" s="1"/>
      <c r="J629" s="1"/>
      <c r="K629" s="1"/>
      <c r="L629" s="1"/>
      <c r="M629" s="1"/>
      <c r="N629" s="1"/>
      <c r="O629" s="1"/>
      <c r="P629" s="1"/>
      <c r="Q629" s="1"/>
      <c r="R629" s="1"/>
      <c r="S629" s="1"/>
      <c r="T629" s="1"/>
      <c r="U629" s="1"/>
      <c r="V629" s="1"/>
      <c r="W629" s="1"/>
      <c r="X629" s="1"/>
    </row>
    <row r="630" spans="1:24" ht="15.75" customHeight="1" x14ac:dyDescent="0.3">
      <c r="A630" s="1"/>
      <c r="B630" s="1"/>
      <c r="C630" s="2"/>
      <c r="D630" s="1"/>
      <c r="E630" s="1"/>
      <c r="F630" s="3"/>
      <c r="G630" s="1"/>
      <c r="H630" s="1"/>
      <c r="I630" s="1"/>
      <c r="J630" s="1"/>
      <c r="K630" s="1"/>
      <c r="L630" s="1"/>
      <c r="M630" s="1"/>
      <c r="N630" s="1"/>
      <c r="O630" s="1"/>
      <c r="P630" s="1"/>
      <c r="Q630" s="1"/>
      <c r="R630" s="1"/>
      <c r="S630" s="1"/>
      <c r="T630" s="1"/>
      <c r="U630" s="1"/>
      <c r="V630" s="1"/>
      <c r="W630" s="1"/>
      <c r="X630" s="1"/>
    </row>
    <row r="631" spans="1:24" ht="15.75" customHeight="1" x14ac:dyDescent="0.3">
      <c r="A631" s="1"/>
      <c r="B631" s="1"/>
      <c r="C631" s="2"/>
      <c r="D631" s="1"/>
      <c r="E631" s="1"/>
      <c r="F631" s="3"/>
      <c r="G631" s="1"/>
      <c r="H631" s="1"/>
      <c r="I631" s="1"/>
      <c r="J631" s="1"/>
      <c r="K631" s="1"/>
      <c r="L631" s="1"/>
      <c r="M631" s="1"/>
      <c r="N631" s="1"/>
      <c r="O631" s="1"/>
      <c r="P631" s="1"/>
      <c r="Q631" s="1"/>
      <c r="R631" s="1"/>
      <c r="S631" s="1"/>
      <c r="T631" s="1"/>
      <c r="U631" s="1"/>
      <c r="V631" s="1"/>
      <c r="W631" s="1"/>
      <c r="X631" s="1"/>
    </row>
    <row r="632" spans="1:24" ht="15.75" customHeight="1" x14ac:dyDescent="0.3">
      <c r="A632" s="1"/>
      <c r="B632" s="1"/>
      <c r="C632" s="2"/>
      <c r="D632" s="1"/>
      <c r="E632" s="1"/>
      <c r="F632" s="3"/>
      <c r="G632" s="1"/>
      <c r="H632" s="1"/>
      <c r="I632" s="1"/>
      <c r="J632" s="1"/>
      <c r="K632" s="1"/>
      <c r="L632" s="1"/>
      <c r="M632" s="1"/>
      <c r="N632" s="1"/>
      <c r="O632" s="1"/>
      <c r="P632" s="1"/>
      <c r="Q632" s="1"/>
      <c r="R632" s="1"/>
      <c r="S632" s="1"/>
      <c r="T632" s="1"/>
      <c r="U632" s="1"/>
      <c r="V632" s="1"/>
      <c r="W632" s="1"/>
      <c r="X632" s="1"/>
    </row>
    <row r="633" spans="1:24" ht="15.75" customHeight="1" x14ac:dyDescent="0.3">
      <c r="A633" s="1"/>
      <c r="B633" s="1"/>
      <c r="C633" s="2"/>
      <c r="D633" s="1"/>
      <c r="E633" s="1"/>
      <c r="F633" s="3"/>
      <c r="G633" s="1"/>
      <c r="H633" s="1"/>
      <c r="I633" s="1"/>
      <c r="J633" s="1"/>
      <c r="K633" s="1"/>
      <c r="L633" s="1"/>
      <c r="M633" s="1"/>
      <c r="N633" s="1"/>
      <c r="O633" s="1"/>
      <c r="P633" s="1"/>
      <c r="Q633" s="1"/>
      <c r="R633" s="1"/>
      <c r="S633" s="1"/>
      <c r="T633" s="1"/>
      <c r="U633" s="1"/>
      <c r="V633" s="1"/>
      <c r="W633" s="1"/>
      <c r="X633" s="1"/>
    </row>
    <row r="634" spans="1:24" ht="15.75" customHeight="1" x14ac:dyDescent="0.3">
      <c r="A634" s="1"/>
      <c r="B634" s="1"/>
      <c r="C634" s="2"/>
      <c r="D634" s="1"/>
      <c r="E634" s="1"/>
      <c r="F634" s="3"/>
      <c r="G634" s="1"/>
      <c r="H634" s="1"/>
      <c r="I634" s="1"/>
      <c r="J634" s="1"/>
      <c r="K634" s="1"/>
      <c r="L634" s="1"/>
      <c r="M634" s="1"/>
      <c r="N634" s="1"/>
      <c r="O634" s="1"/>
      <c r="P634" s="1"/>
      <c r="Q634" s="1"/>
      <c r="R634" s="1"/>
      <c r="S634" s="1"/>
      <c r="T634" s="1"/>
      <c r="U634" s="1"/>
      <c r="V634" s="1"/>
      <c r="W634" s="1"/>
      <c r="X634" s="1"/>
    </row>
    <row r="635" spans="1:24" ht="15.75" customHeight="1" x14ac:dyDescent="0.3">
      <c r="A635" s="1"/>
      <c r="B635" s="1"/>
      <c r="C635" s="2"/>
      <c r="D635" s="1"/>
      <c r="E635" s="1"/>
      <c r="F635" s="3"/>
      <c r="G635" s="1"/>
      <c r="H635" s="1"/>
      <c r="I635" s="1"/>
      <c r="J635" s="1"/>
      <c r="K635" s="1"/>
      <c r="L635" s="1"/>
      <c r="M635" s="1"/>
      <c r="N635" s="1"/>
      <c r="O635" s="1"/>
      <c r="P635" s="1"/>
      <c r="Q635" s="1"/>
      <c r="R635" s="1"/>
      <c r="S635" s="1"/>
      <c r="T635" s="1"/>
      <c r="U635" s="1"/>
      <c r="V635" s="1"/>
      <c r="W635" s="1"/>
      <c r="X635" s="1"/>
    </row>
    <row r="636" spans="1:24" ht="15.75" customHeight="1" x14ac:dyDescent="0.3">
      <c r="A636" s="1"/>
      <c r="B636" s="1"/>
      <c r="C636" s="2"/>
      <c r="D636" s="1"/>
      <c r="E636" s="1"/>
      <c r="F636" s="3"/>
      <c r="G636" s="1"/>
      <c r="H636" s="1"/>
      <c r="I636" s="1"/>
      <c r="J636" s="1"/>
      <c r="K636" s="1"/>
      <c r="L636" s="1"/>
      <c r="M636" s="1"/>
      <c r="N636" s="1"/>
      <c r="O636" s="1"/>
      <c r="P636" s="1"/>
      <c r="Q636" s="1"/>
      <c r="R636" s="1"/>
      <c r="S636" s="1"/>
      <c r="T636" s="1"/>
      <c r="U636" s="1"/>
      <c r="V636" s="1"/>
      <c r="W636" s="1"/>
      <c r="X636" s="1"/>
    </row>
    <row r="637" spans="1:24" ht="15.75" customHeight="1" x14ac:dyDescent="0.3">
      <c r="A637" s="1"/>
      <c r="B637" s="1"/>
      <c r="C637" s="2"/>
      <c r="D637" s="1"/>
      <c r="E637" s="1"/>
      <c r="F637" s="3"/>
      <c r="G637" s="1"/>
      <c r="H637" s="1"/>
      <c r="I637" s="1"/>
      <c r="J637" s="1"/>
      <c r="K637" s="1"/>
      <c r="L637" s="1"/>
      <c r="M637" s="1"/>
      <c r="N637" s="1"/>
      <c r="O637" s="1"/>
      <c r="P637" s="1"/>
      <c r="Q637" s="1"/>
      <c r="R637" s="1"/>
      <c r="S637" s="1"/>
      <c r="T637" s="1"/>
      <c r="U637" s="1"/>
      <c r="V637" s="1"/>
      <c r="W637" s="1"/>
      <c r="X637" s="1"/>
    </row>
    <row r="638" spans="1:24" ht="15.75" customHeight="1" x14ac:dyDescent="0.3">
      <c r="A638" s="1"/>
      <c r="B638" s="1"/>
      <c r="C638" s="2"/>
      <c r="D638" s="1"/>
      <c r="E638" s="1"/>
      <c r="F638" s="3"/>
      <c r="G638" s="1"/>
      <c r="H638" s="1"/>
      <c r="I638" s="1"/>
      <c r="J638" s="1"/>
      <c r="K638" s="1"/>
      <c r="L638" s="1"/>
      <c r="M638" s="1"/>
      <c r="N638" s="1"/>
      <c r="O638" s="1"/>
      <c r="P638" s="1"/>
      <c r="Q638" s="1"/>
      <c r="R638" s="1"/>
      <c r="S638" s="1"/>
      <c r="T638" s="1"/>
      <c r="U638" s="1"/>
      <c r="V638" s="1"/>
      <c r="W638" s="1"/>
      <c r="X638" s="1"/>
    </row>
    <row r="639" spans="1:24" ht="15.75" customHeight="1" x14ac:dyDescent="0.3">
      <c r="A639" s="1"/>
      <c r="B639" s="1"/>
      <c r="C639" s="2"/>
      <c r="D639" s="1"/>
      <c r="E639" s="1"/>
      <c r="F639" s="3"/>
      <c r="G639" s="1"/>
      <c r="H639" s="1"/>
      <c r="I639" s="1"/>
      <c r="J639" s="1"/>
      <c r="K639" s="1"/>
      <c r="L639" s="1"/>
      <c r="M639" s="1"/>
      <c r="N639" s="1"/>
      <c r="O639" s="1"/>
      <c r="P639" s="1"/>
      <c r="Q639" s="1"/>
      <c r="R639" s="1"/>
      <c r="S639" s="1"/>
      <c r="T639" s="1"/>
      <c r="U639" s="1"/>
      <c r="V639" s="1"/>
      <c r="W639" s="1"/>
      <c r="X639" s="1"/>
    </row>
    <row r="640" spans="1:24" ht="15.75" customHeight="1" x14ac:dyDescent="0.3">
      <c r="A640" s="1"/>
      <c r="B640" s="1"/>
      <c r="C640" s="2"/>
      <c r="D640" s="1"/>
      <c r="E640" s="1"/>
      <c r="F640" s="3"/>
      <c r="G640" s="1"/>
      <c r="H640" s="1"/>
      <c r="I640" s="1"/>
      <c r="J640" s="1"/>
      <c r="K640" s="1"/>
      <c r="L640" s="1"/>
      <c r="M640" s="1"/>
      <c r="N640" s="1"/>
      <c r="O640" s="1"/>
      <c r="P640" s="1"/>
      <c r="Q640" s="1"/>
      <c r="R640" s="1"/>
      <c r="S640" s="1"/>
      <c r="T640" s="1"/>
      <c r="U640" s="1"/>
      <c r="V640" s="1"/>
      <c r="W640" s="1"/>
      <c r="X640" s="1"/>
    </row>
    <row r="641" spans="1:24" ht="15.75" customHeight="1" x14ac:dyDescent="0.3">
      <c r="A641" s="1"/>
      <c r="B641" s="1"/>
      <c r="C641" s="2"/>
      <c r="D641" s="1"/>
      <c r="E641" s="1"/>
      <c r="F641" s="3"/>
      <c r="G641" s="1"/>
      <c r="H641" s="1"/>
      <c r="I641" s="1"/>
      <c r="J641" s="1"/>
      <c r="K641" s="1"/>
      <c r="L641" s="1"/>
      <c r="M641" s="1"/>
      <c r="N641" s="1"/>
      <c r="O641" s="1"/>
      <c r="P641" s="1"/>
      <c r="Q641" s="1"/>
      <c r="R641" s="1"/>
      <c r="S641" s="1"/>
      <c r="T641" s="1"/>
      <c r="U641" s="1"/>
      <c r="V641" s="1"/>
      <c r="W641" s="1"/>
      <c r="X641" s="1"/>
    </row>
    <row r="642" spans="1:24" ht="15.75" customHeight="1" x14ac:dyDescent="0.3">
      <c r="A642" s="1"/>
      <c r="B642" s="1"/>
      <c r="C642" s="2"/>
      <c r="D642" s="1"/>
      <c r="E642" s="1"/>
      <c r="F642" s="3"/>
      <c r="G642" s="1"/>
      <c r="H642" s="1"/>
      <c r="I642" s="1"/>
      <c r="J642" s="1"/>
      <c r="K642" s="1"/>
      <c r="L642" s="1"/>
      <c r="M642" s="1"/>
      <c r="N642" s="1"/>
      <c r="O642" s="1"/>
      <c r="P642" s="1"/>
      <c r="Q642" s="1"/>
      <c r="R642" s="1"/>
      <c r="S642" s="1"/>
      <c r="T642" s="1"/>
      <c r="U642" s="1"/>
      <c r="V642" s="1"/>
      <c r="W642" s="1"/>
      <c r="X642" s="1"/>
    </row>
    <row r="643" spans="1:24" ht="15.75" customHeight="1" x14ac:dyDescent="0.3">
      <c r="A643" s="1"/>
      <c r="B643" s="1"/>
      <c r="C643" s="2"/>
      <c r="D643" s="1"/>
      <c r="E643" s="1"/>
      <c r="F643" s="3"/>
      <c r="G643" s="1"/>
      <c r="H643" s="1"/>
      <c r="I643" s="1"/>
      <c r="J643" s="1"/>
      <c r="K643" s="1"/>
      <c r="L643" s="1"/>
      <c r="M643" s="1"/>
      <c r="N643" s="1"/>
      <c r="O643" s="1"/>
      <c r="P643" s="1"/>
      <c r="Q643" s="1"/>
      <c r="R643" s="1"/>
      <c r="S643" s="1"/>
      <c r="T643" s="1"/>
      <c r="U643" s="1"/>
      <c r="V643" s="1"/>
      <c r="W643" s="1"/>
      <c r="X643" s="1"/>
    </row>
    <row r="644" spans="1:24" ht="15.75" customHeight="1" x14ac:dyDescent="0.3">
      <c r="A644" s="1"/>
      <c r="B644" s="1"/>
      <c r="C644" s="2"/>
      <c r="D644" s="1"/>
      <c r="E644" s="1"/>
      <c r="F644" s="3"/>
      <c r="G644" s="1"/>
      <c r="H644" s="1"/>
      <c r="I644" s="1"/>
      <c r="J644" s="1"/>
      <c r="K644" s="1"/>
      <c r="L644" s="1"/>
      <c r="M644" s="1"/>
      <c r="N644" s="1"/>
      <c r="O644" s="1"/>
      <c r="P644" s="1"/>
      <c r="Q644" s="1"/>
      <c r="R644" s="1"/>
      <c r="S644" s="1"/>
      <c r="T644" s="1"/>
      <c r="U644" s="1"/>
      <c r="V644" s="1"/>
      <c r="W644" s="1"/>
      <c r="X644" s="1"/>
    </row>
    <row r="645" spans="1:24" ht="15.75" customHeight="1" x14ac:dyDescent="0.3">
      <c r="A645" s="1"/>
      <c r="B645" s="1"/>
      <c r="C645" s="2"/>
      <c r="D645" s="1"/>
      <c r="E645" s="1"/>
      <c r="F645" s="3"/>
      <c r="G645" s="1"/>
      <c r="H645" s="1"/>
      <c r="I645" s="1"/>
      <c r="J645" s="1"/>
      <c r="K645" s="1"/>
      <c r="L645" s="1"/>
      <c r="M645" s="1"/>
      <c r="N645" s="1"/>
      <c r="O645" s="1"/>
      <c r="P645" s="1"/>
      <c r="Q645" s="1"/>
      <c r="R645" s="1"/>
      <c r="S645" s="1"/>
      <c r="T645" s="1"/>
      <c r="U645" s="1"/>
      <c r="V645" s="1"/>
      <c r="W645" s="1"/>
      <c r="X645" s="1"/>
    </row>
    <row r="646" spans="1:24" ht="15.75" customHeight="1" x14ac:dyDescent="0.3">
      <c r="A646" s="1"/>
      <c r="B646" s="1"/>
      <c r="C646" s="2"/>
      <c r="D646" s="1"/>
      <c r="E646" s="1"/>
      <c r="F646" s="3"/>
      <c r="G646" s="1"/>
      <c r="H646" s="1"/>
      <c r="I646" s="1"/>
      <c r="J646" s="1"/>
      <c r="K646" s="1"/>
      <c r="L646" s="1"/>
      <c r="M646" s="1"/>
      <c r="N646" s="1"/>
      <c r="O646" s="1"/>
      <c r="P646" s="1"/>
      <c r="Q646" s="1"/>
      <c r="R646" s="1"/>
      <c r="S646" s="1"/>
      <c r="T646" s="1"/>
      <c r="U646" s="1"/>
      <c r="V646" s="1"/>
      <c r="W646" s="1"/>
      <c r="X646" s="1"/>
    </row>
    <row r="647" spans="1:24" ht="15.75" customHeight="1" x14ac:dyDescent="0.3">
      <c r="A647" s="1"/>
      <c r="B647" s="1"/>
      <c r="C647" s="2"/>
      <c r="D647" s="1"/>
      <c r="E647" s="1"/>
      <c r="F647" s="3"/>
      <c r="G647" s="1"/>
      <c r="H647" s="1"/>
      <c r="I647" s="1"/>
      <c r="J647" s="1"/>
      <c r="K647" s="1"/>
      <c r="L647" s="1"/>
      <c r="M647" s="1"/>
      <c r="N647" s="1"/>
      <c r="O647" s="1"/>
      <c r="P647" s="1"/>
      <c r="Q647" s="1"/>
      <c r="R647" s="1"/>
      <c r="S647" s="1"/>
      <c r="T647" s="1"/>
      <c r="U647" s="1"/>
      <c r="V647" s="1"/>
      <c r="W647" s="1"/>
      <c r="X647" s="1"/>
    </row>
    <row r="648" spans="1:24" ht="15.75" customHeight="1" x14ac:dyDescent="0.3">
      <c r="A648" s="1"/>
      <c r="B648" s="1"/>
      <c r="C648" s="2"/>
      <c r="D648" s="1"/>
      <c r="E648" s="1"/>
      <c r="F648" s="3"/>
      <c r="G648" s="1"/>
      <c r="H648" s="1"/>
      <c r="I648" s="1"/>
      <c r="J648" s="1"/>
      <c r="K648" s="1"/>
      <c r="L648" s="1"/>
      <c r="M648" s="1"/>
      <c r="N648" s="1"/>
      <c r="O648" s="1"/>
      <c r="P648" s="1"/>
      <c r="Q648" s="1"/>
      <c r="R648" s="1"/>
      <c r="S648" s="1"/>
      <c r="T648" s="1"/>
      <c r="U648" s="1"/>
      <c r="V648" s="1"/>
      <c r="W648" s="1"/>
      <c r="X648" s="1"/>
    </row>
    <row r="649" spans="1:24" ht="15.75" customHeight="1" x14ac:dyDescent="0.3">
      <c r="A649" s="1"/>
      <c r="B649" s="1"/>
      <c r="C649" s="2"/>
      <c r="D649" s="1"/>
      <c r="E649" s="1"/>
      <c r="F649" s="3"/>
      <c r="G649" s="1"/>
      <c r="H649" s="1"/>
      <c r="I649" s="1"/>
      <c r="J649" s="1"/>
      <c r="K649" s="1"/>
      <c r="L649" s="1"/>
      <c r="M649" s="1"/>
      <c r="N649" s="1"/>
      <c r="O649" s="1"/>
      <c r="P649" s="1"/>
      <c r="Q649" s="1"/>
      <c r="R649" s="1"/>
      <c r="S649" s="1"/>
      <c r="T649" s="1"/>
      <c r="U649" s="1"/>
      <c r="V649" s="1"/>
      <c r="W649" s="1"/>
      <c r="X649" s="1"/>
    </row>
    <row r="650" spans="1:24" ht="15.75" customHeight="1" x14ac:dyDescent="0.3">
      <c r="A650" s="1"/>
      <c r="B650" s="1"/>
      <c r="C650" s="2"/>
      <c r="D650" s="1"/>
      <c r="E650" s="1"/>
      <c r="F650" s="3"/>
      <c r="G650" s="1"/>
      <c r="H650" s="1"/>
      <c r="I650" s="1"/>
      <c r="J650" s="1"/>
      <c r="K650" s="1"/>
      <c r="L650" s="1"/>
      <c r="M650" s="1"/>
      <c r="N650" s="1"/>
      <c r="O650" s="1"/>
      <c r="P650" s="1"/>
      <c r="Q650" s="1"/>
      <c r="R650" s="1"/>
      <c r="S650" s="1"/>
      <c r="T650" s="1"/>
      <c r="U650" s="1"/>
      <c r="V650" s="1"/>
      <c r="W650" s="1"/>
      <c r="X650" s="1"/>
    </row>
    <row r="651" spans="1:24" ht="15.75" customHeight="1" x14ac:dyDescent="0.3">
      <c r="A651" s="1"/>
      <c r="B651" s="1"/>
      <c r="C651" s="2"/>
      <c r="D651" s="1"/>
      <c r="E651" s="1"/>
      <c r="F651" s="3"/>
      <c r="G651" s="1"/>
      <c r="H651" s="1"/>
      <c r="I651" s="1"/>
      <c r="J651" s="1"/>
      <c r="K651" s="1"/>
      <c r="L651" s="1"/>
      <c r="M651" s="1"/>
      <c r="N651" s="1"/>
      <c r="O651" s="1"/>
      <c r="P651" s="1"/>
      <c r="Q651" s="1"/>
      <c r="R651" s="1"/>
      <c r="S651" s="1"/>
      <c r="T651" s="1"/>
      <c r="U651" s="1"/>
      <c r="V651" s="1"/>
      <c r="W651" s="1"/>
      <c r="X651" s="1"/>
    </row>
    <row r="652" spans="1:24" ht="15.75" customHeight="1" x14ac:dyDescent="0.3">
      <c r="A652" s="1"/>
      <c r="B652" s="1"/>
      <c r="C652" s="2"/>
      <c r="D652" s="1"/>
      <c r="E652" s="1"/>
      <c r="F652" s="3"/>
      <c r="G652" s="1"/>
      <c r="H652" s="1"/>
      <c r="I652" s="1"/>
      <c r="J652" s="1"/>
      <c r="K652" s="1"/>
      <c r="L652" s="1"/>
      <c r="M652" s="1"/>
      <c r="N652" s="1"/>
      <c r="O652" s="1"/>
      <c r="P652" s="1"/>
      <c r="Q652" s="1"/>
      <c r="R652" s="1"/>
      <c r="S652" s="1"/>
      <c r="T652" s="1"/>
      <c r="U652" s="1"/>
      <c r="V652" s="1"/>
      <c r="W652" s="1"/>
      <c r="X652" s="1"/>
    </row>
    <row r="653" spans="1:24" ht="15.75" customHeight="1" x14ac:dyDescent="0.3">
      <c r="A653" s="1"/>
      <c r="B653" s="1"/>
      <c r="C653" s="2"/>
      <c r="D653" s="1"/>
      <c r="E653" s="1"/>
      <c r="F653" s="3"/>
      <c r="G653" s="1"/>
      <c r="H653" s="1"/>
      <c r="I653" s="1"/>
      <c r="J653" s="1"/>
      <c r="K653" s="1"/>
      <c r="L653" s="1"/>
      <c r="M653" s="1"/>
      <c r="N653" s="1"/>
      <c r="O653" s="1"/>
      <c r="P653" s="1"/>
      <c r="Q653" s="1"/>
      <c r="R653" s="1"/>
      <c r="S653" s="1"/>
      <c r="T653" s="1"/>
      <c r="U653" s="1"/>
      <c r="V653" s="1"/>
      <c r="W653" s="1"/>
      <c r="X653" s="1"/>
    </row>
    <row r="654" spans="1:24" ht="15.75" customHeight="1" x14ac:dyDescent="0.3">
      <c r="A654" s="1"/>
      <c r="B654" s="1"/>
      <c r="C654" s="2"/>
      <c r="D654" s="1"/>
      <c r="E654" s="1"/>
      <c r="F654" s="3"/>
      <c r="G654" s="1"/>
      <c r="H654" s="1"/>
      <c r="I654" s="1"/>
      <c r="J654" s="1"/>
      <c r="K654" s="1"/>
      <c r="L654" s="1"/>
      <c r="M654" s="1"/>
      <c r="N654" s="1"/>
      <c r="O654" s="1"/>
      <c r="P654" s="1"/>
      <c r="Q654" s="1"/>
      <c r="R654" s="1"/>
      <c r="S654" s="1"/>
      <c r="T654" s="1"/>
      <c r="U654" s="1"/>
      <c r="V654" s="1"/>
      <c r="W654" s="1"/>
      <c r="X654" s="1"/>
    </row>
    <row r="655" spans="1:24" ht="15.75" customHeight="1" x14ac:dyDescent="0.3">
      <c r="A655" s="1"/>
      <c r="B655" s="1"/>
      <c r="C655" s="2"/>
      <c r="D655" s="1"/>
      <c r="E655" s="1"/>
      <c r="F655" s="3"/>
      <c r="G655" s="1"/>
      <c r="H655" s="1"/>
      <c r="I655" s="1"/>
      <c r="J655" s="1"/>
      <c r="K655" s="1"/>
      <c r="L655" s="1"/>
      <c r="M655" s="1"/>
      <c r="N655" s="1"/>
      <c r="O655" s="1"/>
      <c r="P655" s="1"/>
      <c r="Q655" s="1"/>
      <c r="R655" s="1"/>
      <c r="S655" s="1"/>
      <c r="T655" s="1"/>
      <c r="U655" s="1"/>
      <c r="V655" s="1"/>
      <c r="W655" s="1"/>
      <c r="X655" s="1"/>
    </row>
    <row r="656" spans="1:24" ht="15.75" customHeight="1" x14ac:dyDescent="0.3">
      <c r="A656" s="1"/>
      <c r="B656" s="1"/>
      <c r="C656" s="2"/>
      <c r="D656" s="1"/>
      <c r="E656" s="1"/>
      <c r="F656" s="3"/>
      <c r="G656" s="1"/>
      <c r="H656" s="1"/>
      <c r="I656" s="1"/>
      <c r="J656" s="1"/>
      <c r="K656" s="1"/>
      <c r="L656" s="1"/>
      <c r="M656" s="1"/>
      <c r="N656" s="1"/>
      <c r="O656" s="1"/>
      <c r="P656" s="1"/>
      <c r="Q656" s="1"/>
      <c r="R656" s="1"/>
      <c r="S656" s="1"/>
      <c r="T656" s="1"/>
      <c r="U656" s="1"/>
      <c r="V656" s="1"/>
      <c r="W656" s="1"/>
      <c r="X656" s="1"/>
    </row>
    <row r="657" spans="1:24" ht="15.75" customHeight="1" x14ac:dyDescent="0.3">
      <c r="A657" s="1"/>
      <c r="B657" s="1"/>
      <c r="C657" s="2"/>
      <c r="D657" s="1"/>
      <c r="E657" s="1"/>
      <c r="F657" s="3"/>
      <c r="G657" s="1"/>
      <c r="H657" s="1"/>
      <c r="I657" s="1"/>
      <c r="J657" s="1"/>
      <c r="K657" s="1"/>
      <c r="L657" s="1"/>
      <c r="M657" s="1"/>
      <c r="N657" s="1"/>
      <c r="O657" s="1"/>
      <c r="P657" s="1"/>
      <c r="Q657" s="1"/>
      <c r="R657" s="1"/>
      <c r="S657" s="1"/>
      <c r="T657" s="1"/>
      <c r="U657" s="1"/>
      <c r="V657" s="1"/>
      <c r="W657" s="1"/>
      <c r="X657" s="1"/>
    </row>
    <row r="658" spans="1:24" ht="15.75" customHeight="1" x14ac:dyDescent="0.3">
      <c r="A658" s="1"/>
      <c r="B658" s="1"/>
      <c r="C658" s="2"/>
      <c r="D658" s="1"/>
      <c r="E658" s="1"/>
      <c r="F658" s="3"/>
      <c r="G658" s="1"/>
      <c r="H658" s="1"/>
      <c r="I658" s="1"/>
      <c r="J658" s="1"/>
      <c r="K658" s="1"/>
      <c r="L658" s="1"/>
      <c r="M658" s="1"/>
      <c r="N658" s="1"/>
      <c r="O658" s="1"/>
      <c r="P658" s="1"/>
      <c r="Q658" s="1"/>
      <c r="R658" s="1"/>
      <c r="S658" s="1"/>
      <c r="T658" s="1"/>
      <c r="U658" s="1"/>
      <c r="V658" s="1"/>
      <c r="W658" s="1"/>
      <c r="X658" s="1"/>
    </row>
    <row r="659" spans="1:24" ht="15.75" customHeight="1" x14ac:dyDescent="0.3">
      <c r="A659" s="1"/>
      <c r="B659" s="1"/>
      <c r="C659" s="2"/>
      <c r="D659" s="1"/>
      <c r="E659" s="1"/>
      <c r="F659" s="3"/>
      <c r="G659" s="1"/>
      <c r="H659" s="1"/>
      <c r="I659" s="1"/>
      <c r="J659" s="1"/>
      <c r="K659" s="1"/>
      <c r="L659" s="1"/>
      <c r="M659" s="1"/>
      <c r="N659" s="1"/>
      <c r="O659" s="1"/>
      <c r="P659" s="1"/>
      <c r="Q659" s="1"/>
      <c r="R659" s="1"/>
      <c r="S659" s="1"/>
      <c r="T659" s="1"/>
      <c r="U659" s="1"/>
      <c r="V659" s="1"/>
      <c r="W659" s="1"/>
      <c r="X659" s="1"/>
    </row>
    <row r="660" spans="1:24" ht="15.75" customHeight="1" x14ac:dyDescent="0.3">
      <c r="A660" s="1"/>
      <c r="B660" s="1"/>
      <c r="C660" s="2"/>
      <c r="D660" s="1"/>
      <c r="E660" s="1"/>
      <c r="F660" s="3"/>
      <c r="G660" s="1"/>
      <c r="H660" s="1"/>
      <c r="I660" s="1"/>
      <c r="J660" s="1"/>
      <c r="K660" s="1"/>
      <c r="L660" s="1"/>
      <c r="M660" s="1"/>
      <c r="N660" s="1"/>
      <c r="O660" s="1"/>
      <c r="P660" s="1"/>
      <c r="Q660" s="1"/>
      <c r="R660" s="1"/>
      <c r="S660" s="1"/>
      <c r="T660" s="1"/>
      <c r="U660" s="1"/>
      <c r="V660" s="1"/>
      <c r="W660" s="1"/>
      <c r="X660" s="1"/>
    </row>
    <row r="661" spans="1:24" ht="15.75" customHeight="1" x14ac:dyDescent="0.3">
      <c r="A661" s="1"/>
      <c r="B661" s="1"/>
      <c r="C661" s="2"/>
      <c r="D661" s="1"/>
      <c r="E661" s="1"/>
      <c r="F661" s="3"/>
      <c r="G661" s="1"/>
      <c r="H661" s="1"/>
      <c r="I661" s="1"/>
      <c r="J661" s="1"/>
      <c r="K661" s="1"/>
      <c r="L661" s="1"/>
      <c r="M661" s="1"/>
      <c r="N661" s="1"/>
      <c r="O661" s="1"/>
      <c r="P661" s="1"/>
      <c r="Q661" s="1"/>
      <c r="R661" s="1"/>
      <c r="S661" s="1"/>
      <c r="T661" s="1"/>
      <c r="U661" s="1"/>
      <c r="V661" s="1"/>
      <c r="W661" s="1"/>
      <c r="X661" s="1"/>
    </row>
    <row r="662" spans="1:24" ht="15.75" customHeight="1" x14ac:dyDescent="0.3">
      <c r="A662" s="1"/>
      <c r="B662" s="1"/>
      <c r="C662" s="2"/>
      <c r="D662" s="1"/>
      <c r="E662" s="1"/>
      <c r="F662" s="3"/>
      <c r="G662" s="1"/>
      <c r="H662" s="1"/>
      <c r="I662" s="1"/>
      <c r="J662" s="1"/>
      <c r="K662" s="1"/>
      <c r="L662" s="1"/>
      <c r="M662" s="1"/>
      <c r="N662" s="1"/>
      <c r="O662" s="1"/>
      <c r="P662" s="1"/>
      <c r="Q662" s="1"/>
      <c r="R662" s="1"/>
      <c r="S662" s="1"/>
      <c r="T662" s="1"/>
      <c r="U662" s="1"/>
      <c r="V662" s="1"/>
      <c r="W662" s="1"/>
      <c r="X662" s="1"/>
    </row>
    <row r="663" spans="1:24" ht="15.75" customHeight="1" x14ac:dyDescent="0.3">
      <c r="A663" s="1"/>
      <c r="B663" s="1"/>
      <c r="C663" s="2"/>
      <c r="D663" s="1"/>
      <c r="E663" s="1"/>
      <c r="F663" s="3"/>
      <c r="G663" s="1"/>
      <c r="H663" s="1"/>
      <c r="I663" s="1"/>
      <c r="J663" s="1"/>
      <c r="K663" s="1"/>
      <c r="L663" s="1"/>
      <c r="M663" s="1"/>
      <c r="N663" s="1"/>
      <c r="O663" s="1"/>
      <c r="P663" s="1"/>
      <c r="Q663" s="1"/>
      <c r="R663" s="1"/>
      <c r="S663" s="1"/>
      <c r="T663" s="1"/>
      <c r="U663" s="1"/>
      <c r="V663" s="1"/>
      <c r="W663" s="1"/>
      <c r="X663" s="1"/>
    </row>
    <row r="664" spans="1:24" ht="15.75" customHeight="1" x14ac:dyDescent="0.3">
      <c r="A664" s="1"/>
      <c r="B664" s="1"/>
      <c r="C664" s="2"/>
      <c r="D664" s="1"/>
      <c r="E664" s="1"/>
      <c r="F664" s="3"/>
      <c r="G664" s="1"/>
      <c r="H664" s="1"/>
      <c r="I664" s="1"/>
      <c r="J664" s="1"/>
      <c r="K664" s="1"/>
      <c r="L664" s="1"/>
      <c r="M664" s="1"/>
      <c r="N664" s="1"/>
      <c r="O664" s="1"/>
      <c r="P664" s="1"/>
      <c r="Q664" s="1"/>
      <c r="R664" s="1"/>
      <c r="S664" s="1"/>
      <c r="T664" s="1"/>
      <c r="U664" s="1"/>
      <c r="V664" s="1"/>
      <c r="W664" s="1"/>
      <c r="X664" s="1"/>
    </row>
    <row r="665" spans="1:24" ht="15.75" customHeight="1" x14ac:dyDescent="0.3">
      <c r="A665" s="1"/>
      <c r="B665" s="1"/>
      <c r="C665" s="2"/>
      <c r="D665" s="1"/>
      <c r="E665" s="1"/>
      <c r="F665" s="3"/>
      <c r="G665" s="1"/>
      <c r="H665" s="1"/>
      <c r="I665" s="1"/>
      <c r="J665" s="1"/>
      <c r="K665" s="1"/>
      <c r="L665" s="1"/>
      <c r="M665" s="1"/>
      <c r="N665" s="1"/>
      <c r="O665" s="1"/>
      <c r="P665" s="1"/>
      <c r="Q665" s="1"/>
      <c r="R665" s="1"/>
      <c r="S665" s="1"/>
      <c r="T665" s="1"/>
      <c r="U665" s="1"/>
      <c r="V665" s="1"/>
      <c r="W665" s="1"/>
      <c r="X665" s="1"/>
    </row>
    <row r="666" spans="1:24" ht="15.75" customHeight="1" x14ac:dyDescent="0.3">
      <c r="A666" s="1"/>
      <c r="B666" s="1"/>
      <c r="C666" s="2"/>
      <c r="D666" s="1"/>
      <c r="E666" s="1"/>
      <c r="F666" s="3"/>
      <c r="G666" s="1"/>
      <c r="H666" s="1"/>
      <c r="I666" s="1"/>
      <c r="J666" s="1"/>
      <c r="K666" s="1"/>
      <c r="L666" s="1"/>
      <c r="M666" s="1"/>
      <c r="N666" s="1"/>
      <c r="O666" s="1"/>
      <c r="P666" s="1"/>
      <c r="Q666" s="1"/>
      <c r="R666" s="1"/>
      <c r="S666" s="1"/>
      <c r="T666" s="1"/>
      <c r="U666" s="1"/>
      <c r="V666" s="1"/>
      <c r="W666" s="1"/>
      <c r="X666" s="1"/>
    </row>
    <row r="667" spans="1:24" ht="15.75" customHeight="1" x14ac:dyDescent="0.3">
      <c r="A667" s="1"/>
      <c r="B667" s="1"/>
      <c r="C667" s="2"/>
      <c r="D667" s="1"/>
      <c r="E667" s="1"/>
      <c r="F667" s="3"/>
      <c r="G667" s="1"/>
      <c r="H667" s="1"/>
      <c r="I667" s="1"/>
      <c r="J667" s="1"/>
      <c r="K667" s="1"/>
      <c r="L667" s="1"/>
      <c r="M667" s="1"/>
      <c r="N667" s="1"/>
      <c r="O667" s="1"/>
      <c r="P667" s="1"/>
      <c r="Q667" s="1"/>
      <c r="R667" s="1"/>
      <c r="S667" s="1"/>
      <c r="T667" s="1"/>
      <c r="U667" s="1"/>
      <c r="V667" s="1"/>
      <c r="W667" s="1"/>
      <c r="X667" s="1"/>
    </row>
    <row r="668" spans="1:24" ht="15.75" customHeight="1" x14ac:dyDescent="0.3">
      <c r="A668" s="1"/>
      <c r="B668" s="1"/>
      <c r="C668" s="2"/>
      <c r="D668" s="1"/>
      <c r="E668" s="1"/>
      <c r="F668" s="3"/>
      <c r="G668" s="1"/>
      <c r="H668" s="1"/>
      <c r="I668" s="1"/>
      <c r="J668" s="1"/>
      <c r="K668" s="1"/>
      <c r="L668" s="1"/>
      <c r="M668" s="1"/>
      <c r="N668" s="1"/>
      <c r="O668" s="1"/>
      <c r="P668" s="1"/>
      <c r="Q668" s="1"/>
      <c r="R668" s="1"/>
      <c r="S668" s="1"/>
      <c r="T668" s="1"/>
      <c r="U668" s="1"/>
      <c r="V668" s="1"/>
      <c r="W668" s="1"/>
      <c r="X668" s="1"/>
    </row>
    <row r="669" spans="1:24" ht="15.75" customHeight="1" x14ac:dyDescent="0.3">
      <c r="A669" s="1"/>
      <c r="B669" s="1"/>
      <c r="C669" s="2"/>
      <c r="D669" s="1"/>
      <c r="E669" s="1"/>
      <c r="F669" s="3"/>
      <c r="G669" s="1"/>
      <c r="H669" s="1"/>
      <c r="I669" s="1"/>
      <c r="J669" s="1"/>
      <c r="K669" s="1"/>
      <c r="L669" s="1"/>
      <c r="M669" s="1"/>
      <c r="N669" s="1"/>
      <c r="O669" s="1"/>
      <c r="P669" s="1"/>
      <c r="Q669" s="1"/>
      <c r="R669" s="1"/>
      <c r="S669" s="1"/>
      <c r="T669" s="1"/>
      <c r="U669" s="1"/>
      <c r="V669" s="1"/>
      <c r="W669" s="1"/>
      <c r="X669" s="1"/>
    </row>
    <row r="670" spans="1:24" ht="15.75" customHeight="1" x14ac:dyDescent="0.3">
      <c r="A670" s="1"/>
      <c r="B670" s="1"/>
      <c r="C670" s="2"/>
      <c r="D670" s="1"/>
      <c r="E670" s="1"/>
      <c r="F670" s="3"/>
      <c r="G670" s="1"/>
      <c r="H670" s="1"/>
      <c r="I670" s="1"/>
      <c r="J670" s="1"/>
      <c r="K670" s="1"/>
      <c r="L670" s="1"/>
      <c r="M670" s="1"/>
      <c r="N670" s="1"/>
      <c r="O670" s="1"/>
      <c r="P670" s="1"/>
      <c r="Q670" s="1"/>
      <c r="R670" s="1"/>
      <c r="S670" s="1"/>
      <c r="T670" s="1"/>
      <c r="U670" s="1"/>
      <c r="V670" s="1"/>
      <c r="W670" s="1"/>
      <c r="X670" s="1"/>
    </row>
    <row r="671" spans="1:24" ht="15.75" customHeight="1" x14ac:dyDescent="0.3">
      <c r="A671" s="1"/>
      <c r="B671" s="1"/>
      <c r="C671" s="2"/>
      <c r="D671" s="1"/>
      <c r="E671" s="1"/>
      <c r="F671" s="3"/>
      <c r="G671" s="1"/>
      <c r="H671" s="1"/>
      <c r="I671" s="1"/>
      <c r="J671" s="1"/>
      <c r="K671" s="1"/>
      <c r="L671" s="1"/>
      <c r="M671" s="1"/>
      <c r="N671" s="1"/>
      <c r="O671" s="1"/>
      <c r="P671" s="1"/>
      <c r="Q671" s="1"/>
      <c r="R671" s="1"/>
      <c r="S671" s="1"/>
      <c r="T671" s="1"/>
      <c r="U671" s="1"/>
      <c r="V671" s="1"/>
      <c r="W671" s="1"/>
      <c r="X671" s="1"/>
    </row>
    <row r="672" spans="1:24" ht="15.75" customHeight="1" x14ac:dyDescent="0.3">
      <c r="A672" s="1"/>
      <c r="B672" s="1"/>
      <c r="C672" s="2"/>
      <c r="D672" s="1"/>
      <c r="E672" s="1"/>
      <c r="F672" s="3"/>
      <c r="G672" s="1"/>
      <c r="H672" s="1"/>
      <c r="I672" s="1"/>
      <c r="J672" s="1"/>
      <c r="K672" s="1"/>
      <c r="L672" s="1"/>
      <c r="M672" s="1"/>
      <c r="N672" s="1"/>
      <c r="O672" s="1"/>
      <c r="P672" s="1"/>
      <c r="Q672" s="1"/>
      <c r="R672" s="1"/>
      <c r="S672" s="1"/>
      <c r="T672" s="1"/>
      <c r="U672" s="1"/>
      <c r="V672" s="1"/>
      <c r="W672" s="1"/>
      <c r="X672" s="1"/>
    </row>
    <row r="673" spans="1:24" ht="15.75" customHeight="1" x14ac:dyDescent="0.3">
      <c r="A673" s="1"/>
      <c r="B673" s="1"/>
      <c r="C673" s="2"/>
      <c r="D673" s="1"/>
      <c r="E673" s="1"/>
      <c r="F673" s="3"/>
      <c r="G673" s="1"/>
      <c r="H673" s="1"/>
      <c r="I673" s="1"/>
      <c r="J673" s="1"/>
      <c r="K673" s="1"/>
      <c r="L673" s="1"/>
      <c r="M673" s="1"/>
      <c r="N673" s="1"/>
      <c r="O673" s="1"/>
      <c r="P673" s="1"/>
      <c r="Q673" s="1"/>
      <c r="R673" s="1"/>
      <c r="S673" s="1"/>
      <c r="T673" s="1"/>
      <c r="U673" s="1"/>
      <c r="V673" s="1"/>
      <c r="W673" s="1"/>
      <c r="X673" s="1"/>
    </row>
    <row r="674" spans="1:24" ht="15.75" customHeight="1" x14ac:dyDescent="0.3">
      <c r="A674" s="1"/>
      <c r="B674" s="1"/>
      <c r="C674" s="2"/>
      <c r="D674" s="1"/>
      <c r="E674" s="1"/>
      <c r="F674" s="3"/>
      <c r="G674" s="1"/>
      <c r="H674" s="1"/>
      <c r="I674" s="1"/>
      <c r="J674" s="1"/>
      <c r="K674" s="1"/>
      <c r="L674" s="1"/>
      <c r="M674" s="1"/>
      <c r="N674" s="1"/>
      <c r="O674" s="1"/>
      <c r="P674" s="1"/>
      <c r="Q674" s="1"/>
      <c r="R674" s="1"/>
      <c r="S674" s="1"/>
      <c r="T674" s="1"/>
      <c r="U674" s="1"/>
      <c r="V674" s="1"/>
      <c r="W674" s="1"/>
      <c r="X674" s="1"/>
    </row>
    <row r="675" spans="1:24" ht="15.75" customHeight="1" x14ac:dyDescent="0.3">
      <c r="A675" s="1"/>
      <c r="B675" s="1"/>
      <c r="C675" s="2"/>
      <c r="D675" s="1"/>
      <c r="E675" s="1"/>
      <c r="F675" s="3"/>
      <c r="G675" s="1"/>
      <c r="H675" s="1"/>
      <c r="I675" s="1"/>
      <c r="J675" s="1"/>
      <c r="K675" s="1"/>
      <c r="L675" s="1"/>
      <c r="M675" s="1"/>
      <c r="N675" s="1"/>
      <c r="O675" s="1"/>
      <c r="P675" s="1"/>
      <c r="Q675" s="1"/>
      <c r="R675" s="1"/>
      <c r="S675" s="1"/>
      <c r="T675" s="1"/>
      <c r="U675" s="1"/>
      <c r="V675" s="1"/>
      <c r="W675" s="1"/>
      <c r="X675" s="1"/>
    </row>
    <row r="676" spans="1:24" ht="15.75" customHeight="1" x14ac:dyDescent="0.3">
      <c r="A676" s="1"/>
      <c r="B676" s="1"/>
      <c r="C676" s="2"/>
      <c r="D676" s="1"/>
      <c r="E676" s="1"/>
      <c r="F676" s="3"/>
      <c r="G676" s="1"/>
      <c r="H676" s="1"/>
      <c r="I676" s="1"/>
      <c r="J676" s="1"/>
      <c r="K676" s="1"/>
      <c r="L676" s="1"/>
      <c r="M676" s="1"/>
      <c r="N676" s="1"/>
      <c r="O676" s="1"/>
      <c r="P676" s="1"/>
      <c r="Q676" s="1"/>
      <c r="R676" s="1"/>
      <c r="S676" s="1"/>
      <c r="T676" s="1"/>
      <c r="U676" s="1"/>
      <c r="V676" s="1"/>
      <c r="W676" s="1"/>
      <c r="X676" s="1"/>
    </row>
    <row r="677" spans="1:24" ht="15.75" customHeight="1" x14ac:dyDescent="0.3">
      <c r="A677" s="1"/>
      <c r="B677" s="1"/>
      <c r="C677" s="2"/>
      <c r="D677" s="1"/>
      <c r="E677" s="1"/>
      <c r="F677" s="3"/>
      <c r="G677" s="1"/>
      <c r="H677" s="1"/>
      <c r="I677" s="1"/>
      <c r="J677" s="1"/>
      <c r="K677" s="1"/>
      <c r="L677" s="1"/>
      <c r="M677" s="1"/>
      <c r="N677" s="1"/>
      <c r="O677" s="1"/>
      <c r="P677" s="1"/>
      <c r="Q677" s="1"/>
      <c r="R677" s="1"/>
      <c r="S677" s="1"/>
      <c r="T677" s="1"/>
      <c r="U677" s="1"/>
      <c r="V677" s="1"/>
      <c r="W677" s="1"/>
      <c r="X677" s="1"/>
    </row>
    <row r="678" spans="1:24" ht="15.75" customHeight="1" x14ac:dyDescent="0.3">
      <c r="A678" s="1"/>
      <c r="B678" s="1"/>
      <c r="C678" s="2"/>
      <c r="D678" s="1"/>
      <c r="E678" s="1"/>
      <c r="F678" s="3"/>
      <c r="G678" s="1"/>
      <c r="H678" s="1"/>
      <c r="I678" s="1"/>
      <c r="J678" s="1"/>
      <c r="K678" s="1"/>
      <c r="L678" s="1"/>
      <c r="M678" s="1"/>
      <c r="N678" s="1"/>
      <c r="O678" s="1"/>
      <c r="P678" s="1"/>
      <c r="Q678" s="1"/>
      <c r="R678" s="1"/>
      <c r="S678" s="1"/>
      <c r="T678" s="1"/>
      <c r="U678" s="1"/>
      <c r="V678" s="1"/>
      <c r="W678" s="1"/>
      <c r="X678" s="1"/>
    </row>
    <row r="679" spans="1:24" ht="15.75" customHeight="1" x14ac:dyDescent="0.3">
      <c r="A679" s="1"/>
      <c r="B679" s="1"/>
      <c r="C679" s="2"/>
      <c r="D679" s="1"/>
      <c r="E679" s="1"/>
      <c r="F679" s="3"/>
      <c r="G679" s="1"/>
      <c r="H679" s="1"/>
      <c r="I679" s="1"/>
      <c r="J679" s="1"/>
      <c r="K679" s="1"/>
      <c r="L679" s="1"/>
      <c r="M679" s="1"/>
      <c r="N679" s="1"/>
      <c r="O679" s="1"/>
      <c r="P679" s="1"/>
      <c r="Q679" s="1"/>
      <c r="R679" s="1"/>
      <c r="S679" s="1"/>
      <c r="T679" s="1"/>
      <c r="U679" s="1"/>
      <c r="V679" s="1"/>
      <c r="W679" s="1"/>
      <c r="X679" s="1"/>
    </row>
    <row r="680" spans="1:24" ht="15.75" customHeight="1" x14ac:dyDescent="0.3">
      <c r="A680" s="1"/>
      <c r="B680" s="1"/>
      <c r="C680" s="2"/>
      <c r="D680" s="1"/>
      <c r="E680" s="1"/>
      <c r="F680" s="3"/>
      <c r="G680" s="1"/>
      <c r="H680" s="1"/>
      <c r="I680" s="1"/>
      <c r="J680" s="1"/>
      <c r="K680" s="1"/>
      <c r="L680" s="1"/>
      <c r="M680" s="1"/>
      <c r="N680" s="1"/>
      <c r="O680" s="1"/>
      <c r="P680" s="1"/>
      <c r="Q680" s="1"/>
      <c r="R680" s="1"/>
      <c r="S680" s="1"/>
      <c r="T680" s="1"/>
      <c r="U680" s="1"/>
      <c r="V680" s="1"/>
      <c r="W680" s="1"/>
      <c r="X680" s="1"/>
    </row>
    <row r="681" spans="1:24" ht="15.75" customHeight="1" x14ac:dyDescent="0.3">
      <c r="A681" s="1"/>
      <c r="B681" s="1"/>
      <c r="C681" s="2"/>
      <c r="D681" s="1"/>
      <c r="E681" s="1"/>
      <c r="F681" s="3"/>
      <c r="G681" s="1"/>
      <c r="H681" s="1"/>
      <c r="I681" s="1"/>
      <c r="J681" s="1"/>
      <c r="K681" s="1"/>
      <c r="L681" s="1"/>
      <c r="M681" s="1"/>
      <c r="N681" s="1"/>
      <c r="O681" s="1"/>
      <c r="P681" s="1"/>
      <c r="Q681" s="1"/>
      <c r="R681" s="1"/>
      <c r="S681" s="1"/>
      <c r="T681" s="1"/>
      <c r="U681" s="1"/>
      <c r="V681" s="1"/>
      <c r="W681" s="1"/>
      <c r="X681" s="1"/>
    </row>
    <row r="682" spans="1:24" ht="15.75" customHeight="1" x14ac:dyDescent="0.3">
      <c r="A682" s="1"/>
      <c r="B682" s="1"/>
      <c r="C682" s="2"/>
      <c r="D682" s="1"/>
      <c r="E682" s="1"/>
      <c r="F682" s="3"/>
      <c r="G682" s="1"/>
      <c r="H682" s="1"/>
      <c r="I682" s="1"/>
      <c r="J682" s="1"/>
      <c r="K682" s="1"/>
      <c r="L682" s="1"/>
      <c r="M682" s="1"/>
      <c r="N682" s="1"/>
      <c r="O682" s="1"/>
      <c r="P682" s="1"/>
      <c r="Q682" s="1"/>
      <c r="R682" s="1"/>
      <c r="S682" s="1"/>
      <c r="T682" s="1"/>
      <c r="U682" s="1"/>
      <c r="V682" s="1"/>
      <c r="W682" s="1"/>
      <c r="X682" s="1"/>
    </row>
    <row r="683" spans="1:24" ht="15.75" customHeight="1" x14ac:dyDescent="0.3">
      <c r="A683" s="1"/>
      <c r="B683" s="1"/>
      <c r="C683" s="2"/>
      <c r="D683" s="1"/>
      <c r="E683" s="1"/>
      <c r="F683" s="3"/>
      <c r="G683" s="1"/>
      <c r="H683" s="1"/>
      <c r="I683" s="1"/>
      <c r="J683" s="1"/>
      <c r="K683" s="1"/>
      <c r="L683" s="1"/>
      <c r="M683" s="1"/>
      <c r="N683" s="1"/>
      <c r="O683" s="1"/>
      <c r="P683" s="1"/>
      <c r="Q683" s="1"/>
      <c r="R683" s="1"/>
      <c r="S683" s="1"/>
      <c r="T683" s="1"/>
      <c r="U683" s="1"/>
      <c r="V683" s="1"/>
      <c r="W683" s="1"/>
      <c r="X683" s="1"/>
    </row>
    <row r="684" spans="1:24" ht="15.75" customHeight="1" x14ac:dyDescent="0.3">
      <c r="A684" s="1"/>
      <c r="B684" s="1"/>
      <c r="C684" s="2"/>
      <c r="D684" s="1"/>
      <c r="E684" s="1"/>
      <c r="F684" s="3"/>
      <c r="G684" s="1"/>
      <c r="H684" s="1"/>
      <c r="I684" s="1"/>
      <c r="J684" s="1"/>
      <c r="K684" s="1"/>
      <c r="L684" s="1"/>
      <c r="M684" s="1"/>
      <c r="N684" s="1"/>
      <c r="O684" s="1"/>
      <c r="P684" s="1"/>
      <c r="Q684" s="1"/>
      <c r="R684" s="1"/>
      <c r="S684" s="1"/>
      <c r="T684" s="1"/>
      <c r="U684" s="1"/>
      <c r="V684" s="1"/>
      <c r="W684" s="1"/>
      <c r="X684" s="1"/>
    </row>
    <row r="685" spans="1:24" ht="15.75" customHeight="1" x14ac:dyDescent="0.3">
      <c r="A685" s="1"/>
      <c r="B685" s="1"/>
      <c r="C685" s="2"/>
      <c r="D685" s="1"/>
      <c r="E685" s="1"/>
      <c r="F685" s="3"/>
      <c r="G685" s="1"/>
      <c r="H685" s="1"/>
      <c r="I685" s="1"/>
      <c r="J685" s="1"/>
      <c r="K685" s="1"/>
      <c r="L685" s="1"/>
      <c r="M685" s="1"/>
      <c r="N685" s="1"/>
      <c r="O685" s="1"/>
      <c r="P685" s="1"/>
      <c r="Q685" s="1"/>
      <c r="R685" s="1"/>
      <c r="S685" s="1"/>
      <c r="T685" s="1"/>
      <c r="U685" s="1"/>
      <c r="V685" s="1"/>
      <c r="W685" s="1"/>
      <c r="X685" s="1"/>
    </row>
    <row r="686" spans="1:24" ht="15.75" customHeight="1" x14ac:dyDescent="0.3">
      <c r="A686" s="1"/>
      <c r="B686" s="1"/>
      <c r="C686" s="2"/>
      <c r="D686" s="1"/>
      <c r="E686" s="1"/>
      <c r="F686" s="3"/>
      <c r="G686" s="1"/>
      <c r="H686" s="1"/>
      <c r="I686" s="1"/>
      <c r="J686" s="1"/>
      <c r="K686" s="1"/>
      <c r="L686" s="1"/>
      <c r="M686" s="1"/>
      <c r="N686" s="1"/>
      <c r="O686" s="1"/>
      <c r="P686" s="1"/>
      <c r="Q686" s="1"/>
      <c r="R686" s="1"/>
      <c r="S686" s="1"/>
      <c r="T686" s="1"/>
      <c r="U686" s="1"/>
      <c r="V686" s="1"/>
      <c r="W686" s="1"/>
      <c r="X686" s="1"/>
    </row>
    <row r="687" spans="1:24" ht="15.75" customHeight="1" x14ac:dyDescent="0.3">
      <c r="A687" s="1"/>
      <c r="B687" s="1"/>
      <c r="C687" s="2"/>
      <c r="D687" s="1"/>
      <c r="E687" s="1"/>
      <c r="F687" s="3"/>
      <c r="G687" s="1"/>
      <c r="H687" s="1"/>
      <c r="I687" s="1"/>
      <c r="J687" s="1"/>
      <c r="K687" s="1"/>
      <c r="L687" s="1"/>
      <c r="M687" s="1"/>
      <c r="N687" s="1"/>
      <c r="O687" s="1"/>
      <c r="P687" s="1"/>
      <c r="Q687" s="1"/>
      <c r="R687" s="1"/>
      <c r="S687" s="1"/>
      <c r="T687" s="1"/>
      <c r="U687" s="1"/>
      <c r="V687" s="1"/>
      <c r="W687" s="1"/>
      <c r="X687" s="1"/>
    </row>
    <row r="688" spans="1:24" ht="15.75" customHeight="1" x14ac:dyDescent="0.3">
      <c r="A688" s="1"/>
      <c r="B688" s="1"/>
      <c r="C688" s="2"/>
      <c r="D688" s="1"/>
      <c r="E688" s="1"/>
      <c r="F688" s="3"/>
      <c r="G688" s="1"/>
      <c r="H688" s="1"/>
      <c r="I688" s="1"/>
      <c r="J688" s="1"/>
      <c r="K688" s="1"/>
      <c r="L688" s="1"/>
      <c r="M688" s="1"/>
      <c r="N688" s="1"/>
      <c r="O688" s="1"/>
      <c r="P688" s="1"/>
      <c r="Q688" s="1"/>
      <c r="R688" s="1"/>
      <c r="S688" s="1"/>
      <c r="T688" s="1"/>
      <c r="U688" s="1"/>
      <c r="V688" s="1"/>
      <c r="W688" s="1"/>
      <c r="X688" s="1"/>
    </row>
    <row r="689" spans="1:24" ht="15.75" customHeight="1" x14ac:dyDescent="0.3">
      <c r="A689" s="1"/>
      <c r="B689" s="1"/>
      <c r="C689" s="2"/>
      <c r="D689" s="1"/>
      <c r="E689" s="1"/>
      <c r="F689" s="3"/>
      <c r="G689" s="1"/>
      <c r="H689" s="1"/>
      <c r="I689" s="1"/>
      <c r="J689" s="1"/>
      <c r="K689" s="1"/>
      <c r="L689" s="1"/>
      <c r="M689" s="1"/>
      <c r="N689" s="1"/>
      <c r="O689" s="1"/>
      <c r="P689" s="1"/>
      <c r="Q689" s="1"/>
      <c r="R689" s="1"/>
      <c r="S689" s="1"/>
      <c r="T689" s="1"/>
      <c r="U689" s="1"/>
      <c r="V689" s="1"/>
      <c r="W689" s="1"/>
      <c r="X689" s="1"/>
    </row>
    <row r="690" spans="1:24" ht="15.75" customHeight="1" x14ac:dyDescent="0.3">
      <c r="A690" s="1"/>
      <c r="B690" s="1"/>
      <c r="C690" s="2"/>
      <c r="D690" s="1"/>
      <c r="E690" s="1"/>
      <c r="F690" s="3"/>
      <c r="G690" s="1"/>
      <c r="H690" s="1"/>
      <c r="I690" s="1"/>
      <c r="J690" s="1"/>
      <c r="K690" s="1"/>
      <c r="L690" s="1"/>
      <c r="M690" s="1"/>
      <c r="N690" s="1"/>
      <c r="O690" s="1"/>
      <c r="P690" s="1"/>
      <c r="Q690" s="1"/>
      <c r="R690" s="1"/>
      <c r="S690" s="1"/>
      <c r="T690" s="1"/>
      <c r="U690" s="1"/>
      <c r="V690" s="1"/>
      <c r="W690" s="1"/>
      <c r="X690" s="1"/>
    </row>
    <row r="691" spans="1:24" ht="15.75" customHeight="1" x14ac:dyDescent="0.3">
      <c r="A691" s="1"/>
      <c r="B691" s="1"/>
      <c r="C691" s="2"/>
      <c r="D691" s="1"/>
      <c r="E691" s="1"/>
      <c r="F691" s="3"/>
      <c r="G691" s="1"/>
      <c r="H691" s="1"/>
      <c r="I691" s="1"/>
      <c r="J691" s="1"/>
      <c r="K691" s="1"/>
      <c r="L691" s="1"/>
      <c r="M691" s="1"/>
      <c r="N691" s="1"/>
      <c r="O691" s="1"/>
      <c r="P691" s="1"/>
      <c r="Q691" s="1"/>
      <c r="R691" s="1"/>
      <c r="S691" s="1"/>
      <c r="T691" s="1"/>
      <c r="U691" s="1"/>
      <c r="V691" s="1"/>
      <c r="W691" s="1"/>
      <c r="X691" s="1"/>
    </row>
    <row r="692" spans="1:24" ht="15.75" customHeight="1" x14ac:dyDescent="0.3">
      <c r="A692" s="1"/>
      <c r="B692" s="1"/>
      <c r="C692" s="2"/>
      <c r="D692" s="1"/>
      <c r="E692" s="1"/>
      <c r="F692" s="3"/>
      <c r="G692" s="1"/>
      <c r="H692" s="1"/>
      <c r="I692" s="1"/>
      <c r="J692" s="1"/>
      <c r="K692" s="1"/>
      <c r="L692" s="1"/>
      <c r="M692" s="1"/>
      <c r="N692" s="1"/>
      <c r="O692" s="1"/>
      <c r="P692" s="1"/>
      <c r="Q692" s="1"/>
      <c r="R692" s="1"/>
      <c r="S692" s="1"/>
      <c r="T692" s="1"/>
      <c r="U692" s="1"/>
      <c r="V692" s="1"/>
      <c r="W692" s="1"/>
      <c r="X692" s="1"/>
    </row>
    <row r="693" spans="1:24" ht="15.75" customHeight="1" x14ac:dyDescent="0.3">
      <c r="A693" s="1"/>
      <c r="B693" s="1"/>
      <c r="C693" s="2"/>
      <c r="D693" s="1"/>
      <c r="E693" s="1"/>
      <c r="F693" s="3"/>
      <c r="G693" s="1"/>
      <c r="H693" s="1"/>
      <c r="I693" s="1"/>
      <c r="J693" s="1"/>
      <c r="K693" s="1"/>
      <c r="L693" s="1"/>
      <c r="M693" s="1"/>
      <c r="N693" s="1"/>
      <c r="O693" s="1"/>
      <c r="P693" s="1"/>
      <c r="Q693" s="1"/>
      <c r="R693" s="1"/>
      <c r="S693" s="1"/>
      <c r="T693" s="1"/>
      <c r="U693" s="1"/>
      <c r="V693" s="1"/>
      <c r="W693" s="1"/>
      <c r="X693" s="1"/>
    </row>
    <row r="694" spans="1:24" ht="15.75" customHeight="1" x14ac:dyDescent="0.3">
      <c r="A694" s="1"/>
      <c r="B694" s="1"/>
      <c r="C694" s="2"/>
      <c r="D694" s="1"/>
      <c r="E694" s="1"/>
      <c r="F694" s="3"/>
      <c r="G694" s="1"/>
      <c r="H694" s="1"/>
      <c r="I694" s="1"/>
      <c r="J694" s="1"/>
      <c r="K694" s="1"/>
      <c r="L694" s="1"/>
      <c r="M694" s="1"/>
      <c r="N694" s="1"/>
      <c r="O694" s="1"/>
      <c r="P694" s="1"/>
      <c r="Q694" s="1"/>
      <c r="R694" s="1"/>
      <c r="S694" s="1"/>
      <c r="T694" s="1"/>
      <c r="U694" s="1"/>
      <c r="V694" s="1"/>
      <c r="W694" s="1"/>
      <c r="X694" s="1"/>
    </row>
    <row r="695" spans="1:24" ht="15.75" customHeight="1" x14ac:dyDescent="0.3">
      <c r="A695" s="1"/>
      <c r="B695" s="1"/>
      <c r="C695" s="2"/>
      <c r="D695" s="1"/>
      <c r="E695" s="1"/>
      <c r="F695" s="3"/>
      <c r="G695" s="1"/>
      <c r="H695" s="1"/>
      <c r="I695" s="1"/>
      <c r="J695" s="1"/>
      <c r="K695" s="1"/>
      <c r="L695" s="1"/>
      <c r="M695" s="1"/>
      <c r="N695" s="1"/>
      <c r="O695" s="1"/>
      <c r="P695" s="1"/>
      <c r="Q695" s="1"/>
      <c r="R695" s="1"/>
      <c r="S695" s="1"/>
      <c r="T695" s="1"/>
      <c r="U695" s="1"/>
      <c r="V695" s="1"/>
      <c r="W695" s="1"/>
      <c r="X695" s="1"/>
    </row>
    <row r="696" spans="1:24" ht="15.75" customHeight="1" x14ac:dyDescent="0.3">
      <c r="A696" s="1"/>
      <c r="B696" s="1"/>
      <c r="C696" s="2"/>
      <c r="D696" s="1"/>
      <c r="E696" s="1"/>
      <c r="F696" s="3"/>
      <c r="G696" s="1"/>
      <c r="H696" s="1"/>
      <c r="I696" s="1"/>
      <c r="J696" s="1"/>
      <c r="K696" s="1"/>
      <c r="L696" s="1"/>
      <c r="M696" s="1"/>
      <c r="N696" s="1"/>
      <c r="O696" s="1"/>
      <c r="P696" s="1"/>
      <c r="Q696" s="1"/>
      <c r="R696" s="1"/>
      <c r="S696" s="1"/>
      <c r="T696" s="1"/>
      <c r="U696" s="1"/>
      <c r="V696" s="1"/>
      <c r="W696" s="1"/>
      <c r="X696" s="1"/>
    </row>
    <row r="697" spans="1:24" ht="15.75" customHeight="1" x14ac:dyDescent="0.3">
      <c r="A697" s="1"/>
      <c r="B697" s="1"/>
      <c r="C697" s="2"/>
      <c r="D697" s="1"/>
      <c r="E697" s="1"/>
      <c r="F697" s="3"/>
      <c r="G697" s="1"/>
      <c r="H697" s="1"/>
      <c r="I697" s="1"/>
      <c r="J697" s="1"/>
      <c r="K697" s="1"/>
      <c r="L697" s="1"/>
      <c r="M697" s="1"/>
      <c r="N697" s="1"/>
      <c r="O697" s="1"/>
      <c r="P697" s="1"/>
      <c r="Q697" s="1"/>
      <c r="R697" s="1"/>
      <c r="S697" s="1"/>
      <c r="T697" s="1"/>
      <c r="U697" s="1"/>
      <c r="V697" s="1"/>
      <c r="W697" s="1"/>
      <c r="X697" s="1"/>
    </row>
    <row r="698" spans="1:24" ht="15.75" customHeight="1" x14ac:dyDescent="0.3">
      <c r="A698" s="1"/>
      <c r="B698" s="1"/>
      <c r="C698" s="2"/>
      <c r="D698" s="1"/>
      <c r="E698" s="1"/>
      <c r="F698" s="3"/>
      <c r="G698" s="1"/>
      <c r="H698" s="1"/>
      <c r="I698" s="1"/>
      <c r="J698" s="1"/>
      <c r="K698" s="1"/>
      <c r="L698" s="1"/>
      <c r="M698" s="1"/>
      <c r="N698" s="1"/>
      <c r="O698" s="1"/>
      <c r="P698" s="1"/>
      <c r="Q698" s="1"/>
      <c r="R698" s="1"/>
      <c r="S698" s="1"/>
      <c r="T698" s="1"/>
      <c r="U698" s="1"/>
      <c r="V698" s="1"/>
      <c r="W698" s="1"/>
      <c r="X698" s="1"/>
    </row>
    <row r="699" spans="1:24" ht="15.75" customHeight="1" x14ac:dyDescent="0.3">
      <c r="A699" s="1"/>
      <c r="B699" s="1"/>
      <c r="C699" s="2"/>
      <c r="D699" s="1"/>
      <c r="E699" s="1"/>
      <c r="F699" s="3"/>
      <c r="G699" s="1"/>
      <c r="H699" s="1"/>
      <c r="I699" s="1"/>
      <c r="J699" s="1"/>
      <c r="K699" s="1"/>
      <c r="L699" s="1"/>
      <c r="M699" s="1"/>
      <c r="N699" s="1"/>
      <c r="O699" s="1"/>
      <c r="P699" s="1"/>
      <c r="Q699" s="1"/>
      <c r="R699" s="1"/>
      <c r="S699" s="1"/>
      <c r="T699" s="1"/>
      <c r="U699" s="1"/>
      <c r="V699" s="1"/>
      <c r="W699" s="1"/>
      <c r="X699" s="1"/>
    </row>
    <row r="700" spans="1:24" ht="15.75" customHeight="1" x14ac:dyDescent="0.3">
      <c r="A700" s="1"/>
      <c r="B700" s="1"/>
      <c r="C700" s="2"/>
      <c r="D700" s="1"/>
      <c r="E700" s="1"/>
      <c r="F700" s="3"/>
      <c r="G700" s="1"/>
      <c r="H700" s="1"/>
      <c r="I700" s="1"/>
      <c r="J700" s="1"/>
      <c r="K700" s="1"/>
      <c r="L700" s="1"/>
      <c r="M700" s="1"/>
      <c r="N700" s="1"/>
      <c r="O700" s="1"/>
      <c r="P700" s="1"/>
      <c r="Q700" s="1"/>
      <c r="R700" s="1"/>
      <c r="S700" s="1"/>
      <c r="T700" s="1"/>
      <c r="U700" s="1"/>
      <c r="V700" s="1"/>
      <c r="W700" s="1"/>
      <c r="X700" s="1"/>
    </row>
    <row r="701" spans="1:24" ht="15.75" customHeight="1" x14ac:dyDescent="0.3">
      <c r="A701" s="1"/>
      <c r="B701" s="1"/>
      <c r="C701" s="2"/>
      <c r="D701" s="1"/>
      <c r="E701" s="1"/>
      <c r="F701" s="3"/>
      <c r="G701" s="1"/>
      <c r="H701" s="1"/>
      <c r="I701" s="1"/>
      <c r="J701" s="1"/>
      <c r="K701" s="1"/>
      <c r="L701" s="1"/>
      <c r="M701" s="1"/>
      <c r="N701" s="1"/>
      <c r="O701" s="1"/>
      <c r="P701" s="1"/>
      <c r="Q701" s="1"/>
      <c r="R701" s="1"/>
      <c r="S701" s="1"/>
      <c r="T701" s="1"/>
      <c r="U701" s="1"/>
      <c r="V701" s="1"/>
      <c r="W701" s="1"/>
      <c r="X701" s="1"/>
    </row>
    <row r="702" spans="1:24" ht="15.75" customHeight="1" x14ac:dyDescent="0.3">
      <c r="A702" s="1"/>
      <c r="B702" s="1"/>
      <c r="C702" s="2"/>
      <c r="D702" s="1"/>
      <c r="E702" s="1"/>
      <c r="F702" s="3"/>
      <c r="G702" s="1"/>
      <c r="H702" s="1"/>
      <c r="I702" s="1"/>
      <c r="J702" s="1"/>
      <c r="K702" s="1"/>
      <c r="L702" s="1"/>
      <c r="M702" s="1"/>
      <c r="N702" s="1"/>
      <c r="O702" s="1"/>
      <c r="P702" s="1"/>
      <c r="Q702" s="1"/>
      <c r="R702" s="1"/>
      <c r="S702" s="1"/>
      <c r="T702" s="1"/>
      <c r="U702" s="1"/>
      <c r="V702" s="1"/>
      <c r="W702" s="1"/>
      <c r="X702" s="1"/>
    </row>
    <row r="703" spans="1:24" ht="15.75" customHeight="1" x14ac:dyDescent="0.3">
      <c r="A703" s="1"/>
      <c r="B703" s="1"/>
      <c r="C703" s="2"/>
      <c r="D703" s="1"/>
      <c r="E703" s="1"/>
      <c r="F703" s="3"/>
      <c r="G703" s="1"/>
      <c r="H703" s="1"/>
      <c r="I703" s="1"/>
      <c r="J703" s="1"/>
      <c r="K703" s="1"/>
      <c r="L703" s="1"/>
      <c r="M703" s="1"/>
      <c r="N703" s="1"/>
      <c r="O703" s="1"/>
      <c r="P703" s="1"/>
      <c r="Q703" s="1"/>
      <c r="R703" s="1"/>
      <c r="S703" s="1"/>
      <c r="T703" s="1"/>
      <c r="U703" s="1"/>
      <c r="V703" s="1"/>
      <c r="W703" s="1"/>
      <c r="X703" s="1"/>
    </row>
    <row r="704" spans="1:24" ht="15.75" customHeight="1" x14ac:dyDescent="0.3">
      <c r="A704" s="1"/>
      <c r="B704" s="1"/>
      <c r="C704" s="2"/>
      <c r="D704" s="1"/>
      <c r="E704" s="1"/>
      <c r="F704" s="3"/>
      <c r="G704" s="1"/>
      <c r="H704" s="1"/>
      <c r="I704" s="1"/>
      <c r="J704" s="1"/>
      <c r="K704" s="1"/>
      <c r="L704" s="1"/>
      <c r="M704" s="1"/>
      <c r="N704" s="1"/>
      <c r="O704" s="1"/>
      <c r="P704" s="1"/>
      <c r="Q704" s="1"/>
      <c r="R704" s="1"/>
      <c r="S704" s="1"/>
      <c r="T704" s="1"/>
      <c r="U704" s="1"/>
      <c r="V704" s="1"/>
      <c r="W704" s="1"/>
      <c r="X704" s="1"/>
    </row>
    <row r="705" spans="1:24" ht="15.75" customHeight="1" x14ac:dyDescent="0.3">
      <c r="A705" s="1"/>
      <c r="B705" s="1"/>
      <c r="C705" s="2"/>
      <c r="D705" s="1"/>
      <c r="E705" s="1"/>
      <c r="F705" s="3"/>
      <c r="G705" s="1"/>
      <c r="H705" s="1"/>
      <c r="I705" s="1"/>
      <c r="J705" s="1"/>
      <c r="K705" s="1"/>
      <c r="L705" s="1"/>
      <c r="M705" s="1"/>
      <c r="N705" s="1"/>
      <c r="O705" s="1"/>
      <c r="P705" s="1"/>
      <c r="Q705" s="1"/>
      <c r="R705" s="1"/>
      <c r="S705" s="1"/>
      <c r="T705" s="1"/>
      <c r="U705" s="1"/>
      <c r="V705" s="1"/>
      <c r="W705" s="1"/>
      <c r="X705" s="1"/>
    </row>
    <row r="706" spans="1:24" ht="15.75" customHeight="1" x14ac:dyDescent="0.3">
      <c r="A706" s="1"/>
      <c r="B706" s="1"/>
      <c r="C706" s="2"/>
      <c r="D706" s="1"/>
      <c r="E706" s="1"/>
      <c r="F706" s="3"/>
      <c r="G706" s="1"/>
      <c r="H706" s="1"/>
      <c r="I706" s="1"/>
      <c r="J706" s="1"/>
      <c r="K706" s="1"/>
      <c r="L706" s="1"/>
      <c r="M706" s="1"/>
      <c r="N706" s="1"/>
      <c r="O706" s="1"/>
      <c r="P706" s="1"/>
      <c r="Q706" s="1"/>
      <c r="R706" s="1"/>
      <c r="S706" s="1"/>
      <c r="T706" s="1"/>
      <c r="U706" s="1"/>
      <c r="V706" s="1"/>
      <c r="W706" s="1"/>
      <c r="X706" s="1"/>
    </row>
    <row r="707" spans="1:24" ht="15.75" customHeight="1" x14ac:dyDescent="0.3">
      <c r="A707" s="1"/>
      <c r="B707" s="1"/>
      <c r="C707" s="2"/>
      <c r="D707" s="1"/>
      <c r="E707" s="1"/>
      <c r="F707" s="3"/>
      <c r="G707" s="1"/>
      <c r="H707" s="1"/>
      <c r="I707" s="1"/>
      <c r="J707" s="1"/>
      <c r="K707" s="1"/>
      <c r="L707" s="1"/>
      <c r="M707" s="1"/>
      <c r="N707" s="1"/>
      <c r="O707" s="1"/>
      <c r="P707" s="1"/>
      <c r="Q707" s="1"/>
      <c r="R707" s="1"/>
      <c r="S707" s="1"/>
      <c r="T707" s="1"/>
      <c r="U707" s="1"/>
      <c r="V707" s="1"/>
      <c r="W707" s="1"/>
      <c r="X707" s="1"/>
    </row>
    <row r="708" spans="1:24" ht="15.75" customHeight="1" x14ac:dyDescent="0.3">
      <c r="A708" s="1"/>
      <c r="B708" s="1"/>
      <c r="C708" s="2"/>
      <c r="D708" s="1"/>
      <c r="E708" s="1"/>
      <c r="F708" s="3"/>
      <c r="G708" s="1"/>
      <c r="H708" s="1"/>
      <c r="I708" s="1"/>
      <c r="J708" s="1"/>
      <c r="K708" s="1"/>
      <c r="L708" s="1"/>
      <c r="M708" s="1"/>
      <c r="N708" s="1"/>
      <c r="O708" s="1"/>
      <c r="P708" s="1"/>
      <c r="Q708" s="1"/>
      <c r="R708" s="1"/>
      <c r="S708" s="1"/>
      <c r="T708" s="1"/>
      <c r="U708" s="1"/>
      <c r="V708" s="1"/>
      <c r="W708" s="1"/>
      <c r="X708" s="1"/>
    </row>
    <row r="709" spans="1:24" ht="15.75" customHeight="1" x14ac:dyDescent="0.3">
      <c r="A709" s="1"/>
      <c r="B709" s="1"/>
      <c r="C709" s="2"/>
      <c r="D709" s="1"/>
      <c r="E709" s="1"/>
      <c r="F709" s="3"/>
      <c r="G709" s="1"/>
      <c r="H709" s="1"/>
      <c r="I709" s="1"/>
      <c r="J709" s="1"/>
      <c r="K709" s="1"/>
      <c r="L709" s="1"/>
      <c r="M709" s="1"/>
      <c r="N709" s="1"/>
      <c r="O709" s="1"/>
      <c r="P709" s="1"/>
      <c r="Q709" s="1"/>
      <c r="R709" s="1"/>
      <c r="S709" s="1"/>
      <c r="T709" s="1"/>
      <c r="U709" s="1"/>
      <c r="V709" s="1"/>
      <c r="W709" s="1"/>
      <c r="X709" s="1"/>
    </row>
    <row r="710" spans="1:24" ht="15.75" customHeight="1" x14ac:dyDescent="0.3">
      <c r="A710" s="1"/>
      <c r="B710" s="1"/>
      <c r="C710" s="2"/>
      <c r="D710" s="1"/>
      <c r="E710" s="1"/>
      <c r="F710" s="3"/>
      <c r="G710" s="1"/>
      <c r="H710" s="1"/>
      <c r="I710" s="1"/>
      <c r="J710" s="1"/>
      <c r="K710" s="1"/>
      <c r="L710" s="1"/>
      <c r="M710" s="1"/>
      <c r="N710" s="1"/>
      <c r="O710" s="1"/>
      <c r="P710" s="1"/>
      <c r="Q710" s="1"/>
      <c r="R710" s="1"/>
      <c r="S710" s="1"/>
      <c r="T710" s="1"/>
      <c r="U710" s="1"/>
      <c r="V710" s="1"/>
      <c r="W710" s="1"/>
      <c r="X710" s="1"/>
    </row>
    <row r="711" spans="1:24" ht="15.75" customHeight="1" x14ac:dyDescent="0.3">
      <c r="A711" s="1"/>
      <c r="B711" s="1"/>
      <c r="C711" s="2"/>
      <c r="D711" s="1"/>
      <c r="E711" s="1"/>
      <c r="F711" s="3"/>
      <c r="G711" s="1"/>
      <c r="H711" s="1"/>
      <c r="I711" s="1"/>
      <c r="J711" s="1"/>
      <c r="K711" s="1"/>
      <c r="L711" s="1"/>
      <c r="M711" s="1"/>
      <c r="N711" s="1"/>
      <c r="O711" s="1"/>
      <c r="P711" s="1"/>
      <c r="Q711" s="1"/>
      <c r="R711" s="1"/>
      <c r="S711" s="1"/>
      <c r="T711" s="1"/>
      <c r="U711" s="1"/>
      <c r="V711" s="1"/>
      <c r="W711" s="1"/>
      <c r="X711" s="1"/>
    </row>
    <row r="712" spans="1:24" ht="15.75" customHeight="1" x14ac:dyDescent="0.3">
      <c r="A712" s="1"/>
      <c r="B712" s="1"/>
      <c r="C712" s="2"/>
      <c r="D712" s="1"/>
      <c r="E712" s="1"/>
      <c r="F712" s="3"/>
      <c r="G712" s="1"/>
      <c r="H712" s="1"/>
      <c r="I712" s="1"/>
      <c r="J712" s="1"/>
      <c r="K712" s="1"/>
      <c r="L712" s="1"/>
      <c r="M712" s="1"/>
      <c r="N712" s="1"/>
      <c r="O712" s="1"/>
      <c r="P712" s="1"/>
      <c r="Q712" s="1"/>
      <c r="R712" s="1"/>
      <c r="S712" s="1"/>
      <c r="T712" s="1"/>
      <c r="U712" s="1"/>
      <c r="V712" s="1"/>
      <c r="W712" s="1"/>
      <c r="X712" s="1"/>
    </row>
    <row r="713" spans="1:24" ht="15.75" customHeight="1" x14ac:dyDescent="0.3">
      <c r="A713" s="1"/>
      <c r="B713" s="1"/>
      <c r="C713" s="2"/>
      <c r="D713" s="1"/>
      <c r="E713" s="1"/>
      <c r="F713" s="3"/>
      <c r="G713" s="1"/>
      <c r="H713" s="1"/>
      <c r="I713" s="1"/>
      <c r="J713" s="1"/>
      <c r="K713" s="1"/>
      <c r="L713" s="1"/>
      <c r="M713" s="1"/>
      <c r="N713" s="1"/>
      <c r="O713" s="1"/>
      <c r="P713" s="1"/>
      <c r="Q713" s="1"/>
      <c r="R713" s="1"/>
      <c r="S713" s="1"/>
      <c r="T713" s="1"/>
      <c r="U713" s="1"/>
      <c r="V713" s="1"/>
      <c r="W713" s="1"/>
      <c r="X713" s="1"/>
    </row>
    <row r="714" spans="1:24" ht="15.75" customHeight="1" x14ac:dyDescent="0.3">
      <c r="A714" s="1"/>
      <c r="B714" s="1"/>
      <c r="C714" s="2"/>
      <c r="D714" s="1"/>
      <c r="E714" s="1"/>
      <c r="F714" s="3"/>
      <c r="G714" s="1"/>
      <c r="H714" s="1"/>
      <c r="I714" s="1"/>
      <c r="J714" s="1"/>
      <c r="K714" s="1"/>
      <c r="L714" s="1"/>
      <c r="M714" s="1"/>
      <c r="N714" s="1"/>
      <c r="O714" s="1"/>
      <c r="P714" s="1"/>
      <c r="Q714" s="1"/>
      <c r="R714" s="1"/>
      <c r="S714" s="1"/>
      <c r="T714" s="1"/>
      <c r="U714" s="1"/>
      <c r="V714" s="1"/>
      <c r="W714" s="1"/>
      <c r="X714" s="1"/>
    </row>
    <row r="715" spans="1:24" ht="15.75" customHeight="1" x14ac:dyDescent="0.3">
      <c r="A715" s="1"/>
      <c r="B715" s="1"/>
      <c r="C715" s="2"/>
      <c r="D715" s="1"/>
      <c r="E715" s="1"/>
      <c r="F715" s="3"/>
      <c r="G715" s="1"/>
      <c r="H715" s="1"/>
      <c r="I715" s="1"/>
      <c r="J715" s="1"/>
      <c r="K715" s="1"/>
      <c r="L715" s="1"/>
      <c r="M715" s="1"/>
      <c r="N715" s="1"/>
      <c r="O715" s="1"/>
      <c r="P715" s="1"/>
      <c r="Q715" s="1"/>
      <c r="R715" s="1"/>
      <c r="S715" s="1"/>
      <c r="T715" s="1"/>
      <c r="U715" s="1"/>
      <c r="V715" s="1"/>
      <c r="W715" s="1"/>
      <c r="X715" s="1"/>
    </row>
    <row r="716" spans="1:24" ht="15.75" customHeight="1" x14ac:dyDescent="0.3">
      <c r="A716" s="1"/>
      <c r="B716" s="1"/>
      <c r="C716" s="2"/>
      <c r="D716" s="1"/>
      <c r="E716" s="1"/>
      <c r="F716" s="3"/>
      <c r="G716" s="1"/>
      <c r="H716" s="1"/>
      <c r="I716" s="1"/>
      <c r="J716" s="1"/>
      <c r="K716" s="1"/>
      <c r="L716" s="1"/>
      <c r="M716" s="1"/>
      <c r="N716" s="1"/>
      <c r="O716" s="1"/>
      <c r="P716" s="1"/>
      <c r="Q716" s="1"/>
      <c r="R716" s="1"/>
      <c r="S716" s="1"/>
      <c r="T716" s="1"/>
      <c r="U716" s="1"/>
      <c r="V716" s="1"/>
      <c r="W716" s="1"/>
      <c r="X716" s="1"/>
    </row>
    <row r="717" spans="1:24" ht="15.75" customHeight="1" x14ac:dyDescent="0.3">
      <c r="A717" s="1"/>
      <c r="B717" s="1"/>
      <c r="C717" s="2"/>
      <c r="D717" s="1"/>
      <c r="E717" s="1"/>
      <c r="F717" s="3"/>
      <c r="G717" s="1"/>
      <c r="H717" s="1"/>
      <c r="I717" s="1"/>
      <c r="J717" s="1"/>
      <c r="K717" s="1"/>
      <c r="L717" s="1"/>
      <c r="M717" s="1"/>
      <c r="N717" s="1"/>
      <c r="O717" s="1"/>
      <c r="P717" s="1"/>
      <c r="Q717" s="1"/>
      <c r="R717" s="1"/>
      <c r="S717" s="1"/>
      <c r="T717" s="1"/>
      <c r="U717" s="1"/>
      <c r="V717" s="1"/>
      <c r="W717" s="1"/>
      <c r="X717" s="1"/>
    </row>
    <row r="718" spans="1:24" ht="15.75" customHeight="1" x14ac:dyDescent="0.3">
      <c r="A718" s="1"/>
      <c r="B718" s="1"/>
      <c r="C718" s="2"/>
      <c r="D718" s="1"/>
      <c r="E718" s="1"/>
      <c r="F718" s="3"/>
      <c r="G718" s="1"/>
      <c r="H718" s="1"/>
      <c r="I718" s="1"/>
      <c r="J718" s="1"/>
      <c r="K718" s="1"/>
      <c r="L718" s="1"/>
      <c r="M718" s="1"/>
      <c r="N718" s="1"/>
      <c r="O718" s="1"/>
      <c r="P718" s="1"/>
      <c r="Q718" s="1"/>
      <c r="R718" s="1"/>
      <c r="S718" s="1"/>
      <c r="T718" s="1"/>
      <c r="U718" s="1"/>
      <c r="V718" s="1"/>
      <c r="W718" s="1"/>
      <c r="X718" s="1"/>
    </row>
    <row r="719" spans="1:24" ht="15.75" customHeight="1" x14ac:dyDescent="0.3">
      <c r="A719" s="1"/>
      <c r="B719" s="1"/>
      <c r="C719" s="2"/>
      <c r="D719" s="1"/>
      <c r="E719" s="1"/>
      <c r="F719" s="3"/>
      <c r="G719" s="1"/>
      <c r="H719" s="1"/>
      <c r="I719" s="1"/>
      <c r="J719" s="1"/>
      <c r="K719" s="1"/>
      <c r="L719" s="1"/>
      <c r="M719" s="1"/>
      <c r="N719" s="1"/>
      <c r="O719" s="1"/>
      <c r="P719" s="1"/>
      <c r="Q719" s="1"/>
      <c r="R719" s="1"/>
      <c r="S719" s="1"/>
      <c r="T719" s="1"/>
      <c r="U719" s="1"/>
      <c r="V719" s="1"/>
      <c r="W719" s="1"/>
      <c r="X719" s="1"/>
    </row>
    <row r="720" spans="1:24" ht="15.75" customHeight="1" x14ac:dyDescent="0.3">
      <c r="A720" s="1"/>
      <c r="B720" s="1"/>
      <c r="C720" s="2"/>
      <c r="D720" s="1"/>
      <c r="E720" s="1"/>
      <c r="F720" s="3"/>
      <c r="G720" s="1"/>
      <c r="H720" s="1"/>
      <c r="I720" s="1"/>
      <c r="J720" s="1"/>
      <c r="K720" s="1"/>
      <c r="L720" s="1"/>
      <c r="M720" s="1"/>
      <c r="N720" s="1"/>
      <c r="O720" s="1"/>
      <c r="P720" s="1"/>
      <c r="Q720" s="1"/>
      <c r="R720" s="1"/>
      <c r="S720" s="1"/>
      <c r="T720" s="1"/>
      <c r="U720" s="1"/>
      <c r="V720" s="1"/>
      <c r="W720" s="1"/>
      <c r="X720" s="1"/>
    </row>
    <row r="721" spans="1:24" ht="15.75" customHeight="1" x14ac:dyDescent="0.3">
      <c r="A721" s="1"/>
      <c r="B721" s="1"/>
      <c r="C721" s="2"/>
      <c r="D721" s="1"/>
      <c r="E721" s="1"/>
      <c r="F721" s="3"/>
      <c r="G721" s="1"/>
      <c r="H721" s="1"/>
      <c r="I721" s="1"/>
      <c r="J721" s="1"/>
      <c r="K721" s="1"/>
      <c r="L721" s="1"/>
      <c r="M721" s="1"/>
      <c r="N721" s="1"/>
      <c r="O721" s="1"/>
      <c r="P721" s="1"/>
      <c r="Q721" s="1"/>
      <c r="R721" s="1"/>
      <c r="S721" s="1"/>
      <c r="T721" s="1"/>
      <c r="U721" s="1"/>
      <c r="V721" s="1"/>
      <c r="W721" s="1"/>
      <c r="X721" s="1"/>
    </row>
    <row r="722" spans="1:24" ht="15.75" customHeight="1" x14ac:dyDescent="0.3">
      <c r="A722" s="1"/>
      <c r="B722" s="1"/>
      <c r="C722" s="2"/>
      <c r="D722" s="1"/>
      <c r="E722" s="1"/>
      <c r="F722" s="3"/>
      <c r="G722" s="1"/>
      <c r="H722" s="1"/>
      <c r="I722" s="1"/>
      <c r="J722" s="1"/>
      <c r="K722" s="1"/>
      <c r="L722" s="1"/>
      <c r="M722" s="1"/>
      <c r="N722" s="1"/>
      <c r="O722" s="1"/>
      <c r="P722" s="1"/>
      <c r="Q722" s="1"/>
      <c r="R722" s="1"/>
      <c r="S722" s="1"/>
      <c r="T722" s="1"/>
      <c r="U722" s="1"/>
      <c r="V722" s="1"/>
      <c r="W722" s="1"/>
      <c r="X722" s="1"/>
    </row>
    <row r="723" spans="1:24" ht="15.75" customHeight="1" x14ac:dyDescent="0.3">
      <c r="A723" s="1"/>
      <c r="B723" s="1"/>
      <c r="C723" s="2"/>
      <c r="D723" s="1"/>
      <c r="E723" s="1"/>
      <c r="F723" s="3"/>
      <c r="G723" s="1"/>
      <c r="H723" s="1"/>
      <c r="I723" s="1"/>
      <c r="J723" s="1"/>
      <c r="K723" s="1"/>
      <c r="L723" s="1"/>
      <c r="M723" s="1"/>
      <c r="N723" s="1"/>
      <c r="O723" s="1"/>
      <c r="P723" s="1"/>
      <c r="Q723" s="1"/>
      <c r="R723" s="1"/>
      <c r="S723" s="1"/>
      <c r="T723" s="1"/>
      <c r="U723" s="1"/>
      <c r="V723" s="1"/>
      <c r="W723" s="1"/>
      <c r="X723" s="1"/>
    </row>
    <row r="724" spans="1:24" ht="15.75" customHeight="1" x14ac:dyDescent="0.3">
      <c r="A724" s="1"/>
      <c r="B724" s="1"/>
      <c r="C724" s="2"/>
      <c r="D724" s="1"/>
      <c r="E724" s="1"/>
      <c r="F724" s="3"/>
      <c r="G724" s="1"/>
      <c r="H724" s="1"/>
      <c r="I724" s="1"/>
      <c r="J724" s="1"/>
      <c r="K724" s="1"/>
      <c r="L724" s="1"/>
      <c r="M724" s="1"/>
      <c r="N724" s="1"/>
      <c r="O724" s="1"/>
      <c r="P724" s="1"/>
      <c r="Q724" s="1"/>
      <c r="R724" s="1"/>
      <c r="S724" s="1"/>
      <c r="T724" s="1"/>
      <c r="U724" s="1"/>
      <c r="V724" s="1"/>
      <c r="W724" s="1"/>
      <c r="X724" s="1"/>
    </row>
    <row r="725" spans="1:24" ht="15.75" customHeight="1" x14ac:dyDescent="0.3">
      <c r="A725" s="1"/>
      <c r="B725" s="1"/>
      <c r="C725" s="2"/>
      <c r="D725" s="1"/>
      <c r="E725" s="1"/>
      <c r="F725" s="3"/>
      <c r="G725" s="1"/>
      <c r="H725" s="1"/>
      <c r="I725" s="1"/>
      <c r="J725" s="1"/>
      <c r="K725" s="1"/>
      <c r="L725" s="1"/>
      <c r="M725" s="1"/>
      <c r="N725" s="1"/>
      <c r="O725" s="1"/>
      <c r="P725" s="1"/>
      <c r="Q725" s="1"/>
      <c r="R725" s="1"/>
      <c r="S725" s="1"/>
      <c r="T725" s="1"/>
      <c r="U725" s="1"/>
      <c r="V725" s="1"/>
      <c r="W725" s="1"/>
      <c r="X725" s="1"/>
    </row>
    <row r="726" spans="1:24" ht="15.75" customHeight="1" x14ac:dyDescent="0.3">
      <c r="A726" s="1"/>
      <c r="B726" s="1"/>
      <c r="C726" s="2"/>
      <c r="D726" s="1"/>
      <c r="E726" s="1"/>
      <c r="F726" s="3"/>
      <c r="G726" s="1"/>
      <c r="H726" s="1"/>
      <c r="I726" s="1"/>
      <c r="J726" s="1"/>
      <c r="K726" s="1"/>
      <c r="L726" s="1"/>
      <c r="M726" s="1"/>
      <c r="N726" s="1"/>
      <c r="O726" s="1"/>
      <c r="P726" s="1"/>
      <c r="Q726" s="1"/>
      <c r="R726" s="1"/>
      <c r="S726" s="1"/>
      <c r="T726" s="1"/>
      <c r="U726" s="1"/>
      <c r="V726" s="1"/>
      <c r="W726" s="1"/>
      <c r="X726" s="1"/>
    </row>
    <row r="727" spans="1:24" ht="15.75" customHeight="1" x14ac:dyDescent="0.3">
      <c r="A727" s="1"/>
      <c r="B727" s="1"/>
      <c r="C727" s="2"/>
      <c r="D727" s="1"/>
      <c r="E727" s="1"/>
      <c r="F727" s="3"/>
      <c r="G727" s="1"/>
      <c r="H727" s="1"/>
      <c r="I727" s="1"/>
      <c r="J727" s="1"/>
      <c r="K727" s="1"/>
      <c r="L727" s="1"/>
      <c r="M727" s="1"/>
      <c r="N727" s="1"/>
      <c r="O727" s="1"/>
      <c r="P727" s="1"/>
      <c r="Q727" s="1"/>
      <c r="R727" s="1"/>
      <c r="S727" s="1"/>
      <c r="T727" s="1"/>
      <c r="U727" s="1"/>
      <c r="V727" s="1"/>
      <c r="W727" s="1"/>
      <c r="X727" s="1"/>
    </row>
    <row r="728" spans="1:24" ht="15.75" customHeight="1" x14ac:dyDescent="0.3">
      <c r="A728" s="1"/>
      <c r="B728" s="1"/>
      <c r="C728" s="2"/>
      <c r="D728" s="1"/>
      <c r="E728" s="1"/>
      <c r="F728" s="3"/>
      <c r="G728" s="1"/>
      <c r="H728" s="1"/>
      <c r="I728" s="1"/>
      <c r="J728" s="1"/>
      <c r="K728" s="1"/>
      <c r="L728" s="1"/>
      <c r="M728" s="1"/>
      <c r="N728" s="1"/>
      <c r="O728" s="1"/>
      <c r="P728" s="1"/>
      <c r="Q728" s="1"/>
      <c r="R728" s="1"/>
      <c r="S728" s="1"/>
      <c r="T728" s="1"/>
      <c r="U728" s="1"/>
      <c r="V728" s="1"/>
      <c r="W728" s="1"/>
      <c r="X728" s="1"/>
    </row>
    <row r="729" spans="1:24" ht="15.75" customHeight="1" x14ac:dyDescent="0.3">
      <c r="A729" s="1"/>
      <c r="B729" s="1"/>
      <c r="C729" s="2"/>
      <c r="D729" s="1"/>
      <c r="E729" s="1"/>
      <c r="F729" s="3"/>
      <c r="G729" s="1"/>
      <c r="H729" s="1"/>
      <c r="I729" s="1"/>
      <c r="J729" s="1"/>
      <c r="K729" s="1"/>
      <c r="L729" s="1"/>
      <c r="M729" s="1"/>
      <c r="N729" s="1"/>
      <c r="O729" s="1"/>
      <c r="P729" s="1"/>
      <c r="Q729" s="1"/>
      <c r="R729" s="1"/>
      <c r="S729" s="1"/>
      <c r="T729" s="1"/>
      <c r="U729" s="1"/>
      <c r="V729" s="1"/>
      <c r="W729" s="1"/>
      <c r="X729" s="1"/>
    </row>
    <row r="730" spans="1:24" ht="15.75" customHeight="1" x14ac:dyDescent="0.3">
      <c r="A730" s="1"/>
      <c r="B730" s="1"/>
      <c r="C730" s="2"/>
      <c r="D730" s="1"/>
      <c r="E730" s="1"/>
      <c r="F730" s="3"/>
      <c r="G730" s="1"/>
      <c r="H730" s="1"/>
      <c r="I730" s="1"/>
      <c r="J730" s="1"/>
      <c r="K730" s="1"/>
      <c r="L730" s="1"/>
      <c r="M730" s="1"/>
      <c r="N730" s="1"/>
      <c r="O730" s="1"/>
      <c r="P730" s="1"/>
      <c r="Q730" s="1"/>
      <c r="R730" s="1"/>
      <c r="S730" s="1"/>
      <c r="T730" s="1"/>
      <c r="U730" s="1"/>
      <c r="V730" s="1"/>
      <c r="W730" s="1"/>
      <c r="X730" s="1"/>
    </row>
    <row r="731" spans="1:24" ht="15.75" customHeight="1" x14ac:dyDescent="0.3">
      <c r="A731" s="1"/>
      <c r="B731" s="1"/>
      <c r="C731" s="2"/>
      <c r="D731" s="1"/>
      <c r="E731" s="1"/>
      <c r="F731" s="3"/>
      <c r="G731" s="1"/>
      <c r="H731" s="1"/>
      <c r="I731" s="1"/>
      <c r="J731" s="1"/>
      <c r="K731" s="1"/>
      <c r="L731" s="1"/>
      <c r="M731" s="1"/>
      <c r="N731" s="1"/>
      <c r="O731" s="1"/>
      <c r="P731" s="1"/>
      <c r="Q731" s="1"/>
      <c r="R731" s="1"/>
      <c r="S731" s="1"/>
      <c r="T731" s="1"/>
      <c r="U731" s="1"/>
      <c r="V731" s="1"/>
      <c r="W731" s="1"/>
      <c r="X731" s="1"/>
    </row>
    <row r="732" spans="1:24" ht="15.75" customHeight="1" x14ac:dyDescent="0.3">
      <c r="A732" s="1"/>
      <c r="B732" s="1"/>
      <c r="C732" s="2"/>
      <c r="D732" s="1"/>
      <c r="E732" s="1"/>
      <c r="F732" s="3"/>
      <c r="G732" s="1"/>
      <c r="H732" s="1"/>
      <c r="I732" s="1"/>
      <c r="J732" s="1"/>
      <c r="K732" s="1"/>
      <c r="L732" s="1"/>
      <c r="M732" s="1"/>
      <c r="N732" s="1"/>
      <c r="O732" s="1"/>
      <c r="P732" s="1"/>
      <c r="Q732" s="1"/>
      <c r="R732" s="1"/>
      <c r="S732" s="1"/>
      <c r="T732" s="1"/>
      <c r="U732" s="1"/>
      <c r="V732" s="1"/>
      <c r="W732" s="1"/>
      <c r="X732" s="1"/>
    </row>
    <row r="733" spans="1:24" ht="15.75" customHeight="1" x14ac:dyDescent="0.3">
      <c r="A733" s="1"/>
      <c r="B733" s="1"/>
      <c r="C733" s="2"/>
      <c r="D733" s="1"/>
      <c r="E733" s="1"/>
      <c r="F733" s="3"/>
      <c r="G733" s="1"/>
      <c r="H733" s="1"/>
      <c r="I733" s="1"/>
      <c r="J733" s="1"/>
      <c r="K733" s="1"/>
      <c r="L733" s="1"/>
      <c r="M733" s="1"/>
      <c r="N733" s="1"/>
      <c r="O733" s="1"/>
      <c r="P733" s="1"/>
      <c r="Q733" s="1"/>
      <c r="R733" s="1"/>
      <c r="S733" s="1"/>
      <c r="T733" s="1"/>
      <c r="U733" s="1"/>
      <c r="V733" s="1"/>
      <c r="W733" s="1"/>
      <c r="X733" s="1"/>
    </row>
    <row r="734" spans="1:24" ht="15.75" customHeight="1" x14ac:dyDescent="0.3">
      <c r="A734" s="1"/>
      <c r="B734" s="1"/>
      <c r="C734" s="2"/>
      <c r="D734" s="1"/>
      <c r="E734" s="1"/>
      <c r="F734" s="3"/>
      <c r="G734" s="1"/>
      <c r="H734" s="1"/>
      <c r="I734" s="1"/>
      <c r="J734" s="1"/>
      <c r="K734" s="1"/>
      <c r="L734" s="1"/>
      <c r="M734" s="1"/>
      <c r="N734" s="1"/>
      <c r="O734" s="1"/>
      <c r="P734" s="1"/>
      <c r="Q734" s="1"/>
      <c r="R734" s="1"/>
      <c r="S734" s="1"/>
      <c r="T734" s="1"/>
      <c r="U734" s="1"/>
      <c r="V734" s="1"/>
      <c r="W734" s="1"/>
      <c r="X734" s="1"/>
    </row>
    <row r="735" spans="1:24" ht="15.75" customHeight="1" x14ac:dyDescent="0.3">
      <c r="A735" s="1"/>
      <c r="B735" s="1"/>
      <c r="C735" s="2"/>
      <c r="D735" s="1"/>
      <c r="E735" s="1"/>
      <c r="F735" s="3"/>
      <c r="G735" s="1"/>
      <c r="H735" s="1"/>
      <c r="I735" s="1"/>
      <c r="J735" s="1"/>
      <c r="K735" s="1"/>
      <c r="L735" s="1"/>
      <c r="M735" s="1"/>
      <c r="N735" s="1"/>
      <c r="O735" s="1"/>
      <c r="P735" s="1"/>
      <c r="Q735" s="1"/>
      <c r="R735" s="1"/>
      <c r="S735" s="1"/>
      <c r="T735" s="1"/>
      <c r="U735" s="1"/>
      <c r="V735" s="1"/>
      <c r="W735" s="1"/>
      <c r="X735" s="1"/>
    </row>
    <row r="736" spans="1:24" ht="15.75" customHeight="1" x14ac:dyDescent="0.3">
      <c r="A736" s="1"/>
      <c r="B736" s="1"/>
      <c r="C736" s="2"/>
      <c r="D736" s="1"/>
      <c r="E736" s="1"/>
      <c r="F736" s="3"/>
      <c r="G736" s="1"/>
      <c r="H736" s="1"/>
      <c r="I736" s="1"/>
      <c r="J736" s="1"/>
      <c r="K736" s="1"/>
      <c r="L736" s="1"/>
      <c r="M736" s="1"/>
      <c r="N736" s="1"/>
      <c r="O736" s="1"/>
      <c r="P736" s="1"/>
      <c r="Q736" s="1"/>
      <c r="R736" s="1"/>
      <c r="S736" s="1"/>
      <c r="T736" s="1"/>
      <c r="U736" s="1"/>
      <c r="V736" s="1"/>
      <c r="W736" s="1"/>
      <c r="X736" s="1"/>
    </row>
    <row r="737" spans="1:24" ht="15.75" customHeight="1" x14ac:dyDescent="0.3">
      <c r="A737" s="1"/>
      <c r="B737" s="1"/>
      <c r="C737" s="2"/>
      <c r="D737" s="1"/>
      <c r="E737" s="1"/>
      <c r="F737" s="3"/>
      <c r="G737" s="1"/>
      <c r="H737" s="1"/>
      <c r="I737" s="1"/>
      <c r="J737" s="1"/>
      <c r="K737" s="1"/>
      <c r="L737" s="1"/>
      <c r="M737" s="1"/>
      <c r="N737" s="1"/>
      <c r="O737" s="1"/>
      <c r="P737" s="1"/>
      <c r="Q737" s="1"/>
      <c r="R737" s="1"/>
      <c r="S737" s="1"/>
      <c r="T737" s="1"/>
      <c r="U737" s="1"/>
      <c r="V737" s="1"/>
      <c r="W737" s="1"/>
      <c r="X737" s="1"/>
    </row>
    <row r="738" spans="1:24" ht="15.75" customHeight="1" x14ac:dyDescent="0.3">
      <c r="A738" s="1"/>
      <c r="B738" s="1"/>
      <c r="C738" s="2"/>
      <c r="D738" s="1"/>
      <c r="E738" s="1"/>
      <c r="F738" s="3"/>
      <c r="G738" s="1"/>
      <c r="H738" s="1"/>
      <c r="I738" s="1"/>
      <c r="J738" s="1"/>
      <c r="K738" s="1"/>
      <c r="L738" s="1"/>
      <c r="M738" s="1"/>
      <c r="N738" s="1"/>
      <c r="O738" s="1"/>
      <c r="P738" s="1"/>
      <c r="Q738" s="1"/>
      <c r="R738" s="1"/>
      <c r="S738" s="1"/>
      <c r="T738" s="1"/>
      <c r="U738" s="1"/>
      <c r="V738" s="1"/>
      <c r="W738" s="1"/>
      <c r="X738" s="1"/>
    </row>
    <row r="739" spans="1:24" ht="15.75" customHeight="1" x14ac:dyDescent="0.3">
      <c r="A739" s="1"/>
      <c r="B739" s="1"/>
      <c r="C739" s="2"/>
      <c r="D739" s="1"/>
      <c r="E739" s="1"/>
      <c r="F739" s="3"/>
      <c r="G739" s="1"/>
      <c r="H739" s="1"/>
      <c r="I739" s="1"/>
      <c r="J739" s="1"/>
      <c r="K739" s="1"/>
      <c r="L739" s="1"/>
      <c r="M739" s="1"/>
      <c r="N739" s="1"/>
      <c r="O739" s="1"/>
      <c r="P739" s="1"/>
      <c r="Q739" s="1"/>
      <c r="R739" s="1"/>
      <c r="S739" s="1"/>
      <c r="T739" s="1"/>
      <c r="U739" s="1"/>
      <c r="V739" s="1"/>
      <c r="W739" s="1"/>
      <c r="X739" s="1"/>
    </row>
    <row r="740" spans="1:24" ht="15.75" customHeight="1" x14ac:dyDescent="0.3">
      <c r="A740" s="1"/>
      <c r="B740" s="1"/>
      <c r="C740" s="2"/>
      <c r="D740" s="1"/>
      <c r="E740" s="1"/>
      <c r="F740" s="3"/>
      <c r="G740" s="1"/>
      <c r="H740" s="1"/>
      <c r="I740" s="1"/>
      <c r="J740" s="1"/>
      <c r="K740" s="1"/>
      <c r="L740" s="1"/>
      <c r="M740" s="1"/>
      <c r="N740" s="1"/>
      <c r="O740" s="1"/>
      <c r="P740" s="1"/>
      <c r="Q740" s="1"/>
      <c r="R740" s="1"/>
      <c r="S740" s="1"/>
      <c r="T740" s="1"/>
      <c r="U740" s="1"/>
      <c r="V740" s="1"/>
      <c r="W740" s="1"/>
      <c r="X740" s="1"/>
    </row>
    <row r="741" spans="1:24" ht="15.75" customHeight="1" x14ac:dyDescent="0.3">
      <c r="A741" s="1"/>
      <c r="B741" s="1"/>
      <c r="C741" s="2"/>
      <c r="D741" s="1"/>
      <c r="E741" s="1"/>
      <c r="F741" s="3"/>
      <c r="G741" s="1"/>
      <c r="H741" s="1"/>
      <c r="I741" s="1"/>
      <c r="J741" s="1"/>
      <c r="K741" s="1"/>
      <c r="L741" s="1"/>
      <c r="M741" s="1"/>
      <c r="N741" s="1"/>
      <c r="O741" s="1"/>
      <c r="P741" s="1"/>
      <c r="Q741" s="1"/>
      <c r="R741" s="1"/>
      <c r="S741" s="1"/>
      <c r="T741" s="1"/>
      <c r="U741" s="1"/>
      <c r="V741" s="1"/>
      <c r="W741" s="1"/>
      <c r="X741" s="1"/>
    </row>
    <row r="742" spans="1:24" ht="15.75" customHeight="1" x14ac:dyDescent="0.3">
      <c r="A742" s="1"/>
      <c r="B742" s="1"/>
      <c r="C742" s="2"/>
      <c r="D742" s="1"/>
      <c r="E742" s="1"/>
      <c r="F742" s="3"/>
      <c r="G742" s="1"/>
      <c r="H742" s="1"/>
      <c r="I742" s="1"/>
      <c r="J742" s="1"/>
      <c r="K742" s="1"/>
      <c r="L742" s="1"/>
      <c r="M742" s="1"/>
      <c r="N742" s="1"/>
      <c r="O742" s="1"/>
      <c r="P742" s="1"/>
      <c r="Q742" s="1"/>
      <c r="R742" s="1"/>
      <c r="S742" s="1"/>
      <c r="T742" s="1"/>
      <c r="U742" s="1"/>
      <c r="V742" s="1"/>
      <c r="W742" s="1"/>
      <c r="X742" s="1"/>
    </row>
    <row r="743" spans="1:24" ht="15.75" customHeight="1" x14ac:dyDescent="0.3">
      <c r="A743" s="1"/>
      <c r="B743" s="1"/>
      <c r="C743" s="2"/>
      <c r="D743" s="1"/>
      <c r="E743" s="1"/>
      <c r="F743" s="3"/>
      <c r="G743" s="1"/>
      <c r="H743" s="1"/>
      <c r="I743" s="1"/>
      <c r="J743" s="1"/>
      <c r="K743" s="1"/>
      <c r="L743" s="1"/>
      <c r="M743" s="1"/>
      <c r="N743" s="1"/>
      <c r="O743" s="1"/>
      <c r="P743" s="1"/>
      <c r="Q743" s="1"/>
      <c r="R743" s="1"/>
      <c r="S743" s="1"/>
      <c r="T743" s="1"/>
      <c r="U743" s="1"/>
      <c r="V743" s="1"/>
      <c r="W743" s="1"/>
      <c r="X743" s="1"/>
    </row>
    <row r="744" spans="1:24" ht="15.75" customHeight="1" x14ac:dyDescent="0.3">
      <c r="A744" s="1"/>
      <c r="B744" s="1"/>
      <c r="C744" s="2"/>
      <c r="D744" s="1"/>
      <c r="E744" s="1"/>
      <c r="F744" s="3"/>
      <c r="G744" s="1"/>
      <c r="H744" s="1"/>
      <c r="I744" s="1"/>
      <c r="J744" s="1"/>
      <c r="K744" s="1"/>
      <c r="L744" s="1"/>
      <c r="M744" s="1"/>
      <c r="N744" s="1"/>
      <c r="O744" s="1"/>
      <c r="P744" s="1"/>
      <c r="Q744" s="1"/>
      <c r="R744" s="1"/>
      <c r="S744" s="1"/>
      <c r="T744" s="1"/>
      <c r="U744" s="1"/>
      <c r="V744" s="1"/>
      <c r="W744" s="1"/>
      <c r="X744" s="1"/>
    </row>
    <row r="745" spans="1:24" ht="15.75" customHeight="1" x14ac:dyDescent="0.3">
      <c r="A745" s="1"/>
      <c r="B745" s="1"/>
      <c r="C745" s="2"/>
      <c r="D745" s="1"/>
      <c r="E745" s="1"/>
      <c r="F745" s="3"/>
      <c r="G745" s="1"/>
      <c r="H745" s="1"/>
      <c r="I745" s="1"/>
      <c r="J745" s="1"/>
      <c r="K745" s="1"/>
      <c r="L745" s="1"/>
      <c r="M745" s="1"/>
      <c r="N745" s="1"/>
      <c r="O745" s="1"/>
      <c r="P745" s="1"/>
      <c r="Q745" s="1"/>
      <c r="R745" s="1"/>
      <c r="S745" s="1"/>
      <c r="T745" s="1"/>
      <c r="U745" s="1"/>
      <c r="V745" s="1"/>
      <c r="W745" s="1"/>
      <c r="X745" s="1"/>
    </row>
    <row r="746" spans="1:24" ht="15.75" customHeight="1" x14ac:dyDescent="0.3">
      <c r="A746" s="1"/>
      <c r="B746" s="1"/>
      <c r="C746" s="2"/>
      <c r="D746" s="1"/>
      <c r="E746" s="1"/>
      <c r="F746" s="3"/>
      <c r="G746" s="1"/>
      <c r="H746" s="1"/>
      <c r="I746" s="1"/>
      <c r="J746" s="1"/>
      <c r="K746" s="1"/>
      <c r="L746" s="1"/>
      <c r="M746" s="1"/>
      <c r="N746" s="1"/>
      <c r="O746" s="1"/>
      <c r="P746" s="1"/>
      <c r="Q746" s="1"/>
      <c r="R746" s="1"/>
      <c r="S746" s="1"/>
      <c r="T746" s="1"/>
      <c r="U746" s="1"/>
      <c r="V746" s="1"/>
      <c r="W746" s="1"/>
      <c r="X746" s="1"/>
    </row>
    <row r="747" spans="1:24" ht="15.75" customHeight="1" x14ac:dyDescent="0.3">
      <c r="A747" s="1"/>
      <c r="B747" s="1"/>
      <c r="C747" s="2"/>
      <c r="D747" s="1"/>
      <c r="E747" s="1"/>
      <c r="F747" s="3"/>
      <c r="G747" s="1"/>
      <c r="H747" s="1"/>
      <c r="I747" s="1"/>
      <c r="J747" s="1"/>
      <c r="K747" s="1"/>
      <c r="L747" s="1"/>
      <c r="M747" s="1"/>
      <c r="N747" s="1"/>
      <c r="O747" s="1"/>
      <c r="P747" s="1"/>
      <c r="Q747" s="1"/>
      <c r="R747" s="1"/>
      <c r="S747" s="1"/>
      <c r="T747" s="1"/>
      <c r="U747" s="1"/>
      <c r="V747" s="1"/>
      <c r="W747" s="1"/>
      <c r="X747" s="1"/>
    </row>
    <row r="748" spans="1:24" ht="15.75" customHeight="1" x14ac:dyDescent="0.3">
      <c r="A748" s="1"/>
      <c r="B748" s="1"/>
      <c r="C748" s="2"/>
      <c r="D748" s="1"/>
      <c r="E748" s="1"/>
      <c r="F748" s="3"/>
      <c r="G748" s="1"/>
      <c r="H748" s="1"/>
      <c r="I748" s="1"/>
      <c r="J748" s="1"/>
      <c r="K748" s="1"/>
      <c r="L748" s="1"/>
      <c r="M748" s="1"/>
      <c r="N748" s="1"/>
      <c r="O748" s="1"/>
      <c r="P748" s="1"/>
      <c r="Q748" s="1"/>
      <c r="R748" s="1"/>
      <c r="S748" s="1"/>
      <c r="T748" s="1"/>
      <c r="U748" s="1"/>
      <c r="V748" s="1"/>
      <c r="W748" s="1"/>
      <c r="X748" s="1"/>
    </row>
    <row r="749" spans="1:24" ht="15.75" customHeight="1" x14ac:dyDescent="0.3">
      <c r="A749" s="1"/>
      <c r="B749" s="1"/>
      <c r="C749" s="2"/>
      <c r="D749" s="1"/>
      <c r="E749" s="1"/>
      <c r="F749" s="3"/>
      <c r="G749" s="1"/>
      <c r="H749" s="1"/>
      <c r="I749" s="1"/>
      <c r="J749" s="1"/>
      <c r="K749" s="1"/>
      <c r="L749" s="1"/>
      <c r="M749" s="1"/>
      <c r="N749" s="1"/>
      <c r="O749" s="1"/>
      <c r="P749" s="1"/>
      <c r="Q749" s="1"/>
      <c r="R749" s="1"/>
      <c r="S749" s="1"/>
      <c r="T749" s="1"/>
      <c r="U749" s="1"/>
      <c r="V749" s="1"/>
      <c r="W749" s="1"/>
      <c r="X749" s="1"/>
    </row>
    <row r="750" spans="1:24" ht="15.75" customHeight="1" x14ac:dyDescent="0.3">
      <c r="A750" s="1"/>
      <c r="B750" s="1"/>
      <c r="C750" s="2"/>
      <c r="D750" s="1"/>
      <c r="E750" s="1"/>
      <c r="F750" s="3"/>
      <c r="G750" s="1"/>
      <c r="H750" s="1"/>
      <c r="I750" s="1"/>
      <c r="J750" s="1"/>
      <c r="K750" s="1"/>
      <c r="L750" s="1"/>
      <c r="M750" s="1"/>
      <c r="N750" s="1"/>
      <c r="O750" s="1"/>
      <c r="P750" s="1"/>
      <c r="Q750" s="1"/>
      <c r="R750" s="1"/>
      <c r="S750" s="1"/>
      <c r="T750" s="1"/>
      <c r="U750" s="1"/>
      <c r="V750" s="1"/>
      <c r="W750" s="1"/>
      <c r="X750" s="1"/>
    </row>
    <row r="751" spans="1:24" ht="15.75" customHeight="1" x14ac:dyDescent="0.3">
      <c r="A751" s="1"/>
      <c r="B751" s="1"/>
      <c r="C751" s="2"/>
      <c r="D751" s="1"/>
      <c r="E751" s="1"/>
      <c r="F751" s="3"/>
      <c r="G751" s="1"/>
      <c r="H751" s="1"/>
      <c r="I751" s="1"/>
      <c r="J751" s="1"/>
      <c r="K751" s="1"/>
      <c r="L751" s="1"/>
      <c r="M751" s="1"/>
      <c r="N751" s="1"/>
      <c r="O751" s="1"/>
      <c r="P751" s="1"/>
      <c r="Q751" s="1"/>
      <c r="R751" s="1"/>
      <c r="S751" s="1"/>
      <c r="T751" s="1"/>
      <c r="U751" s="1"/>
      <c r="V751" s="1"/>
      <c r="W751" s="1"/>
      <c r="X751" s="1"/>
    </row>
    <row r="752" spans="1:24" ht="15.75" customHeight="1" x14ac:dyDescent="0.3">
      <c r="A752" s="1"/>
      <c r="B752" s="1"/>
      <c r="C752" s="2"/>
      <c r="D752" s="1"/>
      <c r="E752" s="1"/>
      <c r="F752" s="3"/>
      <c r="G752" s="1"/>
      <c r="H752" s="1"/>
      <c r="I752" s="1"/>
      <c r="J752" s="1"/>
      <c r="K752" s="1"/>
      <c r="L752" s="1"/>
      <c r="M752" s="1"/>
      <c r="N752" s="1"/>
      <c r="O752" s="1"/>
      <c r="P752" s="1"/>
      <c r="Q752" s="1"/>
      <c r="R752" s="1"/>
      <c r="S752" s="1"/>
      <c r="T752" s="1"/>
      <c r="U752" s="1"/>
      <c r="V752" s="1"/>
      <c r="W752" s="1"/>
      <c r="X752" s="1"/>
    </row>
    <row r="753" spans="1:24" ht="15.75" customHeight="1" x14ac:dyDescent="0.3">
      <c r="A753" s="1"/>
      <c r="B753" s="1"/>
      <c r="C753" s="2"/>
      <c r="D753" s="1"/>
      <c r="E753" s="1"/>
      <c r="F753" s="3"/>
      <c r="G753" s="1"/>
      <c r="H753" s="1"/>
      <c r="I753" s="1"/>
      <c r="J753" s="1"/>
      <c r="K753" s="1"/>
      <c r="L753" s="1"/>
      <c r="M753" s="1"/>
      <c r="N753" s="1"/>
      <c r="O753" s="1"/>
      <c r="P753" s="1"/>
      <c r="Q753" s="1"/>
      <c r="R753" s="1"/>
      <c r="S753" s="1"/>
      <c r="T753" s="1"/>
      <c r="U753" s="1"/>
      <c r="V753" s="1"/>
      <c r="W753" s="1"/>
      <c r="X753" s="1"/>
    </row>
    <row r="754" spans="1:24" ht="15.75" customHeight="1" x14ac:dyDescent="0.3">
      <c r="A754" s="1"/>
      <c r="B754" s="1"/>
      <c r="C754" s="2"/>
      <c r="D754" s="1"/>
      <c r="E754" s="1"/>
      <c r="F754" s="3"/>
      <c r="G754" s="1"/>
      <c r="H754" s="1"/>
      <c r="I754" s="1"/>
      <c r="J754" s="1"/>
      <c r="K754" s="1"/>
      <c r="L754" s="1"/>
      <c r="M754" s="1"/>
      <c r="N754" s="1"/>
      <c r="O754" s="1"/>
      <c r="P754" s="1"/>
      <c r="Q754" s="1"/>
      <c r="R754" s="1"/>
      <c r="S754" s="1"/>
      <c r="T754" s="1"/>
      <c r="U754" s="1"/>
      <c r="V754" s="1"/>
      <c r="W754" s="1"/>
      <c r="X754" s="1"/>
    </row>
    <row r="755" spans="1:24" ht="15.75" customHeight="1" x14ac:dyDescent="0.3">
      <c r="A755" s="1"/>
      <c r="B755" s="1"/>
      <c r="C755" s="2"/>
      <c r="D755" s="1"/>
      <c r="E755" s="1"/>
      <c r="F755" s="3"/>
      <c r="G755" s="1"/>
      <c r="H755" s="1"/>
      <c r="I755" s="1"/>
      <c r="J755" s="1"/>
      <c r="K755" s="1"/>
      <c r="L755" s="1"/>
      <c r="M755" s="1"/>
      <c r="N755" s="1"/>
      <c r="O755" s="1"/>
      <c r="P755" s="1"/>
      <c r="Q755" s="1"/>
      <c r="R755" s="1"/>
      <c r="S755" s="1"/>
      <c r="T755" s="1"/>
      <c r="U755" s="1"/>
      <c r="V755" s="1"/>
      <c r="W755" s="1"/>
      <c r="X755" s="1"/>
    </row>
    <row r="756" spans="1:24" ht="15.75" customHeight="1" x14ac:dyDescent="0.3">
      <c r="A756" s="1"/>
      <c r="B756" s="1"/>
      <c r="C756" s="2"/>
      <c r="D756" s="1"/>
      <c r="E756" s="1"/>
      <c r="F756" s="3"/>
      <c r="G756" s="1"/>
      <c r="H756" s="1"/>
      <c r="I756" s="1"/>
      <c r="J756" s="1"/>
      <c r="K756" s="1"/>
      <c r="L756" s="1"/>
      <c r="M756" s="1"/>
      <c r="N756" s="1"/>
      <c r="O756" s="1"/>
      <c r="P756" s="1"/>
      <c r="Q756" s="1"/>
      <c r="R756" s="1"/>
      <c r="S756" s="1"/>
      <c r="T756" s="1"/>
      <c r="U756" s="1"/>
      <c r="V756" s="1"/>
      <c r="W756" s="1"/>
      <c r="X756" s="1"/>
    </row>
    <row r="757" spans="1:24" ht="15.75" customHeight="1" x14ac:dyDescent="0.3">
      <c r="A757" s="1"/>
      <c r="B757" s="1"/>
      <c r="C757" s="2"/>
      <c r="D757" s="1"/>
      <c r="E757" s="1"/>
      <c r="F757" s="3"/>
      <c r="G757" s="1"/>
      <c r="H757" s="1"/>
      <c r="I757" s="1"/>
      <c r="J757" s="1"/>
      <c r="K757" s="1"/>
      <c r="L757" s="1"/>
      <c r="M757" s="1"/>
      <c r="N757" s="1"/>
      <c r="O757" s="1"/>
      <c r="P757" s="1"/>
      <c r="Q757" s="1"/>
      <c r="R757" s="1"/>
      <c r="S757" s="1"/>
      <c r="T757" s="1"/>
      <c r="U757" s="1"/>
      <c r="V757" s="1"/>
      <c r="W757" s="1"/>
      <c r="X757" s="1"/>
    </row>
    <row r="758" spans="1:24" ht="15.75" customHeight="1" x14ac:dyDescent="0.3">
      <c r="A758" s="1"/>
      <c r="B758" s="1"/>
      <c r="C758" s="2"/>
      <c r="D758" s="1"/>
      <c r="E758" s="1"/>
      <c r="F758" s="3"/>
      <c r="G758" s="1"/>
      <c r="H758" s="1"/>
      <c r="I758" s="1"/>
      <c r="J758" s="1"/>
      <c r="K758" s="1"/>
      <c r="L758" s="1"/>
      <c r="M758" s="1"/>
      <c r="N758" s="1"/>
      <c r="O758" s="1"/>
      <c r="P758" s="1"/>
      <c r="Q758" s="1"/>
      <c r="R758" s="1"/>
      <c r="S758" s="1"/>
      <c r="T758" s="1"/>
      <c r="U758" s="1"/>
      <c r="V758" s="1"/>
      <c r="W758" s="1"/>
      <c r="X758" s="1"/>
    </row>
    <row r="759" spans="1:24" ht="15.75" customHeight="1" x14ac:dyDescent="0.3">
      <c r="A759" s="1"/>
      <c r="B759" s="1"/>
      <c r="C759" s="2"/>
      <c r="D759" s="1"/>
      <c r="E759" s="1"/>
      <c r="F759" s="3"/>
      <c r="G759" s="1"/>
      <c r="H759" s="1"/>
      <c r="I759" s="1"/>
      <c r="J759" s="1"/>
      <c r="K759" s="1"/>
      <c r="L759" s="1"/>
      <c r="M759" s="1"/>
      <c r="N759" s="1"/>
      <c r="O759" s="1"/>
      <c r="P759" s="1"/>
      <c r="Q759" s="1"/>
      <c r="R759" s="1"/>
      <c r="S759" s="1"/>
      <c r="T759" s="1"/>
      <c r="U759" s="1"/>
      <c r="V759" s="1"/>
      <c r="W759" s="1"/>
      <c r="X759" s="1"/>
    </row>
    <row r="760" spans="1:24" ht="15.75" customHeight="1" x14ac:dyDescent="0.3">
      <c r="A760" s="1"/>
      <c r="B760" s="1"/>
      <c r="C760" s="2"/>
      <c r="D760" s="1"/>
      <c r="E760" s="1"/>
      <c r="F760" s="3"/>
      <c r="G760" s="1"/>
      <c r="H760" s="1"/>
      <c r="I760" s="1"/>
      <c r="J760" s="1"/>
      <c r="K760" s="1"/>
      <c r="L760" s="1"/>
      <c r="M760" s="1"/>
      <c r="N760" s="1"/>
      <c r="O760" s="1"/>
      <c r="P760" s="1"/>
      <c r="Q760" s="1"/>
      <c r="R760" s="1"/>
      <c r="S760" s="1"/>
      <c r="T760" s="1"/>
      <c r="U760" s="1"/>
      <c r="V760" s="1"/>
      <c r="W760" s="1"/>
      <c r="X760" s="1"/>
    </row>
    <row r="761" spans="1:24" ht="15.75" customHeight="1" x14ac:dyDescent="0.3">
      <c r="A761" s="1"/>
      <c r="B761" s="1"/>
      <c r="C761" s="2"/>
      <c r="D761" s="1"/>
      <c r="E761" s="1"/>
      <c r="F761" s="3"/>
      <c r="G761" s="1"/>
      <c r="H761" s="1"/>
      <c r="I761" s="1"/>
      <c r="J761" s="1"/>
      <c r="K761" s="1"/>
      <c r="L761" s="1"/>
      <c r="M761" s="1"/>
      <c r="N761" s="1"/>
      <c r="O761" s="1"/>
      <c r="P761" s="1"/>
      <c r="Q761" s="1"/>
      <c r="R761" s="1"/>
      <c r="S761" s="1"/>
      <c r="T761" s="1"/>
      <c r="U761" s="1"/>
      <c r="V761" s="1"/>
      <c r="W761" s="1"/>
      <c r="X761" s="1"/>
    </row>
    <row r="762" spans="1:24" ht="15.75" customHeight="1" x14ac:dyDescent="0.3">
      <c r="A762" s="1"/>
      <c r="B762" s="1"/>
      <c r="C762" s="2"/>
      <c r="D762" s="1"/>
      <c r="E762" s="1"/>
      <c r="F762" s="3"/>
      <c r="G762" s="1"/>
      <c r="H762" s="1"/>
      <c r="I762" s="1"/>
      <c r="J762" s="1"/>
      <c r="K762" s="1"/>
      <c r="L762" s="1"/>
      <c r="M762" s="1"/>
      <c r="N762" s="1"/>
      <c r="O762" s="1"/>
      <c r="P762" s="1"/>
      <c r="Q762" s="1"/>
      <c r="R762" s="1"/>
      <c r="S762" s="1"/>
      <c r="T762" s="1"/>
      <c r="U762" s="1"/>
      <c r="V762" s="1"/>
      <c r="W762" s="1"/>
      <c r="X762" s="1"/>
    </row>
    <row r="763" spans="1:24" ht="15.75" customHeight="1" x14ac:dyDescent="0.3">
      <c r="A763" s="1"/>
      <c r="B763" s="1"/>
      <c r="C763" s="2"/>
      <c r="D763" s="1"/>
      <c r="E763" s="1"/>
      <c r="F763" s="3"/>
      <c r="G763" s="1"/>
      <c r="H763" s="1"/>
      <c r="I763" s="1"/>
      <c r="J763" s="1"/>
      <c r="K763" s="1"/>
      <c r="L763" s="1"/>
      <c r="M763" s="1"/>
      <c r="N763" s="1"/>
      <c r="O763" s="1"/>
      <c r="P763" s="1"/>
      <c r="Q763" s="1"/>
      <c r="R763" s="1"/>
      <c r="S763" s="1"/>
      <c r="T763" s="1"/>
      <c r="U763" s="1"/>
      <c r="V763" s="1"/>
      <c r="W763" s="1"/>
      <c r="X763" s="1"/>
    </row>
    <row r="764" spans="1:24" ht="15.75" customHeight="1" x14ac:dyDescent="0.3">
      <c r="A764" s="1"/>
      <c r="B764" s="1"/>
      <c r="C764" s="2"/>
      <c r="D764" s="1"/>
      <c r="E764" s="1"/>
      <c r="F764" s="3"/>
      <c r="G764" s="1"/>
      <c r="H764" s="1"/>
      <c r="I764" s="1"/>
      <c r="J764" s="1"/>
      <c r="K764" s="1"/>
      <c r="L764" s="1"/>
      <c r="M764" s="1"/>
      <c r="N764" s="1"/>
      <c r="O764" s="1"/>
      <c r="P764" s="1"/>
      <c r="Q764" s="1"/>
      <c r="R764" s="1"/>
      <c r="S764" s="1"/>
      <c r="T764" s="1"/>
      <c r="U764" s="1"/>
      <c r="V764" s="1"/>
      <c r="W764" s="1"/>
      <c r="X764" s="1"/>
    </row>
    <row r="765" spans="1:24" ht="15.75" customHeight="1" x14ac:dyDescent="0.3">
      <c r="A765" s="1"/>
      <c r="B765" s="1"/>
      <c r="C765" s="2"/>
      <c r="D765" s="1"/>
      <c r="E765" s="1"/>
      <c r="F765" s="3"/>
      <c r="G765" s="1"/>
      <c r="H765" s="1"/>
      <c r="I765" s="1"/>
      <c r="J765" s="1"/>
      <c r="K765" s="1"/>
      <c r="L765" s="1"/>
      <c r="M765" s="1"/>
      <c r="N765" s="1"/>
      <c r="O765" s="1"/>
      <c r="P765" s="1"/>
      <c r="Q765" s="1"/>
      <c r="R765" s="1"/>
      <c r="S765" s="1"/>
      <c r="T765" s="1"/>
      <c r="U765" s="1"/>
      <c r="V765" s="1"/>
      <c r="W765" s="1"/>
      <c r="X765" s="1"/>
    </row>
    <row r="766" spans="1:24" ht="15.75" customHeight="1" x14ac:dyDescent="0.3">
      <c r="A766" s="1"/>
      <c r="B766" s="1"/>
      <c r="C766" s="2"/>
      <c r="D766" s="1"/>
      <c r="E766" s="1"/>
      <c r="F766" s="3"/>
      <c r="G766" s="1"/>
      <c r="H766" s="1"/>
      <c r="I766" s="1"/>
      <c r="J766" s="1"/>
      <c r="K766" s="1"/>
      <c r="L766" s="1"/>
      <c r="M766" s="1"/>
      <c r="N766" s="1"/>
      <c r="O766" s="1"/>
      <c r="P766" s="1"/>
      <c r="Q766" s="1"/>
      <c r="R766" s="1"/>
      <c r="S766" s="1"/>
      <c r="T766" s="1"/>
      <c r="U766" s="1"/>
      <c r="V766" s="1"/>
      <c r="W766" s="1"/>
      <c r="X766" s="1"/>
    </row>
    <row r="767" spans="1:24" ht="15.75" customHeight="1" x14ac:dyDescent="0.3">
      <c r="A767" s="1"/>
      <c r="B767" s="1"/>
      <c r="C767" s="2"/>
      <c r="D767" s="1"/>
      <c r="E767" s="1"/>
      <c r="F767" s="3"/>
      <c r="G767" s="1"/>
      <c r="H767" s="1"/>
      <c r="I767" s="1"/>
      <c r="J767" s="1"/>
      <c r="K767" s="1"/>
      <c r="L767" s="1"/>
      <c r="M767" s="1"/>
      <c r="N767" s="1"/>
      <c r="O767" s="1"/>
      <c r="P767" s="1"/>
      <c r="Q767" s="1"/>
      <c r="R767" s="1"/>
      <c r="S767" s="1"/>
      <c r="T767" s="1"/>
      <c r="U767" s="1"/>
      <c r="V767" s="1"/>
      <c r="W767" s="1"/>
      <c r="X767" s="1"/>
    </row>
    <row r="768" spans="1:24" ht="15.75" customHeight="1" x14ac:dyDescent="0.3">
      <c r="A768" s="1"/>
      <c r="B768" s="1"/>
      <c r="C768" s="2"/>
      <c r="D768" s="1"/>
      <c r="E768" s="1"/>
      <c r="F768" s="3"/>
      <c r="G768" s="1"/>
      <c r="H768" s="1"/>
      <c r="I768" s="1"/>
      <c r="J768" s="1"/>
      <c r="K768" s="1"/>
      <c r="L768" s="1"/>
      <c r="M768" s="1"/>
      <c r="N768" s="1"/>
      <c r="O768" s="1"/>
      <c r="P768" s="1"/>
      <c r="Q768" s="1"/>
      <c r="R768" s="1"/>
      <c r="S768" s="1"/>
      <c r="T768" s="1"/>
      <c r="U768" s="1"/>
      <c r="V768" s="1"/>
      <c r="W768" s="1"/>
      <c r="X768" s="1"/>
    </row>
    <row r="769" spans="1:24" ht="15.75" customHeight="1" x14ac:dyDescent="0.3">
      <c r="A769" s="1"/>
      <c r="B769" s="1"/>
      <c r="C769" s="2"/>
      <c r="D769" s="1"/>
      <c r="E769" s="1"/>
      <c r="F769" s="3"/>
      <c r="G769" s="1"/>
      <c r="H769" s="1"/>
      <c r="I769" s="1"/>
      <c r="J769" s="1"/>
      <c r="K769" s="1"/>
      <c r="L769" s="1"/>
      <c r="M769" s="1"/>
      <c r="N769" s="1"/>
      <c r="O769" s="1"/>
      <c r="P769" s="1"/>
      <c r="Q769" s="1"/>
      <c r="R769" s="1"/>
      <c r="S769" s="1"/>
      <c r="T769" s="1"/>
      <c r="U769" s="1"/>
      <c r="V769" s="1"/>
      <c r="W769" s="1"/>
      <c r="X769" s="1"/>
    </row>
    <row r="770" spans="1:24" ht="15.75" customHeight="1" x14ac:dyDescent="0.3">
      <c r="A770" s="1"/>
      <c r="B770" s="1"/>
      <c r="C770" s="2"/>
      <c r="D770" s="1"/>
      <c r="E770" s="1"/>
      <c r="F770" s="3"/>
      <c r="G770" s="1"/>
      <c r="H770" s="1"/>
      <c r="I770" s="1"/>
      <c r="J770" s="1"/>
      <c r="K770" s="1"/>
      <c r="L770" s="1"/>
      <c r="M770" s="1"/>
      <c r="N770" s="1"/>
      <c r="O770" s="1"/>
      <c r="P770" s="1"/>
      <c r="Q770" s="1"/>
      <c r="R770" s="1"/>
      <c r="S770" s="1"/>
      <c r="T770" s="1"/>
      <c r="U770" s="1"/>
      <c r="V770" s="1"/>
      <c r="W770" s="1"/>
      <c r="X770" s="1"/>
    </row>
    <row r="771" spans="1:24" ht="15.75" customHeight="1" x14ac:dyDescent="0.3">
      <c r="A771" s="1"/>
      <c r="B771" s="1"/>
      <c r="C771" s="2"/>
      <c r="D771" s="1"/>
      <c r="E771" s="1"/>
      <c r="F771" s="3"/>
      <c r="G771" s="1"/>
      <c r="H771" s="1"/>
      <c r="I771" s="1"/>
      <c r="J771" s="1"/>
      <c r="K771" s="1"/>
      <c r="L771" s="1"/>
      <c r="M771" s="1"/>
      <c r="N771" s="1"/>
      <c r="O771" s="1"/>
      <c r="P771" s="1"/>
      <c r="Q771" s="1"/>
      <c r="R771" s="1"/>
      <c r="S771" s="1"/>
      <c r="T771" s="1"/>
      <c r="U771" s="1"/>
      <c r="V771" s="1"/>
      <c r="W771" s="1"/>
      <c r="X771" s="1"/>
    </row>
    <row r="772" spans="1:24" ht="15.75" customHeight="1" x14ac:dyDescent="0.3">
      <c r="A772" s="1"/>
      <c r="B772" s="1"/>
      <c r="C772" s="2"/>
      <c r="D772" s="1"/>
      <c r="E772" s="1"/>
      <c r="F772" s="3"/>
      <c r="G772" s="1"/>
      <c r="H772" s="1"/>
      <c r="I772" s="1"/>
      <c r="J772" s="1"/>
      <c r="K772" s="1"/>
      <c r="L772" s="1"/>
      <c r="M772" s="1"/>
      <c r="N772" s="1"/>
      <c r="O772" s="1"/>
      <c r="P772" s="1"/>
      <c r="Q772" s="1"/>
      <c r="R772" s="1"/>
      <c r="S772" s="1"/>
      <c r="T772" s="1"/>
      <c r="U772" s="1"/>
      <c r="V772" s="1"/>
      <c r="W772" s="1"/>
      <c r="X772" s="1"/>
    </row>
    <row r="773" spans="1:24" ht="15.75" customHeight="1" x14ac:dyDescent="0.3">
      <c r="A773" s="1"/>
      <c r="B773" s="1"/>
      <c r="C773" s="2"/>
      <c r="D773" s="1"/>
      <c r="E773" s="1"/>
      <c r="F773" s="3"/>
      <c r="G773" s="1"/>
      <c r="H773" s="1"/>
      <c r="I773" s="1"/>
      <c r="J773" s="1"/>
      <c r="K773" s="1"/>
      <c r="L773" s="1"/>
      <c r="M773" s="1"/>
      <c r="N773" s="1"/>
      <c r="O773" s="1"/>
      <c r="P773" s="1"/>
      <c r="Q773" s="1"/>
      <c r="R773" s="1"/>
      <c r="S773" s="1"/>
      <c r="T773" s="1"/>
      <c r="U773" s="1"/>
      <c r="V773" s="1"/>
      <c r="W773" s="1"/>
      <c r="X773" s="1"/>
    </row>
    <row r="774" spans="1:24" ht="15.75" customHeight="1" x14ac:dyDescent="0.3">
      <c r="A774" s="1"/>
      <c r="B774" s="1"/>
      <c r="C774" s="2"/>
      <c r="D774" s="1"/>
      <c r="E774" s="1"/>
      <c r="F774" s="3"/>
      <c r="G774" s="1"/>
      <c r="H774" s="1"/>
      <c r="I774" s="1"/>
      <c r="J774" s="1"/>
      <c r="K774" s="1"/>
      <c r="L774" s="1"/>
      <c r="M774" s="1"/>
      <c r="N774" s="1"/>
      <c r="O774" s="1"/>
      <c r="P774" s="1"/>
      <c r="Q774" s="1"/>
      <c r="R774" s="1"/>
      <c r="S774" s="1"/>
      <c r="T774" s="1"/>
      <c r="U774" s="1"/>
      <c r="V774" s="1"/>
      <c r="W774" s="1"/>
      <c r="X774" s="1"/>
    </row>
    <row r="775" spans="1:24" ht="15.75" customHeight="1" x14ac:dyDescent="0.3">
      <c r="A775" s="1"/>
      <c r="B775" s="1"/>
      <c r="C775" s="2"/>
      <c r="D775" s="1"/>
      <c r="E775" s="1"/>
      <c r="F775" s="3"/>
      <c r="G775" s="1"/>
      <c r="H775" s="1"/>
      <c r="I775" s="1"/>
      <c r="J775" s="1"/>
      <c r="K775" s="1"/>
      <c r="L775" s="1"/>
      <c r="M775" s="1"/>
      <c r="N775" s="1"/>
      <c r="O775" s="1"/>
      <c r="P775" s="1"/>
      <c r="Q775" s="1"/>
      <c r="R775" s="1"/>
      <c r="S775" s="1"/>
      <c r="T775" s="1"/>
      <c r="U775" s="1"/>
      <c r="V775" s="1"/>
      <c r="W775" s="1"/>
      <c r="X775" s="1"/>
    </row>
    <row r="776" spans="1:24" ht="15.75" customHeight="1" x14ac:dyDescent="0.3">
      <c r="A776" s="1"/>
      <c r="B776" s="1"/>
      <c r="C776" s="2"/>
      <c r="D776" s="1"/>
      <c r="E776" s="1"/>
      <c r="F776" s="3"/>
      <c r="G776" s="1"/>
      <c r="H776" s="1"/>
      <c r="I776" s="1"/>
      <c r="J776" s="1"/>
      <c r="K776" s="1"/>
      <c r="L776" s="1"/>
      <c r="M776" s="1"/>
      <c r="N776" s="1"/>
      <c r="O776" s="1"/>
      <c r="P776" s="1"/>
      <c r="Q776" s="1"/>
      <c r="R776" s="1"/>
      <c r="S776" s="1"/>
      <c r="T776" s="1"/>
      <c r="U776" s="1"/>
      <c r="V776" s="1"/>
      <c r="W776" s="1"/>
      <c r="X776" s="1"/>
    </row>
    <row r="777" spans="1:24" ht="15.75" customHeight="1" x14ac:dyDescent="0.3">
      <c r="A777" s="1"/>
      <c r="B777" s="1"/>
      <c r="C777" s="2"/>
      <c r="D777" s="1"/>
      <c r="E777" s="1"/>
      <c r="F777" s="3"/>
      <c r="G777" s="1"/>
      <c r="H777" s="1"/>
      <c r="I777" s="1"/>
      <c r="J777" s="1"/>
      <c r="K777" s="1"/>
      <c r="L777" s="1"/>
      <c r="M777" s="1"/>
      <c r="N777" s="1"/>
      <c r="O777" s="1"/>
      <c r="P777" s="1"/>
      <c r="Q777" s="1"/>
      <c r="R777" s="1"/>
      <c r="S777" s="1"/>
      <c r="T777" s="1"/>
      <c r="U777" s="1"/>
      <c r="V777" s="1"/>
      <c r="W777" s="1"/>
      <c r="X777" s="1"/>
    </row>
    <row r="778" spans="1:24" ht="15.75" customHeight="1" x14ac:dyDescent="0.3">
      <c r="A778" s="1"/>
      <c r="B778" s="1"/>
      <c r="C778" s="2"/>
      <c r="D778" s="1"/>
      <c r="E778" s="1"/>
      <c r="F778" s="3"/>
      <c r="G778" s="1"/>
      <c r="H778" s="1"/>
      <c r="I778" s="1"/>
      <c r="J778" s="1"/>
      <c r="K778" s="1"/>
      <c r="L778" s="1"/>
      <c r="M778" s="1"/>
      <c r="N778" s="1"/>
      <c r="O778" s="1"/>
      <c r="P778" s="1"/>
      <c r="Q778" s="1"/>
      <c r="R778" s="1"/>
      <c r="S778" s="1"/>
      <c r="T778" s="1"/>
      <c r="U778" s="1"/>
      <c r="V778" s="1"/>
      <c r="W778" s="1"/>
      <c r="X778" s="1"/>
    </row>
    <row r="779" spans="1:24" ht="15.75" customHeight="1" x14ac:dyDescent="0.3">
      <c r="A779" s="1"/>
      <c r="B779" s="1"/>
      <c r="C779" s="2"/>
      <c r="D779" s="1"/>
      <c r="E779" s="1"/>
      <c r="F779" s="3"/>
      <c r="G779" s="1"/>
      <c r="H779" s="1"/>
      <c r="I779" s="1"/>
      <c r="J779" s="1"/>
      <c r="K779" s="1"/>
      <c r="L779" s="1"/>
      <c r="M779" s="1"/>
      <c r="N779" s="1"/>
      <c r="O779" s="1"/>
      <c r="P779" s="1"/>
      <c r="Q779" s="1"/>
      <c r="R779" s="1"/>
      <c r="S779" s="1"/>
      <c r="T779" s="1"/>
      <c r="U779" s="1"/>
      <c r="V779" s="1"/>
      <c r="W779" s="1"/>
      <c r="X779" s="1"/>
    </row>
    <row r="780" spans="1:24" ht="15.75" customHeight="1" x14ac:dyDescent="0.3">
      <c r="A780" s="1"/>
      <c r="B780" s="1"/>
      <c r="C780" s="2"/>
      <c r="D780" s="1"/>
      <c r="E780" s="1"/>
      <c r="F780" s="3"/>
      <c r="G780" s="1"/>
      <c r="H780" s="1"/>
      <c r="I780" s="1"/>
      <c r="J780" s="1"/>
      <c r="K780" s="1"/>
      <c r="L780" s="1"/>
      <c r="M780" s="1"/>
      <c r="N780" s="1"/>
      <c r="O780" s="1"/>
      <c r="P780" s="1"/>
      <c r="Q780" s="1"/>
      <c r="R780" s="1"/>
      <c r="S780" s="1"/>
      <c r="T780" s="1"/>
      <c r="U780" s="1"/>
      <c r="V780" s="1"/>
      <c r="W780" s="1"/>
      <c r="X780" s="1"/>
    </row>
    <row r="781" spans="1:24" ht="15.75" customHeight="1" x14ac:dyDescent="0.3">
      <c r="A781" s="1"/>
      <c r="B781" s="1"/>
      <c r="C781" s="2"/>
      <c r="D781" s="1"/>
      <c r="E781" s="1"/>
      <c r="F781" s="3"/>
      <c r="G781" s="1"/>
      <c r="H781" s="1"/>
      <c r="I781" s="1"/>
      <c r="J781" s="1"/>
      <c r="K781" s="1"/>
      <c r="L781" s="1"/>
      <c r="M781" s="1"/>
      <c r="N781" s="1"/>
      <c r="O781" s="1"/>
      <c r="P781" s="1"/>
      <c r="Q781" s="1"/>
      <c r="R781" s="1"/>
      <c r="S781" s="1"/>
      <c r="T781" s="1"/>
      <c r="U781" s="1"/>
      <c r="V781" s="1"/>
      <c r="W781" s="1"/>
      <c r="X781" s="1"/>
    </row>
    <row r="782" spans="1:24" ht="15.75" customHeight="1" x14ac:dyDescent="0.3">
      <c r="A782" s="1"/>
      <c r="B782" s="1"/>
      <c r="C782" s="2"/>
      <c r="D782" s="1"/>
      <c r="E782" s="1"/>
      <c r="F782" s="3"/>
      <c r="G782" s="1"/>
      <c r="H782" s="1"/>
      <c r="I782" s="1"/>
      <c r="J782" s="1"/>
      <c r="K782" s="1"/>
      <c r="L782" s="1"/>
      <c r="M782" s="1"/>
      <c r="N782" s="1"/>
      <c r="O782" s="1"/>
      <c r="P782" s="1"/>
      <c r="Q782" s="1"/>
      <c r="R782" s="1"/>
      <c r="S782" s="1"/>
      <c r="T782" s="1"/>
      <c r="U782" s="1"/>
      <c r="V782" s="1"/>
      <c r="W782" s="1"/>
      <c r="X782" s="1"/>
    </row>
    <row r="783" spans="1:24" ht="15.75" customHeight="1" x14ac:dyDescent="0.3">
      <c r="A783" s="1"/>
      <c r="B783" s="1"/>
      <c r="C783" s="2"/>
      <c r="D783" s="1"/>
      <c r="E783" s="1"/>
      <c r="F783" s="3"/>
      <c r="G783" s="1"/>
      <c r="H783" s="1"/>
      <c r="I783" s="1"/>
      <c r="J783" s="1"/>
      <c r="K783" s="1"/>
      <c r="L783" s="1"/>
      <c r="M783" s="1"/>
      <c r="N783" s="1"/>
      <c r="O783" s="1"/>
      <c r="P783" s="1"/>
      <c r="Q783" s="1"/>
      <c r="R783" s="1"/>
      <c r="S783" s="1"/>
      <c r="T783" s="1"/>
      <c r="U783" s="1"/>
      <c r="V783" s="1"/>
      <c r="W783" s="1"/>
      <c r="X783" s="1"/>
    </row>
    <row r="784" spans="1:24" ht="15.75" customHeight="1" x14ac:dyDescent="0.3">
      <c r="A784" s="1"/>
      <c r="B784" s="1"/>
      <c r="C784" s="2"/>
      <c r="D784" s="1"/>
      <c r="E784" s="1"/>
      <c r="F784" s="3"/>
      <c r="G784" s="1"/>
      <c r="H784" s="1"/>
      <c r="I784" s="1"/>
      <c r="J784" s="1"/>
      <c r="K784" s="1"/>
      <c r="L784" s="1"/>
      <c r="M784" s="1"/>
      <c r="N784" s="1"/>
      <c r="O784" s="1"/>
      <c r="P784" s="1"/>
      <c r="Q784" s="1"/>
      <c r="R784" s="1"/>
      <c r="S784" s="1"/>
      <c r="T784" s="1"/>
      <c r="U784" s="1"/>
      <c r="V784" s="1"/>
      <c r="W784" s="1"/>
      <c r="X784" s="1"/>
    </row>
    <row r="785" spans="1:24" ht="15.75" customHeight="1" x14ac:dyDescent="0.3">
      <c r="A785" s="1"/>
      <c r="B785" s="1"/>
      <c r="C785" s="2"/>
      <c r="D785" s="1"/>
      <c r="E785" s="1"/>
      <c r="F785" s="3"/>
      <c r="G785" s="1"/>
      <c r="H785" s="1"/>
      <c r="I785" s="1"/>
      <c r="J785" s="1"/>
      <c r="K785" s="1"/>
      <c r="L785" s="1"/>
      <c r="M785" s="1"/>
      <c r="N785" s="1"/>
      <c r="O785" s="1"/>
      <c r="P785" s="1"/>
      <c r="Q785" s="1"/>
      <c r="R785" s="1"/>
      <c r="S785" s="1"/>
      <c r="T785" s="1"/>
      <c r="U785" s="1"/>
      <c r="V785" s="1"/>
      <c r="W785" s="1"/>
      <c r="X785" s="1"/>
    </row>
    <row r="786" spans="1:24" ht="15.75" customHeight="1" x14ac:dyDescent="0.3">
      <c r="A786" s="1"/>
      <c r="B786" s="1"/>
      <c r="C786" s="2"/>
      <c r="D786" s="1"/>
      <c r="E786" s="1"/>
      <c r="F786" s="3"/>
      <c r="G786" s="1"/>
      <c r="H786" s="1"/>
      <c r="I786" s="1"/>
      <c r="J786" s="1"/>
      <c r="K786" s="1"/>
      <c r="L786" s="1"/>
      <c r="M786" s="1"/>
      <c r="N786" s="1"/>
      <c r="O786" s="1"/>
      <c r="P786" s="1"/>
      <c r="Q786" s="1"/>
      <c r="R786" s="1"/>
      <c r="S786" s="1"/>
      <c r="T786" s="1"/>
      <c r="U786" s="1"/>
      <c r="V786" s="1"/>
      <c r="W786" s="1"/>
      <c r="X786" s="1"/>
    </row>
    <row r="787" spans="1:24" ht="15.75" customHeight="1" x14ac:dyDescent="0.3">
      <c r="A787" s="1"/>
      <c r="B787" s="1"/>
      <c r="C787" s="2"/>
      <c r="D787" s="1"/>
      <c r="E787" s="1"/>
      <c r="F787" s="3"/>
      <c r="G787" s="1"/>
      <c r="H787" s="1"/>
      <c r="I787" s="1"/>
      <c r="J787" s="1"/>
      <c r="K787" s="1"/>
      <c r="L787" s="1"/>
      <c r="M787" s="1"/>
      <c r="N787" s="1"/>
      <c r="O787" s="1"/>
      <c r="P787" s="1"/>
      <c r="Q787" s="1"/>
      <c r="R787" s="1"/>
      <c r="S787" s="1"/>
      <c r="T787" s="1"/>
      <c r="U787" s="1"/>
      <c r="V787" s="1"/>
      <c r="W787" s="1"/>
      <c r="X787" s="1"/>
    </row>
    <row r="788" spans="1:24" ht="15.75" customHeight="1" x14ac:dyDescent="0.3">
      <c r="A788" s="1"/>
      <c r="B788" s="1"/>
      <c r="C788" s="2"/>
      <c r="D788" s="1"/>
      <c r="E788" s="1"/>
      <c r="F788" s="3"/>
      <c r="G788" s="1"/>
      <c r="H788" s="1"/>
      <c r="I788" s="1"/>
      <c r="J788" s="1"/>
      <c r="K788" s="1"/>
      <c r="L788" s="1"/>
      <c r="M788" s="1"/>
      <c r="N788" s="1"/>
      <c r="O788" s="1"/>
      <c r="P788" s="1"/>
      <c r="Q788" s="1"/>
      <c r="R788" s="1"/>
      <c r="S788" s="1"/>
      <c r="T788" s="1"/>
      <c r="U788" s="1"/>
      <c r="V788" s="1"/>
      <c r="W788" s="1"/>
      <c r="X788" s="1"/>
    </row>
    <row r="789" spans="1:24" ht="15.75" customHeight="1" x14ac:dyDescent="0.3">
      <c r="A789" s="1"/>
      <c r="B789" s="1"/>
      <c r="C789" s="2"/>
      <c r="D789" s="1"/>
      <c r="E789" s="1"/>
      <c r="F789" s="3"/>
      <c r="G789" s="1"/>
      <c r="H789" s="1"/>
      <c r="I789" s="1"/>
      <c r="J789" s="1"/>
      <c r="K789" s="1"/>
      <c r="L789" s="1"/>
      <c r="M789" s="1"/>
      <c r="N789" s="1"/>
      <c r="O789" s="1"/>
      <c r="P789" s="1"/>
      <c r="Q789" s="1"/>
      <c r="R789" s="1"/>
      <c r="S789" s="1"/>
      <c r="T789" s="1"/>
      <c r="U789" s="1"/>
      <c r="V789" s="1"/>
      <c r="W789" s="1"/>
      <c r="X789" s="1"/>
    </row>
    <row r="790" spans="1:24" ht="15.75" customHeight="1" x14ac:dyDescent="0.3">
      <c r="A790" s="1"/>
      <c r="B790" s="1"/>
      <c r="C790" s="2"/>
      <c r="D790" s="1"/>
      <c r="E790" s="1"/>
      <c r="F790" s="3"/>
      <c r="G790" s="1"/>
      <c r="H790" s="1"/>
      <c r="I790" s="1"/>
      <c r="J790" s="1"/>
      <c r="K790" s="1"/>
      <c r="L790" s="1"/>
      <c r="M790" s="1"/>
      <c r="N790" s="1"/>
      <c r="O790" s="1"/>
      <c r="P790" s="1"/>
      <c r="Q790" s="1"/>
      <c r="R790" s="1"/>
      <c r="S790" s="1"/>
      <c r="T790" s="1"/>
      <c r="U790" s="1"/>
      <c r="V790" s="1"/>
      <c r="W790" s="1"/>
      <c r="X790" s="1"/>
    </row>
    <row r="791" spans="1:24" ht="15.75" customHeight="1" x14ac:dyDescent="0.3">
      <c r="A791" s="1"/>
      <c r="B791" s="1"/>
      <c r="C791" s="2"/>
      <c r="D791" s="1"/>
      <c r="E791" s="1"/>
      <c r="F791" s="3"/>
      <c r="G791" s="1"/>
      <c r="H791" s="1"/>
      <c r="I791" s="1"/>
      <c r="J791" s="1"/>
      <c r="K791" s="1"/>
      <c r="L791" s="1"/>
      <c r="M791" s="1"/>
      <c r="N791" s="1"/>
      <c r="O791" s="1"/>
      <c r="P791" s="1"/>
      <c r="Q791" s="1"/>
      <c r="R791" s="1"/>
      <c r="S791" s="1"/>
      <c r="T791" s="1"/>
      <c r="U791" s="1"/>
      <c r="V791" s="1"/>
      <c r="W791" s="1"/>
      <c r="X791" s="1"/>
    </row>
    <row r="792" spans="1:24" ht="15.75" customHeight="1" x14ac:dyDescent="0.3">
      <c r="A792" s="1"/>
      <c r="B792" s="1"/>
      <c r="C792" s="2"/>
      <c r="D792" s="1"/>
      <c r="E792" s="1"/>
      <c r="F792" s="3"/>
      <c r="G792" s="1"/>
      <c r="H792" s="1"/>
      <c r="I792" s="1"/>
      <c r="J792" s="1"/>
      <c r="K792" s="1"/>
      <c r="L792" s="1"/>
      <c r="M792" s="1"/>
      <c r="N792" s="1"/>
      <c r="O792" s="1"/>
      <c r="P792" s="1"/>
      <c r="Q792" s="1"/>
      <c r="R792" s="1"/>
      <c r="S792" s="1"/>
      <c r="T792" s="1"/>
      <c r="U792" s="1"/>
      <c r="V792" s="1"/>
      <c r="W792" s="1"/>
      <c r="X792" s="1"/>
    </row>
    <row r="793" spans="1:24" ht="15.75" customHeight="1" x14ac:dyDescent="0.3">
      <c r="A793" s="1"/>
      <c r="B793" s="1"/>
      <c r="C793" s="2"/>
      <c r="D793" s="1"/>
      <c r="E793" s="1"/>
      <c r="F793" s="3"/>
      <c r="G793" s="1"/>
      <c r="H793" s="1"/>
      <c r="I793" s="1"/>
      <c r="J793" s="1"/>
      <c r="K793" s="1"/>
      <c r="L793" s="1"/>
      <c r="M793" s="1"/>
      <c r="N793" s="1"/>
      <c r="O793" s="1"/>
      <c r="P793" s="1"/>
      <c r="Q793" s="1"/>
      <c r="R793" s="1"/>
      <c r="S793" s="1"/>
      <c r="T793" s="1"/>
      <c r="U793" s="1"/>
      <c r="V793" s="1"/>
      <c r="W793" s="1"/>
      <c r="X793" s="1"/>
    </row>
    <row r="794" spans="1:24" ht="15.75" customHeight="1" x14ac:dyDescent="0.3">
      <c r="A794" s="1"/>
      <c r="B794" s="1"/>
      <c r="C794" s="2"/>
      <c r="D794" s="1"/>
      <c r="E794" s="1"/>
      <c r="F794" s="3"/>
      <c r="G794" s="1"/>
      <c r="H794" s="1"/>
      <c r="I794" s="1"/>
      <c r="J794" s="1"/>
      <c r="K794" s="1"/>
      <c r="L794" s="1"/>
      <c r="M794" s="1"/>
      <c r="N794" s="1"/>
      <c r="O794" s="1"/>
      <c r="P794" s="1"/>
      <c r="Q794" s="1"/>
      <c r="R794" s="1"/>
      <c r="S794" s="1"/>
      <c r="T794" s="1"/>
      <c r="U794" s="1"/>
      <c r="V794" s="1"/>
      <c r="W794" s="1"/>
      <c r="X794" s="1"/>
    </row>
    <row r="795" spans="1:24" ht="15.75" customHeight="1" x14ac:dyDescent="0.3">
      <c r="A795" s="1"/>
      <c r="B795" s="1"/>
      <c r="C795" s="2"/>
      <c r="D795" s="1"/>
      <c r="E795" s="1"/>
      <c r="F795" s="3"/>
      <c r="G795" s="1"/>
      <c r="H795" s="1"/>
      <c r="I795" s="1"/>
      <c r="J795" s="1"/>
      <c r="K795" s="1"/>
      <c r="L795" s="1"/>
      <c r="M795" s="1"/>
      <c r="N795" s="1"/>
      <c r="O795" s="1"/>
      <c r="P795" s="1"/>
      <c r="Q795" s="1"/>
      <c r="R795" s="1"/>
      <c r="S795" s="1"/>
      <c r="T795" s="1"/>
      <c r="U795" s="1"/>
      <c r="V795" s="1"/>
      <c r="W795" s="1"/>
      <c r="X795" s="1"/>
    </row>
    <row r="796" spans="1:24" ht="15.75" customHeight="1" x14ac:dyDescent="0.3">
      <c r="A796" s="1"/>
      <c r="B796" s="1"/>
      <c r="C796" s="2"/>
      <c r="D796" s="1"/>
      <c r="E796" s="1"/>
      <c r="F796" s="3"/>
      <c r="G796" s="1"/>
      <c r="H796" s="1"/>
      <c r="I796" s="1"/>
      <c r="J796" s="1"/>
      <c r="K796" s="1"/>
      <c r="L796" s="1"/>
      <c r="M796" s="1"/>
      <c r="N796" s="1"/>
      <c r="O796" s="1"/>
      <c r="P796" s="1"/>
      <c r="Q796" s="1"/>
      <c r="R796" s="1"/>
      <c r="S796" s="1"/>
      <c r="T796" s="1"/>
      <c r="U796" s="1"/>
      <c r="V796" s="1"/>
      <c r="W796" s="1"/>
      <c r="X796" s="1"/>
    </row>
    <row r="797" spans="1:24" ht="15.75" customHeight="1" x14ac:dyDescent="0.3">
      <c r="A797" s="1"/>
      <c r="B797" s="1"/>
      <c r="C797" s="2"/>
      <c r="D797" s="1"/>
      <c r="E797" s="1"/>
      <c r="F797" s="3"/>
      <c r="G797" s="1"/>
      <c r="H797" s="1"/>
      <c r="I797" s="1"/>
      <c r="J797" s="1"/>
      <c r="K797" s="1"/>
      <c r="L797" s="1"/>
      <c r="M797" s="1"/>
      <c r="N797" s="1"/>
      <c r="O797" s="1"/>
      <c r="P797" s="1"/>
      <c r="Q797" s="1"/>
      <c r="R797" s="1"/>
      <c r="S797" s="1"/>
      <c r="T797" s="1"/>
      <c r="U797" s="1"/>
      <c r="V797" s="1"/>
      <c r="W797" s="1"/>
      <c r="X797" s="1"/>
    </row>
    <row r="798" spans="1:24" ht="15.75" customHeight="1" x14ac:dyDescent="0.3">
      <c r="A798" s="1"/>
      <c r="B798" s="1"/>
      <c r="C798" s="2"/>
      <c r="D798" s="1"/>
      <c r="E798" s="1"/>
      <c r="F798" s="3"/>
      <c r="G798" s="1"/>
      <c r="H798" s="1"/>
      <c r="I798" s="1"/>
      <c r="J798" s="1"/>
      <c r="K798" s="1"/>
      <c r="L798" s="1"/>
      <c r="M798" s="1"/>
      <c r="N798" s="1"/>
      <c r="O798" s="1"/>
      <c r="P798" s="1"/>
      <c r="Q798" s="1"/>
      <c r="R798" s="1"/>
      <c r="S798" s="1"/>
      <c r="T798" s="1"/>
      <c r="U798" s="1"/>
      <c r="V798" s="1"/>
      <c r="W798" s="1"/>
      <c r="X798" s="1"/>
    </row>
    <row r="799" spans="1:24" ht="15.75" customHeight="1" x14ac:dyDescent="0.3">
      <c r="A799" s="1"/>
      <c r="B799" s="1"/>
      <c r="C799" s="2"/>
      <c r="D799" s="1"/>
      <c r="E799" s="1"/>
      <c r="F799" s="3"/>
      <c r="G799" s="1"/>
      <c r="H799" s="1"/>
      <c r="I799" s="1"/>
      <c r="J799" s="1"/>
      <c r="K799" s="1"/>
      <c r="L799" s="1"/>
      <c r="M799" s="1"/>
      <c r="N799" s="1"/>
      <c r="O799" s="1"/>
      <c r="P799" s="1"/>
      <c r="Q799" s="1"/>
      <c r="R799" s="1"/>
      <c r="S799" s="1"/>
      <c r="T799" s="1"/>
      <c r="U799" s="1"/>
      <c r="V799" s="1"/>
      <c r="W799" s="1"/>
      <c r="X799" s="1"/>
    </row>
    <row r="800" spans="1:24" ht="15.75" customHeight="1" x14ac:dyDescent="0.3">
      <c r="A800" s="1"/>
      <c r="B800" s="1"/>
      <c r="C800" s="2"/>
      <c r="D800" s="1"/>
      <c r="E800" s="1"/>
      <c r="F800" s="3"/>
      <c r="G800" s="1"/>
      <c r="H800" s="1"/>
      <c r="I800" s="1"/>
      <c r="J800" s="1"/>
      <c r="K800" s="1"/>
      <c r="L800" s="1"/>
      <c r="M800" s="1"/>
      <c r="N800" s="1"/>
      <c r="O800" s="1"/>
      <c r="P800" s="1"/>
      <c r="Q800" s="1"/>
      <c r="R800" s="1"/>
      <c r="S800" s="1"/>
      <c r="T800" s="1"/>
      <c r="U800" s="1"/>
      <c r="V800" s="1"/>
      <c r="W800" s="1"/>
      <c r="X800" s="1"/>
    </row>
    <row r="801" spans="1:24" ht="15.75" customHeight="1" x14ac:dyDescent="0.3">
      <c r="A801" s="1"/>
      <c r="B801" s="1"/>
      <c r="C801" s="2"/>
      <c r="D801" s="1"/>
      <c r="E801" s="1"/>
      <c r="F801" s="3"/>
      <c r="G801" s="1"/>
      <c r="H801" s="1"/>
      <c r="I801" s="1"/>
      <c r="J801" s="1"/>
      <c r="K801" s="1"/>
      <c r="L801" s="1"/>
      <c r="M801" s="1"/>
      <c r="N801" s="1"/>
      <c r="O801" s="1"/>
      <c r="P801" s="1"/>
      <c r="Q801" s="1"/>
      <c r="R801" s="1"/>
      <c r="S801" s="1"/>
      <c r="T801" s="1"/>
      <c r="U801" s="1"/>
      <c r="V801" s="1"/>
      <c r="W801" s="1"/>
      <c r="X801" s="1"/>
    </row>
    <row r="802" spans="1:24" ht="15.75" customHeight="1" x14ac:dyDescent="0.3">
      <c r="A802" s="1"/>
      <c r="B802" s="1"/>
      <c r="C802" s="2"/>
      <c r="D802" s="1"/>
      <c r="E802" s="1"/>
      <c r="F802" s="3"/>
      <c r="G802" s="1"/>
      <c r="H802" s="1"/>
      <c r="I802" s="1"/>
      <c r="J802" s="1"/>
      <c r="K802" s="1"/>
      <c r="L802" s="1"/>
      <c r="M802" s="1"/>
      <c r="N802" s="1"/>
      <c r="O802" s="1"/>
      <c r="P802" s="1"/>
      <c r="Q802" s="1"/>
      <c r="R802" s="1"/>
      <c r="S802" s="1"/>
      <c r="T802" s="1"/>
      <c r="U802" s="1"/>
      <c r="V802" s="1"/>
      <c r="W802" s="1"/>
      <c r="X802" s="1"/>
    </row>
    <row r="803" spans="1:24" ht="15.75" customHeight="1" x14ac:dyDescent="0.3">
      <c r="A803" s="1"/>
      <c r="B803" s="1"/>
      <c r="C803" s="2"/>
      <c r="D803" s="1"/>
      <c r="E803" s="1"/>
      <c r="F803" s="3"/>
      <c r="G803" s="1"/>
      <c r="H803" s="1"/>
      <c r="I803" s="1"/>
      <c r="J803" s="1"/>
      <c r="K803" s="1"/>
      <c r="L803" s="1"/>
      <c r="M803" s="1"/>
      <c r="N803" s="1"/>
      <c r="O803" s="1"/>
      <c r="P803" s="1"/>
      <c r="Q803" s="1"/>
      <c r="R803" s="1"/>
      <c r="S803" s="1"/>
      <c r="T803" s="1"/>
      <c r="U803" s="1"/>
      <c r="V803" s="1"/>
      <c r="W803" s="1"/>
      <c r="X803" s="1"/>
    </row>
    <row r="804" spans="1:24" ht="15.75" customHeight="1" x14ac:dyDescent="0.3">
      <c r="A804" s="1"/>
      <c r="B804" s="1"/>
      <c r="C804" s="2"/>
      <c r="D804" s="1"/>
      <c r="E804" s="1"/>
      <c r="F804" s="3"/>
      <c r="G804" s="1"/>
      <c r="H804" s="1"/>
      <c r="I804" s="1"/>
      <c r="J804" s="1"/>
      <c r="K804" s="1"/>
      <c r="L804" s="1"/>
      <c r="M804" s="1"/>
      <c r="N804" s="1"/>
      <c r="O804" s="1"/>
      <c r="P804" s="1"/>
      <c r="Q804" s="1"/>
      <c r="R804" s="1"/>
      <c r="S804" s="1"/>
      <c r="T804" s="1"/>
      <c r="U804" s="1"/>
      <c r="V804" s="1"/>
      <c r="W804" s="1"/>
      <c r="X804" s="1"/>
    </row>
    <row r="805" spans="1:24" ht="15.75" customHeight="1" x14ac:dyDescent="0.3">
      <c r="A805" s="1"/>
      <c r="B805" s="1"/>
      <c r="C805" s="2"/>
      <c r="D805" s="1"/>
      <c r="E805" s="1"/>
      <c r="F805" s="3"/>
      <c r="G805" s="1"/>
      <c r="H805" s="1"/>
      <c r="I805" s="1"/>
      <c r="J805" s="1"/>
      <c r="K805" s="1"/>
      <c r="L805" s="1"/>
      <c r="M805" s="1"/>
      <c r="N805" s="1"/>
      <c r="O805" s="1"/>
      <c r="P805" s="1"/>
      <c r="Q805" s="1"/>
      <c r="R805" s="1"/>
      <c r="S805" s="1"/>
      <c r="T805" s="1"/>
      <c r="U805" s="1"/>
      <c r="V805" s="1"/>
      <c r="W805" s="1"/>
      <c r="X805" s="1"/>
    </row>
    <row r="806" spans="1:24" ht="15.75" customHeight="1" x14ac:dyDescent="0.3">
      <c r="A806" s="1"/>
      <c r="B806" s="1"/>
      <c r="C806" s="2"/>
      <c r="D806" s="1"/>
      <c r="E806" s="1"/>
      <c r="F806" s="3"/>
      <c r="G806" s="1"/>
      <c r="H806" s="1"/>
      <c r="I806" s="1"/>
      <c r="J806" s="1"/>
      <c r="K806" s="1"/>
      <c r="L806" s="1"/>
      <c r="M806" s="1"/>
      <c r="N806" s="1"/>
      <c r="O806" s="1"/>
      <c r="P806" s="1"/>
      <c r="Q806" s="1"/>
      <c r="R806" s="1"/>
      <c r="S806" s="1"/>
      <c r="T806" s="1"/>
      <c r="U806" s="1"/>
      <c r="V806" s="1"/>
      <c r="W806" s="1"/>
      <c r="X806" s="1"/>
    </row>
    <row r="807" spans="1:24" ht="15.75" customHeight="1" x14ac:dyDescent="0.3">
      <c r="A807" s="1"/>
      <c r="B807" s="1"/>
      <c r="C807" s="2"/>
      <c r="D807" s="1"/>
      <c r="E807" s="1"/>
      <c r="F807" s="3"/>
      <c r="G807" s="1"/>
      <c r="H807" s="1"/>
      <c r="I807" s="1"/>
      <c r="J807" s="1"/>
      <c r="K807" s="1"/>
      <c r="L807" s="1"/>
      <c r="M807" s="1"/>
      <c r="N807" s="1"/>
      <c r="O807" s="1"/>
      <c r="P807" s="1"/>
      <c r="Q807" s="1"/>
      <c r="R807" s="1"/>
      <c r="S807" s="1"/>
      <c r="T807" s="1"/>
      <c r="U807" s="1"/>
      <c r="V807" s="1"/>
      <c r="W807" s="1"/>
      <c r="X807" s="1"/>
    </row>
    <row r="808" spans="1:24" ht="15.75" customHeight="1" x14ac:dyDescent="0.3">
      <c r="A808" s="1"/>
      <c r="B808" s="1"/>
      <c r="C808" s="2"/>
      <c r="D808" s="1"/>
      <c r="E808" s="1"/>
      <c r="F808" s="3"/>
      <c r="G808" s="1"/>
      <c r="H808" s="1"/>
      <c r="I808" s="1"/>
      <c r="J808" s="1"/>
      <c r="K808" s="1"/>
      <c r="L808" s="1"/>
      <c r="M808" s="1"/>
      <c r="N808" s="1"/>
      <c r="O808" s="1"/>
      <c r="P808" s="1"/>
      <c r="Q808" s="1"/>
      <c r="R808" s="1"/>
      <c r="S808" s="1"/>
      <c r="T808" s="1"/>
      <c r="U808" s="1"/>
      <c r="V808" s="1"/>
      <c r="W808" s="1"/>
      <c r="X808" s="1"/>
    </row>
    <row r="809" spans="1:24" ht="15.75" customHeight="1" x14ac:dyDescent="0.3">
      <c r="A809" s="1"/>
      <c r="B809" s="1"/>
      <c r="C809" s="2"/>
      <c r="D809" s="1"/>
      <c r="E809" s="1"/>
      <c r="F809" s="3"/>
      <c r="G809" s="1"/>
      <c r="H809" s="1"/>
      <c r="I809" s="1"/>
      <c r="J809" s="1"/>
      <c r="K809" s="1"/>
      <c r="L809" s="1"/>
      <c r="M809" s="1"/>
      <c r="N809" s="1"/>
      <c r="O809" s="1"/>
      <c r="P809" s="1"/>
      <c r="Q809" s="1"/>
      <c r="R809" s="1"/>
      <c r="S809" s="1"/>
      <c r="T809" s="1"/>
      <c r="U809" s="1"/>
      <c r="V809" s="1"/>
      <c r="W809" s="1"/>
      <c r="X809" s="1"/>
    </row>
    <row r="810" spans="1:24" ht="15.75" customHeight="1" x14ac:dyDescent="0.3">
      <c r="A810" s="1"/>
      <c r="B810" s="1"/>
      <c r="C810" s="2"/>
      <c r="D810" s="1"/>
      <c r="E810" s="1"/>
      <c r="F810" s="3"/>
      <c r="G810" s="1"/>
      <c r="H810" s="1"/>
      <c r="I810" s="1"/>
      <c r="J810" s="1"/>
      <c r="K810" s="1"/>
      <c r="L810" s="1"/>
      <c r="M810" s="1"/>
      <c r="N810" s="1"/>
      <c r="O810" s="1"/>
      <c r="P810" s="1"/>
      <c r="Q810" s="1"/>
      <c r="R810" s="1"/>
      <c r="S810" s="1"/>
      <c r="T810" s="1"/>
      <c r="U810" s="1"/>
      <c r="V810" s="1"/>
      <c r="W810" s="1"/>
      <c r="X810" s="1"/>
    </row>
    <row r="811" spans="1:24" ht="15.75" customHeight="1" x14ac:dyDescent="0.3">
      <c r="A811" s="1"/>
      <c r="B811" s="1"/>
      <c r="C811" s="2"/>
      <c r="D811" s="1"/>
      <c r="E811" s="1"/>
      <c r="F811" s="3"/>
      <c r="G811" s="1"/>
      <c r="H811" s="1"/>
      <c r="I811" s="1"/>
      <c r="J811" s="1"/>
      <c r="K811" s="1"/>
      <c r="L811" s="1"/>
      <c r="M811" s="1"/>
      <c r="N811" s="1"/>
      <c r="O811" s="1"/>
      <c r="P811" s="1"/>
      <c r="Q811" s="1"/>
      <c r="R811" s="1"/>
      <c r="S811" s="1"/>
      <c r="T811" s="1"/>
      <c r="U811" s="1"/>
      <c r="V811" s="1"/>
      <c r="W811" s="1"/>
      <c r="X811" s="1"/>
    </row>
    <row r="812" spans="1:24" ht="15.75" customHeight="1" x14ac:dyDescent="0.3">
      <c r="A812" s="1"/>
      <c r="B812" s="1"/>
      <c r="C812" s="2"/>
      <c r="D812" s="1"/>
      <c r="E812" s="1"/>
      <c r="F812" s="3"/>
      <c r="G812" s="1"/>
      <c r="H812" s="1"/>
      <c r="I812" s="1"/>
      <c r="J812" s="1"/>
      <c r="K812" s="1"/>
      <c r="L812" s="1"/>
      <c r="M812" s="1"/>
      <c r="N812" s="1"/>
      <c r="O812" s="1"/>
      <c r="P812" s="1"/>
      <c r="Q812" s="1"/>
      <c r="R812" s="1"/>
      <c r="S812" s="1"/>
      <c r="T812" s="1"/>
      <c r="U812" s="1"/>
      <c r="V812" s="1"/>
      <c r="W812" s="1"/>
      <c r="X812" s="1"/>
    </row>
    <row r="813" spans="1:24" ht="15.75" customHeight="1" x14ac:dyDescent="0.3">
      <c r="A813" s="1"/>
      <c r="B813" s="1"/>
      <c r="C813" s="2"/>
      <c r="D813" s="1"/>
      <c r="E813" s="1"/>
      <c r="F813" s="3"/>
      <c r="G813" s="1"/>
      <c r="H813" s="1"/>
      <c r="I813" s="1"/>
      <c r="J813" s="1"/>
      <c r="K813" s="1"/>
      <c r="L813" s="1"/>
      <c r="M813" s="1"/>
      <c r="N813" s="1"/>
      <c r="O813" s="1"/>
      <c r="P813" s="1"/>
      <c r="Q813" s="1"/>
      <c r="R813" s="1"/>
      <c r="S813" s="1"/>
      <c r="T813" s="1"/>
      <c r="U813" s="1"/>
      <c r="V813" s="1"/>
      <c r="W813" s="1"/>
      <c r="X813" s="1"/>
    </row>
    <row r="814" spans="1:24" ht="15.75" customHeight="1" x14ac:dyDescent="0.3">
      <c r="A814" s="1"/>
      <c r="B814" s="1"/>
      <c r="C814" s="2"/>
      <c r="D814" s="1"/>
      <c r="E814" s="1"/>
      <c r="F814" s="3"/>
      <c r="G814" s="1"/>
      <c r="H814" s="1"/>
      <c r="I814" s="1"/>
      <c r="J814" s="1"/>
      <c r="K814" s="1"/>
      <c r="L814" s="1"/>
      <c r="M814" s="1"/>
      <c r="N814" s="1"/>
      <c r="O814" s="1"/>
      <c r="P814" s="1"/>
      <c r="Q814" s="1"/>
      <c r="R814" s="1"/>
      <c r="S814" s="1"/>
      <c r="T814" s="1"/>
      <c r="U814" s="1"/>
      <c r="V814" s="1"/>
      <c r="W814" s="1"/>
      <c r="X814" s="1"/>
    </row>
    <row r="815" spans="1:24" ht="15.75" customHeight="1" x14ac:dyDescent="0.3">
      <c r="A815" s="1"/>
      <c r="B815" s="1"/>
      <c r="C815" s="2"/>
      <c r="D815" s="1"/>
      <c r="E815" s="1"/>
      <c r="F815" s="3"/>
      <c r="G815" s="1"/>
      <c r="H815" s="1"/>
      <c r="I815" s="1"/>
      <c r="J815" s="1"/>
      <c r="K815" s="1"/>
      <c r="L815" s="1"/>
      <c r="M815" s="1"/>
      <c r="N815" s="1"/>
      <c r="O815" s="1"/>
      <c r="P815" s="1"/>
      <c r="Q815" s="1"/>
      <c r="R815" s="1"/>
      <c r="S815" s="1"/>
      <c r="T815" s="1"/>
      <c r="U815" s="1"/>
      <c r="V815" s="1"/>
      <c r="W815" s="1"/>
      <c r="X815" s="1"/>
    </row>
    <row r="816" spans="1:24" ht="15.75" customHeight="1" x14ac:dyDescent="0.3">
      <c r="A816" s="1"/>
      <c r="B816" s="1"/>
      <c r="C816" s="2"/>
      <c r="D816" s="1"/>
      <c r="E816" s="1"/>
      <c r="F816" s="3"/>
      <c r="G816" s="1"/>
      <c r="H816" s="1"/>
      <c r="I816" s="1"/>
      <c r="J816" s="1"/>
      <c r="K816" s="1"/>
      <c r="L816" s="1"/>
      <c r="M816" s="1"/>
      <c r="N816" s="1"/>
      <c r="O816" s="1"/>
      <c r="P816" s="1"/>
      <c r="Q816" s="1"/>
      <c r="R816" s="1"/>
      <c r="S816" s="1"/>
      <c r="T816" s="1"/>
      <c r="U816" s="1"/>
      <c r="V816" s="1"/>
      <c r="W816" s="1"/>
      <c r="X816" s="1"/>
    </row>
    <row r="817" spans="1:24" ht="15.75" customHeight="1" x14ac:dyDescent="0.3">
      <c r="A817" s="1"/>
      <c r="B817" s="1"/>
      <c r="C817" s="2"/>
      <c r="D817" s="1"/>
      <c r="E817" s="1"/>
      <c r="F817" s="3"/>
      <c r="G817" s="1"/>
      <c r="H817" s="1"/>
      <c r="I817" s="1"/>
      <c r="J817" s="1"/>
      <c r="K817" s="1"/>
      <c r="L817" s="1"/>
      <c r="M817" s="1"/>
      <c r="N817" s="1"/>
      <c r="O817" s="1"/>
      <c r="P817" s="1"/>
      <c r="Q817" s="1"/>
      <c r="R817" s="1"/>
      <c r="S817" s="1"/>
      <c r="T817" s="1"/>
      <c r="U817" s="1"/>
      <c r="V817" s="1"/>
      <c r="W817" s="1"/>
      <c r="X817" s="1"/>
    </row>
    <row r="818" spans="1:24" ht="15.75" customHeight="1" x14ac:dyDescent="0.3">
      <c r="A818" s="1"/>
      <c r="B818" s="1"/>
      <c r="C818" s="2"/>
      <c r="D818" s="1"/>
      <c r="E818" s="1"/>
      <c r="F818" s="3"/>
      <c r="G818" s="1"/>
      <c r="H818" s="1"/>
      <c r="I818" s="1"/>
      <c r="J818" s="1"/>
      <c r="K818" s="1"/>
      <c r="L818" s="1"/>
      <c r="M818" s="1"/>
      <c r="N818" s="1"/>
      <c r="O818" s="1"/>
      <c r="P818" s="1"/>
      <c r="Q818" s="1"/>
      <c r="R818" s="1"/>
      <c r="S818" s="1"/>
      <c r="T818" s="1"/>
      <c r="U818" s="1"/>
      <c r="V818" s="1"/>
      <c r="W818" s="1"/>
      <c r="X818" s="1"/>
    </row>
    <row r="819" spans="1:24" ht="15.75" customHeight="1" x14ac:dyDescent="0.3">
      <c r="A819" s="1"/>
      <c r="B819" s="1"/>
      <c r="C819" s="2"/>
      <c r="D819" s="1"/>
      <c r="E819" s="1"/>
      <c r="F819" s="3"/>
      <c r="G819" s="1"/>
      <c r="H819" s="1"/>
      <c r="I819" s="1"/>
      <c r="J819" s="1"/>
      <c r="K819" s="1"/>
      <c r="L819" s="1"/>
      <c r="M819" s="1"/>
      <c r="N819" s="1"/>
      <c r="O819" s="1"/>
      <c r="P819" s="1"/>
      <c r="Q819" s="1"/>
      <c r="R819" s="1"/>
      <c r="S819" s="1"/>
      <c r="T819" s="1"/>
      <c r="U819" s="1"/>
      <c r="V819" s="1"/>
      <c r="W819" s="1"/>
      <c r="X819" s="1"/>
    </row>
    <row r="820" spans="1:24" ht="15.75" customHeight="1" x14ac:dyDescent="0.3">
      <c r="A820" s="1"/>
      <c r="B820" s="1"/>
      <c r="C820" s="2"/>
      <c r="D820" s="1"/>
      <c r="E820" s="1"/>
      <c r="F820" s="3"/>
      <c r="G820" s="1"/>
      <c r="H820" s="1"/>
      <c r="I820" s="1"/>
      <c r="J820" s="1"/>
      <c r="K820" s="1"/>
      <c r="L820" s="1"/>
      <c r="M820" s="1"/>
      <c r="N820" s="1"/>
      <c r="O820" s="1"/>
      <c r="P820" s="1"/>
      <c r="Q820" s="1"/>
      <c r="R820" s="1"/>
      <c r="S820" s="1"/>
      <c r="T820" s="1"/>
      <c r="U820" s="1"/>
      <c r="V820" s="1"/>
      <c r="W820" s="1"/>
      <c r="X820" s="1"/>
    </row>
    <row r="821" spans="1:24" ht="15.75" customHeight="1" x14ac:dyDescent="0.3">
      <c r="A821" s="1"/>
      <c r="B821" s="1"/>
      <c r="C821" s="2"/>
      <c r="D821" s="1"/>
      <c r="E821" s="1"/>
      <c r="F821" s="3"/>
      <c r="G821" s="1"/>
      <c r="H821" s="1"/>
      <c r="I821" s="1"/>
      <c r="J821" s="1"/>
      <c r="K821" s="1"/>
      <c r="L821" s="1"/>
      <c r="M821" s="1"/>
      <c r="N821" s="1"/>
      <c r="O821" s="1"/>
      <c r="P821" s="1"/>
      <c r="Q821" s="1"/>
      <c r="R821" s="1"/>
      <c r="S821" s="1"/>
      <c r="T821" s="1"/>
      <c r="U821" s="1"/>
      <c r="V821" s="1"/>
      <c r="W821" s="1"/>
      <c r="X821" s="1"/>
    </row>
    <row r="822" spans="1:24" ht="15.75" customHeight="1" x14ac:dyDescent="0.3">
      <c r="A822" s="1"/>
      <c r="B822" s="1"/>
      <c r="C822" s="2"/>
      <c r="D822" s="1"/>
      <c r="E822" s="1"/>
      <c r="F822" s="3"/>
      <c r="G822" s="1"/>
      <c r="H822" s="1"/>
      <c r="I822" s="1"/>
      <c r="J822" s="1"/>
      <c r="K822" s="1"/>
      <c r="L822" s="1"/>
      <c r="M822" s="1"/>
      <c r="N822" s="1"/>
      <c r="O822" s="1"/>
      <c r="P822" s="1"/>
      <c r="Q822" s="1"/>
      <c r="R822" s="1"/>
      <c r="S822" s="1"/>
      <c r="T822" s="1"/>
      <c r="U822" s="1"/>
      <c r="V822" s="1"/>
      <c r="W822" s="1"/>
      <c r="X822" s="1"/>
    </row>
    <row r="823" spans="1:24" ht="15.75" customHeight="1" x14ac:dyDescent="0.3">
      <c r="A823" s="1"/>
      <c r="B823" s="1"/>
      <c r="C823" s="2"/>
      <c r="D823" s="1"/>
      <c r="E823" s="1"/>
      <c r="F823" s="3"/>
      <c r="G823" s="1"/>
      <c r="H823" s="1"/>
      <c r="I823" s="1"/>
      <c r="J823" s="1"/>
      <c r="K823" s="1"/>
      <c r="L823" s="1"/>
      <c r="M823" s="1"/>
      <c r="N823" s="1"/>
      <c r="O823" s="1"/>
      <c r="P823" s="1"/>
      <c r="Q823" s="1"/>
      <c r="R823" s="1"/>
      <c r="S823" s="1"/>
      <c r="T823" s="1"/>
      <c r="U823" s="1"/>
      <c r="V823" s="1"/>
      <c r="W823" s="1"/>
      <c r="X823" s="1"/>
    </row>
    <row r="824" spans="1:24" ht="15.75" customHeight="1" x14ac:dyDescent="0.3">
      <c r="A824" s="1"/>
      <c r="B824" s="1"/>
      <c r="C824" s="2"/>
      <c r="D824" s="1"/>
      <c r="E824" s="1"/>
      <c r="F824" s="3"/>
      <c r="G824" s="1"/>
      <c r="H824" s="1"/>
      <c r="I824" s="1"/>
      <c r="J824" s="1"/>
      <c r="K824" s="1"/>
      <c r="L824" s="1"/>
      <c r="M824" s="1"/>
      <c r="N824" s="1"/>
      <c r="O824" s="1"/>
      <c r="P824" s="1"/>
      <c r="Q824" s="1"/>
      <c r="R824" s="1"/>
      <c r="S824" s="1"/>
      <c r="T824" s="1"/>
      <c r="U824" s="1"/>
      <c r="V824" s="1"/>
      <c r="W824" s="1"/>
      <c r="X824" s="1"/>
    </row>
    <row r="825" spans="1:24" ht="15.75" customHeight="1" x14ac:dyDescent="0.3">
      <c r="A825" s="1"/>
      <c r="B825" s="1"/>
      <c r="C825" s="2"/>
      <c r="D825" s="1"/>
      <c r="E825" s="1"/>
      <c r="F825" s="3"/>
      <c r="G825" s="1"/>
      <c r="H825" s="1"/>
      <c r="I825" s="1"/>
      <c r="J825" s="1"/>
      <c r="K825" s="1"/>
      <c r="L825" s="1"/>
      <c r="M825" s="1"/>
      <c r="N825" s="1"/>
      <c r="O825" s="1"/>
      <c r="P825" s="1"/>
      <c r="Q825" s="1"/>
      <c r="R825" s="1"/>
      <c r="S825" s="1"/>
      <c r="T825" s="1"/>
      <c r="U825" s="1"/>
      <c r="V825" s="1"/>
      <c r="W825" s="1"/>
      <c r="X825" s="1"/>
    </row>
    <row r="826" spans="1:24" ht="15.75" customHeight="1" x14ac:dyDescent="0.3">
      <c r="A826" s="1"/>
      <c r="B826" s="1"/>
      <c r="C826" s="2"/>
      <c r="D826" s="1"/>
      <c r="E826" s="1"/>
      <c r="F826" s="3"/>
      <c r="G826" s="1"/>
      <c r="H826" s="1"/>
      <c r="I826" s="1"/>
      <c r="J826" s="1"/>
      <c r="K826" s="1"/>
      <c r="L826" s="1"/>
      <c r="M826" s="1"/>
      <c r="N826" s="1"/>
      <c r="O826" s="1"/>
      <c r="P826" s="1"/>
      <c r="Q826" s="1"/>
      <c r="R826" s="1"/>
      <c r="S826" s="1"/>
      <c r="T826" s="1"/>
      <c r="U826" s="1"/>
      <c r="V826" s="1"/>
      <c r="W826" s="1"/>
      <c r="X826" s="1"/>
    </row>
    <row r="827" spans="1:24" ht="15.75" customHeight="1" x14ac:dyDescent="0.3">
      <c r="A827" s="1"/>
      <c r="B827" s="1"/>
      <c r="C827" s="2"/>
      <c r="D827" s="1"/>
      <c r="E827" s="1"/>
      <c r="F827" s="3"/>
      <c r="G827" s="1"/>
      <c r="H827" s="1"/>
      <c r="I827" s="1"/>
      <c r="J827" s="1"/>
      <c r="K827" s="1"/>
      <c r="L827" s="1"/>
      <c r="M827" s="1"/>
      <c r="N827" s="1"/>
      <c r="O827" s="1"/>
      <c r="P827" s="1"/>
      <c r="Q827" s="1"/>
      <c r="R827" s="1"/>
      <c r="S827" s="1"/>
      <c r="T827" s="1"/>
      <c r="U827" s="1"/>
      <c r="V827" s="1"/>
      <c r="W827" s="1"/>
      <c r="X827" s="1"/>
    </row>
    <row r="828" spans="1:24" ht="15.75" customHeight="1" x14ac:dyDescent="0.3">
      <c r="A828" s="1"/>
      <c r="B828" s="1"/>
      <c r="C828" s="2"/>
      <c r="D828" s="1"/>
      <c r="E828" s="1"/>
      <c r="F828" s="3"/>
      <c r="G828" s="1"/>
      <c r="H828" s="1"/>
      <c r="I828" s="1"/>
      <c r="J828" s="1"/>
      <c r="K828" s="1"/>
      <c r="L828" s="1"/>
      <c r="M828" s="1"/>
      <c r="N828" s="1"/>
      <c r="O828" s="1"/>
      <c r="P828" s="1"/>
      <c r="Q828" s="1"/>
      <c r="R828" s="1"/>
      <c r="S828" s="1"/>
      <c r="T828" s="1"/>
      <c r="U828" s="1"/>
      <c r="V828" s="1"/>
      <c r="W828" s="1"/>
      <c r="X828" s="1"/>
    </row>
    <row r="829" spans="1:24" ht="15.75" customHeight="1" x14ac:dyDescent="0.3">
      <c r="A829" s="1"/>
      <c r="B829" s="1"/>
      <c r="C829" s="2"/>
      <c r="D829" s="1"/>
      <c r="E829" s="1"/>
      <c r="F829" s="3"/>
      <c r="G829" s="1"/>
      <c r="H829" s="1"/>
      <c r="I829" s="1"/>
      <c r="J829" s="1"/>
      <c r="K829" s="1"/>
      <c r="L829" s="1"/>
      <c r="M829" s="1"/>
      <c r="N829" s="1"/>
      <c r="O829" s="1"/>
      <c r="P829" s="1"/>
      <c r="Q829" s="1"/>
      <c r="R829" s="1"/>
      <c r="S829" s="1"/>
      <c r="T829" s="1"/>
      <c r="U829" s="1"/>
      <c r="V829" s="1"/>
      <c r="W829" s="1"/>
      <c r="X829" s="1"/>
    </row>
    <row r="830" spans="1:24" ht="15.75" customHeight="1" x14ac:dyDescent="0.3">
      <c r="A830" s="1"/>
      <c r="B830" s="1"/>
      <c r="C830" s="2"/>
      <c r="D830" s="1"/>
      <c r="E830" s="1"/>
      <c r="F830" s="3"/>
      <c r="G830" s="1"/>
      <c r="H830" s="1"/>
      <c r="I830" s="1"/>
      <c r="J830" s="1"/>
      <c r="K830" s="1"/>
      <c r="L830" s="1"/>
      <c r="M830" s="1"/>
      <c r="N830" s="1"/>
      <c r="O830" s="1"/>
      <c r="P830" s="1"/>
      <c r="Q830" s="1"/>
      <c r="R830" s="1"/>
      <c r="S830" s="1"/>
      <c r="T830" s="1"/>
      <c r="U830" s="1"/>
      <c r="V830" s="1"/>
      <c r="W830" s="1"/>
      <c r="X830" s="1"/>
    </row>
    <row r="831" spans="1:24" ht="15.75" customHeight="1" x14ac:dyDescent="0.3">
      <c r="A831" s="1"/>
      <c r="B831" s="1"/>
      <c r="C831" s="2"/>
      <c r="D831" s="1"/>
      <c r="E831" s="1"/>
      <c r="F831" s="3"/>
      <c r="G831" s="1"/>
      <c r="H831" s="1"/>
      <c r="I831" s="1"/>
      <c r="J831" s="1"/>
      <c r="K831" s="1"/>
      <c r="L831" s="1"/>
      <c r="M831" s="1"/>
      <c r="N831" s="1"/>
      <c r="O831" s="1"/>
      <c r="P831" s="1"/>
      <c r="Q831" s="1"/>
      <c r="R831" s="1"/>
      <c r="S831" s="1"/>
      <c r="T831" s="1"/>
      <c r="U831" s="1"/>
      <c r="V831" s="1"/>
      <c r="W831" s="1"/>
      <c r="X831" s="1"/>
    </row>
    <row r="832" spans="1:24" ht="15.75" customHeight="1" x14ac:dyDescent="0.3">
      <c r="A832" s="1"/>
      <c r="B832" s="1"/>
      <c r="C832" s="2"/>
      <c r="D832" s="1"/>
      <c r="E832" s="1"/>
      <c r="F832" s="3"/>
      <c r="G832" s="1"/>
      <c r="H832" s="1"/>
      <c r="I832" s="1"/>
      <c r="J832" s="1"/>
      <c r="K832" s="1"/>
      <c r="L832" s="1"/>
      <c r="M832" s="1"/>
      <c r="N832" s="1"/>
      <c r="O832" s="1"/>
      <c r="P832" s="1"/>
      <c r="Q832" s="1"/>
      <c r="R832" s="1"/>
      <c r="S832" s="1"/>
      <c r="T832" s="1"/>
      <c r="U832" s="1"/>
      <c r="V832" s="1"/>
      <c r="W832" s="1"/>
      <c r="X832" s="1"/>
    </row>
    <row r="833" spans="1:24" ht="15.75" customHeight="1" x14ac:dyDescent="0.3">
      <c r="A833" s="1"/>
      <c r="B833" s="1"/>
      <c r="C833" s="2"/>
      <c r="D833" s="1"/>
      <c r="E833" s="1"/>
      <c r="F833" s="3"/>
      <c r="G833" s="1"/>
      <c r="H833" s="1"/>
      <c r="I833" s="1"/>
      <c r="J833" s="1"/>
      <c r="K833" s="1"/>
      <c r="L833" s="1"/>
      <c r="M833" s="1"/>
      <c r="N833" s="1"/>
      <c r="O833" s="1"/>
      <c r="P833" s="1"/>
      <c r="Q833" s="1"/>
      <c r="R833" s="1"/>
      <c r="S833" s="1"/>
      <c r="T833" s="1"/>
      <c r="U833" s="1"/>
      <c r="V833" s="1"/>
      <c r="W833" s="1"/>
      <c r="X833" s="1"/>
    </row>
    <row r="834" spans="1:24" ht="15.75" customHeight="1" x14ac:dyDescent="0.3">
      <c r="A834" s="1"/>
      <c r="B834" s="1"/>
      <c r="C834" s="2"/>
      <c r="D834" s="1"/>
      <c r="E834" s="1"/>
      <c r="F834" s="3"/>
      <c r="G834" s="1"/>
      <c r="H834" s="1"/>
      <c r="I834" s="1"/>
      <c r="J834" s="1"/>
      <c r="K834" s="1"/>
      <c r="L834" s="1"/>
      <c r="M834" s="1"/>
      <c r="N834" s="1"/>
      <c r="O834" s="1"/>
      <c r="P834" s="1"/>
      <c r="Q834" s="1"/>
      <c r="R834" s="1"/>
      <c r="S834" s="1"/>
      <c r="T834" s="1"/>
      <c r="U834" s="1"/>
      <c r="V834" s="1"/>
      <c r="W834" s="1"/>
      <c r="X834" s="1"/>
    </row>
    <row r="835" spans="1:24" ht="15.75" customHeight="1" x14ac:dyDescent="0.3">
      <c r="A835" s="1"/>
      <c r="B835" s="1"/>
      <c r="C835" s="2"/>
      <c r="D835" s="1"/>
      <c r="E835" s="1"/>
      <c r="F835" s="3"/>
      <c r="G835" s="1"/>
      <c r="H835" s="1"/>
      <c r="I835" s="1"/>
      <c r="J835" s="1"/>
      <c r="K835" s="1"/>
      <c r="L835" s="1"/>
      <c r="M835" s="1"/>
      <c r="N835" s="1"/>
      <c r="O835" s="1"/>
      <c r="P835" s="1"/>
      <c r="Q835" s="1"/>
      <c r="R835" s="1"/>
      <c r="S835" s="1"/>
      <c r="T835" s="1"/>
      <c r="U835" s="1"/>
      <c r="V835" s="1"/>
      <c r="W835" s="1"/>
      <c r="X835" s="1"/>
    </row>
    <row r="836" spans="1:24" ht="15.75" customHeight="1" x14ac:dyDescent="0.3">
      <c r="A836" s="1"/>
      <c r="B836" s="1"/>
      <c r="C836" s="2"/>
      <c r="D836" s="1"/>
      <c r="E836" s="1"/>
      <c r="F836" s="3"/>
      <c r="G836" s="1"/>
      <c r="H836" s="1"/>
      <c r="I836" s="1"/>
      <c r="J836" s="1"/>
      <c r="K836" s="1"/>
      <c r="L836" s="1"/>
      <c r="M836" s="1"/>
      <c r="N836" s="1"/>
      <c r="O836" s="1"/>
      <c r="P836" s="1"/>
      <c r="Q836" s="1"/>
      <c r="R836" s="1"/>
      <c r="S836" s="1"/>
      <c r="T836" s="1"/>
      <c r="U836" s="1"/>
      <c r="V836" s="1"/>
      <c r="W836" s="1"/>
      <c r="X836" s="1"/>
    </row>
    <row r="837" spans="1:24" ht="15.75" customHeight="1" x14ac:dyDescent="0.3">
      <c r="A837" s="1"/>
      <c r="B837" s="1"/>
      <c r="C837" s="2"/>
      <c r="D837" s="1"/>
      <c r="E837" s="1"/>
      <c r="F837" s="3"/>
      <c r="G837" s="1"/>
      <c r="H837" s="1"/>
      <c r="I837" s="1"/>
      <c r="J837" s="1"/>
      <c r="K837" s="1"/>
      <c r="L837" s="1"/>
      <c r="M837" s="1"/>
      <c r="N837" s="1"/>
      <c r="O837" s="1"/>
      <c r="P837" s="1"/>
      <c r="Q837" s="1"/>
      <c r="R837" s="1"/>
      <c r="S837" s="1"/>
      <c r="T837" s="1"/>
      <c r="U837" s="1"/>
      <c r="V837" s="1"/>
      <c r="W837" s="1"/>
      <c r="X837" s="1"/>
    </row>
    <row r="838" spans="1:24" ht="15.75" customHeight="1" x14ac:dyDescent="0.3">
      <c r="A838" s="1"/>
      <c r="B838" s="1"/>
      <c r="C838" s="2"/>
      <c r="D838" s="1"/>
      <c r="E838" s="1"/>
      <c r="F838" s="3"/>
      <c r="G838" s="1"/>
      <c r="H838" s="1"/>
      <c r="I838" s="1"/>
      <c r="J838" s="1"/>
      <c r="K838" s="1"/>
      <c r="L838" s="1"/>
      <c r="M838" s="1"/>
      <c r="N838" s="1"/>
      <c r="O838" s="1"/>
      <c r="P838" s="1"/>
      <c r="Q838" s="1"/>
      <c r="R838" s="1"/>
      <c r="S838" s="1"/>
      <c r="T838" s="1"/>
      <c r="U838" s="1"/>
      <c r="V838" s="1"/>
      <c r="W838" s="1"/>
      <c r="X838" s="1"/>
    </row>
    <row r="839" spans="1:24" ht="15.75" customHeight="1" x14ac:dyDescent="0.3">
      <c r="A839" s="1"/>
      <c r="B839" s="1"/>
      <c r="C839" s="2"/>
      <c r="D839" s="1"/>
      <c r="E839" s="1"/>
      <c r="F839" s="3"/>
      <c r="G839" s="1"/>
      <c r="H839" s="1"/>
      <c r="I839" s="1"/>
      <c r="J839" s="1"/>
      <c r="K839" s="1"/>
      <c r="L839" s="1"/>
      <c r="M839" s="1"/>
      <c r="N839" s="1"/>
      <c r="O839" s="1"/>
      <c r="P839" s="1"/>
      <c r="Q839" s="1"/>
      <c r="R839" s="1"/>
      <c r="S839" s="1"/>
      <c r="T839" s="1"/>
      <c r="U839" s="1"/>
      <c r="V839" s="1"/>
      <c r="W839" s="1"/>
      <c r="X839" s="1"/>
    </row>
    <row r="840" spans="1:24" ht="15.75" customHeight="1" x14ac:dyDescent="0.3">
      <c r="A840" s="1"/>
      <c r="B840" s="1"/>
      <c r="C840" s="2"/>
      <c r="D840" s="1"/>
      <c r="E840" s="1"/>
      <c r="F840" s="3"/>
      <c r="G840" s="1"/>
      <c r="H840" s="1"/>
      <c r="I840" s="1"/>
      <c r="J840" s="1"/>
      <c r="K840" s="1"/>
      <c r="L840" s="1"/>
      <c r="M840" s="1"/>
      <c r="N840" s="1"/>
      <c r="O840" s="1"/>
      <c r="P840" s="1"/>
      <c r="Q840" s="1"/>
      <c r="R840" s="1"/>
      <c r="S840" s="1"/>
      <c r="T840" s="1"/>
      <c r="U840" s="1"/>
      <c r="V840" s="1"/>
      <c r="W840" s="1"/>
      <c r="X840" s="1"/>
    </row>
    <row r="841" spans="1:24" ht="15.75" customHeight="1" x14ac:dyDescent="0.3">
      <c r="A841" s="1"/>
      <c r="B841" s="1"/>
      <c r="C841" s="2"/>
      <c r="D841" s="1"/>
      <c r="E841" s="1"/>
      <c r="F841" s="3"/>
      <c r="G841" s="1"/>
      <c r="H841" s="1"/>
      <c r="I841" s="1"/>
      <c r="J841" s="1"/>
      <c r="K841" s="1"/>
      <c r="L841" s="1"/>
      <c r="M841" s="1"/>
      <c r="N841" s="1"/>
      <c r="O841" s="1"/>
      <c r="P841" s="1"/>
      <c r="Q841" s="1"/>
      <c r="R841" s="1"/>
      <c r="S841" s="1"/>
      <c r="T841" s="1"/>
      <c r="U841" s="1"/>
      <c r="V841" s="1"/>
      <c r="W841" s="1"/>
      <c r="X841" s="1"/>
    </row>
    <row r="842" spans="1:24" ht="15.75" customHeight="1" x14ac:dyDescent="0.3">
      <c r="A842" s="1"/>
      <c r="B842" s="1"/>
      <c r="C842" s="2"/>
      <c r="D842" s="1"/>
      <c r="E842" s="1"/>
      <c r="F842" s="3"/>
      <c r="G842" s="1"/>
      <c r="H842" s="1"/>
      <c r="I842" s="1"/>
      <c r="J842" s="1"/>
      <c r="K842" s="1"/>
      <c r="L842" s="1"/>
      <c r="M842" s="1"/>
      <c r="N842" s="1"/>
      <c r="O842" s="1"/>
      <c r="P842" s="1"/>
      <c r="Q842" s="1"/>
      <c r="R842" s="1"/>
      <c r="S842" s="1"/>
      <c r="T842" s="1"/>
      <c r="U842" s="1"/>
      <c r="V842" s="1"/>
      <c r="W842" s="1"/>
      <c r="X842" s="1"/>
    </row>
    <row r="843" spans="1:24" ht="15.75" customHeight="1" x14ac:dyDescent="0.3">
      <c r="A843" s="1"/>
      <c r="B843" s="1"/>
      <c r="C843" s="2"/>
      <c r="D843" s="1"/>
      <c r="E843" s="1"/>
      <c r="F843" s="3"/>
      <c r="G843" s="1"/>
      <c r="H843" s="1"/>
      <c r="I843" s="1"/>
      <c r="J843" s="1"/>
      <c r="K843" s="1"/>
      <c r="L843" s="1"/>
      <c r="M843" s="1"/>
      <c r="N843" s="1"/>
      <c r="O843" s="1"/>
      <c r="P843" s="1"/>
      <c r="Q843" s="1"/>
      <c r="R843" s="1"/>
      <c r="S843" s="1"/>
      <c r="T843" s="1"/>
      <c r="U843" s="1"/>
      <c r="V843" s="1"/>
      <c r="W843" s="1"/>
      <c r="X843" s="1"/>
    </row>
    <row r="844" spans="1:24" ht="15.75" customHeight="1" x14ac:dyDescent="0.3">
      <c r="A844" s="1"/>
      <c r="B844" s="1"/>
      <c r="C844" s="2"/>
      <c r="D844" s="1"/>
      <c r="E844" s="1"/>
      <c r="F844" s="3"/>
      <c r="G844" s="1"/>
      <c r="H844" s="1"/>
      <c r="I844" s="1"/>
      <c r="J844" s="1"/>
      <c r="K844" s="1"/>
      <c r="L844" s="1"/>
      <c r="M844" s="1"/>
      <c r="N844" s="1"/>
      <c r="O844" s="1"/>
      <c r="P844" s="1"/>
      <c r="Q844" s="1"/>
      <c r="R844" s="1"/>
      <c r="S844" s="1"/>
      <c r="T844" s="1"/>
      <c r="U844" s="1"/>
      <c r="V844" s="1"/>
      <c r="W844" s="1"/>
      <c r="X844" s="1"/>
    </row>
    <row r="845" spans="1:24" ht="15.75" customHeight="1" x14ac:dyDescent="0.3">
      <c r="A845" s="1"/>
      <c r="B845" s="1"/>
      <c r="C845" s="2"/>
      <c r="D845" s="1"/>
      <c r="E845" s="1"/>
      <c r="F845" s="3"/>
      <c r="G845" s="1"/>
      <c r="H845" s="1"/>
      <c r="I845" s="1"/>
      <c r="J845" s="1"/>
      <c r="K845" s="1"/>
      <c r="L845" s="1"/>
      <c r="M845" s="1"/>
      <c r="N845" s="1"/>
      <c r="O845" s="1"/>
      <c r="P845" s="1"/>
      <c r="Q845" s="1"/>
      <c r="R845" s="1"/>
      <c r="S845" s="1"/>
      <c r="T845" s="1"/>
      <c r="U845" s="1"/>
      <c r="V845" s="1"/>
      <c r="W845" s="1"/>
      <c r="X845" s="1"/>
    </row>
    <row r="846" spans="1:24" ht="15.75" customHeight="1" x14ac:dyDescent="0.3">
      <c r="A846" s="1"/>
      <c r="B846" s="1"/>
      <c r="C846" s="2"/>
      <c r="D846" s="1"/>
      <c r="E846" s="1"/>
      <c r="F846" s="3"/>
      <c r="G846" s="1"/>
      <c r="H846" s="1"/>
      <c r="I846" s="1"/>
      <c r="J846" s="1"/>
      <c r="K846" s="1"/>
      <c r="L846" s="1"/>
      <c r="M846" s="1"/>
      <c r="N846" s="1"/>
      <c r="O846" s="1"/>
      <c r="P846" s="1"/>
      <c r="Q846" s="1"/>
      <c r="R846" s="1"/>
      <c r="S846" s="1"/>
      <c r="T846" s="1"/>
      <c r="U846" s="1"/>
      <c r="V846" s="1"/>
      <c r="W846" s="1"/>
      <c r="X846" s="1"/>
    </row>
    <row r="847" spans="1:24" ht="15.75" customHeight="1" x14ac:dyDescent="0.3">
      <c r="A847" s="1"/>
      <c r="B847" s="1"/>
      <c r="C847" s="2"/>
      <c r="D847" s="1"/>
      <c r="E847" s="1"/>
      <c r="F847" s="3"/>
      <c r="G847" s="1"/>
      <c r="H847" s="1"/>
      <c r="I847" s="1"/>
      <c r="J847" s="1"/>
      <c r="K847" s="1"/>
      <c r="L847" s="1"/>
      <c r="M847" s="1"/>
      <c r="N847" s="1"/>
      <c r="O847" s="1"/>
      <c r="P847" s="1"/>
      <c r="Q847" s="1"/>
      <c r="R847" s="1"/>
      <c r="S847" s="1"/>
      <c r="T847" s="1"/>
      <c r="U847" s="1"/>
      <c r="V847" s="1"/>
      <c r="W847" s="1"/>
      <c r="X847" s="1"/>
    </row>
    <row r="848" spans="1:24" ht="15.75" customHeight="1" x14ac:dyDescent="0.3">
      <c r="A848" s="1"/>
      <c r="B848" s="1"/>
      <c r="C848" s="2"/>
      <c r="D848" s="1"/>
      <c r="E848" s="1"/>
      <c r="F848" s="3"/>
      <c r="G848" s="1"/>
      <c r="H848" s="1"/>
      <c r="I848" s="1"/>
      <c r="J848" s="1"/>
      <c r="K848" s="1"/>
      <c r="L848" s="1"/>
      <c r="M848" s="1"/>
      <c r="N848" s="1"/>
      <c r="O848" s="1"/>
      <c r="P848" s="1"/>
      <c r="Q848" s="1"/>
      <c r="R848" s="1"/>
      <c r="S848" s="1"/>
      <c r="T848" s="1"/>
      <c r="U848" s="1"/>
      <c r="V848" s="1"/>
      <c r="W848" s="1"/>
      <c r="X848" s="1"/>
    </row>
    <row r="849" spans="1:24" ht="15.75" customHeight="1" x14ac:dyDescent="0.3">
      <c r="A849" s="1"/>
      <c r="B849" s="1"/>
      <c r="C849" s="2"/>
      <c r="D849" s="1"/>
      <c r="E849" s="1"/>
      <c r="F849" s="3"/>
      <c r="G849" s="1"/>
      <c r="H849" s="1"/>
      <c r="I849" s="1"/>
      <c r="J849" s="1"/>
      <c r="K849" s="1"/>
      <c r="L849" s="1"/>
      <c r="M849" s="1"/>
      <c r="N849" s="1"/>
      <c r="O849" s="1"/>
      <c r="P849" s="1"/>
      <c r="Q849" s="1"/>
      <c r="R849" s="1"/>
      <c r="S849" s="1"/>
      <c r="T849" s="1"/>
      <c r="U849" s="1"/>
      <c r="V849" s="1"/>
      <c r="W849" s="1"/>
      <c r="X849" s="1"/>
    </row>
    <row r="850" spans="1:24" ht="15.75" customHeight="1" x14ac:dyDescent="0.3">
      <c r="A850" s="1"/>
      <c r="B850" s="1"/>
      <c r="C850" s="2"/>
      <c r="D850" s="1"/>
      <c r="E850" s="1"/>
      <c r="F850" s="3"/>
      <c r="G850" s="1"/>
      <c r="H850" s="1"/>
      <c r="I850" s="1"/>
      <c r="J850" s="1"/>
      <c r="K850" s="1"/>
      <c r="L850" s="1"/>
      <c r="M850" s="1"/>
      <c r="N850" s="1"/>
      <c r="O850" s="1"/>
      <c r="P850" s="1"/>
      <c r="Q850" s="1"/>
      <c r="R850" s="1"/>
      <c r="S850" s="1"/>
      <c r="T850" s="1"/>
      <c r="U850" s="1"/>
      <c r="V850" s="1"/>
      <c r="W850" s="1"/>
      <c r="X850" s="1"/>
    </row>
    <row r="851" spans="1:24" ht="15.75" customHeight="1" x14ac:dyDescent="0.3">
      <c r="A851" s="1"/>
      <c r="B851" s="1"/>
      <c r="C851" s="2"/>
      <c r="D851" s="1"/>
      <c r="E851" s="1"/>
      <c r="F851" s="3"/>
      <c r="G851" s="1"/>
      <c r="H851" s="1"/>
      <c r="I851" s="1"/>
      <c r="J851" s="1"/>
      <c r="K851" s="1"/>
      <c r="L851" s="1"/>
      <c r="M851" s="1"/>
      <c r="N851" s="1"/>
      <c r="O851" s="1"/>
      <c r="P851" s="1"/>
      <c r="Q851" s="1"/>
      <c r="R851" s="1"/>
      <c r="S851" s="1"/>
      <c r="T851" s="1"/>
      <c r="U851" s="1"/>
      <c r="V851" s="1"/>
      <c r="W851" s="1"/>
      <c r="X851" s="1"/>
    </row>
    <row r="852" spans="1:24" ht="15.75" customHeight="1" x14ac:dyDescent="0.3">
      <c r="A852" s="1"/>
      <c r="B852" s="1"/>
      <c r="C852" s="2"/>
      <c r="D852" s="1"/>
      <c r="E852" s="1"/>
      <c r="F852" s="3"/>
      <c r="G852" s="1"/>
      <c r="H852" s="1"/>
      <c r="I852" s="1"/>
      <c r="J852" s="1"/>
      <c r="K852" s="1"/>
      <c r="L852" s="1"/>
      <c r="M852" s="1"/>
      <c r="N852" s="1"/>
      <c r="O852" s="1"/>
      <c r="P852" s="1"/>
      <c r="Q852" s="1"/>
      <c r="R852" s="1"/>
      <c r="S852" s="1"/>
      <c r="T852" s="1"/>
      <c r="U852" s="1"/>
      <c r="V852" s="1"/>
      <c r="W852" s="1"/>
      <c r="X852" s="1"/>
    </row>
    <row r="853" spans="1:24" ht="15.75" customHeight="1" x14ac:dyDescent="0.3">
      <c r="A853" s="1"/>
      <c r="B853" s="1"/>
      <c r="C853" s="2"/>
      <c r="D853" s="1"/>
      <c r="E853" s="1"/>
      <c r="F853" s="3"/>
      <c r="G853" s="1"/>
      <c r="H853" s="1"/>
      <c r="I853" s="1"/>
      <c r="J853" s="1"/>
      <c r="K853" s="1"/>
      <c r="L853" s="1"/>
      <c r="M853" s="1"/>
      <c r="N853" s="1"/>
      <c r="O853" s="1"/>
      <c r="P853" s="1"/>
      <c r="Q853" s="1"/>
      <c r="R853" s="1"/>
      <c r="S853" s="1"/>
      <c r="T853" s="1"/>
      <c r="U853" s="1"/>
      <c r="V853" s="1"/>
      <c r="W853" s="1"/>
      <c r="X853" s="1"/>
    </row>
    <row r="854" spans="1:24" ht="15.75" customHeight="1" x14ac:dyDescent="0.3">
      <c r="A854" s="1"/>
      <c r="B854" s="1"/>
      <c r="C854" s="2"/>
      <c r="D854" s="1"/>
      <c r="E854" s="1"/>
      <c r="F854" s="3"/>
      <c r="G854" s="1"/>
      <c r="H854" s="1"/>
      <c r="I854" s="1"/>
      <c r="J854" s="1"/>
      <c r="K854" s="1"/>
      <c r="L854" s="1"/>
      <c r="M854" s="1"/>
      <c r="N854" s="1"/>
      <c r="O854" s="1"/>
      <c r="P854" s="1"/>
      <c r="Q854" s="1"/>
      <c r="R854" s="1"/>
      <c r="S854" s="1"/>
      <c r="T854" s="1"/>
      <c r="U854" s="1"/>
      <c r="V854" s="1"/>
      <c r="W854" s="1"/>
      <c r="X854" s="1"/>
    </row>
    <row r="855" spans="1:24" ht="15.75" customHeight="1" x14ac:dyDescent="0.3">
      <c r="A855" s="1"/>
      <c r="B855" s="1"/>
      <c r="C855" s="2"/>
      <c r="D855" s="1"/>
      <c r="E855" s="1"/>
      <c r="F855" s="3"/>
      <c r="G855" s="1"/>
      <c r="H855" s="1"/>
      <c r="I855" s="1"/>
      <c r="J855" s="1"/>
      <c r="K855" s="1"/>
      <c r="L855" s="1"/>
      <c r="M855" s="1"/>
      <c r="N855" s="1"/>
      <c r="O855" s="1"/>
      <c r="P855" s="1"/>
      <c r="Q855" s="1"/>
      <c r="R855" s="1"/>
      <c r="S855" s="1"/>
      <c r="T855" s="1"/>
      <c r="U855" s="1"/>
      <c r="V855" s="1"/>
      <c r="W855" s="1"/>
      <c r="X855" s="1"/>
    </row>
    <row r="856" spans="1:24" ht="15.75" customHeight="1" x14ac:dyDescent="0.3">
      <c r="A856" s="1"/>
      <c r="B856" s="1"/>
      <c r="C856" s="2"/>
      <c r="D856" s="1"/>
      <c r="E856" s="1"/>
      <c r="F856" s="3"/>
      <c r="G856" s="1"/>
      <c r="H856" s="1"/>
      <c r="I856" s="1"/>
      <c r="J856" s="1"/>
      <c r="K856" s="1"/>
      <c r="L856" s="1"/>
      <c r="M856" s="1"/>
      <c r="N856" s="1"/>
      <c r="O856" s="1"/>
      <c r="P856" s="1"/>
      <c r="Q856" s="1"/>
      <c r="R856" s="1"/>
      <c r="S856" s="1"/>
      <c r="T856" s="1"/>
      <c r="U856" s="1"/>
      <c r="V856" s="1"/>
      <c r="W856" s="1"/>
      <c r="X856" s="1"/>
    </row>
    <row r="857" spans="1:24" ht="15.75" customHeight="1" x14ac:dyDescent="0.3">
      <c r="A857" s="1"/>
      <c r="B857" s="1"/>
      <c r="C857" s="2"/>
      <c r="D857" s="1"/>
      <c r="E857" s="1"/>
      <c r="F857" s="3"/>
      <c r="G857" s="1"/>
      <c r="H857" s="1"/>
      <c r="I857" s="1"/>
      <c r="J857" s="1"/>
      <c r="K857" s="1"/>
      <c r="L857" s="1"/>
      <c r="M857" s="1"/>
      <c r="N857" s="1"/>
      <c r="O857" s="1"/>
      <c r="P857" s="1"/>
      <c r="Q857" s="1"/>
      <c r="R857" s="1"/>
      <c r="S857" s="1"/>
      <c r="T857" s="1"/>
      <c r="U857" s="1"/>
      <c r="V857" s="1"/>
      <c r="W857" s="1"/>
      <c r="X857" s="1"/>
    </row>
    <row r="858" spans="1:24" ht="15.75" customHeight="1" x14ac:dyDescent="0.3">
      <c r="A858" s="1"/>
      <c r="B858" s="1"/>
      <c r="C858" s="2"/>
      <c r="D858" s="1"/>
      <c r="E858" s="1"/>
      <c r="F858" s="3"/>
      <c r="G858" s="1"/>
      <c r="H858" s="1"/>
      <c r="I858" s="1"/>
      <c r="J858" s="1"/>
      <c r="K858" s="1"/>
      <c r="L858" s="1"/>
      <c r="M858" s="1"/>
      <c r="N858" s="1"/>
      <c r="O858" s="1"/>
      <c r="P858" s="1"/>
      <c r="Q858" s="1"/>
      <c r="R858" s="1"/>
      <c r="S858" s="1"/>
      <c r="T858" s="1"/>
      <c r="U858" s="1"/>
      <c r="V858" s="1"/>
      <c r="W858" s="1"/>
      <c r="X858" s="1"/>
    </row>
    <row r="859" spans="1:24" ht="15.75" customHeight="1" x14ac:dyDescent="0.3">
      <c r="A859" s="1"/>
      <c r="B859" s="1"/>
      <c r="C859" s="2"/>
      <c r="D859" s="1"/>
      <c r="E859" s="1"/>
      <c r="F859" s="3"/>
      <c r="G859" s="1"/>
      <c r="H859" s="1"/>
      <c r="I859" s="1"/>
      <c r="J859" s="1"/>
      <c r="K859" s="1"/>
      <c r="L859" s="1"/>
      <c r="M859" s="1"/>
      <c r="N859" s="1"/>
      <c r="O859" s="1"/>
      <c r="P859" s="1"/>
      <c r="Q859" s="1"/>
      <c r="R859" s="1"/>
      <c r="S859" s="1"/>
      <c r="T859" s="1"/>
      <c r="U859" s="1"/>
      <c r="V859" s="1"/>
      <c r="W859" s="1"/>
      <c r="X859" s="1"/>
    </row>
    <row r="860" spans="1:24" ht="15.75" customHeight="1" x14ac:dyDescent="0.3">
      <c r="A860" s="1"/>
      <c r="B860" s="1"/>
      <c r="C860" s="2"/>
      <c r="D860" s="1"/>
      <c r="E860" s="1"/>
      <c r="F860" s="3"/>
      <c r="G860" s="1"/>
      <c r="H860" s="1"/>
      <c r="I860" s="1"/>
      <c r="J860" s="1"/>
      <c r="K860" s="1"/>
      <c r="L860" s="1"/>
      <c r="M860" s="1"/>
      <c r="N860" s="1"/>
      <c r="O860" s="1"/>
      <c r="P860" s="1"/>
      <c r="Q860" s="1"/>
      <c r="R860" s="1"/>
      <c r="S860" s="1"/>
      <c r="T860" s="1"/>
      <c r="U860" s="1"/>
      <c r="V860" s="1"/>
      <c r="W860" s="1"/>
      <c r="X860" s="1"/>
    </row>
    <row r="861" spans="1:24" ht="15.75" customHeight="1" x14ac:dyDescent="0.3">
      <c r="A861" s="1"/>
      <c r="B861" s="1"/>
      <c r="C861" s="2"/>
      <c r="D861" s="1"/>
      <c r="E861" s="1"/>
      <c r="F861" s="3"/>
      <c r="G861" s="1"/>
      <c r="H861" s="1"/>
      <c r="I861" s="1"/>
      <c r="J861" s="1"/>
      <c r="K861" s="1"/>
      <c r="L861" s="1"/>
      <c r="M861" s="1"/>
      <c r="N861" s="1"/>
      <c r="O861" s="1"/>
      <c r="P861" s="1"/>
      <c r="Q861" s="1"/>
      <c r="R861" s="1"/>
      <c r="S861" s="1"/>
      <c r="T861" s="1"/>
      <c r="U861" s="1"/>
      <c r="V861" s="1"/>
      <c r="W861" s="1"/>
      <c r="X861" s="1"/>
    </row>
    <row r="862" spans="1:24" ht="15.75" customHeight="1" x14ac:dyDescent="0.3">
      <c r="A862" s="1"/>
      <c r="B862" s="1"/>
      <c r="C862" s="2"/>
      <c r="D862" s="1"/>
      <c r="E862" s="1"/>
      <c r="F862" s="3"/>
      <c r="G862" s="1"/>
      <c r="H862" s="1"/>
      <c r="I862" s="1"/>
      <c r="J862" s="1"/>
      <c r="K862" s="1"/>
      <c r="L862" s="1"/>
      <c r="M862" s="1"/>
      <c r="N862" s="1"/>
      <c r="O862" s="1"/>
      <c r="P862" s="1"/>
      <c r="Q862" s="1"/>
      <c r="R862" s="1"/>
      <c r="S862" s="1"/>
      <c r="T862" s="1"/>
      <c r="U862" s="1"/>
      <c r="V862" s="1"/>
      <c r="W862" s="1"/>
      <c r="X862" s="1"/>
    </row>
    <row r="863" spans="1:24" ht="15.75" customHeight="1" x14ac:dyDescent="0.3">
      <c r="A863" s="1"/>
      <c r="B863" s="1"/>
      <c r="C863" s="2"/>
      <c r="D863" s="1"/>
      <c r="E863" s="1"/>
      <c r="F863" s="3"/>
      <c r="G863" s="1"/>
      <c r="H863" s="1"/>
      <c r="I863" s="1"/>
      <c r="J863" s="1"/>
      <c r="K863" s="1"/>
      <c r="L863" s="1"/>
      <c r="M863" s="1"/>
      <c r="N863" s="1"/>
      <c r="O863" s="1"/>
      <c r="P863" s="1"/>
      <c r="Q863" s="1"/>
      <c r="R863" s="1"/>
      <c r="S863" s="1"/>
      <c r="T863" s="1"/>
      <c r="U863" s="1"/>
      <c r="V863" s="1"/>
      <c r="W863" s="1"/>
      <c r="X863" s="1"/>
    </row>
    <row r="864" spans="1:24" ht="15.75" customHeight="1" x14ac:dyDescent="0.3">
      <c r="A864" s="1"/>
      <c r="B864" s="1"/>
      <c r="C864" s="2"/>
      <c r="D864" s="1"/>
      <c r="E864" s="1"/>
      <c r="F864" s="3"/>
      <c r="G864" s="1"/>
      <c r="H864" s="1"/>
      <c r="I864" s="1"/>
      <c r="J864" s="1"/>
      <c r="K864" s="1"/>
      <c r="L864" s="1"/>
      <c r="M864" s="1"/>
      <c r="N864" s="1"/>
      <c r="O864" s="1"/>
      <c r="P864" s="1"/>
      <c r="Q864" s="1"/>
      <c r="R864" s="1"/>
      <c r="S864" s="1"/>
      <c r="T864" s="1"/>
      <c r="U864" s="1"/>
      <c r="V864" s="1"/>
      <c r="W864" s="1"/>
      <c r="X864" s="1"/>
    </row>
    <row r="865" spans="1:24" ht="15.75" customHeight="1" x14ac:dyDescent="0.3">
      <c r="A865" s="1"/>
      <c r="B865" s="1"/>
      <c r="C865" s="2"/>
      <c r="D865" s="1"/>
      <c r="E865" s="1"/>
      <c r="F865" s="3"/>
      <c r="G865" s="1"/>
      <c r="H865" s="1"/>
      <c r="I865" s="1"/>
      <c r="J865" s="1"/>
      <c r="K865" s="1"/>
      <c r="L865" s="1"/>
      <c r="M865" s="1"/>
      <c r="N865" s="1"/>
      <c r="O865" s="1"/>
      <c r="P865" s="1"/>
      <c r="Q865" s="1"/>
      <c r="R865" s="1"/>
      <c r="S865" s="1"/>
      <c r="T865" s="1"/>
      <c r="U865" s="1"/>
      <c r="V865" s="1"/>
      <c r="W865" s="1"/>
      <c r="X865" s="1"/>
    </row>
    <row r="866" spans="1:24" ht="15.75" customHeight="1" x14ac:dyDescent="0.3">
      <c r="A866" s="1"/>
      <c r="B866" s="1"/>
      <c r="C866" s="2"/>
      <c r="D866" s="1"/>
      <c r="E866" s="1"/>
      <c r="F866" s="3"/>
      <c r="G866" s="1"/>
      <c r="H866" s="1"/>
      <c r="I866" s="1"/>
      <c r="J866" s="1"/>
      <c r="K866" s="1"/>
      <c r="L866" s="1"/>
      <c r="M866" s="1"/>
      <c r="N866" s="1"/>
      <c r="O866" s="1"/>
      <c r="P866" s="1"/>
      <c r="Q866" s="1"/>
      <c r="R866" s="1"/>
      <c r="S866" s="1"/>
      <c r="T866" s="1"/>
      <c r="U866" s="1"/>
      <c r="V866" s="1"/>
      <c r="W866" s="1"/>
      <c r="X866" s="1"/>
    </row>
    <row r="867" spans="1:24" ht="15.75" customHeight="1" x14ac:dyDescent="0.3">
      <c r="A867" s="1"/>
      <c r="B867" s="1"/>
      <c r="C867" s="2"/>
      <c r="D867" s="1"/>
      <c r="E867" s="1"/>
      <c r="F867" s="3"/>
      <c r="G867" s="1"/>
      <c r="H867" s="1"/>
      <c r="I867" s="1"/>
      <c r="J867" s="1"/>
      <c r="K867" s="1"/>
      <c r="L867" s="1"/>
      <c r="M867" s="1"/>
      <c r="N867" s="1"/>
      <c r="O867" s="1"/>
      <c r="P867" s="1"/>
      <c r="Q867" s="1"/>
      <c r="R867" s="1"/>
      <c r="S867" s="1"/>
      <c r="T867" s="1"/>
      <c r="U867" s="1"/>
      <c r="V867" s="1"/>
      <c r="W867" s="1"/>
      <c r="X867" s="1"/>
    </row>
    <row r="868" spans="1:24" ht="15.75" customHeight="1" x14ac:dyDescent="0.3">
      <c r="A868" s="1"/>
      <c r="B868" s="1"/>
      <c r="C868" s="2"/>
      <c r="D868" s="1"/>
      <c r="E868" s="1"/>
      <c r="F868" s="3"/>
      <c r="G868" s="1"/>
      <c r="H868" s="1"/>
      <c r="I868" s="1"/>
      <c r="J868" s="1"/>
      <c r="K868" s="1"/>
      <c r="L868" s="1"/>
      <c r="M868" s="1"/>
      <c r="N868" s="1"/>
      <c r="O868" s="1"/>
      <c r="P868" s="1"/>
      <c r="Q868" s="1"/>
      <c r="R868" s="1"/>
      <c r="S868" s="1"/>
      <c r="T868" s="1"/>
      <c r="U868" s="1"/>
      <c r="V868" s="1"/>
      <c r="W868" s="1"/>
      <c r="X868" s="1"/>
    </row>
    <row r="869" spans="1:24" ht="15.75" customHeight="1" x14ac:dyDescent="0.3">
      <c r="A869" s="1"/>
      <c r="B869" s="1"/>
      <c r="C869" s="2"/>
      <c r="D869" s="1"/>
      <c r="E869" s="1"/>
      <c r="F869" s="3"/>
      <c r="G869" s="1"/>
      <c r="H869" s="1"/>
      <c r="I869" s="1"/>
      <c r="J869" s="1"/>
      <c r="K869" s="1"/>
      <c r="L869" s="1"/>
      <c r="M869" s="1"/>
      <c r="N869" s="1"/>
      <c r="O869" s="1"/>
      <c r="P869" s="1"/>
      <c r="Q869" s="1"/>
      <c r="R869" s="1"/>
      <c r="S869" s="1"/>
      <c r="T869" s="1"/>
      <c r="U869" s="1"/>
      <c r="V869" s="1"/>
      <c r="W869" s="1"/>
      <c r="X869" s="1"/>
    </row>
    <row r="870" spans="1:24" ht="15.75" customHeight="1" x14ac:dyDescent="0.3">
      <c r="A870" s="1"/>
      <c r="B870" s="1"/>
      <c r="C870" s="2"/>
      <c r="D870" s="1"/>
      <c r="E870" s="1"/>
      <c r="F870" s="3"/>
      <c r="G870" s="1"/>
      <c r="H870" s="1"/>
      <c r="I870" s="1"/>
      <c r="J870" s="1"/>
      <c r="K870" s="1"/>
      <c r="L870" s="1"/>
      <c r="M870" s="1"/>
      <c r="N870" s="1"/>
      <c r="O870" s="1"/>
      <c r="P870" s="1"/>
      <c r="Q870" s="1"/>
      <c r="R870" s="1"/>
      <c r="S870" s="1"/>
      <c r="T870" s="1"/>
      <c r="U870" s="1"/>
      <c r="V870" s="1"/>
      <c r="W870" s="1"/>
      <c r="X870" s="1"/>
    </row>
    <row r="871" spans="1:24" ht="15.75" customHeight="1" x14ac:dyDescent="0.3">
      <c r="A871" s="1"/>
      <c r="B871" s="1"/>
      <c r="C871" s="2"/>
      <c r="D871" s="1"/>
      <c r="E871" s="1"/>
      <c r="F871" s="3"/>
      <c r="G871" s="1"/>
      <c r="H871" s="1"/>
      <c r="I871" s="1"/>
      <c r="J871" s="1"/>
      <c r="K871" s="1"/>
      <c r="L871" s="1"/>
      <c r="M871" s="1"/>
      <c r="N871" s="1"/>
      <c r="O871" s="1"/>
      <c r="P871" s="1"/>
      <c r="Q871" s="1"/>
      <c r="R871" s="1"/>
      <c r="S871" s="1"/>
      <c r="T871" s="1"/>
      <c r="U871" s="1"/>
      <c r="V871" s="1"/>
      <c r="W871" s="1"/>
      <c r="X871" s="1"/>
    </row>
    <row r="872" spans="1:24" ht="15.75" customHeight="1" x14ac:dyDescent="0.3">
      <c r="A872" s="1"/>
      <c r="B872" s="1"/>
      <c r="C872" s="2"/>
      <c r="D872" s="1"/>
      <c r="E872" s="1"/>
      <c r="F872" s="3"/>
      <c r="G872" s="1"/>
      <c r="H872" s="1"/>
      <c r="I872" s="1"/>
      <c r="J872" s="1"/>
      <c r="K872" s="1"/>
      <c r="L872" s="1"/>
      <c r="M872" s="1"/>
      <c r="N872" s="1"/>
      <c r="O872" s="1"/>
      <c r="P872" s="1"/>
      <c r="Q872" s="1"/>
      <c r="R872" s="1"/>
      <c r="S872" s="1"/>
      <c r="T872" s="1"/>
      <c r="U872" s="1"/>
      <c r="V872" s="1"/>
      <c r="W872" s="1"/>
      <c r="X872" s="1"/>
    </row>
    <row r="873" spans="1:24" ht="15.75" customHeight="1" x14ac:dyDescent="0.3">
      <c r="A873" s="1"/>
      <c r="B873" s="1"/>
      <c r="C873" s="2"/>
      <c r="D873" s="1"/>
      <c r="E873" s="1"/>
      <c r="F873" s="3"/>
      <c r="G873" s="1"/>
      <c r="H873" s="1"/>
      <c r="I873" s="1"/>
      <c r="J873" s="1"/>
      <c r="K873" s="1"/>
      <c r="L873" s="1"/>
      <c r="M873" s="1"/>
      <c r="N873" s="1"/>
      <c r="O873" s="1"/>
      <c r="P873" s="1"/>
      <c r="Q873" s="1"/>
      <c r="R873" s="1"/>
      <c r="S873" s="1"/>
      <c r="T873" s="1"/>
      <c r="U873" s="1"/>
      <c r="V873" s="1"/>
      <c r="W873" s="1"/>
      <c r="X873" s="1"/>
    </row>
    <row r="874" spans="1:24" ht="15.75" customHeight="1" x14ac:dyDescent="0.3">
      <c r="A874" s="1"/>
      <c r="B874" s="1"/>
      <c r="C874" s="2"/>
      <c r="D874" s="1"/>
      <c r="E874" s="1"/>
      <c r="F874" s="3"/>
      <c r="G874" s="1"/>
      <c r="H874" s="1"/>
      <c r="I874" s="1"/>
      <c r="J874" s="1"/>
      <c r="K874" s="1"/>
      <c r="L874" s="1"/>
      <c r="M874" s="1"/>
      <c r="N874" s="1"/>
      <c r="O874" s="1"/>
      <c r="P874" s="1"/>
      <c r="Q874" s="1"/>
      <c r="R874" s="1"/>
      <c r="S874" s="1"/>
      <c r="T874" s="1"/>
      <c r="U874" s="1"/>
      <c r="V874" s="1"/>
      <c r="W874" s="1"/>
      <c r="X874" s="1"/>
    </row>
    <row r="875" spans="1:24" ht="15.75" customHeight="1" x14ac:dyDescent="0.3">
      <c r="A875" s="1"/>
      <c r="B875" s="1"/>
      <c r="C875" s="2"/>
      <c r="D875" s="1"/>
      <c r="E875" s="1"/>
      <c r="F875" s="3"/>
      <c r="G875" s="1"/>
      <c r="H875" s="1"/>
      <c r="I875" s="1"/>
      <c r="J875" s="1"/>
      <c r="K875" s="1"/>
      <c r="L875" s="1"/>
      <c r="M875" s="1"/>
      <c r="N875" s="1"/>
      <c r="O875" s="1"/>
      <c r="P875" s="1"/>
      <c r="Q875" s="1"/>
      <c r="R875" s="1"/>
      <c r="S875" s="1"/>
      <c r="T875" s="1"/>
      <c r="U875" s="1"/>
      <c r="V875" s="1"/>
      <c r="W875" s="1"/>
      <c r="X875" s="1"/>
    </row>
    <row r="876" spans="1:24" ht="15.75" customHeight="1" x14ac:dyDescent="0.3">
      <c r="A876" s="1"/>
      <c r="B876" s="1"/>
      <c r="C876" s="2"/>
      <c r="D876" s="1"/>
      <c r="E876" s="1"/>
      <c r="F876" s="3"/>
      <c r="G876" s="1"/>
      <c r="H876" s="1"/>
      <c r="I876" s="1"/>
      <c r="J876" s="1"/>
      <c r="K876" s="1"/>
      <c r="L876" s="1"/>
      <c r="M876" s="1"/>
      <c r="N876" s="1"/>
      <c r="O876" s="1"/>
      <c r="P876" s="1"/>
      <c r="Q876" s="1"/>
      <c r="R876" s="1"/>
      <c r="S876" s="1"/>
      <c r="T876" s="1"/>
      <c r="U876" s="1"/>
      <c r="V876" s="1"/>
      <c r="W876" s="1"/>
      <c r="X876" s="1"/>
    </row>
    <row r="877" spans="1:24" ht="15.75" customHeight="1" x14ac:dyDescent="0.3">
      <c r="A877" s="1"/>
      <c r="B877" s="1"/>
      <c r="C877" s="2"/>
      <c r="D877" s="1"/>
      <c r="E877" s="1"/>
      <c r="F877" s="3"/>
      <c r="G877" s="1"/>
      <c r="H877" s="1"/>
      <c r="I877" s="1"/>
      <c r="J877" s="1"/>
      <c r="K877" s="1"/>
      <c r="L877" s="1"/>
      <c r="M877" s="1"/>
      <c r="N877" s="1"/>
      <c r="O877" s="1"/>
      <c r="P877" s="1"/>
      <c r="Q877" s="1"/>
      <c r="R877" s="1"/>
      <c r="S877" s="1"/>
      <c r="T877" s="1"/>
      <c r="U877" s="1"/>
      <c r="V877" s="1"/>
      <c r="W877" s="1"/>
      <c r="X877" s="1"/>
    </row>
    <row r="878" spans="1:24" ht="15.75" customHeight="1" x14ac:dyDescent="0.3">
      <c r="A878" s="1"/>
      <c r="B878" s="1"/>
      <c r="C878" s="2"/>
      <c r="D878" s="1"/>
      <c r="E878" s="1"/>
      <c r="F878" s="3"/>
      <c r="G878" s="1"/>
      <c r="H878" s="1"/>
      <c r="I878" s="1"/>
      <c r="J878" s="1"/>
      <c r="K878" s="1"/>
      <c r="L878" s="1"/>
      <c r="M878" s="1"/>
      <c r="N878" s="1"/>
      <c r="O878" s="1"/>
      <c r="P878" s="1"/>
      <c r="Q878" s="1"/>
      <c r="R878" s="1"/>
      <c r="S878" s="1"/>
      <c r="T878" s="1"/>
      <c r="U878" s="1"/>
      <c r="V878" s="1"/>
      <c r="W878" s="1"/>
      <c r="X878" s="1"/>
    </row>
    <row r="879" spans="1:24" ht="15.75" customHeight="1" x14ac:dyDescent="0.3">
      <c r="A879" s="1"/>
      <c r="B879" s="1"/>
      <c r="C879" s="2"/>
      <c r="D879" s="1"/>
      <c r="E879" s="1"/>
      <c r="F879" s="3"/>
      <c r="G879" s="1"/>
      <c r="H879" s="1"/>
      <c r="I879" s="1"/>
      <c r="J879" s="1"/>
      <c r="K879" s="1"/>
      <c r="L879" s="1"/>
      <c r="M879" s="1"/>
      <c r="N879" s="1"/>
      <c r="O879" s="1"/>
      <c r="P879" s="1"/>
      <c r="Q879" s="1"/>
      <c r="R879" s="1"/>
      <c r="S879" s="1"/>
      <c r="T879" s="1"/>
      <c r="U879" s="1"/>
      <c r="V879" s="1"/>
      <c r="W879" s="1"/>
      <c r="X879" s="1"/>
    </row>
    <row r="880" spans="1:24" ht="15.75" customHeight="1" x14ac:dyDescent="0.3">
      <c r="A880" s="1"/>
      <c r="B880" s="1"/>
      <c r="C880" s="2"/>
      <c r="D880" s="1"/>
      <c r="E880" s="1"/>
      <c r="F880" s="3"/>
      <c r="G880" s="1"/>
      <c r="H880" s="1"/>
      <c r="I880" s="1"/>
      <c r="J880" s="1"/>
      <c r="K880" s="1"/>
      <c r="L880" s="1"/>
      <c r="M880" s="1"/>
      <c r="N880" s="1"/>
      <c r="O880" s="1"/>
      <c r="P880" s="1"/>
      <c r="Q880" s="1"/>
      <c r="R880" s="1"/>
      <c r="S880" s="1"/>
      <c r="T880" s="1"/>
      <c r="U880" s="1"/>
      <c r="V880" s="1"/>
      <c r="W880" s="1"/>
      <c r="X880" s="1"/>
    </row>
    <row r="881" spans="1:24" ht="15.75" customHeight="1" x14ac:dyDescent="0.3">
      <c r="A881" s="1"/>
      <c r="B881" s="1"/>
      <c r="C881" s="2"/>
      <c r="D881" s="1"/>
      <c r="E881" s="1"/>
      <c r="F881" s="3"/>
      <c r="G881" s="1"/>
      <c r="H881" s="1"/>
      <c r="I881" s="1"/>
      <c r="J881" s="1"/>
      <c r="K881" s="1"/>
      <c r="L881" s="1"/>
      <c r="M881" s="1"/>
      <c r="N881" s="1"/>
      <c r="O881" s="1"/>
      <c r="P881" s="1"/>
      <c r="Q881" s="1"/>
      <c r="R881" s="1"/>
      <c r="S881" s="1"/>
      <c r="T881" s="1"/>
      <c r="U881" s="1"/>
      <c r="V881" s="1"/>
      <c r="W881" s="1"/>
      <c r="X881" s="1"/>
    </row>
    <row r="882" spans="1:24" ht="15.75" customHeight="1" x14ac:dyDescent="0.3">
      <c r="A882" s="1"/>
      <c r="B882" s="1"/>
      <c r="C882" s="2"/>
      <c r="D882" s="1"/>
      <c r="E882" s="1"/>
      <c r="F882" s="3"/>
      <c r="G882" s="1"/>
      <c r="H882" s="1"/>
      <c r="I882" s="1"/>
      <c r="J882" s="1"/>
      <c r="K882" s="1"/>
      <c r="L882" s="1"/>
      <c r="M882" s="1"/>
      <c r="N882" s="1"/>
      <c r="O882" s="1"/>
      <c r="P882" s="1"/>
      <c r="Q882" s="1"/>
      <c r="R882" s="1"/>
      <c r="S882" s="1"/>
      <c r="T882" s="1"/>
      <c r="U882" s="1"/>
      <c r="V882" s="1"/>
      <c r="W882" s="1"/>
      <c r="X882" s="1"/>
    </row>
    <row r="883" spans="1:24" ht="15.75" customHeight="1" x14ac:dyDescent="0.3">
      <c r="A883" s="1"/>
      <c r="B883" s="1"/>
      <c r="C883" s="2"/>
      <c r="D883" s="1"/>
      <c r="E883" s="1"/>
      <c r="F883" s="3"/>
      <c r="G883" s="1"/>
      <c r="H883" s="1"/>
      <c r="I883" s="1"/>
      <c r="J883" s="1"/>
      <c r="K883" s="1"/>
      <c r="L883" s="1"/>
      <c r="M883" s="1"/>
      <c r="N883" s="1"/>
      <c r="O883" s="1"/>
      <c r="P883" s="1"/>
      <c r="Q883" s="1"/>
      <c r="R883" s="1"/>
      <c r="S883" s="1"/>
      <c r="T883" s="1"/>
      <c r="U883" s="1"/>
      <c r="V883" s="1"/>
      <c r="W883" s="1"/>
      <c r="X883" s="1"/>
    </row>
    <row r="884" spans="1:24" ht="15.75" customHeight="1" x14ac:dyDescent="0.3">
      <c r="A884" s="1"/>
      <c r="B884" s="1"/>
      <c r="C884" s="2"/>
      <c r="D884" s="1"/>
      <c r="E884" s="1"/>
      <c r="F884" s="3"/>
      <c r="G884" s="1"/>
      <c r="H884" s="1"/>
      <c r="I884" s="1"/>
      <c r="J884" s="1"/>
      <c r="K884" s="1"/>
      <c r="L884" s="1"/>
      <c r="M884" s="1"/>
      <c r="N884" s="1"/>
      <c r="O884" s="1"/>
      <c r="P884" s="1"/>
      <c r="Q884" s="1"/>
      <c r="R884" s="1"/>
      <c r="S884" s="1"/>
      <c r="T884" s="1"/>
      <c r="U884" s="1"/>
      <c r="V884" s="1"/>
      <c r="W884" s="1"/>
      <c r="X884" s="1"/>
    </row>
    <row r="885" spans="1:24" ht="15.75" customHeight="1" x14ac:dyDescent="0.3">
      <c r="A885" s="1"/>
      <c r="B885" s="1"/>
      <c r="C885" s="2"/>
      <c r="D885" s="1"/>
      <c r="E885" s="1"/>
      <c r="F885" s="3"/>
      <c r="G885" s="1"/>
      <c r="H885" s="1"/>
      <c r="I885" s="1"/>
      <c r="J885" s="1"/>
      <c r="K885" s="1"/>
      <c r="L885" s="1"/>
      <c r="M885" s="1"/>
      <c r="N885" s="1"/>
      <c r="O885" s="1"/>
      <c r="P885" s="1"/>
      <c r="Q885" s="1"/>
      <c r="R885" s="1"/>
      <c r="S885" s="1"/>
      <c r="T885" s="1"/>
      <c r="U885" s="1"/>
      <c r="V885" s="1"/>
      <c r="W885" s="1"/>
      <c r="X885" s="1"/>
    </row>
    <row r="886" spans="1:24" ht="15.75" customHeight="1" x14ac:dyDescent="0.3">
      <c r="A886" s="1"/>
      <c r="B886" s="1"/>
      <c r="C886" s="2"/>
      <c r="D886" s="1"/>
      <c r="E886" s="1"/>
      <c r="F886" s="3"/>
      <c r="G886" s="1"/>
      <c r="H886" s="1"/>
      <c r="I886" s="1"/>
      <c r="J886" s="1"/>
      <c r="K886" s="1"/>
      <c r="L886" s="1"/>
      <c r="M886" s="1"/>
      <c r="N886" s="1"/>
      <c r="O886" s="1"/>
      <c r="P886" s="1"/>
      <c r="Q886" s="1"/>
      <c r="R886" s="1"/>
      <c r="S886" s="1"/>
      <c r="T886" s="1"/>
      <c r="U886" s="1"/>
      <c r="V886" s="1"/>
      <c r="W886" s="1"/>
      <c r="X886" s="1"/>
    </row>
    <row r="887" spans="1:24" ht="15.75" customHeight="1" x14ac:dyDescent="0.3">
      <c r="A887" s="1"/>
      <c r="B887" s="1"/>
      <c r="C887" s="2"/>
      <c r="D887" s="1"/>
      <c r="E887" s="1"/>
      <c r="F887" s="3"/>
      <c r="G887" s="1"/>
      <c r="H887" s="1"/>
      <c r="I887" s="1"/>
      <c r="J887" s="1"/>
      <c r="K887" s="1"/>
      <c r="L887" s="1"/>
      <c r="M887" s="1"/>
      <c r="N887" s="1"/>
      <c r="O887" s="1"/>
      <c r="P887" s="1"/>
      <c r="Q887" s="1"/>
      <c r="R887" s="1"/>
      <c r="S887" s="1"/>
      <c r="T887" s="1"/>
      <c r="U887" s="1"/>
      <c r="V887" s="1"/>
      <c r="W887" s="1"/>
      <c r="X887" s="1"/>
    </row>
    <row r="888" spans="1:24" ht="15.75" customHeight="1" x14ac:dyDescent="0.3">
      <c r="A888" s="1"/>
      <c r="B888" s="1"/>
      <c r="C888" s="2"/>
      <c r="D888" s="1"/>
      <c r="E888" s="1"/>
      <c r="F888" s="3"/>
      <c r="G888" s="1"/>
      <c r="H888" s="1"/>
      <c r="I888" s="1"/>
      <c r="J888" s="1"/>
      <c r="K888" s="1"/>
      <c r="L888" s="1"/>
      <c r="M888" s="1"/>
      <c r="N888" s="1"/>
      <c r="O888" s="1"/>
      <c r="P888" s="1"/>
      <c r="Q888" s="1"/>
      <c r="R888" s="1"/>
      <c r="S888" s="1"/>
      <c r="T888" s="1"/>
      <c r="U888" s="1"/>
      <c r="V888" s="1"/>
      <c r="W888" s="1"/>
      <c r="X888" s="1"/>
    </row>
    <row r="889" spans="1:24" ht="15.75" customHeight="1" x14ac:dyDescent="0.3">
      <c r="A889" s="1"/>
      <c r="B889" s="1"/>
      <c r="C889" s="2"/>
      <c r="D889" s="1"/>
      <c r="E889" s="1"/>
      <c r="F889" s="3"/>
      <c r="G889" s="1"/>
      <c r="H889" s="1"/>
      <c r="I889" s="1"/>
      <c r="J889" s="1"/>
      <c r="K889" s="1"/>
      <c r="L889" s="1"/>
      <c r="M889" s="1"/>
      <c r="N889" s="1"/>
      <c r="O889" s="1"/>
      <c r="P889" s="1"/>
      <c r="Q889" s="1"/>
      <c r="R889" s="1"/>
      <c r="S889" s="1"/>
      <c r="T889" s="1"/>
      <c r="U889" s="1"/>
      <c r="V889" s="1"/>
      <c r="W889" s="1"/>
      <c r="X889" s="1"/>
    </row>
    <row r="890" spans="1:24" ht="15.75" customHeight="1" x14ac:dyDescent="0.3">
      <c r="A890" s="1"/>
      <c r="B890" s="1"/>
      <c r="C890" s="2"/>
      <c r="D890" s="1"/>
      <c r="E890" s="1"/>
      <c r="F890" s="3"/>
      <c r="G890" s="1"/>
      <c r="H890" s="1"/>
      <c r="I890" s="1"/>
      <c r="J890" s="1"/>
      <c r="K890" s="1"/>
      <c r="L890" s="1"/>
      <c r="M890" s="1"/>
      <c r="N890" s="1"/>
      <c r="O890" s="1"/>
      <c r="P890" s="1"/>
      <c r="Q890" s="1"/>
      <c r="R890" s="1"/>
      <c r="S890" s="1"/>
      <c r="T890" s="1"/>
      <c r="U890" s="1"/>
      <c r="V890" s="1"/>
      <c r="W890" s="1"/>
      <c r="X890" s="1"/>
    </row>
    <row r="891" spans="1:24" ht="15.75" customHeight="1" x14ac:dyDescent="0.3">
      <c r="A891" s="1"/>
      <c r="B891" s="1"/>
      <c r="C891" s="2"/>
      <c r="D891" s="1"/>
      <c r="E891" s="1"/>
      <c r="F891" s="3"/>
      <c r="G891" s="1"/>
      <c r="H891" s="1"/>
      <c r="I891" s="1"/>
      <c r="J891" s="1"/>
      <c r="K891" s="1"/>
      <c r="L891" s="1"/>
      <c r="M891" s="1"/>
      <c r="N891" s="1"/>
      <c r="O891" s="1"/>
      <c r="P891" s="1"/>
      <c r="Q891" s="1"/>
      <c r="R891" s="1"/>
      <c r="S891" s="1"/>
      <c r="T891" s="1"/>
      <c r="U891" s="1"/>
      <c r="V891" s="1"/>
      <c r="W891" s="1"/>
      <c r="X891" s="1"/>
    </row>
    <row r="892" spans="1:24" ht="15.75" customHeight="1" x14ac:dyDescent="0.3">
      <c r="A892" s="1"/>
      <c r="B892" s="1"/>
      <c r="C892" s="2"/>
      <c r="D892" s="1"/>
      <c r="E892" s="1"/>
      <c r="F892" s="3"/>
      <c r="G892" s="1"/>
      <c r="H892" s="1"/>
      <c r="I892" s="1"/>
      <c r="J892" s="1"/>
      <c r="K892" s="1"/>
      <c r="L892" s="1"/>
      <c r="M892" s="1"/>
      <c r="N892" s="1"/>
      <c r="O892" s="1"/>
      <c r="P892" s="1"/>
      <c r="Q892" s="1"/>
      <c r="R892" s="1"/>
      <c r="S892" s="1"/>
      <c r="T892" s="1"/>
      <c r="U892" s="1"/>
      <c r="V892" s="1"/>
      <c r="W892" s="1"/>
      <c r="X892" s="1"/>
    </row>
    <row r="893" spans="1:24" ht="15.75" customHeight="1" x14ac:dyDescent="0.3">
      <c r="A893" s="1"/>
      <c r="B893" s="1"/>
      <c r="C893" s="2"/>
      <c r="D893" s="1"/>
      <c r="E893" s="1"/>
      <c r="F893" s="3"/>
      <c r="G893" s="1"/>
      <c r="H893" s="1"/>
      <c r="I893" s="1"/>
      <c r="J893" s="1"/>
      <c r="K893" s="1"/>
      <c r="L893" s="1"/>
      <c r="M893" s="1"/>
      <c r="N893" s="1"/>
      <c r="O893" s="1"/>
      <c r="P893" s="1"/>
      <c r="Q893" s="1"/>
      <c r="R893" s="1"/>
      <c r="S893" s="1"/>
      <c r="T893" s="1"/>
      <c r="U893" s="1"/>
      <c r="V893" s="1"/>
      <c r="W893" s="1"/>
      <c r="X893" s="1"/>
    </row>
    <row r="894" spans="1:24" ht="15.75" customHeight="1" x14ac:dyDescent="0.3">
      <c r="A894" s="1"/>
      <c r="B894" s="1"/>
      <c r="C894" s="2"/>
      <c r="D894" s="1"/>
      <c r="E894" s="1"/>
      <c r="F894" s="3"/>
      <c r="G894" s="1"/>
      <c r="H894" s="1"/>
      <c r="I894" s="1"/>
      <c r="J894" s="1"/>
      <c r="K894" s="1"/>
      <c r="L894" s="1"/>
      <c r="M894" s="1"/>
      <c r="N894" s="1"/>
      <c r="O894" s="1"/>
      <c r="P894" s="1"/>
      <c r="Q894" s="1"/>
      <c r="R894" s="1"/>
      <c r="S894" s="1"/>
      <c r="T894" s="1"/>
      <c r="U894" s="1"/>
      <c r="V894" s="1"/>
      <c r="W894" s="1"/>
      <c r="X894" s="1"/>
    </row>
    <row r="895" spans="1:24" ht="15.75" customHeight="1" x14ac:dyDescent="0.3">
      <c r="A895" s="1"/>
      <c r="B895" s="1"/>
      <c r="C895" s="2"/>
      <c r="D895" s="1"/>
      <c r="E895" s="1"/>
      <c r="F895" s="3"/>
      <c r="G895" s="1"/>
      <c r="H895" s="1"/>
      <c r="I895" s="1"/>
      <c r="J895" s="1"/>
      <c r="K895" s="1"/>
      <c r="L895" s="1"/>
      <c r="M895" s="1"/>
      <c r="N895" s="1"/>
      <c r="O895" s="1"/>
      <c r="P895" s="1"/>
      <c r="Q895" s="1"/>
      <c r="R895" s="1"/>
      <c r="S895" s="1"/>
      <c r="T895" s="1"/>
      <c r="U895" s="1"/>
      <c r="V895" s="1"/>
      <c r="W895" s="1"/>
      <c r="X895" s="1"/>
    </row>
    <row r="896" spans="1:24" ht="15.75" customHeight="1" x14ac:dyDescent="0.3">
      <c r="A896" s="1"/>
      <c r="B896" s="1"/>
      <c r="C896" s="2"/>
      <c r="D896" s="1"/>
      <c r="E896" s="1"/>
      <c r="F896" s="3"/>
      <c r="G896" s="1"/>
      <c r="H896" s="1"/>
      <c r="I896" s="1"/>
      <c r="J896" s="1"/>
      <c r="K896" s="1"/>
      <c r="L896" s="1"/>
      <c r="M896" s="1"/>
      <c r="N896" s="1"/>
      <c r="O896" s="1"/>
      <c r="P896" s="1"/>
      <c r="Q896" s="1"/>
      <c r="R896" s="1"/>
      <c r="S896" s="1"/>
      <c r="T896" s="1"/>
      <c r="U896" s="1"/>
      <c r="V896" s="1"/>
      <c r="W896" s="1"/>
      <c r="X896" s="1"/>
    </row>
    <row r="897" spans="1:24" ht="15.75" customHeight="1" x14ac:dyDescent="0.3">
      <c r="A897" s="1"/>
      <c r="B897" s="1"/>
      <c r="C897" s="2"/>
      <c r="D897" s="1"/>
      <c r="E897" s="1"/>
      <c r="F897" s="3"/>
      <c r="G897" s="1"/>
      <c r="H897" s="1"/>
      <c r="I897" s="1"/>
      <c r="J897" s="1"/>
      <c r="K897" s="1"/>
      <c r="L897" s="1"/>
      <c r="M897" s="1"/>
      <c r="N897" s="1"/>
      <c r="O897" s="1"/>
      <c r="P897" s="1"/>
      <c r="Q897" s="1"/>
      <c r="R897" s="1"/>
      <c r="S897" s="1"/>
      <c r="T897" s="1"/>
      <c r="U897" s="1"/>
      <c r="V897" s="1"/>
      <c r="W897" s="1"/>
      <c r="X897" s="1"/>
    </row>
    <row r="898" spans="1:24" ht="15.75" customHeight="1" x14ac:dyDescent="0.3">
      <c r="A898" s="1"/>
      <c r="B898" s="1"/>
      <c r="C898" s="2"/>
      <c r="D898" s="1"/>
      <c r="E898" s="1"/>
      <c r="F898" s="3"/>
      <c r="G898" s="1"/>
      <c r="H898" s="1"/>
      <c r="I898" s="1"/>
      <c r="J898" s="1"/>
      <c r="K898" s="1"/>
      <c r="L898" s="1"/>
      <c r="M898" s="1"/>
      <c r="N898" s="1"/>
      <c r="O898" s="1"/>
      <c r="P898" s="1"/>
      <c r="Q898" s="1"/>
      <c r="R898" s="1"/>
      <c r="S898" s="1"/>
      <c r="T898" s="1"/>
      <c r="U898" s="1"/>
      <c r="V898" s="1"/>
      <c r="W898" s="1"/>
      <c r="X898" s="1"/>
    </row>
    <row r="899" spans="1:24" ht="15.75" customHeight="1" x14ac:dyDescent="0.3">
      <c r="A899" s="1"/>
      <c r="B899" s="1"/>
      <c r="C899" s="2"/>
      <c r="D899" s="1"/>
      <c r="E899" s="1"/>
      <c r="F899" s="3"/>
      <c r="G899" s="1"/>
      <c r="H899" s="1"/>
      <c r="I899" s="1"/>
      <c r="J899" s="1"/>
      <c r="K899" s="1"/>
      <c r="L899" s="1"/>
      <c r="M899" s="1"/>
      <c r="N899" s="1"/>
      <c r="O899" s="1"/>
      <c r="P899" s="1"/>
      <c r="Q899" s="1"/>
      <c r="R899" s="1"/>
      <c r="S899" s="1"/>
      <c r="T899" s="1"/>
      <c r="U899" s="1"/>
      <c r="V899" s="1"/>
      <c r="W899" s="1"/>
      <c r="X899" s="1"/>
    </row>
    <row r="900" spans="1:24" ht="15.75" customHeight="1" x14ac:dyDescent="0.3">
      <c r="A900" s="1"/>
      <c r="B900" s="1"/>
      <c r="C900" s="2"/>
      <c r="D900" s="1"/>
      <c r="E900" s="1"/>
      <c r="F900" s="3"/>
      <c r="G900" s="1"/>
      <c r="H900" s="1"/>
      <c r="I900" s="1"/>
      <c r="J900" s="1"/>
      <c r="K900" s="1"/>
      <c r="L900" s="1"/>
      <c r="M900" s="1"/>
      <c r="N900" s="1"/>
      <c r="O900" s="1"/>
      <c r="P900" s="1"/>
      <c r="Q900" s="1"/>
      <c r="R900" s="1"/>
      <c r="S900" s="1"/>
      <c r="T900" s="1"/>
      <c r="U900" s="1"/>
      <c r="V900" s="1"/>
      <c r="W900" s="1"/>
      <c r="X900" s="1"/>
    </row>
    <row r="901" spans="1:24" ht="15.75" customHeight="1" x14ac:dyDescent="0.3">
      <c r="A901" s="1"/>
      <c r="B901" s="1"/>
      <c r="C901" s="2"/>
      <c r="D901" s="1"/>
      <c r="E901" s="1"/>
      <c r="F901" s="3"/>
      <c r="G901" s="1"/>
      <c r="H901" s="1"/>
      <c r="I901" s="1"/>
      <c r="J901" s="1"/>
      <c r="K901" s="1"/>
      <c r="L901" s="1"/>
      <c r="M901" s="1"/>
      <c r="N901" s="1"/>
      <c r="O901" s="1"/>
      <c r="P901" s="1"/>
      <c r="Q901" s="1"/>
      <c r="R901" s="1"/>
      <c r="S901" s="1"/>
      <c r="T901" s="1"/>
      <c r="U901" s="1"/>
      <c r="V901" s="1"/>
      <c r="W901" s="1"/>
      <c r="X901" s="1"/>
    </row>
    <row r="902" spans="1:24" ht="15.75" customHeight="1" x14ac:dyDescent="0.3">
      <c r="A902" s="1"/>
      <c r="B902" s="1"/>
      <c r="C902" s="2"/>
      <c r="D902" s="1"/>
      <c r="E902" s="1"/>
      <c r="F902" s="3"/>
      <c r="G902" s="1"/>
      <c r="H902" s="1"/>
      <c r="I902" s="1"/>
      <c r="J902" s="1"/>
      <c r="K902" s="1"/>
      <c r="L902" s="1"/>
      <c r="M902" s="1"/>
      <c r="N902" s="1"/>
      <c r="O902" s="1"/>
      <c r="P902" s="1"/>
      <c r="Q902" s="1"/>
      <c r="R902" s="1"/>
      <c r="S902" s="1"/>
      <c r="T902" s="1"/>
      <c r="U902" s="1"/>
      <c r="V902" s="1"/>
      <c r="W902" s="1"/>
      <c r="X902" s="1"/>
    </row>
    <row r="903" spans="1:24" ht="15.75" customHeight="1" x14ac:dyDescent="0.3">
      <c r="A903" s="1"/>
      <c r="B903" s="1"/>
      <c r="C903" s="2"/>
      <c r="D903" s="1"/>
      <c r="E903" s="1"/>
      <c r="F903" s="3"/>
      <c r="G903" s="1"/>
      <c r="H903" s="1"/>
      <c r="I903" s="1"/>
      <c r="J903" s="1"/>
      <c r="K903" s="1"/>
      <c r="L903" s="1"/>
      <c r="M903" s="1"/>
      <c r="N903" s="1"/>
      <c r="O903" s="1"/>
      <c r="P903" s="1"/>
      <c r="Q903" s="1"/>
      <c r="R903" s="1"/>
      <c r="S903" s="1"/>
      <c r="T903" s="1"/>
      <c r="U903" s="1"/>
      <c r="V903" s="1"/>
      <c r="W903" s="1"/>
      <c r="X903" s="1"/>
    </row>
    <row r="904" spans="1:24" ht="15.75" customHeight="1" x14ac:dyDescent="0.3">
      <c r="A904" s="1"/>
      <c r="B904" s="1"/>
      <c r="C904" s="2"/>
      <c r="D904" s="1"/>
      <c r="E904" s="1"/>
      <c r="F904" s="3"/>
      <c r="G904" s="1"/>
      <c r="H904" s="1"/>
      <c r="I904" s="1"/>
      <c r="J904" s="1"/>
      <c r="K904" s="1"/>
      <c r="L904" s="1"/>
      <c r="M904" s="1"/>
      <c r="N904" s="1"/>
      <c r="O904" s="1"/>
      <c r="P904" s="1"/>
      <c r="Q904" s="1"/>
      <c r="R904" s="1"/>
      <c r="S904" s="1"/>
      <c r="T904" s="1"/>
      <c r="U904" s="1"/>
      <c r="V904" s="1"/>
      <c r="W904" s="1"/>
      <c r="X904" s="1"/>
    </row>
    <row r="905" spans="1:24" ht="15.75" customHeight="1" x14ac:dyDescent="0.3">
      <c r="A905" s="1"/>
      <c r="B905" s="1"/>
      <c r="C905" s="2"/>
      <c r="D905" s="1"/>
      <c r="E905" s="1"/>
      <c r="F905" s="3"/>
      <c r="G905" s="1"/>
      <c r="H905" s="1"/>
      <c r="I905" s="1"/>
      <c r="J905" s="1"/>
      <c r="K905" s="1"/>
      <c r="L905" s="1"/>
      <c r="M905" s="1"/>
      <c r="N905" s="1"/>
      <c r="O905" s="1"/>
      <c r="P905" s="1"/>
      <c r="Q905" s="1"/>
      <c r="R905" s="1"/>
      <c r="S905" s="1"/>
      <c r="T905" s="1"/>
      <c r="U905" s="1"/>
      <c r="V905" s="1"/>
      <c r="W905" s="1"/>
      <c r="X905" s="1"/>
    </row>
    <row r="906" spans="1:24" ht="15.75" customHeight="1" x14ac:dyDescent="0.3">
      <c r="A906" s="1"/>
      <c r="B906" s="1"/>
      <c r="C906" s="2"/>
      <c r="D906" s="1"/>
      <c r="E906" s="1"/>
      <c r="F906" s="3"/>
      <c r="G906" s="1"/>
      <c r="H906" s="1"/>
      <c r="I906" s="1"/>
      <c r="J906" s="1"/>
      <c r="K906" s="1"/>
      <c r="L906" s="1"/>
      <c r="M906" s="1"/>
      <c r="N906" s="1"/>
      <c r="O906" s="1"/>
      <c r="P906" s="1"/>
      <c r="Q906" s="1"/>
      <c r="R906" s="1"/>
      <c r="S906" s="1"/>
      <c r="T906" s="1"/>
      <c r="U906" s="1"/>
      <c r="V906" s="1"/>
      <c r="W906" s="1"/>
      <c r="X906" s="1"/>
    </row>
    <row r="907" spans="1:24" ht="15.75" customHeight="1" x14ac:dyDescent="0.3">
      <c r="A907" s="1"/>
      <c r="B907" s="1"/>
      <c r="C907" s="2"/>
      <c r="D907" s="1"/>
      <c r="E907" s="1"/>
      <c r="F907" s="3"/>
      <c r="G907" s="1"/>
      <c r="H907" s="1"/>
      <c r="I907" s="1"/>
      <c r="J907" s="1"/>
      <c r="K907" s="1"/>
      <c r="L907" s="1"/>
      <c r="M907" s="1"/>
      <c r="N907" s="1"/>
      <c r="O907" s="1"/>
      <c r="P907" s="1"/>
      <c r="Q907" s="1"/>
      <c r="R907" s="1"/>
      <c r="S907" s="1"/>
      <c r="T907" s="1"/>
      <c r="U907" s="1"/>
      <c r="V907" s="1"/>
      <c r="W907" s="1"/>
      <c r="X907" s="1"/>
    </row>
    <row r="908" spans="1:24" ht="15.75" customHeight="1" x14ac:dyDescent="0.3">
      <c r="A908" s="1"/>
      <c r="B908" s="1"/>
      <c r="C908" s="2"/>
      <c r="D908" s="1"/>
      <c r="E908" s="1"/>
      <c r="F908" s="3"/>
      <c r="G908" s="1"/>
      <c r="H908" s="1"/>
      <c r="I908" s="1"/>
      <c r="J908" s="1"/>
      <c r="K908" s="1"/>
      <c r="L908" s="1"/>
      <c r="M908" s="1"/>
      <c r="N908" s="1"/>
      <c r="O908" s="1"/>
      <c r="P908" s="1"/>
      <c r="Q908" s="1"/>
      <c r="R908" s="1"/>
      <c r="S908" s="1"/>
      <c r="T908" s="1"/>
      <c r="U908" s="1"/>
      <c r="V908" s="1"/>
      <c r="W908" s="1"/>
      <c r="X908" s="1"/>
    </row>
    <row r="909" spans="1:24" ht="15.75" customHeight="1" x14ac:dyDescent="0.3">
      <c r="A909" s="1"/>
      <c r="B909" s="1"/>
      <c r="C909" s="2"/>
      <c r="D909" s="1"/>
      <c r="E909" s="1"/>
      <c r="F909" s="3"/>
      <c r="G909" s="1"/>
      <c r="H909" s="1"/>
      <c r="I909" s="1"/>
      <c r="J909" s="1"/>
      <c r="K909" s="1"/>
      <c r="L909" s="1"/>
      <c r="M909" s="1"/>
      <c r="N909" s="1"/>
      <c r="O909" s="1"/>
      <c r="P909" s="1"/>
      <c r="Q909" s="1"/>
      <c r="R909" s="1"/>
      <c r="S909" s="1"/>
      <c r="T909" s="1"/>
      <c r="U909" s="1"/>
      <c r="V909" s="1"/>
      <c r="W909" s="1"/>
      <c r="X909" s="1"/>
    </row>
    <row r="910" spans="1:24" ht="15.75" customHeight="1" x14ac:dyDescent="0.3">
      <c r="A910" s="1"/>
      <c r="B910" s="1"/>
      <c r="C910" s="2"/>
      <c r="D910" s="1"/>
      <c r="E910" s="1"/>
      <c r="F910" s="3"/>
      <c r="G910" s="1"/>
      <c r="H910" s="1"/>
      <c r="I910" s="1"/>
      <c r="J910" s="1"/>
      <c r="K910" s="1"/>
      <c r="L910" s="1"/>
      <c r="M910" s="1"/>
      <c r="N910" s="1"/>
      <c r="O910" s="1"/>
      <c r="P910" s="1"/>
      <c r="Q910" s="1"/>
      <c r="R910" s="1"/>
      <c r="S910" s="1"/>
      <c r="T910" s="1"/>
      <c r="U910" s="1"/>
      <c r="V910" s="1"/>
      <c r="W910" s="1"/>
      <c r="X910" s="1"/>
    </row>
    <row r="911" spans="1:24" ht="15.75" customHeight="1" x14ac:dyDescent="0.3">
      <c r="A911" s="1"/>
      <c r="B911" s="1"/>
      <c r="C911" s="2"/>
      <c r="D911" s="1"/>
      <c r="E911" s="1"/>
      <c r="F911" s="3"/>
      <c r="G911" s="1"/>
      <c r="H911" s="1"/>
      <c r="I911" s="1"/>
      <c r="J911" s="1"/>
      <c r="K911" s="1"/>
      <c r="L911" s="1"/>
      <c r="M911" s="1"/>
      <c r="N911" s="1"/>
      <c r="O911" s="1"/>
      <c r="P911" s="1"/>
      <c r="Q911" s="1"/>
      <c r="R911" s="1"/>
      <c r="S911" s="1"/>
      <c r="T911" s="1"/>
      <c r="U911" s="1"/>
      <c r="V911" s="1"/>
      <c r="W911" s="1"/>
      <c r="X911" s="1"/>
    </row>
    <row r="912" spans="1:24" ht="15.75" customHeight="1" x14ac:dyDescent="0.3">
      <c r="A912" s="1"/>
      <c r="B912" s="1"/>
      <c r="C912" s="2"/>
      <c r="D912" s="1"/>
      <c r="E912" s="1"/>
      <c r="F912" s="3"/>
      <c r="G912" s="1"/>
      <c r="H912" s="1"/>
      <c r="I912" s="1"/>
      <c r="J912" s="1"/>
      <c r="K912" s="1"/>
      <c r="L912" s="1"/>
      <c r="M912" s="1"/>
      <c r="N912" s="1"/>
      <c r="O912" s="1"/>
      <c r="P912" s="1"/>
      <c r="Q912" s="1"/>
      <c r="R912" s="1"/>
      <c r="S912" s="1"/>
      <c r="T912" s="1"/>
      <c r="U912" s="1"/>
      <c r="V912" s="1"/>
      <c r="W912" s="1"/>
      <c r="X912" s="1"/>
    </row>
    <row r="913" spans="1:24" ht="15.75" customHeight="1" x14ac:dyDescent="0.3">
      <c r="A913" s="1"/>
      <c r="B913" s="1"/>
      <c r="C913" s="2"/>
      <c r="D913" s="1"/>
      <c r="E913" s="1"/>
      <c r="F913" s="3"/>
      <c r="G913" s="1"/>
      <c r="H913" s="1"/>
      <c r="I913" s="1"/>
      <c r="J913" s="1"/>
      <c r="K913" s="1"/>
      <c r="L913" s="1"/>
      <c r="M913" s="1"/>
      <c r="N913" s="1"/>
      <c r="O913" s="1"/>
      <c r="P913" s="1"/>
      <c r="Q913" s="1"/>
      <c r="R913" s="1"/>
      <c r="S913" s="1"/>
      <c r="T913" s="1"/>
      <c r="U913" s="1"/>
      <c r="V913" s="1"/>
      <c r="W913" s="1"/>
      <c r="X913" s="1"/>
    </row>
    <row r="914" spans="1:24" ht="15.75" customHeight="1" x14ac:dyDescent="0.3">
      <c r="A914" s="1"/>
      <c r="B914" s="1"/>
      <c r="C914" s="2"/>
      <c r="D914" s="1"/>
      <c r="E914" s="1"/>
      <c r="F914" s="3"/>
      <c r="G914" s="1"/>
      <c r="H914" s="1"/>
      <c r="I914" s="1"/>
      <c r="J914" s="1"/>
      <c r="K914" s="1"/>
      <c r="L914" s="1"/>
      <c r="M914" s="1"/>
      <c r="N914" s="1"/>
      <c r="O914" s="1"/>
      <c r="P914" s="1"/>
      <c r="Q914" s="1"/>
      <c r="R914" s="1"/>
      <c r="S914" s="1"/>
      <c r="T914" s="1"/>
      <c r="U914" s="1"/>
      <c r="V914" s="1"/>
      <c r="W914" s="1"/>
      <c r="X914" s="1"/>
    </row>
    <row r="915" spans="1:24" ht="15.75" customHeight="1" x14ac:dyDescent="0.3">
      <c r="A915" s="1"/>
      <c r="B915" s="1"/>
      <c r="C915" s="2"/>
      <c r="D915" s="1"/>
      <c r="E915" s="1"/>
      <c r="F915" s="3"/>
      <c r="G915" s="1"/>
      <c r="H915" s="1"/>
      <c r="I915" s="1"/>
      <c r="J915" s="1"/>
      <c r="K915" s="1"/>
      <c r="L915" s="1"/>
      <c r="M915" s="1"/>
      <c r="N915" s="1"/>
      <c r="O915" s="1"/>
      <c r="P915" s="1"/>
      <c r="Q915" s="1"/>
      <c r="R915" s="1"/>
      <c r="S915" s="1"/>
      <c r="T915" s="1"/>
      <c r="U915" s="1"/>
      <c r="V915" s="1"/>
      <c r="W915" s="1"/>
      <c r="X915" s="1"/>
    </row>
    <row r="916" spans="1:24" ht="15.75" customHeight="1" x14ac:dyDescent="0.3">
      <c r="A916" s="1"/>
      <c r="B916" s="1"/>
      <c r="C916" s="2"/>
      <c r="D916" s="1"/>
      <c r="E916" s="1"/>
      <c r="F916" s="3"/>
      <c r="G916" s="1"/>
      <c r="H916" s="1"/>
      <c r="I916" s="1"/>
      <c r="J916" s="1"/>
      <c r="K916" s="1"/>
      <c r="L916" s="1"/>
      <c r="M916" s="1"/>
      <c r="N916" s="1"/>
      <c r="O916" s="1"/>
      <c r="P916" s="1"/>
      <c r="Q916" s="1"/>
      <c r="R916" s="1"/>
      <c r="S916" s="1"/>
      <c r="T916" s="1"/>
      <c r="U916" s="1"/>
      <c r="V916" s="1"/>
      <c r="W916" s="1"/>
      <c r="X916" s="1"/>
    </row>
    <row r="917" spans="1:24" ht="15.75" customHeight="1" x14ac:dyDescent="0.3">
      <c r="A917" s="1"/>
      <c r="B917" s="1"/>
      <c r="C917" s="2"/>
      <c r="D917" s="1"/>
      <c r="E917" s="1"/>
      <c r="F917" s="3"/>
      <c r="G917" s="1"/>
      <c r="H917" s="1"/>
      <c r="I917" s="1"/>
      <c r="J917" s="1"/>
      <c r="K917" s="1"/>
      <c r="L917" s="1"/>
      <c r="M917" s="1"/>
      <c r="N917" s="1"/>
      <c r="O917" s="1"/>
      <c r="P917" s="1"/>
      <c r="Q917" s="1"/>
      <c r="R917" s="1"/>
      <c r="S917" s="1"/>
      <c r="T917" s="1"/>
      <c r="U917" s="1"/>
      <c r="V917" s="1"/>
      <c r="W917" s="1"/>
      <c r="X917" s="1"/>
    </row>
    <row r="918" spans="1:24" ht="15.75" customHeight="1" x14ac:dyDescent="0.3">
      <c r="A918" s="1"/>
      <c r="B918" s="1"/>
      <c r="C918" s="2"/>
      <c r="D918" s="1"/>
      <c r="E918" s="1"/>
      <c r="F918" s="3"/>
      <c r="G918" s="1"/>
      <c r="H918" s="1"/>
      <c r="I918" s="1"/>
      <c r="J918" s="1"/>
      <c r="K918" s="1"/>
      <c r="L918" s="1"/>
      <c r="M918" s="1"/>
      <c r="N918" s="1"/>
      <c r="O918" s="1"/>
      <c r="P918" s="1"/>
      <c r="Q918" s="1"/>
      <c r="R918" s="1"/>
      <c r="S918" s="1"/>
      <c r="T918" s="1"/>
      <c r="U918" s="1"/>
      <c r="V918" s="1"/>
      <c r="W918" s="1"/>
      <c r="X918" s="1"/>
    </row>
    <row r="919" spans="1:24" ht="15.75" customHeight="1" x14ac:dyDescent="0.3">
      <c r="A919" s="1"/>
      <c r="B919" s="1"/>
      <c r="C919" s="2"/>
      <c r="D919" s="1"/>
      <c r="E919" s="1"/>
      <c r="F919" s="3"/>
      <c r="G919" s="1"/>
      <c r="H919" s="1"/>
      <c r="I919" s="1"/>
      <c r="J919" s="1"/>
      <c r="K919" s="1"/>
      <c r="L919" s="1"/>
      <c r="M919" s="1"/>
      <c r="N919" s="1"/>
      <c r="O919" s="1"/>
      <c r="P919" s="1"/>
      <c r="Q919" s="1"/>
      <c r="R919" s="1"/>
      <c r="S919" s="1"/>
      <c r="T919" s="1"/>
      <c r="U919" s="1"/>
      <c r="V919" s="1"/>
      <c r="W919" s="1"/>
      <c r="X919" s="1"/>
    </row>
    <row r="920" spans="1:24" ht="15.75" customHeight="1" x14ac:dyDescent="0.3">
      <c r="A920" s="1"/>
      <c r="B920" s="1"/>
      <c r="C920" s="2"/>
      <c r="D920" s="1"/>
      <c r="E920" s="1"/>
      <c r="F920" s="3"/>
      <c r="G920" s="1"/>
      <c r="H920" s="1"/>
      <c r="I920" s="1"/>
      <c r="J920" s="1"/>
      <c r="K920" s="1"/>
      <c r="L920" s="1"/>
      <c r="M920" s="1"/>
      <c r="N920" s="1"/>
      <c r="O920" s="1"/>
      <c r="P920" s="1"/>
      <c r="Q920" s="1"/>
      <c r="R920" s="1"/>
      <c r="S920" s="1"/>
      <c r="T920" s="1"/>
      <c r="U920" s="1"/>
      <c r="V920" s="1"/>
      <c r="W920" s="1"/>
      <c r="X920" s="1"/>
    </row>
    <row r="921" spans="1:24" ht="15.75" customHeight="1" x14ac:dyDescent="0.3">
      <c r="A921" s="1"/>
      <c r="B921" s="1"/>
      <c r="C921" s="2"/>
      <c r="D921" s="1"/>
      <c r="E921" s="1"/>
      <c r="F921" s="3"/>
      <c r="G921" s="1"/>
      <c r="H921" s="1"/>
      <c r="I921" s="1"/>
      <c r="J921" s="1"/>
      <c r="K921" s="1"/>
      <c r="L921" s="1"/>
      <c r="M921" s="1"/>
      <c r="N921" s="1"/>
      <c r="O921" s="1"/>
      <c r="P921" s="1"/>
      <c r="Q921" s="1"/>
      <c r="R921" s="1"/>
      <c r="S921" s="1"/>
      <c r="T921" s="1"/>
      <c r="U921" s="1"/>
      <c r="V921" s="1"/>
      <c r="W921" s="1"/>
      <c r="X921" s="1"/>
    </row>
    <row r="922" spans="1:24" ht="15.75" customHeight="1" x14ac:dyDescent="0.3">
      <c r="A922" s="1"/>
      <c r="B922" s="1"/>
      <c r="C922" s="2"/>
      <c r="D922" s="1"/>
      <c r="E922" s="1"/>
      <c r="F922" s="3"/>
      <c r="G922" s="1"/>
      <c r="H922" s="1"/>
      <c r="I922" s="1"/>
      <c r="J922" s="1"/>
      <c r="K922" s="1"/>
      <c r="L922" s="1"/>
      <c r="M922" s="1"/>
      <c r="N922" s="1"/>
      <c r="O922" s="1"/>
      <c r="P922" s="1"/>
      <c r="Q922" s="1"/>
      <c r="R922" s="1"/>
      <c r="S922" s="1"/>
      <c r="T922" s="1"/>
      <c r="U922" s="1"/>
      <c r="V922" s="1"/>
      <c r="W922" s="1"/>
      <c r="X922" s="1"/>
    </row>
    <row r="923" spans="1:24" ht="15.75" customHeight="1" x14ac:dyDescent="0.3">
      <c r="A923" s="1"/>
      <c r="B923" s="1"/>
      <c r="C923" s="2"/>
      <c r="D923" s="1"/>
      <c r="E923" s="1"/>
      <c r="F923" s="3"/>
      <c r="G923" s="1"/>
      <c r="H923" s="1"/>
      <c r="I923" s="1"/>
      <c r="J923" s="1"/>
      <c r="K923" s="1"/>
      <c r="L923" s="1"/>
      <c r="M923" s="1"/>
      <c r="N923" s="1"/>
      <c r="O923" s="1"/>
      <c r="P923" s="1"/>
      <c r="Q923" s="1"/>
      <c r="R923" s="1"/>
      <c r="S923" s="1"/>
      <c r="T923" s="1"/>
      <c r="U923" s="1"/>
      <c r="V923" s="1"/>
      <c r="W923" s="1"/>
      <c r="X923" s="1"/>
    </row>
    <row r="924" spans="1:24" ht="15.75" customHeight="1" x14ac:dyDescent="0.3">
      <c r="A924" s="1"/>
      <c r="B924" s="1"/>
      <c r="C924" s="2"/>
      <c r="D924" s="1"/>
      <c r="E924" s="1"/>
      <c r="F924" s="3"/>
      <c r="G924" s="1"/>
      <c r="H924" s="1"/>
      <c r="I924" s="1"/>
      <c r="J924" s="1"/>
      <c r="K924" s="1"/>
      <c r="L924" s="1"/>
      <c r="M924" s="1"/>
      <c r="N924" s="1"/>
      <c r="O924" s="1"/>
      <c r="P924" s="1"/>
      <c r="Q924" s="1"/>
      <c r="R924" s="1"/>
      <c r="S924" s="1"/>
      <c r="T924" s="1"/>
      <c r="U924" s="1"/>
      <c r="V924" s="1"/>
      <c r="W924" s="1"/>
      <c r="X924" s="1"/>
    </row>
    <row r="925" spans="1:24" ht="15.75" customHeight="1" x14ac:dyDescent="0.3">
      <c r="A925" s="1"/>
      <c r="B925" s="1"/>
      <c r="C925" s="2"/>
      <c r="D925" s="1"/>
      <c r="E925" s="1"/>
      <c r="F925" s="3"/>
      <c r="G925" s="1"/>
      <c r="H925" s="1"/>
      <c r="I925" s="1"/>
      <c r="J925" s="1"/>
      <c r="K925" s="1"/>
      <c r="L925" s="1"/>
      <c r="M925" s="1"/>
      <c r="N925" s="1"/>
      <c r="O925" s="1"/>
      <c r="P925" s="1"/>
      <c r="Q925" s="1"/>
      <c r="R925" s="1"/>
      <c r="S925" s="1"/>
      <c r="T925" s="1"/>
      <c r="U925" s="1"/>
      <c r="V925" s="1"/>
      <c r="W925" s="1"/>
      <c r="X925" s="1"/>
    </row>
    <row r="926" spans="1:24" ht="15.75" customHeight="1" x14ac:dyDescent="0.3">
      <c r="A926" s="1"/>
      <c r="B926" s="1"/>
      <c r="C926" s="2"/>
      <c r="D926" s="1"/>
      <c r="E926" s="1"/>
      <c r="F926" s="3"/>
      <c r="G926" s="1"/>
      <c r="H926" s="1"/>
      <c r="I926" s="1"/>
      <c r="J926" s="1"/>
      <c r="K926" s="1"/>
      <c r="L926" s="1"/>
      <c r="M926" s="1"/>
      <c r="N926" s="1"/>
      <c r="O926" s="1"/>
      <c r="P926" s="1"/>
      <c r="Q926" s="1"/>
      <c r="R926" s="1"/>
      <c r="S926" s="1"/>
      <c r="T926" s="1"/>
      <c r="U926" s="1"/>
      <c r="V926" s="1"/>
      <c r="W926" s="1"/>
      <c r="X926" s="1"/>
    </row>
    <row r="927" spans="1:24" ht="15.75" customHeight="1" x14ac:dyDescent="0.3">
      <c r="A927" s="1"/>
      <c r="B927" s="1"/>
      <c r="C927" s="2"/>
      <c r="D927" s="1"/>
      <c r="E927" s="1"/>
      <c r="F927" s="3"/>
      <c r="G927" s="1"/>
      <c r="H927" s="1"/>
      <c r="I927" s="1"/>
      <c r="J927" s="1"/>
      <c r="K927" s="1"/>
      <c r="L927" s="1"/>
      <c r="M927" s="1"/>
      <c r="N927" s="1"/>
      <c r="O927" s="1"/>
      <c r="P927" s="1"/>
      <c r="Q927" s="1"/>
      <c r="R927" s="1"/>
      <c r="S927" s="1"/>
      <c r="T927" s="1"/>
      <c r="U927" s="1"/>
      <c r="V927" s="1"/>
      <c r="W927" s="1"/>
      <c r="X927" s="1"/>
    </row>
    <row r="928" spans="1:24" ht="15.75" customHeight="1" x14ac:dyDescent="0.3">
      <c r="A928" s="1"/>
      <c r="B928" s="1"/>
      <c r="C928" s="2"/>
      <c r="D928" s="1"/>
      <c r="E928" s="1"/>
      <c r="F928" s="3"/>
      <c r="G928" s="1"/>
      <c r="H928" s="1"/>
      <c r="I928" s="1"/>
      <c r="J928" s="1"/>
      <c r="K928" s="1"/>
      <c r="L928" s="1"/>
      <c r="M928" s="1"/>
      <c r="N928" s="1"/>
      <c r="O928" s="1"/>
      <c r="P928" s="1"/>
      <c r="Q928" s="1"/>
      <c r="R928" s="1"/>
      <c r="S928" s="1"/>
      <c r="T928" s="1"/>
      <c r="U928" s="1"/>
      <c r="V928" s="1"/>
      <c r="W928" s="1"/>
      <c r="X928" s="1"/>
    </row>
    <row r="929" spans="1:24" ht="15.75" customHeight="1" x14ac:dyDescent="0.3">
      <c r="A929" s="1"/>
      <c r="B929" s="1"/>
      <c r="C929" s="2"/>
      <c r="D929" s="1"/>
      <c r="E929" s="1"/>
      <c r="F929" s="3"/>
      <c r="G929" s="1"/>
      <c r="H929" s="1"/>
      <c r="I929" s="1"/>
      <c r="J929" s="1"/>
      <c r="K929" s="1"/>
      <c r="L929" s="1"/>
      <c r="M929" s="1"/>
      <c r="N929" s="1"/>
      <c r="O929" s="1"/>
      <c r="P929" s="1"/>
      <c r="Q929" s="1"/>
      <c r="R929" s="1"/>
      <c r="S929" s="1"/>
      <c r="T929" s="1"/>
      <c r="U929" s="1"/>
      <c r="V929" s="1"/>
      <c r="W929" s="1"/>
      <c r="X929" s="1"/>
    </row>
    <row r="930" spans="1:24" ht="15.75" customHeight="1" x14ac:dyDescent="0.3">
      <c r="A930" s="1"/>
      <c r="B930" s="1"/>
      <c r="C930" s="2"/>
      <c r="D930" s="1"/>
      <c r="E930" s="1"/>
      <c r="F930" s="3"/>
      <c r="G930" s="1"/>
      <c r="H930" s="1"/>
      <c r="I930" s="1"/>
      <c r="J930" s="1"/>
      <c r="K930" s="1"/>
      <c r="L930" s="1"/>
      <c r="M930" s="1"/>
      <c r="N930" s="1"/>
      <c r="O930" s="1"/>
      <c r="P930" s="1"/>
      <c r="Q930" s="1"/>
      <c r="R930" s="1"/>
      <c r="S930" s="1"/>
      <c r="T930" s="1"/>
      <c r="U930" s="1"/>
      <c r="V930" s="1"/>
      <c r="W930" s="1"/>
      <c r="X930" s="1"/>
    </row>
    <row r="931" spans="1:24" ht="15.75" customHeight="1" x14ac:dyDescent="0.3">
      <c r="A931" s="1"/>
      <c r="B931" s="1"/>
      <c r="C931" s="2"/>
      <c r="D931" s="1"/>
      <c r="E931" s="1"/>
      <c r="F931" s="3"/>
      <c r="G931" s="1"/>
      <c r="H931" s="1"/>
      <c r="I931" s="1"/>
      <c r="J931" s="1"/>
      <c r="K931" s="1"/>
      <c r="L931" s="1"/>
      <c r="M931" s="1"/>
      <c r="N931" s="1"/>
      <c r="O931" s="1"/>
      <c r="P931" s="1"/>
      <c r="Q931" s="1"/>
      <c r="R931" s="1"/>
      <c r="S931" s="1"/>
      <c r="T931" s="1"/>
      <c r="U931" s="1"/>
      <c r="V931" s="1"/>
      <c r="W931" s="1"/>
      <c r="X931" s="1"/>
    </row>
    <row r="932" spans="1:24" ht="15.75" customHeight="1" x14ac:dyDescent="0.3">
      <c r="A932" s="1"/>
      <c r="B932" s="1"/>
      <c r="C932" s="2"/>
      <c r="D932" s="1"/>
      <c r="E932" s="1"/>
      <c r="F932" s="3"/>
      <c r="G932" s="1"/>
      <c r="H932" s="1"/>
      <c r="I932" s="1"/>
      <c r="J932" s="1"/>
      <c r="K932" s="1"/>
      <c r="L932" s="1"/>
      <c r="M932" s="1"/>
      <c r="N932" s="1"/>
      <c r="O932" s="1"/>
      <c r="P932" s="1"/>
      <c r="Q932" s="1"/>
      <c r="R932" s="1"/>
      <c r="S932" s="1"/>
      <c r="T932" s="1"/>
      <c r="U932" s="1"/>
      <c r="V932" s="1"/>
      <c r="W932" s="1"/>
      <c r="X932" s="1"/>
    </row>
    <row r="933" spans="1:24" ht="15.75" customHeight="1" x14ac:dyDescent="0.3">
      <c r="A933" s="1"/>
      <c r="B933" s="1"/>
      <c r="C933" s="2"/>
      <c r="D933" s="1"/>
      <c r="E933" s="1"/>
      <c r="F933" s="3"/>
      <c r="G933" s="1"/>
      <c r="H933" s="1"/>
      <c r="I933" s="1"/>
      <c r="J933" s="1"/>
      <c r="K933" s="1"/>
      <c r="L933" s="1"/>
      <c r="M933" s="1"/>
      <c r="N933" s="1"/>
      <c r="O933" s="1"/>
      <c r="P933" s="1"/>
      <c r="Q933" s="1"/>
      <c r="R933" s="1"/>
      <c r="S933" s="1"/>
      <c r="T933" s="1"/>
      <c r="U933" s="1"/>
      <c r="V933" s="1"/>
      <c r="W933" s="1"/>
      <c r="X933" s="1"/>
    </row>
    <row r="934" spans="1:24" ht="15.75" customHeight="1" x14ac:dyDescent="0.3">
      <c r="A934" s="1"/>
      <c r="B934" s="1"/>
      <c r="C934" s="2"/>
      <c r="D934" s="1"/>
      <c r="E934" s="1"/>
      <c r="F934" s="3"/>
      <c r="G934" s="1"/>
      <c r="H934" s="1"/>
      <c r="I934" s="1"/>
      <c r="J934" s="1"/>
      <c r="K934" s="1"/>
      <c r="L934" s="1"/>
      <c r="M934" s="1"/>
      <c r="N934" s="1"/>
      <c r="O934" s="1"/>
      <c r="P934" s="1"/>
      <c r="Q934" s="1"/>
      <c r="R934" s="1"/>
      <c r="S934" s="1"/>
      <c r="T934" s="1"/>
      <c r="U934" s="1"/>
      <c r="V934" s="1"/>
      <c r="W934" s="1"/>
      <c r="X934" s="1"/>
    </row>
    <row r="935" spans="1:24" ht="15.75" customHeight="1" x14ac:dyDescent="0.3">
      <c r="A935" s="1"/>
      <c r="B935" s="1"/>
      <c r="C935" s="2"/>
      <c r="D935" s="1"/>
      <c r="E935" s="1"/>
      <c r="F935" s="3"/>
      <c r="G935" s="1"/>
      <c r="H935" s="1"/>
      <c r="I935" s="1"/>
      <c r="J935" s="1"/>
      <c r="K935" s="1"/>
      <c r="L935" s="1"/>
      <c r="M935" s="1"/>
      <c r="N935" s="1"/>
      <c r="O935" s="1"/>
      <c r="P935" s="1"/>
      <c r="Q935" s="1"/>
      <c r="R935" s="1"/>
      <c r="S935" s="1"/>
      <c r="T935" s="1"/>
      <c r="U935" s="1"/>
      <c r="V935" s="1"/>
      <c r="W935" s="1"/>
      <c r="X935" s="1"/>
    </row>
    <row r="936" spans="1:24" ht="15.75" customHeight="1" x14ac:dyDescent="0.3">
      <c r="A936" s="1"/>
      <c r="B936" s="1"/>
      <c r="C936" s="2"/>
      <c r="D936" s="1"/>
      <c r="E936" s="1"/>
      <c r="F936" s="3"/>
      <c r="G936" s="1"/>
      <c r="H936" s="1"/>
      <c r="I936" s="1"/>
      <c r="J936" s="1"/>
      <c r="K936" s="1"/>
      <c r="L936" s="1"/>
      <c r="M936" s="1"/>
      <c r="N936" s="1"/>
      <c r="O936" s="1"/>
      <c r="P936" s="1"/>
      <c r="Q936" s="1"/>
      <c r="R936" s="1"/>
      <c r="S936" s="1"/>
      <c r="T936" s="1"/>
      <c r="U936" s="1"/>
      <c r="V936" s="1"/>
      <c r="W936" s="1"/>
      <c r="X936" s="1"/>
    </row>
    <row r="937" spans="1:24" ht="15.75" customHeight="1" x14ac:dyDescent="0.3">
      <c r="A937" s="1"/>
      <c r="B937" s="1"/>
      <c r="C937" s="2"/>
      <c r="D937" s="1"/>
      <c r="E937" s="1"/>
      <c r="F937" s="3"/>
      <c r="G937" s="1"/>
      <c r="H937" s="1"/>
      <c r="I937" s="1"/>
      <c r="J937" s="1"/>
      <c r="K937" s="1"/>
      <c r="L937" s="1"/>
      <c r="M937" s="1"/>
      <c r="N937" s="1"/>
      <c r="O937" s="1"/>
      <c r="P937" s="1"/>
      <c r="Q937" s="1"/>
      <c r="R937" s="1"/>
      <c r="S937" s="1"/>
      <c r="T937" s="1"/>
      <c r="U937" s="1"/>
      <c r="V937" s="1"/>
      <c r="W937" s="1"/>
      <c r="X937" s="1"/>
    </row>
    <row r="938" spans="1:24" ht="15.75" customHeight="1" x14ac:dyDescent="0.3">
      <c r="A938" s="1"/>
      <c r="B938" s="1"/>
      <c r="C938" s="2"/>
      <c r="D938" s="1"/>
      <c r="E938" s="1"/>
      <c r="F938" s="3"/>
      <c r="G938" s="1"/>
      <c r="H938" s="1"/>
      <c r="I938" s="1"/>
      <c r="J938" s="1"/>
      <c r="K938" s="1"/>
      <c r="L938" s="1"/>
      <c r="M938" s="1"/>
      <c r="N938" s="1"/>
      <c r="O938" s="1"/>
      <c r="P938" s="1"/>
      <c r="Q938" s="1"/>
      <c r="R938" s="1"/>
      <c r="S938" s="1"/>
      <c r="T938" s="1"/>
      <c r="U938" s="1"/>
      <c r="V938" s="1"/>
      <c r="W938" s="1"/>
      <c r="X938" s="1"/>
    </row>
    <row r="939" spans="1:24" ht="15.75" customHeight="1" x14ac:dyDescent="0.3">
      <c r="A939" s="1"/>
      <c r="B939" s="1"/>
      <c r="C939" s="2"/>
      <c r="D939" s="1"/>
      <c r="E939" s="1"/>
      <c r="F939" s="3"/>
      <c r="G939" s="1"/>
      <c r="H939" s="1"/>
      <c r="I939" s="1"/>
      <c r="J939" s="1"/>
      <c r="K939" s="1"/>
      <c r="L939" s="1"/>
      <c r="M939" s="1"/>
      <c r="N939" s="1"/>
      <c r="O939" s="1"/>
      <c r="P939" s="1"/>
      <c r="Q939" s="1"/>
      <c r="R939" s="1"/>
      <c r="S939" s="1"/>
      <c r="T939" s="1"/>
      <c r="U939" s="1"/>
      <c r="V939" s="1"/>
      <c r="W939" s="1"/>
      <c r="X939" s="1"/>
    </row>
    <row r="940" spans="1:24" ht="15.75" customHeight="1" x14ac:dyDescent="0.3">
      <c r="A940" s="1"/>
      <c r="B940" s="1"/>
      <c r="C940" s="2"/>
      <c r="D940" s="1"/>
      <c r="E940" s="1"/>
      <c r="F940" s="3"/>
      <c r="G940" s="1"/>
      <c r="H940" s="1"/>
      <c r="I940" s="1"/>
      <c r="J940" s="1"/>
      <c r="K940" s="1"/>
      <c r="L940" s="1"/>
      <c r="M940" s="1"/>
      <c r="N940" s="1"/>
      <c r="O940" s="1"/>
      <c r="P940" s="1"/>
      <c r="Q940" s="1"/>
      <c r="R940" s="1"/>
      <c r="S940" s="1"/>
      <c r="T940" s="1"/>
      <c r="U940" s="1"/>
      <c r="V940" s="1"/>
      <c r="W940" s="1"/>
      <c r="X940" s="1"/>
    </row>
    <row r="941" spans="1:24" ht="15.75" customHeight="1" x14ac:dyDescent="0.3">
      <c r="A941" s="1"/>
      <c r="B941" s="1"/>
      <c r="C941" s="2"/>
      <c r="D941" s="1"/>
      <c r="E941" s="1"/>
      <c r="F941" s="3"/>
      <c r="G941" s="1"/>
      <c r="H941" s="1"/>
      <c r="I941" s="1"/>
      <c r="J941" s="1"/>
      <c r="K941" s="1"/>
      <c r="L941" s="1"/>
      <c r="M941" s="1"/>
      <c r="N941" s="1"/>
      <c r="O941" s="1"/>
      <c r="P941" s="1"/>
      <c r="Q941" s="1"/>
      <c r="R941" s="1"/>
      <c r="S941" s="1"/>
      <c r="T941" s="1"/>
      <c r="U941" s="1"/>
      <c r="V941" s="1"/>
      <c r="W941" s="1"/>
      <c r="X941" s="1"/>
    </row>
    <row r="942" spans="1:24" ht="15.75" customHeight="1" x14ac:dyDescent="0.3">
      <c r="A942" s="1"/>
      <c r="B942" s="1"/>
      <c r="C942" s="2"/>
      <c r="D942" s="1"/>
      <c r="E942" s="1"/>
      <c r="F942" s="3"/>
      <c r="G942" s="1"/>
      <c r="H942" s="1"/>
      <c r="I942" s="1"/>
      <c r="J942" s="1"/>
      <c r="K942" s="1"/>
      <c r="L942" s="1"/>
      <c r="M942" s="1"/>
      <c r="N942" s="1"/>
      <c r="O942" s="1"/>
      <c r="P942" s="1"/>
      <c r="Q942" s="1"/>
      <c r="R942" s="1"/>
      <c r="S942" s="1"/>
      <c r="T942" s="1"/>
      <c r="U942" s="1"/>
      <c r="V942" s="1"/>
      <c r="W942" s="1"/>
      <c r="X942" s="1"/>
    </row>
    <row r="943" spans="1:24" ht="15.75" customHeight="1" x14ac:dyDescent="0.3">
      <c r="A943" s="1"/>
      <c r="B943" s="1"/>
      <c r="C943" s="2"/>
      <c r="D943" s="1"/>
      <c r="E943" s="1"/>
      <c r="F943" s="3"/>
      <c r="G943" s="1"/>
      <c r="H943" s="1"/>
      <c r="I943" s="1"/>
      <c r="J943" s="1"/>
      <c r="K943" s="1"/>
      <c r="L943" s="1"/>
      <c r="M943" s="1"/>
      <c r="N943" s="1"/>
      <c r="O943" s="1"/>
      <c r="P943" s="1"/>
      <c r="Q943" s="1"/>
      <c r="R943" s="1"/>
      <c r="S943" s="1"/>
      <c r="T943" s="1"/>
      <c r="U943" s="1"/>
      <c r="V943" s="1"/>
      <c r="W943" s="1"/>
      <c r="X943" s="1"/>
    </row>
    <row r="944" spans="1:24" ht="15.75" customHeight="1" x14ac:dyDescent="0.3">
      <c r="A944" s="1"/>
      <c r="B944" s="1"/>
      <c r="C944" s="2"/>
      <c r="D944" s="1"/>
      <c r="E944" s="1"/>
      <c r="F944" s="3"/>
      <c r="G944" s="1"/>
      <c r="H944" s="1"/>
      <c r="I944" s="1"/>
      <c r="J944" s="1"/>
      <c r="K944" s="1"/>
      <c r="L944" s="1"/>
      <c r="M944" s="1"/>
      <c r="N944" s="1"/>
      <c r="O944" s="1"/>
      <c r="P944" s="1"/>
      <c r="Q944" s="1"/>
      <c r="R944" s="1"/>
      <c r="S944" s="1"/>
      <c r="T944" s="1"/>
      <c r="U944" s="1"/>
      <c r="V944" s="1"/>
      <c r="W944" s="1"/>
      <c r="X944" s="1"/>
    </row>
    <row r="945" spans="1:24" ht="15.75" customHeight="1" x14ac:dyDescent="0.3">
      <c r="A945" s="1"/>
      <c r="B945" s="1"/>
      <c r="C945" s="2"/>
      <c r="D945" s="1"/>
      <c r="E945" s="1"/>
      <c r="F945" s="3"/>
      <c r="G945" s="1"/>
      <c r="H945" s="1"/>
      <c r="I945" s="1"/>
      <c r="J945" s="1"/>
      <c r="K945" s="1"/>
      <c r="L945" s="1"/>
      <c r="M945" s="1"/>
      <c r="N945" s="1"/>
      <c r="O945" s="1"/>
      <c r="P945" s="1"/>
      <c r="Q945" s="1"/>
      <c r="R945" s="1"/>
      <c r="S945" s="1"/>
      <c r="T945" s="1"/>
      <c r="U945" s="1"/>
      <c r="V945" s="1"/>
      <c r="W945" s="1"/>
      <c r="X945" s="1"/>
    </row>
    <row r="946" spans="1:24" ht="15.75" customHeight="1" x14ac:dyDescent="0.3">
      <c r="A946" s="1"/>
      <c r="B946" s="1"/>
      <c r="C946" s="2"/>
      <c r="D946" s="1"/>
      <c r="E946" s="1"/>
      <c r="F946" s="3"/>
      <c r="G946" s="1"/>
      <c r="H946" s="1"/>
      <c r="I946" s="1"/>
      <c r="J946" s="1"/>
      <c r="K946" s="1"/>
      <c r="L946" s="1"/>
      <c r="M946" s="1"/>
      <c r="N946" s="1"/>
      <c r="O946" s="1"/>
      <c r="P946" s="1"/>
      <c r="Q946" s="1"/>
      <c r="R946" s="1"/>
      <c r="S946" s="1"/>
      <c r="T946" s="1"/>
      <c r="U946" s="1"/>
      <c r="V946" s="1"/>
      <c r="W946" s="1"/>
      <c r="X946" s="1"/>
    </row>
    <row r="947" spans="1:24" ht="15.75" customHeight="1" x14ac:dyDescent="0.3">
      <c r="A947" s="1"/>
      <c r="B947" s="1"/>
      <c r="C947" s="2"/>
      <c r="D947" s="1"/>
      <c r="E947" s="1"/>
      <c r="F947" s="3"/>
      <c r="G947" s="1"/>
      <c r="H947" s="1"/>
      <c r="I947" s="1"/>
      <c r="J947" s="1"/>
      <c r="K947" s="1"/>
      <c r="L947" s="1"/>
      <c r="M947" s="1"/>
      <c r="N947" s="1"/>
      <c r="O947" s="1"/>
      <c r="P947" s="1"/>
      <c r="Q947" s="1"/>
      <c r="R947" s="1"/>
      <c r="S947" s="1"/>
      <c r="T947" s="1"/>
      <c r="U947" s="1"/>
      <c r="V947" s="1"/>
      <c r="W947" s="1"/>
      <c r="X947" s="1"/>
    </row>
    <row r="948" spans="1:24" ht="15.75" customHeight="1" x14ac:dyDescent="0.3">
      <c r="A948" s="1"/>
      <c r="B948" s="1"/>
      <c r="C948" s="2"/>
      <c r="D948" s="1"/>
      <c r="E948" s="1"/>
      <c r="F948" s="3"/>
      <c r="G948" s="1"/>
      <c r="H948" s="1"/>
      <c r="I948" s="1"/>
      <c r="J948" s="1"/>
      <c r="K948" s="1"/>
      <c r="L948" s="1"/>
      <c r="M948" s="1"/>
      <c r="N948" s="1"/>
      <c r="O948" s="1"/>
      <c r="P948" s="1"/>
      <c r="Q948" s="1"/>
      <c r="R948" s="1"/>
      <c r="S948" s="1"/>
      <c r="T948" s="1"/>
      <c r="U948" s="1"/>
      <c r="V948" s="1"/>
      <c r="W948" s="1"/>
      <c r="X948" s="1"/>
    </row>
    <row r="949" spans="1:24" ht="15.75" customHeight="1" x14ac:dyDescent="0.3">
      <c r="A949" s="1"/>
      <c r="B949" s="1"/>
      <c r="C949" s="2"/>
      <c r="D949" s="1"/>
      <c r="E949" s="1"/>
      <c r="F949" s="3"/>
      <c r="G949" s="1"/>
      <c r="H949" s="1"/>
      <c r="I949" s="1"/>
      <c r="J949" s="1"/>
      <c r="K949" s="1"/>
      <c r="L949" s="1"/>
      <c r="M949" s="1"/>
      <c r="N949" s="1"/>
      <c r="O949" s="1"/>
      <c r="P949" s="1"/>
      <c r="Q949" s="1"/>
      <c r="R949" s="1"/>
      <c r="S949" s="1"/>
      <c r="T949" s="1"/>
      <c r="U949" s="1"/>
      <c r="V949" s="1"/>
      <c r="W949" s="1"/>
      <c r="X949" s="1"/>
    </row>
    <row r="950" spans="1:24" ht="15.75" customHeight="1" x14ac:dyDescent="0.3">
      <c r="A950" s="1"/>
      <c r="B950" s="1"/>
      <c r="C950" s="2"/>
      <c r="D950" s="1"/>
      <c r="E950" s="1"/>
      <c r="F950" s="3"/>
      <c r="G950" s="1"/>
      <c r="H950" s="1"/>
      <c r="I950" s="1"/>
      <c r="J950" s="1"/>
      <c r="K950" s="1"/>
      <c r="L950" s="1"/>
      <c r="M950" s="1"/>
      <c r="N950" s="1"/>
      <c r="O950" s="1"/>
      <c r="P950" s="1"/>
      <c r="Q950" s="1"/>
      <c r="R950" s="1"/>
      <c r="S950" s="1"/>
      <c r="T950" s="1"/>
      <c r="U950" s="1"/>
      <c r="V950" s="1"/>
      <c r="W950" s="1"/>
      <c r="X950" s="1"/>
    </row>
    <row r="951" spans="1:24" ht="15.75" customHeight="1" x14ac:dyDescent="0.3">
      <c r="A951" s="1"/>
      <c r="B951" s="1"/>
      <c r="C951" s="2"/>
      <c r="D951" s="1"/>
      <c r="E951" s="1"/>
      <c r="F951" s="3"/>
      <c r="G951" s="1"/>
      <c r="H951" s="1"/>
      <c r="I951" s="1"/>
      <c r="J951" s="1"/>
      <c r="K951" s="1"/>
      <c r="L951" s="1"/>
      <c r="M951" s="1"/>
      <c r="N951" s="1"/>
      <c r="O951" s="1"/>
      <c r="P951" s="1"/>
      <c r="Q951" s="1"/>
      <c r="R951" s="1"/>
      <c r="S951" s="1"/>
      <c r="T951" s="1"/>
      <c r="U951" s="1"/>
      <c r="V951" s="1"/>
      <c r="W951" s="1"/>
      <c r="X951" s="1"/>
    </row>
    <row r="952" spans="1:24" ht="15.75" customHeight="1" x14ac:dyDescent="0.3">
      <c r="A952" s="1"/>
      <c r="B952" s="1"/>
      <c r="C952" s="2"/>
      <c r="D952" s="1"/>
      <c r="E952" s="1"/>
      <c r="F952" s="3"/>
      <c r="G952" s="1"/>
      <c r="H952" s="1"/>
      <c r="I952" s="1"/>
      <c r="J952" s="1"/>
      <c r="K952" s="1"/>
      <c r="L952" s="1"/>
      <c r="M952" s="1"/>
      <c r="N952" s="1"/>
      <c r="O952" s="1"/>
      <c r="P952" s="1"/>
      <c r="Q952" s="1"/>
      <c r="R952" s="1"/>
      <c r="S952" s="1"/>
      <c r="T952" s="1"/>
      <c r="U952" s="1"/>
      <c r="V952" s="1"/>
      <c r="W952" s="1"/>
      <c r="X952" s="1"/>
    </row>
    <row r="953" spans="1:24" ht="15.75" customHeight="1" x14ac:dyDescent="0.3">
      <c r="A953" s="1"/>
      <c r="B953" s="1"/>
      <c r="C953" s="2"/>
      <c r="D953" s="1"/>
      <c r="E953" s="1"/>
      <c r="F953" s="3"/>
      <c r="G953" s="1"/>
      <c r="H953" s="1"/>
      <c r="I953" s="1"/>
      <c r="J953" s="1"/>
      <c r="K953" s="1"/>
      <c r="L953" s="1"/>
      <c r="M953" s="1"/>
      <c r="N953" s="1"/>
      <c r="O953" s="1"/>
      <c r="P953" s="1"/>
      <c r="Q953" s="1"/>
      <c r="R953" s="1"/>
      <c r="S953" s="1"/>
      <c r="T953" s="1"/>
      <c r="U953" s="1"/>
      <c r="V953" s="1"/>
      <c r="W953" s="1"/>
      <c r="X953" s="1"/>
    </row>
    <row r="954" spans="1:24" ht="15.75" customHeight="1" x14ac:dyDescent="0.3">
      <c r="A954" s="1"/>
      <c r="B954" s="1"/>
      <c r="C954" s="2"/>
      <c r="D954" s="1"/>
      <c r="E954" s="1"/>
      <c r="F954" s="3"/>
      <c r="G954" s="1"/>
      <c r="H954" s="1"/>
      <c r="I954" s="1"/>
      <c r="J954" s="1"/>
      <c r="K954" s="1"/>
      <c r="L954" s="1"/>
      <c r="M954" s="1"/>
      <c r="N954" s="1"/>
      <c r="O954" s="1"/>
      <c r="P954" s="1"/>
      <c r="Q954" s="1"/>
      <c r="R954" s="1"/>
      <c r="S954" s="1"/>
      <c r="T954" s="1"/>
      <c r="U954" s="1"/>
      <c r="V954" s="1"/>
      <c r="W954" s="1"/>
      <c r="X954" s="1"/>
    </row>
    <row r="955" spans="1:24" ht="15.75" customHeight="1" x14ac:dyDescent="0.3">
      <c r="A955" s="1"/>
      <c r="B955" s="1"/>
      <c r="C955" s="2"/>
      <c r="D955" s="1"/>
      <c r="E955" s="1"/>
      <c r="F955" s="3"/>
      <c r="G955" s="1"/>
      <c r="H955" s="1"/>
      <c r="I955" s="1"/>
      <c r="J955" s="1"/>
      <c r="K955" s="1"/>
      <c r="L955" s="1"/>
      <c r="M955" s="1"/>
      <c r="N955" s="1"/>
      <c r="O955" s="1"/>
      <c r="P955" s="1"/>
      <c r="Q955" s="1"/>
      <c r="R955" s="1"/>
      <c r="S955" s="1"/>
      <c r="T955" s="1"/>
      <c r="U955" s="1"/>
      <c r="V955" s="1"/>
      <c r="W955" s="1"/>
      <c r="X955" s="1"/>
    </row>
    <row r="956" spans="1:24" ht="15.75" customHeight="1" x14ac:dyDescent="0.3">
      <c r="A956" s="1"/>
      <c r="B956" s="1"/>
      <c r="C956" s="2"/>
      <c r="D956" s="1"/>
      <c r="E956" s="1"/>
      <c r="F956" s="3"/>
      <c r="G956" s="1"/>
      <c r="H956" s="1"/>
      <c r="I956" s="1"/>
      <c r="J956" s="1"/>
      <c r="K956" s="1"/>
      <c r="L956" s="1"/>
      <c r="M956" s="1"/>
      <c r="N956" s="1"/>
      <c r="O956" s="1"/>
      <c r="P956" s="1"/>
      <c r="Q956" s="1"/>
      <c r="R956" s="1"/>
      <c r="S956" s="1"/>
      <c r="T956" s="1"/>
      <c r="U956" s="1"/>
      <c r="V956" s="1"/>
      <c r="W956" s="1"/>
      <c r="X956" s="1"/>
    </row>
    <row r="957" spans="1:24" ht="15.75" customHeight="1" x14ac:dyDescent="0.3">
      <c r="A957" s="1"/>
      <c r="B957" s="1"/>
      <c r="C957" s="2"/>
      <c r="D957" s="1"/>
      <c r="E957" s="1"/>
      <c r="F957" s="3"/>
      <c r="G957" s="1"/>
      <c r="H957" s="1"/>
      <c r="I957" s="1"/>
      <c r="J957" s="1"/>
      <c r="K957" s="1"/>
      <c r="L957" s="1"/>
      <c r="M957" s="1"/>
      <c r="N957" s="1"/>
      <c r="O957" s="1"/>
      <c r="P957" s="1"/>
      <c r="Q957" s="1"/>
      <c r="R957" s="1"/>
      <c r="S957" s="1"/>
      <c r="T957" s="1"/>
      <c r="U957" s="1"/>
      <c r="V957" s="1"/>
      <c r="W957" s="1"/>
      <c r="X957" s="1"/>
    </row>
    <row r="958" spans="1:24" ht="15.75" customHeight="1" x14ac:dyDescent="0.3">
      <c r="A958" s="1"/>
      <c r="B958" s="1"/>
      <c r="C958" s="2"/>
      <c r="D958" s="1"/>
      <c r="E958" s="1"/>
      <c r="F958" s="3"/>
      <c r="G958" s="1"/>
      <c r="H958" s="1"/>
      <c r="I958" s="1"/>
      <c r="J958" s="1"/>
      <c r="K958" s="1"/>
      <c r="L958" s="1"/>
      <c r="M958" s="1"/>
      <c r="N958" s="1"/>
      <c r="O958" s="1"/>
      <c r="P958" s="1"/>
      <c r="Q958" s="1"/>
      <c r="R958" s="1"/>
      <c r="S958" s="1"/>
      <c r="T958" s="1"/>
      <c r="U958" s="1"/>
      <c r="V958" s="1"/>
      <c r="W958" s="1"/>
      <c r="X958" s="1"/>
    </row>
    <row r="959" spans="1:24" ht="15.75" customHeight="1" x14ac:dyDescent="0.3">
      <c r="A959" s="1"/>
      <c r="B959" s="1"/>
      <c r="C959" s="2"/>
      <c r="D959" s="1"/>
      <c r="E959" s="1"/>
      <c r="F959" s="3"/>
      <c r="G959" s="1"/>
      <c r="H959" s="1"/>
      <c r="I959" s="1"/>
      <c r="J959" s="1"/>
      <c r="K959" s="1"/>
      <c r="L959" s="1"/>
      <c r="M959" s="1"/>
      <c r="N959" s="1"/>
      <c r="O959" s="1"/>
      <c r="P959" s="1"/>
      <c r="Q959" s="1"/>
      <c r="R959" s="1"/>
      <c r="S959" s="1"/>
      <c r="T959" s="1"/>
      <c r="U959" s="1"/>
      <c r="V959" s="1"/>
      <c r="W959" s="1"/>
      <c r="X959" s="1"/>
    </row>
    <row r="960" spans="1:24" ht="15.75" customHeight="1" x14ac:dyDescent="0.3">
      <c r="A960" s="1"/>
      <c r="B960" s="1"/>
      <c r="C960" s="2"/>
      <c r="D960" s="1"/>
      <c r="E960" s="1"/>
      <c r="F960" s="3"/>
      <c r="G960" s="1"/>
      <c r="H960" s="1"/>
      <c r="I960" s="1"/>
      <c r="J960" s="1"/>
      <c r="K960" s="1"/>
      <c r="L960" s="1"/>
      <c r="M960" s="1"/>
      <c r="N960" s="1"/>
      <c r="O960" s="1"/>
      <c r="P960" s="1"/>
      <c r="Q960" s="1"/>
      <c r="R960" s="1"/>
      <c r="S960" s="1"/>
      <c r="T960" s="1"/>
      <c r="U960" s="1"/>
      <c r="V960" s="1"/>
      <c r="W960" s="1"/>
      <c r="X960" s="1"/>
    </row>
    <row r="961" spans="1:24" ht="15.75" customHeight="1" x14ac:dyDescent="0.3">
      <c r="A961" s="1"/>
      <c r="B961" s="1"/>
      <c r="C961" s="2"/>
      <c r="D961" s="1"/>
      <c r="E961" s="1"/>
      <c r="F961" s="3"/>
      <c r="G961" s="1"/>
      <c r="H961" s="1"/>
      <c r="I961" s="1"/>
      <c r="J961" s="1"/>
      <c r="K961" s="1"/>
      <c r="L961" s="1"/>
      <c r="M961" s="1"/>
      <c r="N961" s="1"/>
      <c r="O961" s="1"/>
      <c r="P961" s="1"/>
      <c r="Q961" s="1"/>
      <c r="R961" s="1"/>
      <c r="S961" s="1"/>
      <c r="T961" s="1"/>
      <c r="U961" s="1"/>
      <c r="V961" s="1"/>
      <c r="W961" s="1"/>
      <c r="X961" s="1"/>
    </row>
    <row r="962" spans="1:24" ht="15.75" customHeight="1" x14ac:dyDescent="0.3">
      <c r="A962" s="1"/>
      <c r="B962" s="1"/>
      <c r="C962" s="2"/>
      <c r="D962" s="1"/>
      <c r="E962" s="1"/>
      <c r="F962" s="3"/>
      <c r="G962" s="1"/>
      <c r="H962" s="1"/>
      <c r="I962" s="1"/>
      <c r="J962" s="1"/>
      <c r="K962" s="1"/>
      <c r="L962" s="1"/>
      <c r="M962" s="1"/>
      <c r="N962" s="1"/>
      <c r="O962" s="1"/>
      <c r="P962" s="1"/>
      <c r="Q962" s="1"/>
      <c r="R962" s="1"/>
      <c r="S962" s="1"/>
      <c r="T962" s="1"/>
      <c r="U962" s="1"/>
      <c r="V962" s="1"/>
      <c r="W962" s="1"/>
      <c r="X962" s="1"/>
    </row>
    <row r="963" spans="1:24" ht="15.75" customHeight="1" x14ac:dyDescent="0.3">
      <c r="A963" s="1"/>
      <c r="B963" s="1"/>
      <c r="C963" s="2"/>
      <c r="D963" s="1"/>
      <c r="E963" s="1"/>
      <c r="F963" s="3"/>
      <c r="G963" s="1"/>
      <c r="H963" s="1"/>
      <c r="I963" s="1"/>
      <c r="J963" s="1"/>
      <c r="K963" s="1"/>
      <c r="L963" s="1"/>
      <c r="M963" s="1"/>
      <c r="N963" s="1"/>
      <c r="O963" s="1"/>
      <c r="P963" s="1"/>
      <c r="Q963" s="1"/>
      <c r="R963" s="1"/>
      <c r="S963" s="1"/>
      <c r="T963" s="1"/>
      <c r="U963" s="1"/>
      <c r="V963" s="1"/>
      <c r="W963" s="1"/>
      <c r="X963" s="1"/>
    </row>
    <row r="964" spans="1:24" ht="15.75" customHeight="1" x14ac:dyDescent="0.3">
      <c r="A964" s="1"/>
      <c r="B964" s="1"/>
      <c r="C964" s="2"/>
      <c r="D964" s="1"/>
      <c r="E964" s="1"/>
      <c r="F964" s="3"/>
      <c r="G964" s="1"/>
      <c r="H964" s="1"/>
      <c r="I964" s="1"/>
      <c r="J964" s="1"/>
      <c r="K964" s="1"/>
      <c r="L964" s="1"/>
      <c r="M964" s="1"/>
      <c r="N964" s="1"/>
      <c r="O964" s="1"/>
      <c r="P964" s="1"/>
      <c r="Q964" s="1"/>
      <c r="R964" s="1"/>
      <c r="S964" s="1"/>
      <c r="T964" s="1"/>
      <c r="U964" s="1"/>
      <c r="V964" s="1"/>
      <c r="W964" s="1"/>
      <c r="X964" s="1"/>
    </row>
    <row r="965" spans="1:24" ht="15.75" customHeight="1" x14ac:dyDescent="0.3">
      <c r="A965" s="1"/>
      <c r="B965" s="1"/>
      <c r="C965" s="2"/>
      <c r="D965" s="1"/>
      <c r="E965" s="1"/>
      <c r="F965" s="3"/>
      <c r="G965" s="1"/>
      <c r="H965" s="1"/>
      <c r="I965" s="1"/>
      <c r="J965" s="1"/>
      <c r="K965" s="1"/>
      <c r="L965" s="1"/>
      <c r="M965" s="1"/>
      <c r="N965" s="1"/>
      <c r="O965" s="1"/>
      <c r="P965" s="1"/>
      <c r="Q965" s="1"/>
      <c r="R965" s="1"/>
      <c r="S965" s="1"/>
      <c r="T965" s="1"/>
      <c r="U965" s="1"/>
      <c r="V965" s="1"/>
      <c r="W965" s="1"/>
      <c r="X965" s="1"/>
    </row>
    <row r="966" spans="1:24" ht="15.75" customHeight="1" x14ac:dyDescent="0.3">
      <c r="A966" s="1"/>
      <c r="B966" s="1"/>
      <c r="C966" s="2"/>
      <c r="D966" s="1"/>
      <c r="E966" s="1"/>
      <c r="F966" s="3"/>
      <c r="G966" s="1"/>
      <c r="H966" s="1"/>
      <c r="I966" s="1"/>
      <c r="J966" s="1"/>
      <c r="K966" s="1"/>
      <c r="L966" s="1"/>
      <c r="M966" s="1"/>
      <c r="N966" s="1"/>
      <c r="O966" s="1"/>
      <c r="P966" s="1"/>
      <c r="Q966" s="1"/>
      <c r="R966" s="1"/>
      <c r="S966" s="1"/>
      <c r="T966" s="1"/>
      <c r="U966" s="1"/>
      <c r="V966" s="1"/>
      <c r="W966" s="1"/>
      <c r="X966" s="1"/>
    </row>
    <row r="967" spans="1:24" ht="15.75" customHeight="1" x14ac:dyDescent="0.3">
      <c r="A967" s="1"/>
      <c r="B967" s="1"/>
      <c r="C967" s="2"/>
      <c r="D967" s="1"/>
      <c r="E967" s="1"/>
      <c r="F967" s="3"/>
      <c r="G967" s="1"/>
      <c r="H967" s="1"/>
      <c r="I967" s="1"/>
      <c r="J967" s="1"/>
      <c r="K967" s="1"/>
      <c r="L967" s="1"/>
      <c r="M967" s="1"/>
      <c r="N967" s="1"/>
      <c r="O967" s="1"/>
      <c r="P967" s="1"/>
      <c r="Q967" s="1"/>
      <c r="R967" s="1"/>
      <c r="S967" s="1"/>
      <c r="T967" s="1"/>
      <c r="U967" s="1"/>
      <c r="V967" s="1"/>
      <c r="W967" s="1"/>
      <c r="X967" s="1"/>
    </row>
    <row r="968" spans="1:24" ht="15.75" customHeight="1" x14ac:dyDescent="0.3">
      <c r="A968" s="1"/>
      <c r="B968" s="1"/>
      <c r="C968" s="2"/>
      <c r="D968" s="1"/>
      <c r="E968" s="1"/>
      <c r="F968" s="3"/>
      <c r="G968" s="1"/>
      <c r="H968" s="1"/>
      <c r="I968" s="1"/>
      <c r="J968" s="1"/>
      <c r="K968" s="1"/>
      <c r="L968" s="1"/>
      <c r="M968" s="1"/>
      <c r="N968" s="1"/>
      <c r="O968" s="1"/>
      <c r="P968" s="1"/>
      <c r="Q968" s="1"/>
      <c r="R968" s="1"/>
      <c r="S968" s="1"/>
      <c r="T968" s="1"/>
      <c r="U968" s="1"/>
      <c r="V968" s="1"/>
      <c r="W968" s="1"/>
      <c r="X968" s="1"/>
    </row>
    <row r="969" spans="1:24" ht="15.75" customHeight="1" x14ac:dyDescent="0.3">
      <c r="A969" s="1"/>
      <c r="B969" s="1"/>
      <c r="C969" s="2"/>
      <c r="D969" s="1"/>
      <c r="E969" s="1"/>
      <c r="F969" s="3"/>
      <c r="G969" s="1"/>
      <c r="H969" s="1"/>
      <c r="I969" s="1"/>
      <c r="J969" s="1"/>
      <c r="K969" s="1"/>
      <c r="L969" s="1"/>
      <c r="M969" s="1"/>
      <c r="N969" s="1"/>
      <c r="O969" s="1"/>
      <c r="P969" s="1"/>
      <c r="Q969" s="1"/>
      <c r="R969" s="1"/>
      <c r="S969" s="1"/>
      <c r="T969" s="1"/>
      <c r="U969" s="1"/>
      <c r="V969" s="1"/>
      <c r="W969" s="1"/>
      <c r="X969" s="1"/>
    </row>
    <row r="970" spans="1:24" ht="15.75" customHeight="1" x14ac:dyDescent="0.3">
      <c r="A970" s="1"/>
      <c r="B970" s="1"/>
      <c r="C970" s="2"/>
      <c r="D970" s="1"/>
      <c r="E970" s="1"/>
      <c r="F970" s="3"/>
      <c r="G970" s="1"/>
      <c r="H970" s="1"/>
      <c r="I970" s="1"/>
      <c r="J970" s="1"/>
      <c r="K970" s="1"/>
      <c r="L970" s="1"/>
      <c r="M970" s="1"/>
      <c r="N970" s="1"/>
      <c r="O970" s="1"/>
      <c r="P970" s="1"/>
      <c r="Q970" s="1"/>
      <c r="R970" s="1"/>
      <c r="S970" s="1"/>
      <c r="T970" s="1"/>
      <c r="U970" s="1"/>
      <c r="V970" s="1"/>
      <c r="W970" s="1"/>
      <c r="X970" s="1"/>
    </row>
    <row r="971" spans="1:24" ht="15.75" customHeight="1" x14ac:dyDescent="0.3">
      <c r="A971" s="1"/>
      <c r="B971" s="1"/>
      <c r="C971" s="2"/>
      <c r="D971" s="1"/>
      <c r="E971" s="1"/>
      <c r="F971" s="3"/>
      <c r="G971" s="1"/>
      <c r="H971" s="1"/>
      <c r="I971" s="1"/>
      <c r="J971" s="1"/>
      <c r="K971" s="1"/>
      <c r="L971" s="1"/>
      <c r="M971" s="1"/>
      <c r="N971" s="1"/>
      <c r="O971" s="1"/>
      <c r="P971" s="1"/>
      <c r="Q971" s="1"/>
      <c r="R971" s="1"/>
      <c r="S971" s="1"/>
      <c r="T971" s="1"/>
      <c r="U971" s="1"/>
      <c r="V971" s="1"/>
      <c r="W971" s="1"/>
      <c r="X971" s="1"/>
    </row>
    <row r="972" spans="1:24" ht="15.75" customHeight="1" x14ac:dyDescent="0.3">
      <c r="A972" s="1"/>
      <c r="B972" s="1"/>
      <c r="C972" s="2"/>
      <c r="D972" s="1"/>
      <c r="E972" s="1"/>
      <c r="F972" s="3"/>
      <c r="G972" s="1"/>
      <c r="H972" s="1"/>
      <c r="I972" s="1"/>
      <c r="J972" s="1"/>
      <c r="K972" s="1"/>
      <c r="L972" s="1"/>
      <c r="M972" s="1"/>
      <c r="N972" s="1"/>
      <c r="O972" s="1"/>
      <c r="P972" s="1"/>
      <c r="Q972" s="1"/>
      <c r="R972" s="1"/>
      <c r="S972" s="1"/>
      <c r="T972" s="1"/>
      <c r="U972" s="1"/>
      <c r="V972" s="1"/>
      <c r="W972" s="1"/>
      <c r="X972" s="1"/>
    </row>
    <row r="973" spans="1:24" ht="15.75" customHeight="1" x14ac:dyDescent="0.3">
      <c r="A973" s="1"/>
      <c r="B973" s="1"/>
      <c r="C973" s="2"/>
      <c r="D973" s="1"/>
      <c r="E973" s="1"/>
      <c r="F973" s="3"/>
      <c r="G973" s="1"/>
      <c r="H973" s="1"/>
      <c r="I973" s="1"/>
      <c r="J973" s="1"/>
      <c r="K973" s="1"/>
      <c r="L973" s="1"/>
      <c r="M973" s="1"/>
      <c r="N973" s="1"/>
      <c r="O973" s="1"/>
      <c r="P973" s="1"/>
      <c r="Q973" s="1"/>
      <c r="R973" s="1"/>
      <c r="S973" s="1"/>
      <c r="T973" s="1"/>
      <c r="U973" s="1"/>
      <c r="V973" s="1"/>
      <c r="W973" s="1"/>
      <c r="X973" s="1"/>
    </row>
    <row r="974" spans="1:24" ht="15.75" customHeight="1" x14ac:dyDescent="0.3">
      <c r="A974" s="1"/>
      <c r="B974" s="1"/>
      <c r="C974" s="2"/>
      <c r="D974" s="1"/>
      <c r="E974" s="1"/>
      <c r="F974" s="3"/>
      <c r="G974" s="1"/>
      <c r="H974" s="1"/>
      <c r="I974" s="1"/>
      <c r="J974" s="1"/>
      <c r="K974" s="1"/>
      <c r="L974" s="1"/>
      <c r="M974" s="1"/>
      <c r="N974" s="1"/>
      <c r="O974" s="1"/>
      <c r="P974" s="1"/>
      <c r="Q974" s="1"/>
      <c r="R974" s="1"/>
      <c r="S974" s="1"/>
      <c r="T974" s="1"/>
      <c r="U974" s="1"/>
      <c r="V974" s="1"/>
      <c r="W974" s="1"/>
      <c r="X974" s="1"/>
    </row>
    <row r="975" spans="1:24" ht="15.75" customHeight="1" x14ac:dyDescent="0.3">
      <c r="A975" s="1"/>
      <c r="B975" s="1"/>
      <c r="C975" s="2"/>
      <c r="D975" s="1"/>
      <c r="E975" s="1"/>
      <c r="F975" s="3"/>
      <c r="G975" s="1"/>
      <c r="H975" s="1"/>
      <c r="I975" s="1"/>
      <c r="J975" s="1"/>
      <c r="K975" s="1"/>
      <c r="L975" s="1"/>
      <c r="M975" s="1"/>
      <c r="N975" s="1"/>
      <c r="O975" s="1"/>
      <c r="P975" s="1"/>
      <c r="Q975" s="1"/>
      <c r="R975" s="1"/>
      <c r="S975" s="1"/>
      <c r="T975" s="1"/>
      <c r="U975" s="1"/>
      <c r="V975" s="1"/>
      <c r="W975" s="1"/>
      <c r="X975" s="1"/>
    </row>
    <row r="976" spans="1:24" ht="15.75" customHeight="1" x14ac:dyDescent="0.3">
      <c r="A976" s="1"/>
      <c r="B976" s="1"/>
      <c r="C976" s="2"/>
      <c r="D976" s="1"/>
      <c r="E976" s="1"/>
      <c r="F976" s="3"/>
      <c r="G976" s="1"/>
      <c r="H976" s="1"/>
      <c r="I976" s="1"/>
      <c r="J976" s="1"/>
      <c r="K976" s="1"/>
      <c r="L976" s="1"/>
      <c r="M976" s="1"/>
      <c r="N976" s="1"/>
      <c r="O976" s="1"/>
      <c r="P976" s="1"/>
      <c r="Q976" s="1"/>
      <c r="R976" s="1"/>
      <c r="S976" s="1"/>
      <c r="T976" s="1"/>
      <c r="U976" s="1"/>
      <c r="V976" s="1"/>
      <c r="W976" s="1"/>
      <c r="X976" s="1"/>
    </row>
    <row r="977" spans="1:24" ht="15.75" customHeight="1" x14ac:dyDescent="0.3">
      <c r="A977" s="1"/>
      <c r="B977" s="1"/>
      <c r="C977" s="2"/>
      <c r="D977" s="1"/>
      <c r="E977" s="1"/>
      <c r="F977" s="3"/>
      <c r="G977" s="1"/>
      <c r="H977" s="1"/>
      <c r="I977" s="1"/>
      <c r="J977" s="1"/>
      <c r="K977" s="1"/>
      <c r="L977" s="1"/>
      <c r="M977" s="1"/>
      <c r="N977" s="1"/>
      <c r="O977" s="1"/>
      <c r="P977" s="1"/>
      <c r="Q977" s="1"/>
      <c r="R977" s="1"/>
      <c r="S977" s="1"/>
      <c r="T977" s="1"/>
      <c r="U977" s="1"/>
      <c r="V977" s="1"/>
      <c r="W977" s="1"/>
      <c r="X977" s="1"/>
    </row>
    <row r="978" spans="1:24" ht="15.75" customHeight="1" x14ac:dyDescent="0.3">
      <c r="A978" s="1"/>
      <c r="B978" s="1"/>
      <c r="C978" s="2"/>
      <c r="D978" s="1"/>
      <c r="E978" s="1"/>
      <c r="F978" s="3"/>
      <c r="G978" s="1"/>
      <c r="H978" s="1"/>
      <c r="I978" s="1"/>
      <c r="J978" s="1"/>
      <c r="K978" s="1"/>
      <c r="L978" s="1"/>
      <c r="M978" s="1"/>
      <c r="N978" s="1"/>
      <c r="O978" s="1"/>
      <c r="P978" s="1"/>
      <c r="Q978" s="1"/>
      <c r="R978" s="1"/>
      <c r="S978" s="1"/>
      <c r="T978" s="1"/>
      <c r="U978" s="1"/>
      <c r="V978" s="1"/>
      <c r="W978" s="1"/>
      <c r="X978" s="1"/>
    </row>
    <row r="979" spans="1:24" ht="15.75" customHeight="1" x14ac:dyDescent="0.3">
      <c r="A979" s="1"/>
      <c r="B979" s="1"/>
      <c r="C979" s="2"/>
      <c r="D979" s="1"/>
      <c r="E979" s="1"/>
      <c r="F979" s="3"/>
      <c r="G979" s="1"/>
      <c r="H979" s="1"/>
      <c r="I979" s="1"/>
      <c r="J979" s="1"/>
      <c r="K979" s="1"/>
      <c r="L979" s="1"/>
      <c r="M979" s="1"/>
      <c r="N979" s="1"/>
      <c r="O979" s="1"/>
      <c r="P979" s="1"/>
      <c r="Q979" s="1"/>
      <c r="R979" s="1"/>
      <c r="S979" s="1"/>
      <c r="T979" s="1"/>
      <c r="U979" s="1"/>
      <c r="V979" s="1"/>
      <c r="W979" s="1"/>
      <c r="X979" s="1"/>
    </row>
    <row r="980" spans="1:24" ht="15.75" customHeight="1" x14ac:dyDescent="0.3">
      <c r="A980" s="1"/>
      <c r="B980" s="1"/>
      <c r="C980" s="2"/>
      <c r="D980" s="1"/>
      <c r="E980" s="1"/>
      <c r="F980" s="3"/>
      <c r="G980" s="1"/>
      <c r="H980" s="1"/>
      <c r="I980" s="1"/>
      <c r="J980" s="1"/>
      <c r="K980" s="1"/>
      <c r="L980" s="1"/>
      <c r="M980" s="1"/>
      <c r="N980" s="1"/>
      <c r="O980" s="1"/>
      <c r="P980" s="1"/>
      <c r="Q980" s="1"/>
      <c r="R980" s="1"/>
      <c r="S980" s="1"/>
      <c r="T980" s="1"/>
      <c r="U980" s="1"/>
      <c r="V980" s="1"/>
      <c r="W980" s="1"/>
      <c r="X980" s="1"/>
    </row>
    <row r="981" spans="1:24" ht="15.75" customHeight="1" x14ac:dyDescent="0.3">
      <c r="A981" s="1"/>
      <c r="B981" s="1"/>
      <c r="C981" s="2"/>
      <c r="D981" s="1"/>
      <c r="E981" s="1"/>
      <c r="F981" s="3"/>
      <c r="G981" s="1"/>
      <c r="H981" s="1"/>
      <c r="I981" s="1"/>
      <c r="J981" s="1"/>
      <c r="K981" s="1"/>
      <c r="L981" s="1"/>
      <c r="M981" s="1"/>
      <c r="N981" s="1"/>
      <c r="O981" s="1"/>
      <c r="P981" s="1"/>
      <c r="Q981" s="1"/>
      <c r="R981" s="1"/>
      <c r="S981" s="1"/>
      <c r="T981" s="1"/>
      <c r="U981" s="1"/>
      <c r="V981" s="1"/>
      <c r="W981" s="1"/>
      <c r="X981" s="1"/>
    </row>
    <row r="982" spans="1:24" ht="15.75" customHeight="1" x14ac:dyDescent="0.3">
      <c r="A982" s="1"/>
      <c r="B982" s="1"/>
      <c r="C982" s="2"/>
      <c r="D982" s="1"/>
      <c r="E982" s="1"/>
      <c r="F982" s="3"/>
      <c r="G982" s="1"/>
      <c r="H982" s="1"/>
      <c r="I982" s="1"/>
      <c r="J982" s="1"/>
      <c r="K982" s="1"/>
      <c r="L982" s="1"/>
      <c r="M982" s="1"/>
      <c r="N982" s="1"/>
      <c r="O982" s="1"/>
      <c r="P982" s="1"/>
      <c r="Q982" s="1"/>
      <c r="R982" s="1"/>
      <c r="S982" s="1"/>
      <c r="T982" s="1"/>
      <c r="U982" s="1"/>
      <c r="V982" s="1"/>
      <c r="W982" s="1"/>
      <c r="X982" s="1"/>
    </row>
    <row r="983" spans="1:24" ht="15.75" customHeight="1" x14ac:dyDescent="0.3">
      <c r="A983" s="1"/>
      <c r="B983" s="1"/>
      <c r="C983" s="2"/>
      <c r="D983" s="1"/>
      <c r="E983" s="1"/>
      <c r="F983" s="3"/>
      <c r="G983" s="1"/>
      <c r="H983" s="1"/>
      <c r="I983" s="1"/>
      <c r="J983" s="1"/>
      <c r="K983" s="1"/>
      <c r="L983" s="1"/>
      <c r="M983" s="1"/>
      <c r="N983" s="1"/>
      <c r="O983" s="1"/>
      <c r="P983" s="1"/>
      <c r="Q983" s="1"/>
      <c r="R983" s="1"/>
      <c r="S983" s="1"/>
      <c r="T983" s="1"/>
      <c r="U983" s="1"/>
      <c r="V983" s="1"/>
      <c r="W983" s="1"/>
      <c r="X983" s="1"/>
    </row>
    <row r="984" spans="1:24" ht="15.75" customHeight="1" x14ac:dyDescent="0.3">
      <c r="A984" s="1"/>
      <c r="B984" s="1"/>
      <c r="C984" s="2"/>
      <c r="D984" s="1"/>
      <c r="E984" s="1"/>
      <c r="F984" s="3"/>
      <c r="G984" s="1"/>
      <c r="H984" s="1"/>
      <c r="I984" s="1"/>
      <c r="J984" s="1"/>
      <c r="K984" s="1"/>
      <c r="L984" s="1"/>
      <c r="M984" s="1"/>
      <c r="N984" s="1"/>
      <c r="O984" s="1"/>
      <c r="P984" s="1"/>
      <c r="Q984" s="1"/>
      <c r="R984" s="1"/>
      <c r="S984" s="1"/>
      <c r="T984" s="1"/>
      <c r="U984" s="1"/>
      <c r="V984" s="1"/>
      <c r="W984" s="1"/>
      <c r="X984" s="1"/>
    </row>
    <row r="985" spans="1:24" ht="15.75" customHeight="1" x14ac:dyDescent="0.3">
      <c r="A985" s="1"/>
      <c r="B985" s="1"/>
      <c r="C985" s="2"/>
      <c r="D985" s="1"/>
      <c r="E985" s="1"/>
      <c r="F985" s="3"/>
      <c r="G985" s="1"/>
      <c r="H985" s="1"/>
      <c r="I985" s="1"/>
      <c r="J985" s="1"/>
      <c r="K985" s="1"/>
      <c r="L985" s="1"/>
      <c r="M985" s="1"/>
      <c r="N985" s="1"/>
      <c r="O985" s="1"/>
      <c r="P985" s="1"/>
      <c r="Q985" s="1"/>
      <c r="R985" s="1"/>
      <c r="S985" s="1"/>
      <c r="T985" s="1"/>
      <c r="U985" s="1"/>
      <c r="V985" s="1"/>
      <c r="W985" s="1"/>
      <c r="X985" s="1"/>
    </row>
    <row r="986" spans="1:24" ht="15.75" customHeight="1" x14ac:dyDescent="0.3">
      <c r="A986" s="1"/>
      <c r="B986" s="1"/>
      <c r="C986" s="2"/>
      <c r="D986" s="1"/>
      <c r="E986" s="1"/>
      <c r="F986" s="3"/>
      <c r="G986" s="1"/>
      <c r="H986" s="1"/>
      <c r="I986" s="1"/>
      <c r="J986" s="1"/>
      <c r="K986" s="1"/>
      <c r="L986" s="1"/>
      <c r="M986" s="1"/>
      <c r="N986" s="1"/>
      <c r="O986" s="1"/>
      <c r="P986" s="1"/>
      <c r="Q986" s="1"/>
      <c r="R986" s="1"/>
      <c r="S986" s="1"/>
      <c r="T986" s="1"/>
      <c r="U986" s="1"/>
      <c r="V986" s="1"/>
      <c r="W986" s="1"/>
      <c r="X986" s="1"/>
    </row>
    <row r="987" spans="1:24" ht="15.75" customHeight="1" x14ac:dyDescent="0.3">
      <c r="A987" s="1"/>
      <c r="B987" s="1"/>
      <c r="C987" s="2"/>
      <c r="D987" s="1"/>
      <c r="E987" s="1"/>
      <c r="F987" s="3"/>
      <c r="G987" s="1"/>
      <c r="H987" s="1"/>
      <c r="I987" s="1"/>
      <c r="J987" s="1"/>
      <c r="K987" s="1"/>
      <c r="L987" s="1"/>
      <c r="M987" s="1"/>
      <c r="N987" s="1"/>
      <c r="O987" s="1"/>
      <c r="P987" s="1"/>
      <c r="Q987" s="1"/>
      <c r="R987" s="1"/>
      <c r="S987" s="1"/>
      <c r="T987" s="1"/>
      <c r="U987" s="1"/>
      <c r="V987" s="1"/>
      <c r="W987" s="1"/>
      <c r="X987" s="1"/>
    </row>
    <row r="988" spans="1:24" ht="15.75" customHeight="1" x14ac:dyDescent="0.3">
      <c r="A988" s="1"/>
      <c r="B988" s="1"/>
      <c r="C988" s="2"/>
      <c r="D988" s="1"/>
      <c r="E988" s="1"/>
      <c r="F988" s="3"/>
      <c r="G988" s="1"/>
      <c r="H988" s="1"/>
      <c r="I988" s="1"/>
      <c r="J988" s="1"/>
      <c r="K988" s="1"/>
      <c r="L988" s="1"/>
      <c r="M988" s="1"/>
      <c r="N988" s="1"/>
      <c r="O988" s="1"/>
      <c r="P988" s="1"/>
      <c r="Q988" s="1"/>
      <c r="R988" s="1"/>
      <c r="S988" s="1"/>
      <c r="T988" s="1"/>
      <c r="U988" s="1"/>
      <c r="V988" s="1"/>
      <c r="W988" s="1"/>
      <c r="X988" s="1"/>
    </row>
    <row r="989" spans="1:24" ht="15.75" customHeight="1" x14ac:dyDescent="0.3">
      <c r="A989" s="1"/>
      <c r="B989" s="1"/>
      <c r="C989" s="2"/>
      <c r="D989" s="1"/>
      <c r="E989" s="1"/>
      <c r="F989" s="3"/>
      <c r="G989" s="1"/>
      <c r="H989" s="1"/>
      <c r="I989" s="1"/>
      <c r="J989" s="1"/>
      <c r="K989" s="1"/>
      <c r="L989" s="1"/>
      <c r="M989" s="1"/>
      <c r="N989" s="1"/>
      <c r="O989" s="1"/>
      <c r="P989" s="1"/>
      <c r="Q989" s="1"/>
      <c r="R989" s="1"/>
      <c r="S989" s="1"/>
      <c r="T989" s="1"/>
      <c r="U989" s="1"/>
      <c r="V989" s="1"/>
      <c r="W989" s="1"/>
      <c r="X989" s="1"/>
    </row>
    <row r="990" spans="1:24" ht="15.75" customHeight="1" x14ac:dyDescent="0.3">
      <c r="A990" s="1"/>
      <c r="B990" s="1"/>
      <c r="C990" s="2"/>
      <c r="D990" s="1"/>
      <c r="E990" s="1"/>
      <c r="F990" s="3"/>
      <c r="G990" s="1"/>
      <c r="H990" s="1"/>
      <c r="I990" s="1"/>
      <c r="J990" s="1"/>
      <c r="K990" s="1"/>
      <c r="L990" s="1"/>
      <c r="M990" s="1"/>
      <c r="N990" s="1"/>
      <c r="O990" s="1"/>
      <c r="P990" s="1"/>
      <c r="Q990" s="1"/>
      <c r="R990" s="1"/>
      <c r="S990" s="1"/>
      <c r="T990" s="1"/>
      <c r="U990" s="1"/>
      <c r="V990" s="1"/>
      <c r="W990" s="1"/>
      <c r="X990" s="1"/>
    </row>
    <row r="991" spans="1:24" ht="15.75" customHeight="1" x14ac:dyDescent="0.3">
      <c r="A991" s="1"/>
      <c r="B991" s="1"/>
      <c r="C991" s="2"/>
      <c r="D991" s="1"/>
      <c r="E991" s="1"/>
      <c r="F991" s="3"/>
      <c r="G991" s="1"/>
      <c r="H991" s="1"/>
      <c r="I991" s="1"/>
      <c r="J991" s="1"/>
      <c r="K991" s="1"/>
      <c r="L991" s="1"/>
      <c r="M991" s="1"/>
      <c r="N991" s="1"/>
      <c r="O991" s="1"/>
      <c r="P991" s="1"/>
      <c r="Q991" s="1"/>
      <c r="R991" s="1"/>
      <c r="S991" s="1"/>
      <c r="T991" s="1"/>
      <c r="U991" s="1"/>
      <c r="V991" s="1"/>
      <c r="W991" s="1"/>
      <c r="X991" s="1"/>
    </row>
    <row r="992" spans="1:24" ht="15.75" customHeight="1" x14ac:dyDescent="0.3">
      <c r="A992" s="1"/>
      <c r="B992" s="1"/>
      <c r="C992" s="2"/>
      <c r="D992" s="1"/>
      <c r="E992" s="1"/>
      <c r="F992" s="3"/>
      <c r="G992" s="1"/>
      <c r="H992" s="1"/>
      <c r="I992" s="1"/>
      <c r="J992" s="1"/>
      <c r="K992" s="1"/>
      <c r="L992" s="1"/>
      <c r="M992" s="1"/>
      <c r="N992" s="1"/>
      <c r="O992" s="1"/>
      <c r="P992" s="1"/>
      <c r="Q992" s="1"/>
      <c r="R992" s="1"/>
      <c r="S992" s="1"/>
      <c r="T992" s="1"/>
      <c r="U992" s="1"/>
      <c r="V992" s="1"/>
      <c r="W992" s="1"/>
      <c r="X992" s="1"/>
    </row>
    <row r="993" spans="1:24" ht="15.75" customHeight="1" x14ac:dyDescent="0.3">
      <c r="A993" s="1"/>
      <c r="B993" s="1"/>
      <c r="C993" s="2"/>
      <c r="D993" s="1"/>
      <c r="E993" s="1"/>
      <c r="F993" s="3"/>
      <c r="G993" s="1"/>
      <c r="H993" s="1"/>
      <c r="I993" s="1"/>
      <c r="J993" s="1"/>
      <c r="K993" s="1"/>
      <c r="L993" s="1"/>
      <c r="M993" s="1"/>
      <c r="N993" s="1"/>
      <c r="O993" s="1"/>
      <c r="P993" s="1"/>
      <c r="Q993" s="1"/>
      <c r="R993" s="1"/>
      <c r="S993" s="1"/>
      <c r="T993" s="1"/>
      <c r="U993" s="1"/>
      <c r="V993" s="1"/>
      <c r="W993" s="1"/>
      <c r="X993" s="1"/>
    </row>
    <row r="994" spans="1:24" ht="15.75" customHeight="1" x14ac:dyDescent="0.3">
      <c r="A994" s="1"/>
      <c r="B994" s="1"/>
      <c r="C994" s="2"/>
      <c r="D994" s="1"/>
      <c r="E994" s="1"/>
      <c r="F994" s="3"/>
      <c r="G994" s="1"/>
      <c r="H994" s="1"/>
      <c r="I994" s="1"/>
      <c r="J994" s="1"/>
      <c r="K994" s="1"/>
      <c r="L994" s="1"/>
      <c r="M994" s="1"/>
      <c r="N994" s="1"/>
      <c r="O994" s="1"/>
      <c r="P994" s="1"/>
      <c r="Q994" s="1"/>
      <c r="R994" s="1"/>
      <c r="S994" s="1"/>
      <c r="T994" s="1"/>
      <c r="U994" s="1"/>
      <c r="V994" s="1"/>
      <c r="W994" s="1"/>
      <c r="X994" s="1"/>
    </row>
    <row r="995" spans="1:24" ht="15.75" customHeight="1" x14ac:dyDescent="0.3">
      <c r="A995" s="1"/>
      <c r="B995" s="1"/>
      <c r="C995" s="2"/>
      <c r="D995" s="1"/>
      <c r="E995" s="1"/>
      <c r="F995" s="3"/>
      <c r="G995" s="1"/>
      <c r="H995" s="1"/>
      <c r="I995" s="1"/>
      <c r="J995" s="1"/>
      <c r="K995" s="1"/>
      <c r="L995" s="1"/>
      <c r="M995" s="1"/>
      <c r="N995" s="1"/>
      <c r="O995" s="1"/>
      <c r="P995" s="1"/>
      <c r="Q995" s="1"/>
      <c r="R995" s="1"/>
      <c r="S995" s="1"/>
      <c r="T995" s="1"/>
      <c r="U995" s="1"/>
      <c r="V995" s="1"/>
      <c r="W995" s="1"/>
      <c r="X995" s="1"/>
    </row>
    <row r="996" spans="1:24" ht="15.75" customHeight="1" x14ac:dyDescent="0.3">
      <c r="A996" s="1"/>
      <c r="B996" s="1"/>
      <c r="C996" s="2"/>
      <c r="D996" s="1"/>
      <c r="E996" s="1"/>
      <c r="F996" s="3"/>
      <c r="G996" s="1"/>
      <c r="H996" s="1"/>
      <c r="I996" s="1"/>
      <c r="J996" s="1"/>
      <c r="K996" s="1"/>
      <c r="L996" s="1"/>
      <c r="M996" s="1"/>
      <c r="N996" s="1"/>
      <c r="O996" s="1"/>
      <c r="P996" s="1"/>
      <c r="Q996" s="1"/>
      <c r="R996" s="1"/>
      <c r="S996" s="1"/>
      <c r="T996" s="1"/>
      <c r="U996" s="1"/>
      <c r="V996" s="1"/>
      <c r="W996" s="1"/>
      <c r="X996" s="1"/>
    </row>
    <row r="997" spans="1:24" ht="15.75" customHeight="1" x14ac:dyDescent="0.3">
      <c r="A997" s="1"/>
      <c r="B997" s="1"/>
      <c r="C997" s="2"/>
      <c r="D997" s="1"/>
      <c r="E997" s="1"/>
      <c r="F997" s="3"/>
      <c r="G997" s="1"/>
      <c r="H997" s="1"/>
      <c r="I997" s="1"/>
      <c r="J997" s="1"/>
      <c r="K997" s="1"/>
      <c r="L997" s="1"/>
      <c r="M997" s="1"/>
      <c r="N997" s="1"/>
      <c r="O997" s="1"/>
      <c r="P997" s="1"/>
      <c r="Q997" s="1"/>
      <c r="R997" s="1"/>
      <c r="S997" s="1"/>
      <c r="T997" s="1"/>
      <c r="U997" s="1"/>
      <c r="V997" s="1"/>
      <c r="W997" s="1"/>
      <c r="X997" s="1"/>
    </row>
    <row r="998" spans="1:24" ht="15.75" customHeight="1" x14ac:dyDescent="0.3">
      <c r="A998" s="1"/>
      <c r="B998" s="1"/>
      <c r="C998" s="2"/>
      <c r="D998" s="1"/>
      <c r="E998" s="1"/>
      <c r="F998" s="3"/>
      <c r="G998" s="1"/>
      <c r="H998" s="1"/>
      <c r="I998" s="1"/>
      <c r="J998" s="1"/>
      <c r="K998" s="1"/>
      <c r="L998" s="1"/>
      <c r="M998" s="1"/>
      <c r="N998" s="1"/>
      <c r="O998" s="1"/>
      <c r="P998" s="1"/>
      <c r="Q998" s="1"/>
      <c r="R998" s="1"/>
      <c r="S998" s="1"/>
      <c r="T998" s="1"/>
      <c r="U998" s="1"/>
      <c r="V998" s="1"/>
      <c r="W998" s="1"/>
      <c r="X998" s="1"/>
    </row>
    <row r="999" spans="1:24" ht="15.75" customHeight="1" x14ac:dyDescent="0.3">
      <c r="A999" s="1"/>
      <c r="B999" s="1"/>
      <c r="C999" s="2"/>
      <c r="D999" s="1"/>
      <c r="E999" s="1"/>
      <c r="F999" s="3"/>
      <c r="G999" s="1"/>
      <c r="H999" s="1"/>
      <c r="I999" s="1"/>
      <c r="J999" s="1"/>
      <c r="K999" s="1"/>
      <c r="L999" s="1"/>
      <c r="M999" s="1"/>
      <c r="N999" s="1"/>
      <c r="O999" s="1"/>
      <c r="P999" s="1"/>
      <c r="Q999" s="1"/>
      <c r="R999" s="1"/>
      <c r="S999" s="1"/>
      <c r="T999" s="1"/>
      <c r="U999" s="1"/>
      <c r="V999" s="1"/>
      <c r="W999" s="1"/>
      <c r="X999" s="1"/>
    </row>
    <row r="1000" spans="1:24" ht="15.75" customHeight="1" x14ac:dyDescent="0.3">
      <c r="A1000" s="1"/>
      <c r="B1000" s="1"/>
      <c r="C1000" s="2"/>
      <c r="D1000" s="1"/>
      <c r="E1000" s="1"/>
      <c r="F1000" s="3"/>
      <c r="G1000" s="1"/>
      <c r="H1000" s="1"/>
      <c r="I1000" s="1"/>
      <c r="J1000" s="1"/>
      <c r="K1000" s="1"/>
      <c r="L1000" s="1"/>
      <c r="M1000" s="1"/>
      <c r="N1000" s="1"/>
      <c r="O1000" s="1"/>
      <c r="P1000" s="1"/>
      <c r="Q1000" s="1"/>
      <c r="R1000" s="1"/>
      <c r="S1000" s="1"/>
      <c r="T1000" s="1"/>
      <c r="U1000" s="1"/>
      <c r="V1000" s="1"/>
      <c r="W1000" s="1"/>
      <c r="X1000" s="1"/>
    </row>
  </sheetData>
  <mergeCells count="21">
    <mergeCell ref="B99:D99"/>
    <mergeCell ref="B100:D100"/>
    <mergeCell ref="B106:F106"/>
    <mergeCell ref="B7:G7"/>
    <mergeCell ref="B8:G8"/>
    <mergeCell ref="B9:G9"/>
    <mergeCell ref="B10:G10"/>
    <mergeCell ref="B31:D31"/>
    <mergeCell ref="B46:D46"/>
    <mergeCell ref="B58:D58"/>
    <mergeCell ref="B71:D71"/>
    <mergeCell ref="B84:D84"/>
    <mergeCell ref="B88:D88"/>
    <mergeCell ref="B91:D91"/>
    <mergeCell ref="B94:D94"/>
    <mergeCell ref="B117:G117"/>
    <mergeCell ref="B114:C114"/>
    <mergeCell ref="E114:G114"/>
    <mergeCell ref="B115:C115"/>
    <mergeCell ref="E115:G115"/>
    <mergeCell ref="C116:D116"/>
  </mergeCells>
  <conditionalFormatting sqref="B13:B30 B37:B45 B60:B70 B73:B83">
    <cfRule type="cellIs" dxfId="5" priority="1" operator="equal">
      <formula>"ESCRIBA AQUÍ EL NOMBRE DEL CAPITULO"</formula>
    </cfRule>
  </conditionalFormatting>
  <conditionalFormatting sqref="B48:B57">
    <cfRule type="cellIs" dxfId="4" priority="2" operator="equal">
      <formula>"ESCRIBA AQUÍ EL NOMBRE DEL CAPITULO"</formula>
    </cfRule>
  </conditionalFormatting>
  <conditionalFormatting sqref="B86:B87">
    <cfRule type="cellIs" dxfId="3" priority="3" operator="equal">
      <formula>"ESCRIBA AQUÍ EL NOMBRE DEL CAPITULO"</formula>
    </cfRule>
  </conditionalFormatting>
  <conditionalFormatting sqref="B90 B93">
    <cfRule type="cellIs" dxfId="2" priority="4" operator="equal">
      <formula>"ESCRIBA AQUÍ EL NOMBRE DEL CAPITULO"</formula>
    </cfRule>
  </conditionalFormatting>
  <conditionalFormatting sqref="D28">
    <cfRule type="cellIs" dxfId="1" priority="5" operator="equal">
      <formula>"ESCRIBA AQUÍ EL NOMBRE DEL CAPITULO"</formula>
    </cfRule>
  </conditionalFormatting>
  <conditionalFormatting sqref="D93">
    <cfRule type="cellIs" dxfId="0" priority="6" operator="equal">
      <formula>"ESCRIBA AQUÍ EL NOMBRE DEL CAPITULO"</formula>
    </cfRule>
  </conditionalFormatting>
  <pageMargins left="0.7" right="0.7" top="0.75" bottom="0.75" header="0" footer="0"/>
  <pageSetup scale="2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861F5-EF79-483F-9FF2-1514D7906788}">
  <sheetPr>
    <pageSetUpPr fitToPage="1"/>
  </sheetPr>
  <dimension ref="A1:L58"/>
  <sheetViews>
    <sheetView workbookViewId="0">
      <selection activeCell="B58" sqref="B2:I58"/>
    </sheetView>
  </sheetViews>
  <sheetFormatPr baseColWidth="10" defaultRowHeight="14.4" x14ac:dyDescent="0.3"/>
  <cols>
    <col min="2" max="2" width="49" customWidth="1"/>
    <col min="4" max="4" width="16.44140625" customWidth="1"/>
    <col min="6" max="6" width="15.44140625" customWidth="1"/>
    <col min="9" max="9" width="17" customWidth="1"/>
  </cols>
  <sheetData>
    <row r="1" spans="1:9" x14ac:dyDescent="0.3">
      <c r="A1" s="195"/>
      <c r="B1" s="195"/>
      <c r="C1" s="196"/>
      <c r="D1" s="197"/>
      <c r="E1" s="197"/>
      <c r="F1" s="197"/>
      <c r="G1" s="197"/>
      <c r="H1" s="197"/>
      <c r="I1" s="197"/>
    </row>
    <row r="2" spans="1:9" x14ac:dyDescent="0.3">
      <c r="A2" s="195"/>
      <c r="B2" s="300" t="s">
        <v>211</v>
      </c>
      <c r="C2" s="301"/>
      <c r="D2" s="301"/>
      <c r="E2" s="301"/>
      <c r="F2" s="301"/>
      <c r="G2" s="301"/>
      <c r="H2" s="301"/>
      <c r="I2" s="301"/>
    </row>
    <row r="3" spans="1:9" x14ac:dyDescent="0.3">
      <c r="A3" s="195"/>
      <c r="B3" s="301"/>
      <c r="C3" s="301"/>
      <c r="D3" s="301"/>
      <c r="E3" s="301"/>
      <c r="F3" s="301"/>
      <c r="G3" s="301"/>
      <c r="H3" s="301"/>
      <c r="I3" s="301"/>
    </row>
    <row r="4" spans="1:9" x14ac:dyDescent="0.3">
      <c r="A4" s="195"/>
      <c r="B4" s="300" t="s">
        <v>255</v>
      </c>
      <c r="C4" s="301"/>
      <c r="D4" s="301"/>
      <c r="E4" s="301"/>
      <c r="F4" s="301"/>
      <c r="G4" s="301"/>
      <c r="H4" s="301"/>
      <c r="I4" s="301"/>
    </row>
    <row r="5" spans="1:9" x14ac:dyDescent="0.3">
      <c r="A5" s="195"/>
      <c r="B5" s="301"/>
      <c r="C5" s="301"/>
      <c r="D5" s="301"/>
      <c r="E5" s="301"/>
      <c r="F5" s="301"/>
      <c r="G5" s="301"/>
      <c r="H5" s="301"/>
      <c r="I5" s="301"/>
    </row>
    <row r="6" spans="1:9" x14ac:dyDescent="0.3">
      <c r="A6" s="195"/>
      <c r="B6" s="198" t="s">
        <v>212</v>
      </c>
      <c r="C6" s="302"/>
      <c r="D6" s="303"/>
      <c r="E6" s="303"/>
      <c r="F6" s="303"/>
      <c r="G6" s="303"/>
      <c r="H6" s="304"/>
      <c r="I6" s="282">
        <f>'FORMATO 13'!G31</f>
        <v>240601815</v>
      </c>
    </row>
    <row r="7" spans="1:9" x14ac:dyDescent="0.3">
      <c r="A7" s="195"/>
      <c r="B7" s="198" t="s">
        <v>213</v>
      </c>
      <c r="C7" s="305"/>
      <c r="D7" s="301"/>
      <c r="E7" s="301"/>
      <c r="F7" s="301"/>
      <c r="G7" s="301"/>
      <c r="H7" s="297"/>
      <c r="I7" s="282">
        <f>'FORMATO 13'!G35</f>
        <v>326015460</v>
      </c>
    </row>
    <row r="8" spans="1:9" x14ac:dyDescent="0.3">
      <c r="A8" s="195"/>
      <c r="B8" s="198" t="s">
        <v>214</v>
      </c>
      <c r="C8" s="306"/>
      <c r="D8" s="307"/>
      <c r="E8" s="307"/>
      <c r="F8" s="307"/>
      <c r="G8" s="307"/>
      <c r="H8" s="308"/>
      <c r="I8" s="200">
        <v>6</v>
      </c>
    </row>
    <row r="9" spans="1:9" x14ac:dyDescent="0.3">
      <c r="A9" s="195"/>
      <c r="B9" s="201"/>
      <c r="C9" s="202"/>
      <c r="D9" s="196"/>
      <c r="E9" s="203"/>
      <c r="F9" s="204"/>
      <c r="G9" s="205"/>
      <c r="H9" s="206"/>
      <c r="I9" s="207"/>
    </row>
    <row r="10" spans="1:9" ht="27.6" x14ac:dyDescent="0.3">
      <c r="A10" s="195"/>
      <c r="B10" s="208" t="s">
        <v>215</v>
      </c>
      <c r="C10" s="208" t="s">
        <v>216</v>
      </c>
      <c r="D10" s="209" t="s">
        <v>217</v>
      </c>
      <c r="E10" s="209" t="s">
        <v>218</v>
      </c>
      <c r="F10" s="209" t="s">
        <v>219</v>
      </c>
      <c r="G10" s="210" t="s">
        <v>220</v>
      </c>
      <c r="H10" s="211" t="s">
        <v>221</v>
      </c>
      <c r="I10" s="209" t="s">
        <v>222</v>
      </c>
    </row>
    <row r="11" spans="1:9" x14ac:dyDescent="0.3">
      <c r="A11" s="195"/>
      <c r="B11" s="212" t="s">
        <v>223</v>
      </c>
      <c r="C11" s="208"/>
      <c r="D11" s="213"/>
      <c r="E11" s="213"/>
      <c r="F11" s="213"/>
      <c r="G11" s="214"/>
      <c r="H11" s="215"/>
      <c r="I11" s="275">
        <f>SUM(I12:I13)</f>
        <v>4763700</v>
      </c>
    </row>
    <row r="12" spans="1:9" x14ac:dyDescent="0.3">
      <c r="A12" s="195"/>
      <c r="B12" s="216" t="s">
        <v>224</v>
      </c>
      <c r="C12" s="217">
        <v>1</v>
      </c>
      <c r="D12" s="281">
        <v>4500000</v>
      </c>
      <c r="E12" s="219">
        <v>0.57999999999999996</v>
      </c>
      <c r="F12" s="276">
        <f>(D12*E12)+D12</f>
        <v>7110000</v>
      </c>
      <c r="G12" s="219">
        <v>0.05</v>
      </c>
      <c r="H12" s="221">
        <f>I8</f>
        <v>6</v>
      </c>
      <c r="I12" s="276">
        <f>F12*H12*G12</f>
        <v>2133000</v>
      </c>
    </row>
    <row r="13" spans="1:9" x14ac:dyDescent="0.3">
      <c r="A13" s="195"/>
      <c r="B13" s="216" t="s">
        <v>225</v>
      </c>
      <c r="C13" s="217">
        <v>1</v>
      </c>
      <c r="D13" s="281">
        <v>1850000</v>
      </c>
      <c r="E13" s="219">
        <v>0.57999999999999996</v>
      </c>
      <c r="F13" s="276">
        <f>(D13*E13)+D13</f>
        <v>2923000</v>
      </c>
      <c r="G13" s="219">
        <v>0.15</v>
      </c>
      <c r="H13" s="221">
        <f>I8</f>
        <v>6</v>
      </c>
      <c r="I13" s="276">
        <f>F13*H13*G13</f>
        <v>2630700</v>
      </c>
    </row>
    <row r="14" spans="1:9" x14ac:dyDescent="0.3">
      <c r="A14" s="195"/>
      <c r="B14" s="212" t="s">
        <v>226</v>
      </c>
      <c r="C14" s="208"/>
      <c r="D14" s="277"/>
      <c r="E14" s="213"/>
      <c r="F14" s="277"/>
      <c r="G14" s="214"/>
      <c r="H14" s="215"/>
      <c r="I14" s="275">
        <f>I15</f>
        <v>2133000</v>
      </c>
    </row>
    <row r="15" spans="1:9" x14ac:dyDescent="0.3">
      <c r="A15" s="195"/>
      <c r="B15" s="216" t="s">
        <v>227</v>
      </c>
      <c r="C15" s="217">
        <v>2</v>
      </c>
      <c r="D15" s="281">
        <v>1500000</v>
      </c>
      <c r="E15" s="219">
        <v>0.57999999999999996</v>
      </c>
      <c r="F15" s="276">
        <f>(D15*E15)+D15</f>
        <v>2370000</v>
      </c>
      <c r="G15" s="219">
        <v>0.15</v>
      </c>
      <c r="H15" s="221">
        <f>I8</f>
        <v>6</v>
      </c>
      <c r="I15" s="276">
        <f>F15*H15*G15</f>
        <v>2133000</v>
      </c>
    </row>
    <row r="16" spans="1:9" x14ac:dyDescent="0.3">
      <c r="A16" s="195"/>
      <c r="B16" s="222"/>
      <c r="C16" s="223"/>
      <c r="D16" s="214"/>
      <c r="E16" s="224"/>
      <c r="F16" s="275"/>
      <c r="G16" s="224"/>
      <c r="H16" s="225"/>
      <c r="I16" s="277">
        <f>I11+I14</f>
        <v>6896700</v>
      </c>
    </row>
    <row r="17" spans="1:9" x14ac:dyDescent="0.3">
      <c r="A17" s="195"/>
      <c r="B17" s="212" t="s">
        <v>228</v>
      </c>
      <c r="C17" s="223"/>
      <c r="D17" s="213"/>
      <c r="E17" s="213"/>
      <c r="F17" s="277"/>
      <c r="G17" s="214"/>
      <c r="H17" s="226"/>
      <c r="I17" s="275">
        <f>SUM(I18:I19)</f>
        <v>550000</v>
      </c>
    </row>
    <row r="18" spans="1:9" ht="27.6" x14ac:dyDescent="0.3">
      <c r="A18" s="195"/>
      <c r="B18" s="227" t="s">
        <v>229</v>
      </c>
      <c r="C18" s="217">
        <v>1</v>
      </c>
      <c r="D18" s="218"/>
      <c r="E18" s="228" t="s">
        <v>29</v>
      </c>
      <c r="F18" s="276">
        <v>250000</v>
      </c>
      <c r="G18" s="219"/>
      <c r="H18" s="221">
        <v>1</v>
      </c>
      <c r="I18" s="276">
        <f>H18*F18*C18</f>
        <v>250000</v>
      </c>
    </row>
    <row r="19" spans="1:9" x14ac:dyDescent="0.3">
      <c r="A19" s="195"/>
      <c r="B19" s="198" t="s">
        <v>230</v>
      </c>
      <c r="C19" s="217">
        <v>1</v>
      </c>
      <c r="D19" s="218"/>
      <c r="E19" s="228" t="s">
        <v>16</v>
      </c>
      <c r="F19" s="276">
        <v>50000</v>
      </c>
      <c r="G19" s="219">
        <v>1</v>
      </c>
      <c r="H19" s="221">
        <f>I8</f>
        <v>6</v>
      </c>
      <c r="I19" s="276">
        <f>F19*H19*G19</f>
        <v>300000</v>
      </c>
    </row>
    <row r="20" spans="1:9" x14ac:dyDescent="0.3">
      <c r="A20" s="195"/>
      <c r="B20" s="212"/>
      <c r="C20" s="223"/>
      <c r="D20" s="213"/>
      <c r="E20" s="213"/>
      <c r="F20" s="213"/>
      <c r="G20" s="214"/>
      <c r="H20" s="226"/>
      <c r="I20" s="277">
        <f>I17</f>
        <v>550000</v>
      </c>
    </row>
    <row r="21" spans="1:9" ht="27.6" x14ac:dyDescent="0.3">
      <c r="A21" s="195"/>
      <c r="B21" s="229" t="s">
        <v>231</v>
      </c>
      <c r="C21" s="208"/>
      <c r="D21" s="210" t="s">
        <v>232</v>
      </c>
      <c r="E21" s="230" t="s">
        <v>233</v>
      </c>
      <c r="F21" s="209" t="s">
        <v>234</v>
      </c>
      <c r="G21" s="209" t="s">
        <v>220</v>
      </c>
      <c r="H21" s="231" t="s">
        <v>221</v>
      </c>
      <c r="I21" s="278" t="s">
        <v>222</v>
      </c>
    </row>
    <row r="22" spans="1:9" x14ac:dyDescent="0.3">
      <c r="A22" s="195"/>
      <c r="B22" s="198" t="s">
        <v>235</v>
      </c>
      <c r="C22" s="232"/>
      <c r="D22" s="233">
        <v>0.2</v>
      </c>
      <c r="E22" s="217">
        <v>6</v>
      </c>
      <c r="F22" s="234">
        <v>1E-3</v>
      </c>
      <c r="G22" s="218"/>
      <c r="H22" s="235"/>
      <c r="I22" s="276">
        <f>ROUND($I$7*F22,0)</f>
        <v>326015</v>
      </c>
    </row>
    <row r="23" spans="1:9" x14ac:dyDescent="0.3">
      <c r="A23" s="195"/>
      <c r="B23" s="236" t="s">
        <v>236</v>
      </c>
      <c r="C23" s="232"/>
      <c r="D23" s="237">
        <v>200</v>
      </c>
      <c r="E23" s="217">
        <v>6</v>
      </c>
      <c r="F23" s="234">
        <v>1E-3</v>
      </c>
      <c r="G23" s="218"/>
      <c r="H23" s="235"/>
      <c r="I23" s="276">
        <f t="shared" ref="I23:I25" si="0">ROUND($I$7*F23,0)</f>
        <v>326015</v>
      </c>
    </row>
    <row r="24" spans="1:9" x14ac:dyDescent="0.3">
      <c r="A24" s="195"/>
      <c r="B24" s="236" t="s">
        <v>237</v>
      </c>
      <c r="C24" s="232"/>
      <c r="D24" s="233">
        <v>0.2</v>
      </c>
      <c r="E24" s="217">
        <v>6</v>
      </c>
      <c r="F24" s="234">
        <v>4.0000000000000001E-3</v>
      </c>
      <c r="G24" s="218"/>
      <c r="H24" s="235"/>
      <c r="I24" s="276">
        <f t="shared" si="0"/>
        <v>1304062</v>
      </c>
    </row>
    <row r="25" spans="1:9" x14ac:dyDescent="0.3">
      <c r="A25" s="195"/>
      <c r="B25" s="236" t="s">
        <v>238</v>
      </c>
      <c r="C25" s="232"/>
      <c r="D25" s="233">
        <v>0.1</v>
      </c>
      <c r="E25" s="217">
        <v>36</v>
      </c>
      <c r="F25" s="234">
        <v>1E-3</v>
      </c>
      <c r="G25" s="218"/>
      <c r="H25" s="235"/>
      <c r="I25" s="276">
        <f t="shared" si="0"/>
        <v>326015</v>
      </c>
    </row>
    <row r="26" spans="1:9" x14ac:dyDescent="0.3">
      <c r="A26" s="195"/>
      <c r="B26" s="229" t="s">
        <v>239</v>
      </c>
      <c r="C26" s="208"/>
      <c r="D26" s="209"/>
      <c r="E26" s="238"/>
      <c r="F26" s="238"/>
      <c r="G26" s="239"/>
      <c r="H26" s="240"/>
      <c r="I26" s="277">
        <f>SUM(I22:I25)</f>
        <v>2282107</v>
      </c>
    </row>
    <row r="27" spans="1:9" ht="27.6" x14ac:dyDescent="0.3">
      <c r="A27" s="195"/>
      <c r="B27" s="241" t="s">
        <v>240</v>
      </c>
      <c r="C27" s="242"/>
      <c r="D27" s="243"/>
      <c r="E27" s="244">
        <v>0.05</v>
      </c>
      <c r="F27" s="245"/>
      <c r="G27" s="245"/>
      <c r="H27" s="245"/>
      <c r="I27" s="279">
        <f>ROUND($I$7*E27,0)</f>
        <v>16300773</v>
      </c>
    </row>
    <row r="28" spans="1:9" ht="27.6" x14ac:dyDescent="0.3">
      <c r="A28" s="195"/>
      <c r="B28" s="241" t="s">
        <v>241</v>
      </c>
      <c r="C28" s="242"/>
      <c r="D28" s="243"/>
      <c r="E28" s="244">
        <v>0.01</v>
      </c>
      <c r="F28" s="245"/>
      <c r="G28" s="245"/>
      <c r="H28" s="245"/>
      <c r="I28" s="279">
        <f t="shared" ref="I28:I36" si="1">ROUND($I$7*E28,0)</f>
        <v>3260155</v>
      </c>
    </row>
    <row r="29" spans="1:9" ht="27.6" x14ac:dyDescent="0.3">
      <c r="A29" s="195"/>
      <c r="B29" s="246" t="s">
        <v>242</v>
      </c>
      <c r="C29" s="242"/>
      <c r="D29" s="243"/>
      <c r="E29" s="244">
        <v>3.5000000000000003E-2</v>
      </c>
      <c r="F29" s="245"/>
      <c r="G29" s="245"/>
      <c r="H29" s="245"/>
      <c r="I29" s="279">
        <f t="shared" si="1"/>
        <v>11410541</v>
      </c>
    </row>
    <row r="30" spans="1:9" x14ac:dyDescent="0.3">
      <c r="A30" s="195"/>
      <c r="B30" s="241" t="s">
        <v>243</v>
      </c>
      <c r="C30" s="242"/>
      <c r="D30" s="243"/>
      <c r="E30" s="244">
        <v>0.02</v>
      </c>
      <c r="F30" s="245"/>
      <c r="G30" s="245"/>
      <c r="H30" s="245"/>
      <c r="I30" s="279">
        <f t="shared" si="1"/>
        <v>6520309</v>
      </c>
    </row>
    <row r="31" spans="1:9" x14ac:dyDescent="0.3">
      <c r="A31" s="195"/>
      <c r="B31" s="241" t="s">
        <v>244</v>
      </c>
      <c r="C31" s="242"/>
      <c r="D31" s="243"/>
      <c r="E31" s="244">
        <v>0.01</v>
      </c>
      <c r="F31" s="245"/>
      <c r="G31" s="245"/>
      <c r="H31" s="245"/>
      <c r="I31" s="279">
        <f t="shared" si="1"/>
        <v>3260155</v>
      </c>
    </row>
    <row r="32" spans="1:9" x14ac:dyDescent="0.3">
      <c r="A32" s="195"/>
      <c r="B32" s="241" t="s">
        <v>245</v>
      </c>
      <c r="C32" s="242"/>
      <c r="D32" s="243"/>
      <c r="E32" s="244">
        <v>5.0000000000000001E-3</v>
      </c>
      <c r="F32" s="245"/>
      <c r="G32" s="245"/>
      <c r="H32" s="245"/>
      <c r="I32" s="279">
        <f t="shared" si="1"/>
        <v>1630077</v>
      </c>
    </row>
    <row r="33" spans="1:12" x14ac:dyDescent="0.3">
      <c r="A33" s="195"/>
      <c r="B33" s="246" t="s">
        <v>246</v>
      </c>
      <c r="C33" s="242"/>
      <c r="D33" s="243"/>
      <c r="E33" s="244">
        <v>0.02</v>
      </c>
      <c r="F33" s="245"/>
      <c r="G33" s="245"/>
      <c r="H33" s="245"/>
      <c r="I33" s="279">
        <f t="shared" si="1"/>
        <v>6520309</v>
      </c>
    </row>
    <row r="34" spans="1:12" x14ac:dyDescent="0.3">
      <c r="A34" s="195"/>
      <c r="B34" s="246" t="s">
        <v>247</v>
      </c>
      <c r="C34" s="242"/>
      <c r="D34" s="243"/>
      <c r="E34" s="244">
        <v>0.02</v>
      </c>
      <c r="F34" s="245"/>
      <c r="G34" s="245"/>
      <c r="H34" s="245"/>
      <c r="I34" s="279">
        <f t="shared" si="1"/>
        <v>6520309</v>
      </c>
    </row>
    <row r="35" spans="1:12" x14ac:dyDescent="0.3">
      <c r="A35" s="195"/>
      <c r="B35" s="246" t="s">
        <v>248</v>
      </c>
      <c r="C35" s="242"/>
      <c r="D35" s="243"/>
      <c r="E35" s="244">
        <v>0.02</v>
      </c>
      <c r="F35" s="245"/>
      <c r="G35" s="245"/>
      <c r="H35" s="245"/>
      <c r="I35" s="279">
        <f t="shared" si="1"/>
        <v>6520309</v>
      </c>
    </row>
    <row r="36" spans="1:12" ht="27.6" x14ac:dyDescent="0.3">
      <c r="A36" s="195"/>
      <c r="B36" s="247" t="s">
        <v>249</v>
      </c>
      <c r="C36" s="242"/>
      <c r="D36" s="243"/>
      <c r="E36" s="244">
        <v>5.0000000000000001E-3</v>
      </c>
      <c r="F36" s="245"/>
      <c r="G36" s="245"/>
      <c r="H36" s="245"/>
      <c r="I36" s="279">
        <f t="shared" si="1"/>
        <v>1630077</v>
      </c>
    </row>
    <row r="37" spans="1:12" x14ac:dyDescent="0.3">
      <c r="A37" s="195"/>
      <c r="B37" s="248"/>
      <c r="C37" s="249"/>
      <c r="D37" s="250"/>
      <c r="E37" s="251"/>
      <c r="F37" s="252"/>
      <c r="G37" s="252"/>
      <c r="H37" s="252"/>
      <c r="I37" s="280">
        <f>SUM(I27:I36)</f>
        <v>63573014</v>
      </c>
    </row>
    <row r="38" spans="1:12" x14ac:dyDescent="0.3">
      <c r="A38" s="195"/>
      <c r="B38" s="253" t="s">
        <v>250</v>
      </c>
      <c r="C38" s="254"/>
      <c r="D38" s="255"/>
      <c r="E38" s="255"/>
      <c r="F38" s="255"/>
      <c r="G38" s="255"/>
      <c r="H38" s="256"/>
      <c r="I38" s="280">
        <f>I16+I20+I26+I37</f>
        <v>73301821</v>
      </c>
    </row>
    <row r="39" spans="1:12" x14ac:dyDescent="0.3">
      <c r="A39" s="195"/>
      <c r="B39" s="257"/>
      <c r="C39" s="258"/>
      <c r="D39" s="259"/>
      <c r="E39" s="259"/>
      <c r="F39" s="259"/>
      <c r="G39" s="259"/>
      <c r="H39" s="260"/>
      <c r="I39" s="261"/>
    </row>
    <row r="40" spans="1:12" x14ac:dyDescent="0.3">
      <c r="A40" s="195"/>
      <c r="B40" s="262" t="s">
        <v>251</v>
      </c>
      <c r="C40" s="263"/>
      <c r="D40" s="255"/>
      <c r="E40" s="255"/>
      <c r="F40" s="255"/>
      <c r="G40" s="255"/>
      <c r="H40" s="264"/>
      <c r="I40" s="265">
        <f>ROUND(I38/I6,3)</f>
        <v>0.30499999999999999</v>
      </c>
      <c r="K40" s="284"/>
      <c r="L40" s="284"/>
    </row>
    <row r="41" spans="1:12" x14ac:dyDescent="0.3">
      <c r="A41" s="195"/>
      <c r="B41" s="266"/>
      <c r="C41" s="196"/>
      <c r="D41" s="197"/>
      <c r="E41" s="197"/>
      <c r="F41" s="197"/>
      <c r="G41" s="197"/>
      <c r="H41" s="197"/>
      <c r="I41" s="267"/>
      <c r="K41" s="284"/>
      <c r="L41" s="284"/>
    </row>
    <row r="42" spans="1:12" x14ac:dyDescent="0.3">
      <c r="A42" s="195"/>
      <c r="B42" s="268" t="s">
        <v>252</v>
      </c>
      <c r="C42" s="269"/>
      <c r="D42" s="270"/>
      <c r="E42" s="270"/>
      <c r="F42" s="270"/>
      <c r="G42" s="270"/>
      <c r="H42" s="271"/>
      <c r="I42" s="272">
        <v>0.05</v>
      </c>
      <c r="K42" s="284"/>
      <c r="L42" s="284"/>
    </row>
    <row r="43" spans="1:12" x14ac:dyDescent="0.3">
      <c r="A43" s="195"/>
      <c r="B43" s="266"/>
      <c r="C43" s="196"/>
      <c r="D43" s="197"/>
      <c r="E43" s="197"/>
      <c r="F43" s="197"/>
      <c r="G43" s="197"/>
      <c r="H43" s="197"/>
      <c r="I43" s="267"/>
      <c r="K43" s="284"/>
      <c r="L43" s="284"/>
    </row>
    <row r="44" spans="1:12" x14ac:dyDescent="0.3">
      <c r="A44" s="195"/>
      <c r="B44" s="253" t="s">
        <v>253</v>
      </c>
      <c r="C44" s="254"/>
      <c r="D44" s="255"/>
      <c r="E44" s="255"/>
      <c r="F44" s="255"/>
      <c r="G44" s="255"/>
      <c r="H44" s="256"/>
      <c r="I44" s="273">
        <f>I40+I42</f>
        <v>0.35499999999999998</v>
      </c>
      <c r="K44" s="284"/>
      <c r="L44" s="284"/>
    </row>
    <row r="45" spans="1:12" x14ac:dyDescent="0.3">
      <c r="A45" s="195"/>
      <c r="B45" s="195"/>
      <c r="C45" s="196"/>
      <c r="D45" s="197"/>
      <c r="E45" s="197"/>
      <c r="F45" s="197"/>
      <c r="G45" s="197"/>
      <c r="H45" s="197"/>
      <c r="I45" s="197"/>
    </row>
    <row r="46" spans="1:12" x14ac:dyDescent="0.3">
      <c r="A46" s="195"/>
      <c r="B46" s="1"/>
      <c r="C46" s="2"/>
      <c r="D46" s="1"/>
      <c r="E46" s="1"/>
      <c r="F46" s="3"/>
      <c r="G46" s="1"/>
      <c r="H46" s="197"/>
      <c r="I46" s="197"/>
    </row>
    <row r="47" spans="1:12" x14ac:dyDescent="0.3">
      <c r="A47" s="195"/>
      <c r="B47" s="62"/>
      <c r="C47" s="62"/>
      <c r="D47" s="62"/>
      <c r="E47" s="62"/>
      <c r="F47" s="98"/>
      <c r="G47" s="98"/>
      <c r="H47" s="197"/>
      <c r="I47" s="197"/>
    </row>
    <row r="48" spans="1:12" x14ac:dyDescent="0.3">
      <c r="A48" s="195"/>
      <c r="B48" s="62"/>
      <c r="C48" s="62"/>
      <c r="D48" s="62"/>
      <c r="E48" s="62"/>
      <c r="F48" s="98"/>
      <c r="G48" s="98"/>
      <c r="H48" s="197"/>
      <c r="I48" s="197"/>
    </row>
    <row r="49" spans="1:9" x14ac:dyDescent="0.3">
      <c r="A49" s="195"/>
      <c r="B49" s="62"/>
      <c r="C49" s="62"/>
      <c r="D49" s="62"/>
      <c r="E49" s="62"/>
      <c r="F49" s="98"/>
      <c r="G49" s="98"/>
      <c r="H49" s="197"/>
      <c r="I49" s="197"/>
    </row>
    <row r="50" spans="1:9" x14ac:dyDescent="0.3">
      <c r="A50" s="195"/>
      <c r="B50" s="99"/>
      <c r="C50" s="99"/>
      <c r="D50" s="99"/>
      <c r="E50" s="62"/>
      <c r="F50" s="98"/>
      <c r="G50" s="98"/>
      <c r="H50" s="197"/>
      <c r="I50" s="197"/>
    </row>
    <row r="51" spans="1:9" x14ac:dyDescent="0.3">
      <c r="A51" s="195"/>
      <c r="B51" s="62"/>
      <c r="C51" s="62"/>
      <c r="D51" s="62"/>
      <c r="E51" s="62"/>
      <c r="F51" s="98"/>
      <c r="G51" s="98"/>
      <c r="H51" s="197"/>
      <c r="I51" s="197"/>
    </row>
    <row r="52" spans="1:9" x14ac:dyDescent="0.3">
      <c r="A52" s="195"/>
      <c r="B52" s="99"/>
      <c r="C52" s="99"/>
      <c r="D52" s="99"/>
      <c r="E52" s="62"/>
      <c r="F52" s="98"/>
      <c r="G52" s="98"/>
      <c r="H52" s="197"/>
      <c r="I52" s="197"/>
    </row>
    <row r="53" spans="1:9" x14ac:dyDescent="0.3">
      <c r="A53" s="195"/>
      <c r="B53" s="99"/>
      <c r="C53" s="100"/>
      <c r="D53" s="101"/>
      <c r="E53" s="62"/>
      <c r="F53" s="98"/>
      <c r="G53" s="98"/>
      <c r="H53" s="197"/>
      <c r="I53" s="197"/>
    </row>
    <row r="54" spans="1:9" x14ac:dyDescent="0.3">
      <c r="A54" s="195"/>
      <c r="B54" s="102"/>
      <c r="C54" s="103"/>
      <c r="D54" s="101"/>
      <c r="E54" s="104"/>
      <c r="F54" s="105"/>
      <c r="G54" s="105"/>
      <c r="H54" s="274"/>
      <c r="I54" s="197"/>
    </row>
    <row r="55" spans="1:9" ht="15.6" x14ac:dyDescent="0.3">
      <c r="A55" s="195"/>
      <c r="B55" s="286" t="s">
        <v>135</v>
      </c>
      <c r="C55" s="286"/>
      <c r="D55" s="106"/>
      <c r="E55" s="309" t="s">
        <v>136</v>
      </c>
      <c r="F55" s="309"/>
      <c r="G55" s="309"/>
      <c r="H55" s="309"/>
      <c r="I55" s="197"/>
    </row>
    <row r="56" spans="1:9" ht="15.6" x14ac:dyDescent="0.3">
      <c r="A56" s="195"/>
      <c r="B56" s="310" t="s">
        <v>137</v>
      </c>
      <c r="C56" s="310"/>
      <c r="D56" s="107"/>
      <c r="E56" s="311" t="s">
        <v>207</v>
      </c>
      <c r="F56" s="311"/>
      <c r="G56" s="311"/>
      <c r="H56" s="311"/>
      <c r="I56" s="197"/>
    </row>
    <row r="57" spans="1:9" ht="15.6" x14ac:dyDescent="0.3">
      <c r="A57" s="195"/>
      <c r="B57" s="99"/>
      <c r="C57" s="290"/>
      <c r="D57" s="290"/>
      <c r="E57" s="62"/>
      <c r="F57" s="98"/>
      <c r="G57" s="98"/>
      <c r="H57" s="197"/>
      <c r="I57" s="197"/>
    </row>
    <row r="58" spans="1:9" ht="52.2" customHeight="1" x14ac:dyDescent="0.3">
      <c r="A58" s="195"/>
      <c r="B58" s="285" t="s">
        <v>208</v>
      </c>
      <c r="C58" s="285"/>
      <c r="D58" s="285"/>
      <c r="E58" s="285"/>
      <c r="F58" s="285"/>
      <c r="G58" s="285"/>
      <c r="H58" s="285"/>
      <c r="I58" s="285"/>
    </row>
  </sheetData>
  <mergeCells count="9">
    <mergeCell ref="C57:D57"/>
    <mergeCell ref="B58:I58"/>
    <mergeCell ref="B2:I3"/>
    <mergeCell ref="C6:H8"/>
    <mergeCell ref="B55:C55"/>
    <mergeCell ref="E55:H55"/>
    <mergeCell ref="B56:C56"/>
    <mergeCell ref="E56:H56"/>
    <mergeCell ref="B4:I5"/>
  </mergeCells>
  <pageMargins left="0.7" right="0.7" top="0.75" bottom="0.75" header="0.3" footer="0.3"/>
  <pageSetup scale="5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F6F5B-C12D-4979-9EB5-51F890E05A7C}">
  <sheetPr>
    <pageSetUpPr fitToPage="1"/>
  </sheetPr>
  <dimension ref="A1:L58"/>
  <sheetViews>
    <sheetView topLeftCell="A42" workbookViewId="0">
      <selection activeCell="B58" sqref="B2:I58"/>
    </sheetView>
  </sheetViews>
  <sheetFormatPr baseColWidth="10" defaultRowHeight="14.4" x14ac:dyDescent="0.3"/>
  <cols>
    <col min="2" max="2" width="48.44140625" customWidth="1"/>
    <col min="4" max="4" width="15.33203125" customWidth="1"/>
    <col min="6" max="6" width="15" customWidth="1"/>
    <col min="9" max="9" width="17.77734375" customWidth="1"/>
  </cols>
  <sheetData>
    <row r="1" spans="1:9" x14ac:dyDescent="0.3">
      <c r="A1" s="195"/>
      <c r="B1" s="195"/>
      <c r="C1" s="196"/>
      <c r="D1" s="197"/>
      <c r="E1" s="197"/>
      <c r="F1" s="197"/>
      <c r="G1" s="197"/>
      <c r="H1" s="197"/>
      <c r="I1" s="197"/>
    </row>
    <row r="2" spans="1:9" x14ac:dyDescent="0.3">
      <c r="A2" s="195"/>
      <c r="B2" s="300" t="s">
        <v>211</v>
      </c>
      <c r="C2" s="301"/>
      <c r="D2" s="301"/>
      <c r="E2" s="301"/>
      <c r="F2" s="301"/>
      <c r="G2" s="301"/>
      <c r="H2" s="301"/>
      <c r="I2" s="301"/>
    </row>
    <row r="3" spans="1:9" x14ac:dyDescent="0.3">
      <c r="A3" s="195"/>
      <c r="B3" s="301"/>
      <c r="C3" s="301"/>
      <c r="D3" s="301"/>
      <c r="E3" s="301"/>
      <c r="F3" s="301"/>
      <c r="G3" s="301"/>
      <c r="H3" s="301"/>
      <c r="I3" s="301"/>
    </row>
    <row r="4" spans="1:9" x14ac:dyDescent="0.3">
      <c r="A4" s="195"/>
      <c r="B4" s="300" t="s">
        <v>254</v>
      </c>
      <c r="C4" s="301"/>
      <c r="D4" s="301"/>
      <c r="E4" s="301"/>
      <c r="F4" s="301"/>
      <c r="G4" s="301"/>
      <c r="H4" s="301"/>
      <c r="I4" s="301"/>
    </row>
    <row r="5" spans="1:9" x14ac:dyDescent="0.3">
      <c r="A5" s="195"/>
      <c r="B5" s="301"/>
      <c r="C5" s="301"/>
      <c r="D5" s="301"/>
      <c r="E5" s="301"/>
      <c r="F5" s="301"/>
      <c r="G5" s="301"/>
      <c r="H5" s="301"/>
      <c r="I5" s="301"/>
    </row>
    <row r="6" spans="1:9" x14ac:dyDescent="0.3">
      <c r="A6" s="195"/>
      <c r="B6" s="198" t="s">
        <v>212</v>
      </c>
      <c r="C6" s="302"/>
      <c r="D6" s="303"/>
      <c r="E6" s="303"/>
      <c r="F6" s="303"/>
      <c r="G6" s="303"/>
      <c r="H6" s="304"/>
      <c r="I6" s="199">
        <f>'FORMATO 13'!G100</f>
        <v>279796417</v>
      </c>
    </row>
    <row r="7" spans="1:9" x14ac:dyDescent="0.3">
      <c r="A7" s="195"/>
      <c r="B7" s="198" t="s">
        <v>213</v>
      </c>
      <c r="C7" s="305"/>
      <c r="D7" s="301"/>
      <c r="E7" s="301"/>
      <c r="F7" s="301"/>
      <c r="G7" s="301"/>
      <c r="H7" s="297"/>
      <c r="I7" s="199">
        <f>'FORMATO 13'!G104</f>
        <v>398709894</v>
      </c>
    </row>
    <row r="8" spans="1:9" x14ac:dyDescent="0.3">
      <c r="A8" s="195"/>
      <c r="B8" s="198" t="s">
        <v>214</v>
      </c>
      <c r="C8" s="306"/>
      <c r="D8" s="307"/>
      <c r="E8" s="307"/>
      <c r="F8" s="307"/>
      <c r="G8" s="307"/>
      <c r="H8" s="308"/>
      <c r="I8" s="200">
        <v>6</v>
      </c>
    </row>
    <row r="9" spans="1:9" x14ac:dyDescent="0.3">
      <c r="A9" s="195"/>
      <c r="B9" s="201"/>
      <c r="C9" s="202"/>
      <c r="D9" s="196"/>
      <c r="E9" s="203"/>
      <c r="F9" s="204"/>
      <c r="G9" s="205"/>
      <c r="H9" s="206"/>
      <c r="I9" s="207"/>
    </row>
    <row r="10" spans="1:9" ht="27.6" x14ac:dyDescent="0.3">
      <c r="A10" s="195"/>
      <c r="B10" s="208" t="s">
        <v>215</v>
      </c>
      <c r="C10" s="208" t="s">
        <v>216</v>
      </c>
      <c r="D10" s="209" t="s">
        <v>217</v>
      </c>
      <c r="E10" s="209" t="s">
        <v>218</v>
      </c>
      <c r="F10" s="209" t="s">
        <v>219</v>
      </c>
      <c r="G10" s="210" t="s">
        <v>220</v>
      </c>
      <c r="H10" s="211" t="s">
        <v>221</v>
      </c>
      <c r="I10" s="209" t="s">
        <v>222</v>
      </c>
    </row>
    <row r="11" spans="1:9" x14ac:dyDescent="0.3">
      <c r="A11" s="195"/>
      <c r="B11" s="212" t="s">
        <v>223</v>
      </c>
      <c r="C11" s="208"/>
      <c r="D11" s="213"/>
      <c r="E11" s="213"/>
      <c r="F11" s="213"/>
      <c r="G11" s="214"/>
      <c r="H11" s="215"/>
      <c r="I11" s="275">
        <f>SUM(I12:I13)</f>
        <v>14291100</v>
      </c>
    </row>
    <row r="12" spans="1:9" x14ac:dyDescent="0.3">
      <c r="A12" s="195"/>
      <c r="B12" s="216" t="s">
        <v>224</v>
      </c>
      <c r="C12" s="217">
        <v>1</v>
      </c>
      <c r="D12" s="281">
        <v>4500000</v>
      </c>
      <c r="E12" s="219">
        <v>0.57999999999999996</v>
      </c>
      <c r="F12" s="276">
        <f>(D12*E12)+D12</f>
        <v>7110000</v>
      </c>
      <c r="G12" s="219">
        <v>0.15</v>
      </c>
      <c r="H12" s="221">
        <f>I8</f>
        <v>6</v>
      </c>
      <c r="I12" s="276">
        <f>F12*H12*G12</f>
        <v>6399000</v>
      </c>
    </row>
    <row r="13" spans="1:9" x14ac:dyDescent="0.3">
      <c r="A13" s="195"/>
      <c r="B13" s="216" t="s">
        <v>225</v>
      </c>
      <c r="C13" s="217">
        <v>1</v>
      </c>
      <c r="D13" s="281">
        <v>1850000</v>
      </c>
      <c r="E13" s="219">
        <v>0.57999999999999996</v>
      </c>
      <c r="F13" s="276">
        <f>(D13*E13)+D13</f>
        <v>2923000</v>
      </c>
      <c r="G13" s="219">
        <v>0.45</v>
      </c>
      <c r="H13" s="221">
        <f>I8</f>
        <v>6</v>
      </c>
      <c r="I13" s="276">
        <f>F13*H13*G13</f>
        <v>7892100</v>
      </c>
    </row>
    <row r="14" spans="1:9" x14ac:dyDescent="0.3">
      <c r="A14" s="195"/>
      <c r="B14" s="212" t="s">
        <v>226</v>
      </c>
      <c r="C14" s="208"/>
      <c r="D14" s="277"/>
      <c r="E14" s="213"/>
      <c r="F14" s="277"/>
      <c r="G14" s="214"/>
      <c r="H14" s="215"/>
      <c r="I14" s="275">
        <f>I15</f>
        <v>6399000</v>
      </c>
    </row>
    <row r="15" spans="1:9" x14ac:dyDescent="0.3">
      <c r="A15" s="195"/>
      <c r="B15" s="216" t="s">
        <v>227</v>
      </c>
      <c r="C15" s="217">
        <v>2</v>
      </c>
      <c r="D15" s="281">
        <v>1500000</v>
      </c>
      <c r="E15" s="219">
        <v>0.57999999999999996</v>
      </c>
      <c r="F15" s="276">
        <f>(D15*E15)+D15</f>
        <v>2370000</v>
      </c>
      <c r="G15" s="219">
        <v>0.45</v>
      </c>
      <c r="H15" s="221">
        <f>I8</f>
        <v>6</v>
      </c>
      <c r="I15" s="276">
        <f>F15*H15*G15</f>
        <v>6399000</v>
      </c>
    </row>
    <row r="16" spans="1:9" x14ac:dyDescent="0.3">
      <c r="A16" s="195"/>
      <c r="B16" s="222"/>
      <c r="C16" s="223"/>
      <c r="D16" s="214"/>
      <c r="E16" s="224"/>
      <c r="F16" s="214"/>
      <c r="G16" s="224"/>
      <c r="H16" s="225"/>
      <c r="I16" s="277">
        <f>I11+I14</f>
        <v>20690100</v>
      </c>
    </row>
    <row r="17" spans="1:9" x14ac:dyDescent="0.3">
      <c r="A17" s="195"/>
      <c r="B17" s="212" t="s">
        <v>228</v>
      </c>
      <c r="C17" s="223"/>
      <c r="D17" s="213"/>
      <c r="E17" s="213"/>
      <c r="F17" s="213"/>
      <c r="G17" s="214"/>
      <c r="H17" s="226"/>
      <c r="I17" s="275">
        <f>SUM(I18:I19)</f>
        <v>3800000</v>
      </c>
    </row>
    <row r="18" spans="1:9" ht="27.6" x14ac:dyDescent="0.3">
      <c r="A18" s="195"/>
      <c r="B18" s="227" t="s">
        <v>229</v>
      </c>
      <c r="C18" s="217">
        <f>4*3+2</f>
        <v>14</v>
      </c>
      <c r="D18" s="218"/>
      <c r="E18" s="228" t="s">
        <v>29</v>
      </c>
      <c r="F18" s="220">
        <v>250000</v>
      </c>
      <c r="G18" s="219"/>
      <c r="H18" s="221">
        <v>1</v>
      </c>
      <c r="I18" s="276">
        <f>H18*F18*C18</f>
        <v>3500000</v>
      </c>
    </row>
    <row r="19" spans="1:9" x14ac:dyDescent="0.3">
      <c r="A19" s="195"/>
      <c r="B19" s="198" t="s">
        <v>230</v>
      </c>
      <c r="C19" s="217">
        <v>1</v>
      </c>
      <c r="D19" s="218"/>
      <c r="E19" s="228" t="s">
        <v>16</v>
      </c>
      <c r="F19" s="220">
        <v>50000</v>
      </c>
      <c r="G19" s="219">
        <v>1</v>
      </c>
      <c r="H19" s="221">
        <f>I8</f>
        <v>6</v>
      </c>
      <c r="I19" s="276">
        <f>F19*H19*G19</f>
        <v>300000</v>
      </c>
    </row>
    <row r="20" spans="1:9" x14ac:dyDescent="0.3">
      <c r="A20" s="195"/>
      <c r="B20" s="212"/>
      <c r="C20" s="223"/>
      <c r="D20" s="213"/>
      <c r="E20" s="213"/>
      <c r="F20" s="213"/>
      <c r="G20" s="214"/>
      <c r="H20" s="226"/>
      <c r="I20" s="277">
        <f>I17</f>
        <v>3800000</v>
      </c>
    </row>
    <row r="21" spans="1:9" ht="27.6" x14ac:dyDescent="0.3">
      <c r="A21" s="195"/>
      <c r="B21" s="229" t="s">
        <v>231</v>
      </c>
      <c r="C21" s="208"/>
      <c r="D21" s="210" t="s">
        <v>232</v>
      </c>
      <c r="E21" s="230" t="s">
        <v>233</v>
      </c>
      <c r="F21" s="209" t="s">
        <v>234</v>
      </c>
      <c r="G21" s="209" t="s">
        <v>220</v>
      </c>
      <c r="H21" s="231" t="s">
        <v>221</v>
      </c>
      <c r="I21" s="278" t="s">
        <v>222</v>
      </c>
    </row>
    <row r="22" spans="1:9" x14ac:dyDescent="0.3">
      <c r="A22" s="195"/>
      <c r="B22" s="198" t="s">
        <v>235</v>
      </c>
      <c r="C22" s="232"/>
      <c r="D22" s="233">
        <v>0.2</v>
      </c>
      <c r="E22" s="217">
        <v>6</v>
      </c>
      <c r="F22" s="234">
        <v>1E-3</v>
      </c>
      <c r="G22" s="218"/>
      <c r="H22" s="235"/>
      <c r="I22" s="276">
        <f>ROUND($I$7*F22,0)</f>
        <v>398710</v>
      </c>
    </row>
    <row r="23" spans="1:9" x14ac:dyDescent="0.3">
      <c r="A23" s="195"/>
      <c r="B23" s="236" t="s">
        <v>236</v>
      </c>
      <c r="C23" s="232"/>
      <c r="D23" s="237">
        <v>200</v>
      </c>
      <c r="E23" s="217">
        <v>6</v>
      </c>
      <c r="F23" s="234">
        <v>1E-3</v>
      </c>
      <c r="G23" s="218"/>
      <c r="H23" s="235"/>
      <c r="I23" s="276">
        <f t="shared" ref="I23:I25" si="0">ROUND($I$7*F23,0)</f>
        <v>398710</v>
      </c>
    </row>
    <row r="24" spans="1:9" x14ac:dyDescent="0.3">
      <c r="A24" s="195"/>
      <c r="B24" s="236" t="s">
        <v>237</v>
      </c>
      <c r="C24" s="232"/>
      <c r="D24" s="233">
        <v>0.2</v>
      </c>
      <c r="E24" s="217">
        <v>6</v>
      </c>
      <c r="F24" s="234">
        <v>4.0000000000000001E-3</v>
      </c>
      <c r="G24" s="218"/>
      <c r="H24" s="235"/>
      <c r="I24" s="276">
        <f t="shared" si="0"/>
        <v>1594840</v>
      </c>
    </row>
    <row r="25" spans="1:9" x14ac:dyDescent="0.3">
      <c r="A25" s="195"/>
      <c r="B25" s="236" t="s">
        <v>238</v>
      </c>
      <c r="C25" s="232"/>
      <c r="D25" s="233">
        <v>0.1</v>
      </c>
      <c r="E25" s="217">
        <v>36</v>
      </c>
      <c r="F25" s="234">
        <v>1E-3</v>
      </c>
      <c r="G25" s="218"/>
      <c r="H25" s="235"/>
      <c r="I25" s="276">
        <f t="shared" si="0"/>
        <v>398710</v>
      </c>
    </row>
    <row r="26" spans="1:9" x14ac:dyDescent="0.3">
      <c r="A26" s="195"/>
      <c r="B26" s="229" t="s">
        <v>239</v>
      </c>
      <c r="C26" s="208"/>
      <c r="D26" s="209"/>
      <c r="E26" s="238"/>
      <c r="F26" s="238"/>
      <c r="G26" s="239"/>
      <c r="H26" s="240"/>
      <c r="I26" s="277">
        <f>SUM(I22:I25)</f>
        <v>2790970</v>
      </c>
    </row>
    <row r="27" spans="1:9" ht="27.6" x14ac:dyDescent="0.3">
      <c r="A27" s="195"/>
      <c r="B27" s="241" t="s">
        <v>240</v>
      </c>
      <c r="C27" s="242"/>
      <c r="D27" s="243"/>
      <c r="E27" s="244">
        <v>0.05</v>
      </c>
      <c r="F27" s="245"/>
      <c r="G27" s="245"/>
      <c r="H27" s="245"/>
      <c r="I27" s="279">
        <f>ROUND($I$7*E27,0)</f>
        <v>19935495</v>
      </c>
    </row>
    <row r="28" spans="1:9" ht="27.6" x14ac:dyDescent="0.3">
      <c r="A28" s="195"/>
      <c r="B28" s="241" t="s">
        <v>241</v>
      </c>
      <c r="C28" s="242"/>
      <c r="D28" s="243"/>
      <c r="E28" s="244">
        <v>0.01</v>
      </c>
      <c r="F28" s="245"/>
      <c r="G28" s="245"/>
      <c r="H28" s="245"/>
      <c r="I28" s="279">
        <f t="shared" ref="I28:I36" si="1">ROUND($I$7*E28,0)</f>
        <v>3987099</v>
      </c>
    </row>
    <row r="29" spans="1:9" ht="27.6" x14ac:dyDescent="0.3">
      <c r="A29" s="195"/>
      <c r="B29" s="246" t="s">
        <v>242</v>
      </c>
      <c r="C29" s="242"/>
      <c r="D29" s="243"/>
      <c r="E29" s="244">
        <v>3.5000000000000003E-2</v>
      </c>
      <c r="F29" s="245"/>
      <c r="G29" s="245"/>
      <c r="H29" s="245"/>
      <c r="I29" s="279">
        <f t="shared" si="1"/>
        <v>13954846</v>
      </c>
    </row>
    <row r="30" spans="1:9" x14ac:dyDescent="0.3">
      <c r="A30" s="195"/>
      <c r="B30" s="241" t="s">
        <v>243</v>
      </c>
      <c r="C30" s="242"/>
      <c r="D30" s="243"/>
      <c r="E30" s="244">
        <v>0.02</v>
      </c>
      <c r="F30" s="245"/>
      <c r="G30" s="245"/>
      <c r="H30" s="245"/>
      <c r="I30" s="279">
        <f t="shared" si="1"/>
        <v>7974198</v>
      </c>
    </row>
    <row r="31" spans="1:9" x14ac:dyDescent="0.3">
      <c r="A31" s="195"/>
      <c r="B31" s="241" t="s">
        <v>244</v>
      </c>
      <c r="C31" s="242"/>
      <c r="D31" s="243"/>
      <c r="E31" s="244">
        <v>0.01</v>
      </c>
      <c r="F31" s="245"/>
      <c r="G31" s="245"/>
      <c r="H31" s="245"/>
      <c r="I31" s="279">
        <f t="shared" si="1"/>
        <v>3987099</v>
      </c>
    </row>
    <row r="32" spans="1:9" x14ac:dyDescent="0.3">
      <c r="A32" s="195"/>
      <c r="B32" s="241" t="s">
        <v>245</v>
      </c>
      <c r="C32" s="242"/>
      <c r="D32" s="243"/>
      <c r="E32" s="244">
        <v>5.0000000000000001E-3</v>
      </c>
      <c r="F32" s="245"/>
      <c r="G32" s="245"/>
      <c r="H32" s="245"/>
      <c r="I32" s="279">
        <f t="shared" si="1"/>
        <v>1993549</v>
      </c>
    </row>
    <row r="33" spans="1:12" x14ac:dyDescent="0.3">
      <c r="A33" s="195"/>
      <c r="B33" s="246" t="s">
        <v>246</v>
      </c>
      <c r="C33" s="242"/>
      <c r="D33" s="243"/>
      <c r="E33" s="244">
        <v>0.02</v>
      </c>
      <c r="F33" s="245"/>
      <c r="G33" s="245"/>
      <c r="H33" s="245"/>
      <c r="I33" s="279">
        <f t="shared" si="1"/>
        <v>7974198</v>
      </c>
    </row>
    <row r="34" spans="1:12" x14ac:dyDescent="0.3">
      <c r="A34" s="195"/>
      <c r="B34" s="246" t="s">
        <v>247</v>
      </c>
      <c r="C34" s="242"/>
      <c r="D34" s="243"/>
      <c r="E34" s="244">
        <v>0.02</v>
      </c>
      <c r="F34" s="245"/>
      <c r="G34" s="245"/>
      <c r="H34" s="245"/>
      <c r="I34" s="279">
        <f t="shared" si="1"/>
        <v>7974198</v>
      </c>
    </row>
    <row r="35" spans="1:12" x14ac:dyDescent="0.3">
      <c r="A35" s="195"/>
      <c r="B35" s="246" t="s">
        <v>248</v>
      </c>
      <c r="C35" s="242"/>
      <c r="D35" s="243"/>
      <c r="E35" s="244">
        <v>0.02</v>
      </c>
      <c r="F35" s="245"/>
      <c r="G35" s="245"/>
      <c r="H35" s="245"/>
      <c r="I35" s="279">
        <f t="shared" si="1"/>
        <v>7974198</v>
      </c>
    </row>
    <row r="36" spans="1:12" ht="27.6" x14ac:dyDescent="0.3">
      <c r="A36" s="195"/>
      <c r="B36" s="247" t="s">
        <v>249</v>
      </c>
      <c r="C36" s="242"/>
      <c r="D36" s="243"/>
      <c r="E36" s="244">
        <v>5.0000000000000001E-3</v>
      </c>
      <c r="F36" s="245"/>
      <c r="G36" s="245"/>
      <c r="H36" s="245"/>
      <c r="I36" s="279">
        <f t="shared" si="1"/>
        <v>1993549</v>
      </c>
    </row>
    <row r="37" spans="1:12" x14ac:dyDescent="0.3">
      <c r="A37" s="195"/>
      <c r="B37" s="248"/>
      <c r="C37" s="249"/>
      <c r="D37" s="250"/>
      <c r="E37" s="251"/>
      <c r="F37" s="252"/>
      <c r="G37" s="252"/>
      <c r="H37" s="252"/>
      <c r="I37" s="280">
        <f>SUM(I27:I36)</f>
        <v>77748429</v>
      </c>
    </row>
    <row r="38" spans="1:12" x14ac:dyDescent="0.3">
      <c r="A38" s="195"/>
      <c r="B38" s="253" t="s">
        <v>250</v>
      </c>
      <c r="C38" s="254"/>
      <c r="D38" s="255"/>
      <c r="E38" s="255"/>
      <c r="F38" s="255"/>
      <c r="G38" s="255"/>
      <c r="H38" s="256"/>
      <c r="I38" s="280">
        <f>I16+I20+I26+I37</f>
        <v>105029499</v>
      </c>
    </row>
    <row r="39" spans="1:12" x14ac:dyDescent="0.3">
      <c r="A39" s="195"/>
      <c r="B39" s="257"/>
      <c r="C39" s="258"/>
      <c r="D39" s="259"/>
      <c r="E39" s="259"/>
      <c r="F39" s="259"/>
      <c r="G39" s="259"/>
      <c r="H39" s="260"/>
      <c r="I39" s="261"/>
    </row>
    <row r="40" spans="1:12" x14ac:dyDescent="0.3">
      <c r="A40" s="195"/>
      <c r="B40" s="262" t="s">
        <v>251</v>
      </c>
      <c r="C40" s="263"/>
      <c r="D40" s="255"/>
      <c r="E40" s="255"/>
      <c r="F40" s="255"/>
      <c r="G40" s="255"/>
      <c r="H40" s="264"/>
      <c r="I40" s="265">
        <f>ROUND(I38/I6,3)</f>
        <v>0.375</v>
      </c>
      <c r="K40" s="284"/>
      <c r="L40" s="283"/>
    </row>
    <row r="41" spans="1:12" x14ac:dyDescent="0.3">
      <c r="A41" s="195"/>
      <c r="B41" s="266"/>
      <c r="C41" s="196"/>
      <c r="D41" s="197"/>
      <c r="E41" s="197"/>
      <c r="F41" s="197"/>
      <c r="G41" s="197"/>
      <c r="H41" s="197"/>
      <c r="I41" s="267"/>
      <c r="K41" s="284"/>
    </row>
    <row r="42" spans="1:12" x14ac:dyDescent="0.3">
      <c r="A42" s="195"/>
      <c r="B42" s="268" t="s">
        <v>252</v>
      </c>
      <c r="C42" s="269"/>
      <c r="D42" s="270"/>
      <c r="E42" s="270"/>
      <c r="F42" s="270"/>
      <c r="G42" s="270"/>
      <c r="H42" s="271"/>
      <c r="I42" s="272">
        <v>0.05</v>
      </c>
      <c r="K42" s="284"/>
    </row>
    <row r="43" spans="1:12" x14ac:dyDescent="0.3">
      <c r="A43" s="195"/>
      <c r="B43" s="266"/>
      <c r="C43" s="196"/>
      <c r="D43" s="197"/>
      <c r="E43" s="197"/>
      <c r="F43" s="197"/>
      <c r="G43" s="197"/>
      <c r="H43" s="197"/>
      <c r="I43" s="267"/>
      <c r="K43" s="284"/>
    </row>
    <row r="44" spans="1:12" x14ac:dyDescent="0.3">
      <c r="A44" s="195"/>
      <c r="B44" s="253" t="s">
        <v>253</v>
      </c>
      <c r="C44" s="254"/>
      <c r="D44" s="255"/>
      <c r="E44" s="255"/>
      <c r="F44" s="255"/>
      <c r="G44" s="255"/>
      <c r="H44" s="256"/>
      <c r="I44" s="273">
        <f>I40+I42</f>
        <v>0.42499999999999999</v>
      </c>
      <c r="K44" s="284"/>
    </row>
    <row r="45" spans="1:12" x14ac:dyDescent="0.3">
      <c r="A45" s="195"/>
      <c r="B45" s="195"/>
      <c r="C45" s="196"/>
      <c r="D45" s="197"/>
      <c r="E45" s="197"/>
      <c r="F45" s="197"/>
      <c r="G45" s="197"/>
      <c r="H45" s="197"/>
      <c r="I45" s="197"/>
    </row>
    <row r="46" spans="1:12" x14ac:dyDescent="0.3">
      <c r="A46" s="195"/>
      <c r="B46" s="1"/>
      <c r="C46" s="2"/>
      <c r="D46" s="1"/>
      <c r="E46" s="1"/>
      <c r="F46" s="3"/>
      <c r="G46" s="1"/>
      <c r="H46" s="197"/>
      <c r="I46" s="197"/>
    </row>
    <row r="47" spans="1:12" x14ac:dyDescent="0.3">
      <c r="A47" s="195"/>
      <c r="B47" s="62"/>
      <c r="C47" s="62"/>
      <c r="D47" s="62"/>
      <c r="E47" s="62"/>
      <c r="F47" s="98"/>
      <c r="G47" s="98"/>
      <c r="H47" s="197"/>
      <c r="I47" s="197"/>
    </row>
    <row r="48" spans="1:12" x14ac:dyDescent="0.3">
      <c r="A48" s="195"/>
      <c r="B48" s="62"/>
      <c r="C48" s="62"/>
      <c r="D48" s="62"/>
      <c r="E48" s="62"/>
      <c r="F48" s="98"/>
      <c r="G48" s="98"/>
      <c r="H48" s="197"/>
      <c r="I48" s="197"/>
    </row>
    <row r="49" spans="1:9" x14ac:dyDescent="0.3">
      <c r="A49" s="195"/>
      <c r="B49" s="62"/>
      <c r="C49" s="62"/>
      <c r="D49" s="62"/>
      <c r="E49" s="62"/>
      <c r="F49" s="98"/>
      <c r="G49" s="98"/>
      <c r="H49" s="197"/>
      <c r="I49" s="197"/>
    </row>
    <row r="50" spans="1:9" x14ac:dyDescent="0.3">
      <c r="A50" s="195"/>
      <c r="B50" s="99"/>
      <c r="C50" s="99"/>
      <c r="D50" s="99"/>
      <c r="E50" s="62"/>
      <c r="F50" s="98"/>
      <c r="G50" s="98"/>
      <c r="H50" s="197"/>
      <c r="I50" s="197"/>
    </row>
    <row r="51" spans="1:9" x14ac:dyDescent="0.3">
      <c r="A51" s="195"/>
      <c r="B51" s="62"/>
      <c r="C51" s="62"/>
      <c r="D51" s="62"/>
      <c r="E51" s="62"/>
      <c r="F51" s="98"/>
      <c r="G51" s="98"/>
      <c r="H51" s="197"/>
      <c r="I51" s="197"/>
    </row>
    <row r="52" spans="1:9" x14ac:dyDescent="0.3">
      <c r="A52" s="195"/>
      <c r="B52" s="99"/>
      <c r="C52" s="99"/>
      <c r="D52" s="99"/>
      <c r="E52" s="62"/>
      <c r="F52" s="98"/>
      <c r="G52" s="98"/>
      <c r="H52" s="197"/>
      <c r="I52" s="197"/>
    </row>
    <row r="53" spans="1:9" x14ac:dyDescent="0.3">
      <c r="A53" s="195"/>
      <c r="B53" s="99"/>
      <c r="C53" s="100"/>
      <c r="D53" s="101"/>
      <c r="E53" s="62"/>
      <c r="F53" s="98"/>
      <c r="G53" s="98"/>
      <c r="H53" s="197"/>
      <c r="I53" s="197"/>
    </row>
    <row r="54" spans="1:9" x14ac:dyDescent="0.3">
      <c r="A54" s="195"/>
      <c r="B54" s="102"/>
      <c r="C54" s="103"/>
      <c r="D54" s="101"/>
      <c r="E54" s="104"/>
      <c r="F54" s="105"/>
      <c r="G54" s="105"/>
      <c r="H54" s="274"/>
      <c r="I54" s="197"/>
    </row>
    <row r="55" spans="1:9" ht="15.6" x14ac:dyDescent="0.3">
      <c r="A55" s="195"/>
      <c r="B55" s="286" t="s">
        <v>135</v>
      </c>
      <c r="C55" s="286"/>
      <c r="D55" s="106"/>
      <c r="E55" s="309" t="s">
        <v>136</v>
      </c>
      <c r="F55" s="309"/>
      <c r="G55" s="309"/>
      <c r="H55" s="309"/>
      <c r="I55" s="197"/>
    </row>
    <row r="56" spans="1:9" ht="15.6" x14ac:dyDescent="0.3">
      <c r="A56" s="195"/>
      <c r="B56" s="310" t="s">
        <v>137</v>
      </c>
      <c r="C56" s="310"/>
      <c r="D56" s="107"/>
      <c r="E56" s="311" t="s">
        <v>207</v>
      </c>
      <c r="F56" s="311"/>
      <c r="G56" s="311"/>
      <c r="H56" s="311"/>
      <c r="I56" s="197"/>
    </row>
    <row r="57" spans="1:9" ht="15.6" x14ac:dyDescent="0.3">
      <c r="A57" s="195"/>
      <c r="B57" s="99"/>
      <c r="C57" s="290"/>
      <c r="D57" s="290"/>
      <c r="E57" s="62"/>
      <c r="F57" s="98"/>
      <c r="G57" s="98"/>
      <c r="H57" s="197"/>
      <c r="I57" s="197"/>
    </row>
    <row r="58" spans="1:9" ht="49.2" customHeight="1" x14ac:dyDescent="0.3">
      <c r="A58" s="195"/>
      <c r="B58" s="285" t="s">
        <v>208</v>
      </c>
      <c r="C58" s="285"/>
      <c r="D58" s="285"/>
      <c r="E58" s="285"/>
      <c r="F58" s="285"/>
      <c r="G58" s="285"/>
      <c r="H58" s="285"/>
      <c r="I58" s="285"/>
    </row>
  </sheetData>
  <mergeCells count="9">
    <mergeCell ref="C57:D57"/>
    <mergeCell ref="B58:I58"/>
    <mergeCell ref="B2:I3"/>
    <mergeCell ref="C6:H8"/>
    <mergeCell ref="B55:C55"/>
    <mergeCell ref="E55:H55"/>
    <mergeCell ref="B56:C56"/>
    <mergeCell ref="E56:H56"/>
    <mergeCell ref="B4:I5"/>
  </mergeCells>
  <pageMargins left="0.7" right="0.7" top="0.75" bottom="0.75" header="0.3" footer="0.3"/>
  <pageSetup scale="5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9B88D-5AD5-4DC8-8D02-7D7429636910}">
  <sheetPr>
    <pageSetUpPr fitToPage="1"/>
  </sheetPr>
  <dimension ref="B1:I1699"/>
  <sheetViews>
    <sheetView view="pageBreakPreview" topLeftCell="A1662" zoomScale="60" zoomScaleNormal="70" workbookViewId="0">
      <selection activeCell="D1682" sqref="D1682"/>
    </sheetView>
  </sheetViews>
  <sheetFormatPr baseColWidth="10" defaultRowHeight="14.4" x14ac:dyDescent="0.3"/>
  <cols>
    <col min="2" max="2" width="60.77734375" customWidth="1"/>
    <col min="3" max="3" width="8.33203125" bestFit="1" customWidth="1"/>
    <col min="4" max="4" width="6.77734375" style="165" bestFit="1" customWidth="1"/>
    <col min="5" max="5" width="15" bestFit="1" customWidth="1"/>
    <col min="6" max="6" width="24.21875" bestFit="1" customWidth="1"/>
    <col min="7" max="7" width="16.88671875" customWidth="1"/>
    <col min="8" max="9" width="15.33203125" style="90" bestFit="1" customWidth="1"/>
  </cols>
  <sheetData>
    <row r="1" spans="2:7" ht="15" thickBot="1" x14ac:dyDescent="0.35"/>
    <row r="2" spans="2:7" ht="46.2" customHeight="1" thickBot="1" x14ac:dyDescent="0.35">
      <c r="B2" s="321" t="s">
        <v>88</v>
      </c>
      <c r="C2" s="322"/>
      <c r="D2" s="323" t="s">
        <v>89</v>
      </c>
      <c r="E2" s="324"/>
      <c r="F2" s="324"/>
      <c r="G2" s="325"/>
    </row>
    <row r="3" spans="2:7" ht="72.599999999999994" customHeight="1" thickBot="1" x14ac:dyDescent="0.35">
      <c r="B3" s="326" t="s">
        <v>149</v>
      </c>
      <c r="C3" s="327"/>
      <c r="D3" s="328" t="s">
        <v>139</v>
      </c>
      <c r="E3" s="329"/>
      <c r="F3" s="329"/>
      <c r="G3" s="330"/>
    </row>
    <row r="4" spans="2:7" ht="15" thickBot="1" x14ac:dyDescent="0.35">
      <c r="B4" s="331" t="s">
        <v>90</v>
      </c>
      <c r="C4" s="332"/>
      <c r="D4" s="332"/>
      <c r="E4" s="332"/>
      <c r="F4" s="332"/>
      <c r="G4" s="333"/>
    </row>
    <row r="5" spans="2:7" ht="15" thickBot="1" x14ac:dyDescent="0.35">
      <c r="B5" s="100"/>
      <c r="C5" s="106"/>
      <c r="D5" s="106"/>
      <c r="E5" s="100"/>
      <c r="F5" s="113"/>
      <c r="G5" s="113"/>
    </row>
    <row r="6" spans="2:7" ht="15" thickBot="1" x14ac:dyDescent="0.35">
      <c r="B6" s="114" t="str">
        <f>'[12]FORMATO 11 OFERTA ECONOM'!A9</f>
        <v>1.00</v>
      </c>
      <c r="C6" s="106"/>
      <c r="D6" s="106"/>
      <c r="E6" s="100"/>
      <c r="F6" s="113"/>
      <c r="G6" s="113"/>
    </row>
    <row r="7" spans="2:7" ht="15" thickBot="1" x14ac:dyDescent="0.35">
      <c r="B7" s="312" t="str">
        <f>'FORMATO 13'!C12</f>
        <v>MANTENIMIENTO CAMPO DE JUEGO HÍBRIDO DEL ESTADIO OLÍMPICO PASCUAL GUERRERO</v>
      </c>
      <c r="C7" s="313"/>
      <c r="D7" s="313"/>
      <c r="E7" s="313"/>
      <c r="F7" s="313"/>
      <c r="G7" s="314"/>
    </row>
    <row r="8" spans="2:7" ht="15" thickBot="1" x14ac:dyDescent="0.35">
      <c r="B8" s="100"/>
      <c r="C8" s="106"/>
      <c r="D8" s="106"/>
      <c r="E8" s="100"/>
      <c r="F8" s="113"/>
      <c r="G8" s="113"/>
    </row>
    <row r="9" spans="2:7" ht="90" customHeight="1" thickTop="1" x14ac:dyDescent="0.3">
      <c r="B9" s="315" t="str">
        <f>'FORMATO 13'!C13</f>
        <v>CEPILLADO: Movimiento de estolones de tal manera que queden en un sentido adecuado antes de realizar la labor de corte. El cepillado debe ser permanente y ajustado para la perfecta conservación de las gramillas. Siguiendo las indicaciones de la supervisión, interventoría o recomendaciones del contratista, debidamente aprobadas por el supervisor. Se realizará en sentido longitudinal y transversal utilizando una cepilladora manual tipo casette G860 de escobillas. Es necesario realizar cepillado antes de cada partido. Esto garantiza que el césped se presente de forma óptima definida por la entidad. Incluye, todos los materiales e insumos para su óptimo funcionamiento, operarios, herramienta menor y la recolección y disposición adecuada de los residuos. La maquinaria especializada tipo "brush soft" para esta actividad es provista por la entidad y deberá ser usada para el cepillado. Nota: Deberá garantizar el buen funcionamiento de la máquina durante la ejecución del contrato y deberá ser devuelta a la entidad en las mismas condiciones en las que fue entregada, asumiendo los costos asociados para este fin.</v>
      </c>
      <c r="C9" s="316"/>
      <c r="D9" s="316"/>
      <c r="E9" s="317"/>
      <c r="F9" s="115" t="s">
        <v>140</v>
      </c>
      <c r="G9" s="116" t="str">
        <f>'FORMATO 13'!D13</f>
        <v>VECES</v>
      </c>
    </row>
    <row r="10" spans="2:7" ht="90" customHeight="1" x14ac:dyDescent="0.3">
      <c r="B10" s="318"/>
      <c r="C10" s="319"/>
      <c r="D10" s="319"/>
      <c r="E10" s="320"/>
      <c r="F10" s="117" t="s">
        <v>141</v>
      </c>
      <c r="G10" s="155">
        <f>'FORMATO 13'!B13</f>
        <v>1.01</v>
      </c>
    </row>
    <row r="11" spans="2:7" x14ac:dyDescent="0.3">
      <c r="B11" s="118" t="s">
        <v>5</v>
      </c>
      <c r="C11" s="119" t="s">
        <v>92</v>
      </c>
      <c r="D11" s="119" t="s">
        <v>93</v>
      </c>
      <c r="E11" s="119" t="s">
        <v>142</v>
      </c>
      <c r="F11" s="120" t="s">
        <v>143</v>
      </c>
      <c r="G11" s="121" t="s">
        <v>10</v>
      </c>
    </row>
    <row r="12" spans="2:7" x14ac:dyDescent="0.3">
      <c r="B12" s="122"/>
      <c r="C12" s="123"/>
      <c r="D12" s="123"/>
      <c r="E12" s="124"/>
      <c r="F12" s="125"/>
      <c r="G12" s="126"/>
    </row>
    <row r="13" spans="2:7" x14ac:dyDescent="0.3">
      <c r="B13" s="127" t="s">
        <v>91</v>
      </c>
      <c r="C13" s="123"/>
      <c r="D13" s="123"/>
      <c r="E13" s="124"/>
      <c r="F13" s="125"/>
      <c r="G13" s="126"/>
    </row>
    <row r="14" spans="2:7" x14ac:dyDescent="0.3">
      <c r="B14" s="151" t="str">
        <f>INSUMOS!$B$11</f>
        <v>GASOLINA CORRIENTE</v>
      </c>
      <c r="C14" s="129" t="str">
        <f>INSUMOS!$C$11</f>
        <v>GLN</v>
      </c>
      <c r="D14" s="129">
        <v>4</v>
      </c>
      <c r="E14" s="130">
        <v>0</v>
      </c>
      <c r="F14" s="131">
        <f>INSUMOS!$E$11</f>
        <v>16423</v>
      </c>
      <c r="G14" s="132">
        <f>TRUNC(D14 * (1 + E14 / 100) * F14,0)</f>
        <v>65692</v>
      </c>
    </row>
    <row r="15" spans="2:7" x14ac:dyDescent="0.3">
      <c r="B15" s="128" t="str">
        <f>INSUMOS!$B$12</f>
        <v>ACEITE MOTOR 4 TIEMPOS</v>
      </c>
      <c r="C15" s="129" t="str">
        <f>INSUMOS!$C$12</f>
        <v>GLN</v>
      </c>
      <c r="D15" s="129">
        <v>0.01</v>
      </c>
      <c r="E15" s="130">
        <v>0</v>
      </c>
      <c r="F15" s="131">
        <f>INSUMOS!$E$12</f>
        <v>114944</v>
      </c>
      <c r="G15" s="132">
        <f t="shared" ref="G15:G16" si="0">TRUNC(D15 * (1 + E15 / 100) * F15,0)</f>
        <v>1149</v>
      </c>
    </row>
    <row r="16" spans="2:7" x14ac:dyDescent="0.3">
      <c r="B16" s="128" t="str">
        <f>INSUMOS!$B$13</f>
        <v>BOLSAS PARA BASURA</v>
      </c>
      <c r="C16" s="129" t="str">
        <f>INSUMOS!$C$13</f>
        <v>UND</v>
      </c>
      <c r="D16" s="129">
        <v>10</v>
      </c>
      <c r="E16" s="130">
        <v>0</v>
      </c>
      <c r="F16" s="131">
        <f>INSUMOS!$E$13</f>
        <v>2053</v>
      </c>
      <c r="G16" s="132">
        <f t="shared" si="0"/>
        <v>20530</v>
      </c>
    </row>
    <row r="17" spans="2:7" x14ac:dyDescent="0.3">
      <c r="B17" s="133"/>
      <c r="C17" s="134"/>
      <c r="D17" s="135"/>
      <c r="E17" s="136"/>
      <c r="F17" s="137"/>
      <c r="G17" s="138"/>
    </row>
    <row r="18" spans="2:7" x14ac:dyDescent="0.3">
      <c r="B18" s="122"/>
      <c r="C18" s="123"/>
      <c r="D18" s="123"/>
      <c r="E18" s="124"/>
      <c r="F18" s="125" t="s">
        <v>144</v>
      </c>
      <c r="G18" s="132">
        <f>SUM(G14:G17)</f>
        <v>87371</v>
      </c>
    </row>
    <row r="19" spans="2:7" x14ac:dyDescent="0.3">
      <c r="B19" s="127" t="s">
        <v>114</v>
      </c>
      <c r="C19" s="123"/>
      <c r="D19" s="123"/>
      <c r="E19" s="124"/>
      <c r="F19" s="125"/>
      <c r="G19" s="139"/>
    </row>
    <row r="20" spans="2:7" x14ac:dyDescent="0.3">
      <c r="B20" s="128" t="str">
        <f>INSUMOS!$B$72</f>
        <v>M.O. 1 OFICIAL + 1 AYUDANTES</v>
      </c>
      <c r="C20" s="129" t="str">
        <f>INSUMOS!$C$72</f>
        <v>JORNAL</v>
      </c>
      <c r="D20" s="164">
        <v>0.71430000000000005</v>
      </c>
      <c r="E20" s="130"/>
      <c r="F20" s="140">
        <f>INSUMOS!$E$72</f>
        <v>308098</v>
      </c>
      <c r="G20" s="132">
        <f>TRUNC(D20 * (1 + E20 / 100) * F20,0)</f>
        <v>220074</v>
      </c>
    </row>
    <row r="21" spans="2:7" x14ac:dyDescent="0.3">
      <c r="B21" s="133"/>
      <c r="C21" s="134"/>
      <c r="D21" s="135"/>
      <c r="E21" s="136"/>
      <c r="F21" s="137"/>
      <c r="G21" s="141"/>
    </row>
    <row r="22" spans="2:7" x14ac:dyDescent="0.3">
      <c r="B22" s="122"/>
      <c r="C22" s="123"/>
      <c r="D22" s="123"/>
      <c r="E22" s="124"/>
      <c r="F22" s="125" t="s">
        <v>145</v>
      </c>
      <c r="G22" s="132">
        <f>SUM(G20:G21)</f>
        <v>220074</v>
      </c>
    </row>
    <row r="23" spans="2:7" x14ac:dyDescent="0.3">
      <c r="B23" s="127" t="s">
        <v>125</v>
      </c>
      <c r="C23" s="123"/>
      <c r="D23" s="123"/>
      <c r="E23" s="124"/>
      <c r="F23" s="125"/>
      <c r="G23" s="139"/>
    </row>
    <row r="24" spans="2:7" x14ac:dyDescent="0.3">
      <c r="B24" s="142" t="str">
        <f>INSUMOS!$B$83</f>
        <v>VOLQUETA 8 M3 CON BOTADERO CERTIFICADO</v>
      </c>
      <c r="C24" s="143" t="str">
        <f>INSUMOS!$C$83</f>
        <v>M3</v>
      </c>
      <c r="D24" s="123">
        <v>1</v>
      </c>
      <c r="E24" s="144"/>
      <c r="F24" s="145">
        <f>INSUMOS!$E$83</f>
        <v>24812</v>
      </c>
      <c r="G24" s="132">
        <f>TRUNC(D24 * (1 + E24 / 100) * F24,0)</f>
        <v>24812</v>
      </c>
    </row>
    <row r="25" spans="2:7" x14ac:dyDescent="0.3">
      <c r="B25" s="133"/>
      <c r="C25" s="134"/>
      <c r="D25" s="135"/>
      <c r="E25" s="136"/>
      <c r="F25" s="137"/>
      <c r="G25" s="141"/>
    </row>
    <row r="26" spans="2:7" x14ac:dyDescent="0.3">
      <c r="B26" s="122"/>
      <c r="C26" s="123"/>
      <c r="D26" s="123"/>
      <c r="E26" s="124"/>
      <c r="F26" s="125" t="s">
        <v>146</v>
      </c>
      <c r="G26" s="132">
        <f>SUM(G24:G25)</f>
        <v>24812</v>
      </c>
    </row>
    <row r="27" spans="2:7" x14ac:dyDescent="0.3">
      <c r="B27" s="127" t="s">
        <v>147</v>
      </c>
      <c r="C27" s="123"/>
      <c r="D27" s="123"/>
      <c r="E27" s="124"/>
      <c r="F27" s="125"/>
      <c r="G27" s="139"/>
    </row>
    <row r="28" spans="2:7" x14ac:dyDescent="0.3">
      <c r="B28" s="133" t="str">
        <f>INSUMOS!$B$84</f>
        <v>HERRAMIENTA MENOR</v>
      </c>
      <c r="C28" s="134" t="str">
        <f>INSUMOS!$C$84</f>
        <v>GLB</v>
      </c>
      <c r="D28" s="123">
        <v>0.1</v>
      </c>
      <c r="E28" s="136"/>
      <c r="F28" s="137">
        <f>INSUMOS!$E$84</f>
        <v>2174</v>
      </c>
      <c r="G28" s="132">
        <f>TRUNC(D28 * (1 + E28 / 100) * F28,0)</f>
        <v>217</v>
      </c>
    </row>
    <row r="29" spans="2:7" x14ac:dyDescent="0.3">
      <c r="B29" s="133" t="str">
        <f>INSUMOS!$B$85</f>
        <v>MANTENIMIENTO CORTADORA CASETTE G860 8 HOJAS</v>
      </c>
      <c r="C29" s="134" t="str">
        <f>INSUMOS!$C$85</f>
        <v>GLB</v>
      </c>
      <c r="D29" s="123">
        <v>1</v>
      </c>
      <c r="E29" s="136"/>
      <c r="F29" s="137">
        <f>INSUMOS!$E$85</f>
        <v>6281</v>
      </c>
      <c r="G29" s="132">
        <f>TRUNC(D29 * (1 + E29 / 100) * F29,0)</f>
        <v>6281</v>
      </c>
    </row>
    <row r="30" spans="2:7" x14ac:dyDescent="0.3">
      <c r="B30" s="133"/>
      <c r="C30" s="134"/>
      <c r="D30" s="135"/>
      <c r="E30" s="136"/>
      <c r="F30" s="137"/>
      <c r="G30" s="141"/>
    </row>
    <row r="31" spans="2:7" x14ac:dyDescent="0.3">
      <c r="B31" s="122"/>
      <c r="C31" s="123"/>
      <c r="D31" s="123"/>
      <c r="E31" s="124"/>
      <c r="F31" s="125" t="str">
        <f>"SUBTOTAL " &amp;B27</f>
        <v>SUBTOTAL OTROS</v>
      </c>
      <c r="G31" s="132">
        <f>SUM(G28:G30)</f>
        <v>6498</v>
      </c>
    </row>
    <row r="32" spans="2:7" x14ac:dyDescent="0.3">
      <c r="B32" s="122"/>
      <c r="C32" s="123"/>
      <c r="D32" s="123"/>
      <c r="E32" s="124"/>
      <c r="F32" s="125"/>
      <c r="G32" s="126"/>
    </row>
    <row r="33" spans="2:7" ht="15" thickBot="1" x14ac:dyDescent="0.35">
      <c r="B33" s="146"/>
      <c r="C33" s="147"/>
      <c r="D33" s="166"/>
      <c r="E33" s="148" t="s">
        <v>148</v>
      </c>
      <c r="F33" s="149"/>
      <c r="G33" s="150">
        <f>ROUND(G18+G22+G26+G31,0)</f>
        <v>338755</v>
      </c>
    </row>
    <row r="34" spans="2:7" ht="15.6" thickTop="1" thickBot="1" x14ac:dyDescent="0.35"/>
    <row r="35" spans="2:7" ht="100.05" customHeight="1" thickTop="1" x14ac:dyDescent="0.3">
      <c r="B35" s="315" t="str">
        <f>'FORMATO 13'!C14</f>
        <v>CORTE: Mantener la altura adecuada del césped para favorecer un crecimiento saludable del campo de juego híbrido. Se debe realizar un corte antes de cada partido o evento a toda la gramilla,  o de acuerdo con las indicaciones de la supervisión y/o interventoría y/o recomendación del contratista, debidamente aprobadas por el supervisor con la finalidad de tener a la altura óptima el prado. Incluye la maquinaria, la maquinaria especializada, el combustible, el operario, recolección y botada de sobrantes. El corte debe ser permanente y ajustado para la perfecta conservación de las gramillas. Se realizará en sentido longitudinal y transversal utilizando una cortadora manual tipo casette G860 de 8 hojas, previa instalación de hilos para demarcaciones de las franjas. Esto garantiza que el césped mantenga la altura óptima definida por la entidad. Incluye, todos los materiales e insumos para su óptimo funcionamiento, operarios, herramienta menor y la recolección y disposición adecuada de los residuos. La maquinaria especializada tipo "casette G860 de 8 hojas" para esta actividad es provista por la entidad y deberá ser usada para el corte. Nota: Deberá garantizar el buen funcionamiento de la máquina durante la ejecución del contrato y deberá ser devuelta a la entidad en las mismas condiciones en las que fue entregada, asumiendo los costos asociados para este fin.</v>
      </c>
      <c r="C35" s="316"/>
      <c r="D35" s="316"/>
      <c r="E35" s="317"/>
      <c r="F35" s="115" t="s">
        <v>140</v>
      </c>
      <c r="G35" s="116" t="str">
        <f>'FORMATO 13'!D14</f>
        <v>VECES</v>
      </c>
    </row>
    <row r="36" spans="2:7" ht="100.05" customHeight="1" x14ac:dyDescent="0.3">
      <c r="B36" s="318"/>
      <c r="C36" s="319"/>
      <c r="D36" s="319"/>
      <c r="E36" s="320"/>
      <c r="F36" s="117" t="s">
        <v>141</v>
      </c>
      <c r="G36" s="155">
        <f>'FORMATO 13'!B14</f>
        <v>1.02</v>
      </c>
    </row>
    <row r="37" spans="2:7" x14ac:dyDescent="0.3">
      <c r="B37" s="118" t="s">
        <v>5</v>
      </c>
      <c r="C37" s="119" t="s">
        <v>92</v>
      </c>
      <c r="D37" s="119" t="s">
        <v>93</v>
      </c>
      <c r="E37" s="119" t="s">
        <v>142</v>
      </c>
      <c r="F37" s="120" t="s">
        <v>143</v>
      </c>
      <c r="G37" s="121" t="s">
        <v>10</v>
      </c>
    </row>
    <row r="38" spans="2:7" x14ac:dyDescent="0.3">
      <c r="B38" s="122"/>
      <c r="C38" s="123"/>
      <c r="D38" s="123"/>
      <c r="E38" s="124"/>
      <c r="F38" s="125"/>
      <c r="G38" s="126"/>
    </row>
    <row r="39" spans="2:7" x14ac:dyDescent="0.3">
      <c r="B39" s="127" t="s">
        <v>91</v>
      </c>
      <c r="C39" s="123"/>
      <c r="D39" s="123"/>
      <c r="E39" s="124"/>
      <c r="F39" s="125"/>
      <c r="G39" s="126"/>
    </row>
    <row r="40" spans="2:7" x14ac:dyDescent="0.3">
      <c r="B40" s="151" t="str">
        <f>INSUMOS!$B$11</f>
        <v>GASOLINA CORRIENTE</v>
      </c>
      <c r="C40" s="129" t="str">
        <f>INSUMOS!$C$11</f>
        <v>GLN</v>
      </c>
      <c r="D40" s="129">
        <v>4</v>
      </c>
      <c r="E40" s="130">
        <v>0</v>
      </c>
      <c r="F40" s="131">
        <f>INSUMOS!$E$11</f>
        <v>16423</v>
      </c>
      <c r="G40" s="132">
        <f>TRUNC(D40 * (1 + E40 / 100) * F40,0)</f>
        <v>65692</v>
      </c>
    </row>
    <row r="41" spans="2:7" x14ac:dyDescent="0.3">
      <c r="B41" s="128" t="str">
        <f>INSUMOS!$B$12</f>
        <v>ACEITE MOTOR 4 TIEMPOS</v>
      </c>
      <c r="C41" s="129" t="str">
        <f>INSUMOS!$C$12</f>
        <v>GLN</v>
      </c>
      <c r="D41" s="129">
        <v>0.01</v>
      </c>
      <c r="E41" s="130">
        <v>0</v>
      </c>
      <c r="F41" s="131">
        <f>INSUMOS!$E$12</f>
        <v>114944</v>
      </c>
      <c r="G41" s="132">
        <f t="shared" ref="G41:G42" si="1">TRUNC(D41 * (1 + E41 / 100) * F41,0)</f>
        <v>1149</v>
      </c>
    </row>
    <row r="42" spans="2:7" x14ac:dyDescent="0.3">
      <c r="B42" s="128" t="str">
        <f>INSUMOS!$B$13</f>
        <v>BOLSAS PARA BASURA</v>
      </c>
      <c r="C42" s="129" t="str">
        <f>INSUMOS!$C$13</f>
        <v>UND</v>
      </c>
      <c r="D42" s="129">
        <v>30</v>
      </c>
      <c r="E42" s="130">
        <v>0</v>
      </c>
      <c r="F42" s="131">
        <f>INSUMOS!$E$13</f>
        <v>2053</v>
      </c>
      <c r="G42" s="132">
        <f t="shared" si="1"/>
        <v>61590</v>
      </c>
    </row>
    <row r="43" spans="2:7" x14ac:dyDescent="0.3">
      <c r="B43" s="133"/>
      <c r="C43" s="134"/>
      <c r="D43" s="135"/>
      <c r="E43" s="136"/>
      <c r="F43" s="137"/>
      <c r="G43" s="138"/>
    </row>
    <row r="44" spans="2:7" x14ac:dyDescent="0.3">
      <c r="B44" s="122"/>
      <c r="C44" s="123"/>
      <c r="D44" s="123"/>
      <c r="E44" s="124"/>
      <c r="F44" s="125" t="s">
        <v>144</v>
      </c>
      <c r="G44" s="132">
        <f>SUM(G40:G43)</f>
        <v>128431</v>
      </c>
    </row>
    <row r="45" spans="2:7" x14ac:dyDescent="0.3">
      <c r="B45" s="127" t="s">
        <v>114</v>
      </c>
      <c r="C45" s="123"/>
      <c r="D45" s="123"/>
      <c r="E45" s="124"/>
      <c r="F45" s="125"/>
      <c r="G45" s="139"/>
    </row>
    <row r="46" spans="2:7" x14ac:dyDescent="0.3">
      <c r="B46" s="151" t="str">
        <f>INSUMOS!$B$73</f>
        <v>M.O. 1 OFICIAL + 2 AYUDANTES</v>
      </c>
      <c r="C46" s="129" t="str">
        <f>INSUMOS!$C$73</f>
        <v>JORNAL</v>
      </c>
      <c r="D46" s="129">
        <v>0.75</v>
      </c>
      <c r="E46" s="130"/>
      <c r="F46" s="140">
        <f>INSUMOS!$E$73</f>
        <v>422209</v>
      </c>
      <c r="G46" s="132">
        <f>TRUNC(D46 * (1 + E46 / 100) * F46,0)</f>
        <v>316656</v>
      </c>
    </row>
    <row r="47" spans="2:7" x14ac:dyDescent="0.3">
      <c r="B47" s="128" t="str">
        <f>INSUMOS!$B$78</f>
        <v>INGENIERO AGRONOMO</v>
      </c>
      <c r="C47" s="129" t="str">
        <f>INSUMOS!C78</f>
        <v>JORNAL</v>
      </c>
      <c r="D47" s="129">
        <v>0.5</v>
      </c>
      <c r="E47" s="130"/>
      <c r="F47" s="140">
        <f>INSUMOS!E78</f>
        <v>236291</v>
      </c>
      <c r="G47" s="132">
        <f>TRUNC(D47 * (1 + E47 / 100) * F47,0)</f>
        <v>118145</v>
      </c>
    </row>
    <row r="48" spans="2:7" x14ac:dyDescent="0.3">
      <c r="B48" s="133"/>
      <c r="C48" s="134"/>
      <c r="D48" s="135"/>
      <c r="E48" s="136"/>
      <c r="F48" s="137"/>
      <c r="G48" s="141"/>
    </row>
    <row r="49" spans="2:7" x14ac:dyDescent="0.3">
      <c r="B49" s="122"/>
      <c r="C49" s="123"/>
      <c r="D49" s="123"/>
      <c r="E49" s="124"/>
      <c r="F49" s="125" t="s">
        <v>145</v>
      </c>
      <c r="G49" s="132">
        <f>SUM(G46:G48)</f>
        <v>434801</v>
      </c>
    </row>
    <row r="50" spans="2:7" x14ac:dyDescent="0.3">
      <c r="B50" s="127" t="s">
        <v>125</v>
      </c>
      <c r="C50" s="123"/>
      <c r="D50" s="123"/>
      <c r="E50" s="124"/>
      <c r="F50" s="125"/>
      <c r="G50" s="139"/>
    </row>
    <row r="51" spans="2:7" x14ac:dyDescent="0.3">
      <c r="B51" s="142" t="str">
        <f>INSUMOS!$B$83</f>
        <v>VOLQUETA 8 M3 CON BOTADERO CERTIFICADO</v>
      </c>
      <c r="C51" s="143" t="str">
        <f>INSUMOS!$C$83</f>
        <v>M3</v>
      </c>
      <c r="D51" s="123">
        <v>3</v>
      </c>
      <c r="E51" s="144"/>
      <c r="F51" s="145">
        <f>INSUMOS!$E$83</f>
        <v>24812</v>
      </c>
      <c r="G51" s="132">
        <f>TRUNC(D51 * (1 + E51 / 100) * F51,0)</f>
        <v>74436</v>
      </c>
    </row>
    <row r="52" spans="2:7" x14ac:dyDescent="0.3">
      <c r="B52" s="133"/>
      <c r="C52" s="134"/>
      <c r="D52" s="135"/>
      <c r="E52" s="136"/>
      <c r="F52" s="137"/>
      <c r="G52" s="141"/>
    </row>
    <row r="53" spans="2:7" x14ac:dyDescent="0.3">
      <c r="B53" s="122"/>
      <c r="C53" s="123"/>
      <c r="D53" s="123"/>
      <c r="E53" s="124"/>
      <c r="F53" s="125" t="s">
        <v>146</v>
      </c>
      <c r="G53" s="132">
        <f>SUM(G51:G52)</f>
        <v>74436</v>
      </c>
    </row>
    <row r="54" spans="2:7" x14ac:dyDescent="0.3">
      <c r="B54" s="127" t="s">
        <v>147</v>
      </c>
      <c r="C54" s="123"/>
      <c r="D54" s="123"/>
      <c r="E54" s="124"/>
      <c r="F54" s="125"/>
      <c r="G54" s="139"/>
    </row>
    <row r="55" spans="2:7" x14ac:dyDescent="0.3">
      <c r="B55" s="133" t="str">
        <f>INSUMOS!$B$84</f>
        <v>HERRAMIENTA MENOR</v>
      </c>
      <c r="C55" s="134" t="str">
        <f>INSUMOS!$C$84</f>
        <v>GLB</v>
      </c>
      <c r="D55" s="163">
        <v>12.8835</v>
      </c>
      <c r="E55" s="136"/>
      <c r="F55" s="137">
        <f>INSUMOS!$E$84</f>
        <v>2174</v>
      </c>
      <c r="G55" s="132">
        <f>TRUNC(D55 * (1 + E55 / 100) * F55,0)</f>
        <v>28008</v>
      </c>
    </row>
    <row r="56" spans="2:7" x14ac:dyDescent="0.3">
      <c r="B56" s="133" t="str">
        <f>INSUMOS!$B$85</f>
        <v>MANTENIMIENTO CORTADORA CASETTE G860 8 HOJAS</v>
      </c>
      <c r="C56" s="134" t="str">
        <f>INSUMOS!$C$85</f>
        <v>GLB</v>
      </c>
      <c r="D56" s="123">
        <v>1</v>
      </c>
      <c r="E56" s="136"/>
      <c r="F56" s="137">
        <f>INSUMOS!$E$85</f>
        <v>6281</v>
      </c>
      <c r="G56" s="132">
        <f>TRUNC(D56 * (1 + E56 / 100) * F56,0)</f>
        <v>6281</v>
      </c>
    </row>
    <row r="57" spans="2:7" x14ac:dyDescent="0.3">
      <c r="B57" s="133"/>
      <c r="C57" s="134"/>
      <c r="D57" s="135"/>
      <c r="E57" s="136"/>
      <c r="F57" s="137"/>
      <c r="G57" s="141"/>
    </row>
    <row r="58" spans="2:7" x14ac:dyDescent="0.3">
      <c r="B58" s="122"/>
      <c r="C58" s="123"/>
      <c r="D58" s="123"/>
      <c r="E58" s="124"/>
      <c r="F58" s="125" t="str">
        <f>"SUBTOTAL " &amp;B54</f>
        <v>SUBTOTAL OTROS</v>
      </c>
      <c r="G58" s="132">
        <f>SUM(G55:G57)</f>
        <v>34289</v>
      </c>
    </row>
    <row r="59" spans="2:7" x14ac:dyDescent="0.3">
      <c r="B59" s="122"/>
      <c r="C59" s="123"/>
      <c r="D59" s="123"/>
      <c r="E59" s="124"/>
      <c r="F59" s="125"/>
      <c r="G59" s="126"/>
    </row>
    <row r="60" spans="2:7" ht="15" thickBot="1" x14ac:dyDescent="0.35">
      <c r="B60" s="146"/>
      <c r="C60" s="147"/>
      <c r="D60" s="166"/>
      <c r="E60" s="148" t="s">
        <v>148</v>
      </c>
      <c r="F60" s="149"/>
      <c r="G60" s="150">
        <f>ROUND(G44+G49+G53+G58,0)</f>
        <v>671957</v>
      </c>
    </row>
    <row r="61" spans="2:7" ht="15.6" thickTop="1" thickBot="1" x14ac:dyDescent="0.35"/>
    <row r="62" spans="2:7" ht="90" customHeight="1" thickTop="1" x14ac:dyDescent="0.3">
      <c r="B62" s="315" t="str">
        <f>'FORMATO 13'!C15</f>
        <v>ASPIRADO: Extraer los residuos de estolones longevos y de corte. El Aspirado debe ser permanente y después de cada corte. Siguiendo las indicaciones de la supervisión, interventoría o recomendaciones del contratista, debidamente aprobadas por el supervisor. Se realizará en sentido longitudinal y transversal utilizando una máquina aspiradora manual PR 34, siguiendo las indicaciones de la supervisión, interventoría o recomendaciones del contratista, debidamente aprobadas por el supervisor. Incluye, todos los materiales e insumos para su óptimo funcionamiento, operarios, herramienta menor y la recolección y disposición adecuada de los residuos. La maquinaria especializada tipo "PR34" para esta actividad es provista por la entidad y deberá ser usada para el aspirado. Nota: Deberá garantizar el buen funcionamiento de la máquina durante la ejecución del contrato y deberá ser devuelta a la entidad en las mismas condiciones en las que fue entregada, asumiendo los costos asociados para este fin.</v>
      </c>
      <c r="C62" s="316"/>
      <c r="D62" s="316"/>
      <c r="E62" s="317"/>
      <c r="F62" s="115" t="s">
        <v>140</v>
      </c>
      <c r="G62" s="116" t="str">
        <f>'FORMATO 13'!D15</f>
        <v>VECES</v>
      </c>
    </row>
    <row r="63" spans="2:7" ht="90" customHeight="1" x14ac:dyDescent="0.3">
      <c r="B63" s="318"/>
      <c r="C63" s="319"/>
      <c r="D63" s="319"/>
      <c r="E63" s="320"/>
      <c r="F63" s="117" t="s">
        <v>141</v>
      </c>
      <c r="G63" s="155">
        <f>'FORMATO 13'!B15</f>
        <v>1.03</v>
      </c>
    </row>
    <row r="64" spans="2:7" x14ac:dyDescent="0.3">
      <c r="B64" s="118" t="s">
        <v>5</v>
      </c>
      <c r="C64" s="119" t="s">
        <v>92</v>
      </c>
      <c r="D64" s="119" t="s">
        <v>93</v>
      </c>
      <c r="E64" s="119" t="s">
        <v>142</v>
      </c>
      <c r="F64" s="120" t="s">
        <v>143</v>
      </c>
      <c r="G64" s="121" t="s">
        <v>10</v>
      </c>
    </row>
    <row r="65" spans="2:7" x14ac:dyDescent="0.3">
      <c r="B65" s="122"/>
      <c r="C65" s="123"/>
      <c r="D65" s="123"/>
      <c r="E65" s="124"/>
      <c r="F65" s="125"/>
      <c r="G65" s="126"/>
    </row>
    <row r="66" spans="2:7" x14ac:dyDescent="0.3">
      <c r="B66" s="127" t="s">
        <v>91</v>
      </c>
      <c r="C66" s="123"/>
      <c r="D66" s="123"/>
      <c r="E66" s="124"/>
      <c r="F66" s="125"/>
      <c r="G66" s="126"/>
    </row>
    <row r="67" spans="2:7" x14ac:dyDescent="0.3">
      <c r="B67" s="151" t="str">
        <f>INSUMOS!$B$11</f>
        <v>GASOLINA CORRIENTE</v>
      </c>
      <c r="C67" s="129" t="str">
        <f>INSUMOS!$C$11</f>
        <v>GLN</v>
      </c>
      <c r="D67" s="129">
        <v>4</v>
      </c>
      <c r="E67" s="130">
        <v>0</v>
      </c>
      <c r="F67" s="131">
        <f>INSUMOS!$E$11</f>
        <v>16423</v>
      </c>
      <c r="G67" s="132">
        <f>TRUNC(D67 * (1 + E67 / 100) * F67,0)</f>
        <v>65692</v>
      </c>
    </row>
    <row r="68" spans="2:7" x14ac:dyDescent="0.3">
      <c r="B68" s="128" t="str">
        <f>INSUMOS!$B$12</f>
        <v>ACEITE MOTOR 4 TIEMPOS</v>
      </c>
      <c r="C68" s="129" t="str">
        <f>INSUMOS!$C$12</f>
        <v>GLN</v>
      </c>
      <c r="D68" s="129">
        <v>0.01</v>
      </c>
      <c r="E68" s="130">
        <v>0</v>
      </c>
      <c r="F68" s="131">
        <f>INSUMOS!$E$12</f>
        <v>114944</v>
      </c>
      <c r="G68" s="132">
        <f t="shared" ref="G68:G69" si="2">TRUNC(D68 * (1 + E68 / 100) * F68,0)</f>
        <v>1149</v>
      </c>
    </row>
    <row r="69" spans="2:7" x14ac:dyDescent="0.3">
      <c r="B69" s="128" t="str">
        <f>INSUMOS!$B$13</f>
        <v>BOLSAS PARA BASURA</v>
      </c>
      <c r="C69" s="129" t="str">
        <f>INSUMOS!$C$13</f>
        <v>UND</v>
      </c>
      <c r="D69" s="129">
        <v>10</v>
      </c>
      <c r="E69" s="130">
        <v>0</v>
      </c>
      <c r="F69" s="131">
        <f>INSUMOS!$E$13</f>
        <v>2053</v>
      </c>
      <c r="G69" s="132">
        <f t="shared" si="2"/>
        <v>20530</v>
      </c>
    </row>
    <row r="70" spans="2:7" x14ac:dyDescent="0.3">
      <c r="B70" s="133"/>
      <c r="C70" s="134"/>
      <c r="D70" s="135"/>
      <c r="E70" s="136"/>
      <c r="F70" s="137"/>
      <c r="G70" s="138"/>
    </row>
    <row r="71" spans="2:7" x14ac:dyDescent="0.3">
      <c r="B71" s="122"/>
      <c r="C71" s="123"/>
      <c r="D71" s="123"/>
      <c r="E71" s="124"/>
      <c r="F71" s="125" t="s">
        <v>144</v>
      </c>
      <c r="G71" s="132">
        <f>SUM(G67:G70)</f>
        <v>87371</v>
      </c>
    </row>
    <row r="72" spans="2:7" x14ac:dyDescent="0.3">
      <c r="B72" s="127" t="s">
        <v>114</v>
      </c>
      <c r="C72" s="123"/>
      <c r="D72" s="123"/>
      <c r="E72" s="124"/>
      <c r="F72" s="125"/>
      <c r="G72" s="139"/>
    </row>
    <row r="73" spans="2:7" x14ac:dyDescent="0.3">
      <c r="B73" s="128" t="str">
        <f>INSUMOS!$B$72</f>
        <v>M.O. 1 OFICIAL + 1 AYUDANTES</v>
      </c>
      <c r="C73" s="129" t="str">
        <f>INSUMOS!$C$72</f>
        <v>JORNAL</v>
      </c>
      <c r="D73" s="129">
        <v>0.7</v>
      </c>
      <c r="E73" s="130"/>
      <c r="F73" s="140">
        <f>INSUMOS!$E$72</f>
        <v>308098</v>
      </c>
      <c r="G73" s="132">
        <f>TRUNC(D73 * (1 + E73 / 100) * F73,0)</f>
        <v>215668</v>
      </c>
    </row>
    <row r="74" spans="2:7" x14ac:dyDescent="0.3">
      <c r="B74" s="133"/>
      <c r="C74" s="134"/>
      <c r="D74" s="135"/>
      <c r="E74" s="136"/>
      <c r="F74" s="137"/>
      <c r="G74" s="141"/>
    </row>
    <row r="75" spans="2:7" x14ac:dyDescent="0.3">
      <c r="B75" s="122"/>
      <c r="C75" s="123"/>
      <c r="D75" s="123"/>
      <c r="E75" s="124"/>
      <c r="F75" s="125" t="s">
        <v>145</v>
      </c>
      <c r="G75" s="132">
        <f>SUM(G73:G74)</f>
        <v>215668</v>
      </c>
    </row>
    <row r="76" spans="2:7" x14ac:dyDescent="0.3">
      <c r="B76" s="127" t="s">
        <v>125</v>
      </c>
      <c r="C76" s="123"/>
      <c r="D76" s="123"/>
      <c r="E76" s="124"/>
      <c r="F76" s="125"/>
      <c r="G76" s="139"/>
    </row>
    <row r="77" spans="2:7" x14ac:dyDescent="0.3">
      <c r="B77" s="142" t="str">
        <f>INSUMOS!$B$83</f>
        <v>VOLQUETA 8 M3 CON BOTADERO CERTIFICADO</v>
      </c>
      <c r="C77" s="143" t="str">
        <f>INSUMOS!$C$83</f>
        <v>M3</v>
      </c>
      <c r="D77" s="123">
        <v>1</v>
      </c>
      <c r="E77" s="144"/>
      <c r="F77" s="145">
        <f>INSUMOS!$E$83</f>
        <v>24812</v>
      </c>
      <c r="G77" s="132">
        <f>TRUNC(D77 * (1 + E77 / 100) * F77,0)</f>
        <v>24812</v>
      </c>
    </row>
    <row r="78" spans="2:7" x14ac:dyDescent="0.3">
      <c r="B78" s="133"/>
      <c r="C78" s="134"/>
      <c r="D78" s="135"/>
      <c r="E78" s="136"/>
      <c r="F78" s="137"/>
      <c r="G78" s="141"/>
    </row>
    <row r="79" spans="2:7" x14ac:dyDescent="0.3">
      <c r="B79" s="122"/>
      <c r="C79" s="123"/>
      <c r="D79" s="123"/>
      <c r="E79" s="124"/>
      <c r="F79" s="125" t="s">
        <v>146</v>
      </c>
      <c r="G79" s="132">
        <f>SUM(G77:G78)</f>
        <v>24812</v>
      </c>
    </row>
    <row r="80" spans="2:7" x14ac:dyDescent="0.3">
      <c r="B80" s="127" t="s">
        <v>147</v>
      </c>
      <c r="C80" s="123"/>
      <c r="D80" s="123"/>
      <c r="E80" s="124"/>
      <c r="F80" s="125"/>
      <c r="G80" s="139"/>
    </row>
    <row r="81" spans="2:7" x14ac:dyDescent="0.3">
      <c r="B81" s="133" t="str">
        <f>INSUMOS!$B$84</f>
        <v>HERRAMIENTA MENOR</v>
      </c>
      <c r="C81" s="134" t="str">
        <f>INSUMOS!$C$84</f>
        <v>GLB</v>
      </c>
      <c r="D81" s="163">
        <v>2.1263000000000001</v>
      </c>
      <c r="E81" s="136"/>
      <c r="F81" s="137">
        <f>INSUMOS!$E$84</f>
        <v>2174</v>
      </c>
      <c r="G81" s="132">
        <f>TRUNC(D81 * (1 + E81 / 100) * F81,0)</f>
        <v>4622</v>
      </c>
    </row>
    <row r="82" spans="2:7" x14ac:dyDescent="0.3">
      <c r="B82" s="133" t="str">
        <f>INSUMOS!$B$85</f>
        <v>MANTENIMIENTO CORTADORA CASETTE G860 8 HOJAS</v>
      </c>
      <c r="C82" s="134" t="str">
        <f>INSUMOS!$C$85</f>
        <v>GLB</v>
      </c>
      <c r="D82" s="123">
        <v>1</v>
      </c>
      <c r="E82" s="136"/>
      <c r="F82" s="137">
        <f>INSUMOS!$E$85</f>
        <v>6281</v>
      </c>
      <c r="G82" s="132">
        <f>TRUNC(D82 * (1 + E82 / 100) * F82,0)</f>
        <v>6281</v>
      </c>
    </row>
    <row r="83" spans="2:7" x14ac:dyDescent="0.3">
      <c r="B83" s="133"/>
      <c r="C83" s="134"/>
      <c r="D83" s="135"/>
      <c r="E83" s="136"/>
      <c r="F83" s="137"/>
      <c r="G83" s="141"/>
    </row>
    <row r="84" spans="2:7" x14ac:dyDescent="0.3">
      <c r="B84" s="122"/>
      <c r="C84" s="123"/>
      <c r="D84" s="123"/>
      <c r="E84" s="124"/>
      <c r="F84" s="125" t="str">
        <f>"SUBTOTAL " &amp;B80</f>
        <v>SUBTOTAL OTROS</v>
      </c>
      <c r="G84" s="132">
        <f>SUM(G81:G83)</f>
        <v>10903</v>
      </c>
    </row>
    <row r="85" spans="2:7" x14ac:dyDescent="0.3">
      <c r="B85" s="122"/>
      <c r="C85" s="123"/>
      <c r="D85" s="123"/>
      <c r="E85" s="124"/>
      <c r="F85" s="125"/>
      <c r="G85" s="126"/>
    </row>
    <row r="86" spans="2:7" ht="15" thickBot="1" x14ac:dyDescent="0.35">
      <c r="B86" s="146"/>
      <c r="C86" s="147"/>
      <c r="D86" s="166"/>
      <c r="E86" s="148" t="s">
        <v>148</v>
      </c>
      <c r="F86" s="149"/>
      <c r="G86" s="150">
        <f>ROUND(G71+G75+G79+G84,0)</f>
        <v>338754</v>
      </c>
    </row>
    <row r="87" spans="2:7" ht="15.6" thickTop="1" thickBot="1" x14ac:dyDescent="0.35"/>
    <row r="88" spans="2:7" ht="49.95" customHeight="1" thickTop="1" x14ac:dyDescent="0.3">
      <c r="B88" s="315" t="str">
        <f>'FORMATO 13'!C16</f>
        <v>RIEGO: Permanente dependiendo de las condiciones hidroclimátológicas y de la necesidad del campo. Siguiendo las indicaciones de la supervisión, interventoría o recomendaciones del contratista, debidamente aprobadas por el supervisor. Esta actividad incluye la operación del sistema de riego el cual debe ser continuo,  El contratista deberá responder por las condiciones operativas del sistema de riego. Tener en cuenta que en algunos momentos, será necesario realizar el balance hídrico antes de aplicar el riego, para que su aplicación sea la adecuada.</v>
      </c>
      <c r="C88" s="316"/>
      <c r="D88" s="316"/>
      <c r="E88" s="317"/>
      <c r="F88" s="115" t="s">
        <v>140</v>
      </c>
      <c r="G88" s="116" t="str">
        <f>'FORMATO 13'!D16</f>
        <v>MES</v>
      </c>
    </row>
    <row r="89" spans="2:7" ht="49.95" customHeight="1" x14ac:dyDescent="0.3">
      <c r="B89" s="318"/>
      <c r="C89" s="319"/>
      <c r="D89" s="319"/>
      <c r="E89" s="320"/>
      <c r="F89" s="117" t="s">
        <v>141</v>
      </c>
      <c r="G89" s="155">
        <f>'FORMATO 13'!B16</f>
        <v>1.04</v>
      </c>
    </row>
    <row r="90" spans="2:7" x14ac:dyDescent="0.3">
      <c r="B90" s="118" t="s">
        <v>5</v>
      </c>
      <c r="C90" s="119" t="s">
        <v>92</v>
      </c>
      <c r="D90" s="119" t="s">
        <v>93</v>
      </c>
      <c r="E90" s="119" t="s">
        <v>142</v>
      </c>
      <c r="F90" s="120" t="s">
        <v>143</v>
      </c>
      <c r="G90" s="121" t="s">
        <v>10</v>
      </c>
    </row>
    <row r="91" spans="2:7" x14ac:dyDescent="0.3">
      <c r="B91" s="122"/>
      <c r="C91" s="123"/>
      <c r="D91" s="123"/>
      <c r="E91" s="124"/>
      <c r="F91" s="125"/>
      <c r="G91" s="126"/>
    </row>
    <row r="92" spans="2:7" x14ac:dyDescent="0.3">
      <c r="B92" s="127" t="s">
        <v>91</v>
      </c>
      <c r="C92" s="123"/>
      <c r="D92" s="123"/>
      <c r="E92" s="124"/>
      <c r="F92" s="125"/>
      <c r="G92" s="126"/>
    </row>
    <row r="93" spans="2:7" x14ac:dyDescent="0.3">
      <c r="B93" s="151" t="str">
        <f>INSUMOS!$B$14</f>
        <v>ASPERSORES T-7</v>
      </c>
      <c r="C93" s="129" t="str">
        <f>INSUMOS!$C$14</f>
        <v>UND</v>
      </c>
      <c r="D93" s="167">
        <f>1/3</f>
        <v>0.33333333333333331</v>
      </c>
      <c r="E93" s="130"/>
      <c r="F93" s="131">
        <f>INSUMOS!$E$14</f>
        <v>362236</v>
      </c>
      <c r="G93" s="132">
        <f>TRUNC(D93 * (1 + E93 / 100) * F93,0)</f>
        <v>120745</v>
      </c>
    </row>
    <row r="94" spans="2:7" x14ac:dyDescent="0.3">
      <c r="B94" s="151" t="str">
        <f>INSUMOS!$B$15</f>
        <v>VALVULAS ELECTRONICAS</v>
      </c>
      <c r="C94" s="129" t="str">
        <f>INSUMOS!$C$15</f>
        <v>UND</v>
      </c>
      <c r="D94" s="167">
        <f t="shared" ref="D94:D96" si="3">1/3</f>
        <v>0.33333333333333331</v>
      </c>
      <c r="E94" s="130"/>
      <c r="F94" s="131">
        <f>INSUMOS!$E$15</f>
        <v>955592</v>
      </c>
      <c r="G94" s="132">
        <f t="shared" ref="G94:G96" si="4">TRUNC(D94 * (1 + E94 / 100) * F94,0)</f>
        <v>318530</v>
      </c>
    </row>
    <row r="95" spans="2:7" x14ac:dyDescent="0.3">
      <c r="B95" s="151" t="str">
        <f>INSUMOS!$B$16</f>
        <v>TUBERIA Y ACCESORIOS PRESION DIFERENTES DIAMETROS 2</v>
      </c>
      <c r="C95" s="129" t="str">
        <f>INSUMOS!$C$16</f>
        <v>GLB</v>
      </c>
      <c r="D95" s="167">
        <f t="shared" si="3"/>
        <v>0.33333333333333331</v>
      </c>
      <c r="E95" s="130"/>
      <c r="F95" s="131">
        <f>INSUMOS!$E$16</f>
        <v>106010</v>
      </c>
      <c r="G95" s="132">
        <f t="shared" si="4"/>
        <v>35336</v>
      </c>
    </row>
    <row r="96" spans="2:7" x14ac:dyDescent="0.3">
      <c r="B96" s="151" t="str">
        <f>INSUMOS!$B$17</f>
        <v>COMPONENTES ELECTRONICOS VARIOS 2</v>
      </c>
      <c r="C96" s="129" t="str">
        <f>INSUMOS!$C$17</f>
        <v>GLB</v>
      </c>
      <c r="D96" s="167">
        <f t="shared" si="3"/>
        <v>0.33333333333333331</v>
      </c>
      <c r="E96" s="130"/>
      <c r="F96" s="131">
        <f>INSUMOS!$E$17</f>
        <v>155948</v>
      </c>
      <c r="G96" s="132">
        <f t="shared" si="4"/>
        <v>51982</v>
      </c>
    </row>
    <row r="97" spans="2:7" x14ac:dyDescent="0.3">
      <c r="B97" s="133"/>
      <c r="C97" s="134"/>
      <c r="D97" s="135"/>
      <c r="E97" s="136"/>
      <c r="F97" s="137"/>
      <c r="G97" s="138"/>
    </row>
    <row r="98" spans="2:7" x14ac:dyDescent="0.3">
      <c r="B98" s="122"/>
      <c r="C98" s="123"/>
      <c r="D98" s="123"/>
      <c r="E98" s="124"/>
      <c r="F98" s="125" t="s">
        <v>144</v>
      </c>
      <c r="G98" s="132">
        <f>SUM(G93:G97)</f>
        <v>526593</v>
      </c>
    </row>
    <row r="99" spans="2:7" x14ac:dyDescent="0.3">
      <c r="B99" s="127" t="s">
        <v>114</v>
      </c>
      <c r="C99" s="123"/>
      <c r="D99" s="123"/>
      <c r="E99" s="124"/>
      <c r="F99" s="125"/>
      <c r="G99" s="139"/>
    </row>
    <row r="100" spans="2:7" x14ac:dyDescent="0.3">
      <c r="B100" s="151" t="str">
        <f>INSUMOS!$B$71</f>
        <v>M.O. 1 OFICIAL</v>
      </c>
      <c r="C100" s="129" t="str">
        <f>INSUMOS!$C$71</f>
        <v>JORNAL</v>
      </c>
      <c r="D100" s="129">
        <v>1.1499999999999999</v>
      </c>
      <c r="E100" s="130"/>
      <c r="F100" s="140">
        <f>INSUMOS!$E$71</f>
        <v>193987</v>
      </c>
      <c r="G100" s="132">
        <f>TRUNC(D100 * (1 + E100 / 100) * F100,0)</f>
        <v>223085</v>
      </c>
    </row>
    <row r="101" spans="2:7" x14ac:dyDescent="0.3">
      <c r="B101" s="133"/>
      <c r="C101" s="134"/>
      <c r="D101" s="135"/>
      <c r="E101" s="136"/>
      <c r="F101" s="137"/>
      <c r="G101" s="141"/>
    </row>
    <row r="102" spans="2:7" x14ac:dyDescent="0.3">
      <c r="B102" s="122"/>
      <c r="C102" s="123"/>
      <c r="D102" s="123"/>
      <c r="E102" s="124"/>
      <c r="F102" s="125" t="s">
        <v>145</v>
      </c>
      <c r="G102" s="132">
        <f>SUM(G100:G101)</f>
        <v>223085</v>
      </c>
    </row>
    <row r="103" spans="2:7" x14ac:dyDescent="0.3">
      <c r="B103" s="127" t="s">
        <v>125</v>
      </c>
      <c r="C103" s="123"/>
      <c r="D103" s="123"/>
      <c r="E103" s="124"/>
      <c r="F103" s="125"/>
      <c r="G103" s="139"/>
    </row>
    <row r="104" spans="2:7" x14ac:dyDescent="0.3">
      <c r="B104" s="142" t="str">
        <f>INSUMOS!$B$86</f>
        <v>MANTENIMIENTO BOMBA PRESION 10 H.P</v>
      </c>
      <c r="C104" s="143" t="str">
        <f>INSUMOS!$C$86</f>
        <v>MES</v>
      </c>
      <c r="D104" s="123">
        <v>1</v>
      </c>
      <c r="E104" s="144"/>
      <c r="F104" s="145">
        <f>INSUMOS!$E$86</f>
        <v>351747</v>
      </c>
      <c r="G104" s="132">
        <f>TRUNC(D104 * (1 + E104 / 100) * F104,0)</f>
        <v>351747</v>
      </c>
    </row>
    <row r="105" spans="2:7" x14ac:dyDescent="0.3">
      <c r="B105" s="133"/>
      <c r="C105" s="134"/>
      <c r="D105" s="135"/>
      <c r="E105" s="136"/>
      <c r="F105" s="137"/>
      <c r="G105" s="141"/>
    </row>
    <row r="106" spans="2:7" x14ac:dyDescent="0.3">
      <c r="B106" s="122"/>
      <c r="C106" s="123"/>
      <c r="D106" s="123"/>
      <c r="E106" s="124"/>
      <c r="F106" s="125" t="s">
        <v>146</v>
      </c>
      <c r="G106" s="132">
        <f>SUM(G104:G105)</f>
        <v>351747</v>
      </c>
    </row>
    <row r="107" spans="2:7" x14ac:dyDescent="0.3">
      <c r="B107" s="127" t="s">
        <v>147</v>
      </c>
      <c r="C107" s="123"/>
      <c r="D107" s="123"/>
      <c r="E107" s="124"/>
      <c r="F107" s="125"/>
      <c r="G107" s="139"/>
    </row>
    <row r="108" spans="2:7" x14ac:dyDescent="0.3">
      <c r="B108" s="133" t="str">
        <f>INSUMOS!$B$84</f>
        <v>HERRAMIENTA MENOR</v>
      </c>
      <c r="C108" s="134" t="str">
        <f>INSUMOS!$C$84</f>
        <v>GLB</v>
      </c>
      <c r="D108" s="161">
        <v>1.2462</v>
      </c>
      <c r="E108" s="136"/>
      <c r="F108" s="137">
        <f>INSUMOS!$E$84</f>
        <v>2174</v>
      </c>
      <c r="G108" s="132">
        <f>TRUNC(D108 * (1 + E108 / 100) * F108,0)</f>
        <v>2709</v>
      </c>
    </row>
    <row r="109" spans="2:7" x14ac:dyDescent="0.3">
      <c r="B109" s="133"/>
      <c r="C109" s="134"/>
      <c r="D109" s="135"/>
      <c r="E109" s="136"/>
      <c r="F109" s="137"/>
      <c r="G109" s="141"/>
    </row>
    <row r="110" spans="2:7" x14ac:dyDescent="0.3">
      <c r="B110" s="122"/>
      <c r="C110" s="123"/>
      <c r="D110" s="123"/>
      <c r="E110" s="124"/>
      <c r="F110" s="125" t="str">
        <f>"SUBTOTAL " &amp;B107</f>
        <v>SUBTOTAL OTROS</v>
      </c>
      <c r="G110" s="132">
        <f>SUM(G108:G109)</f>
        <v>2709</v>
      </c>
    </row>
    <row r="111" spans="2:7" x14ac:dyDescent="0.3">
      <c r="B111" s="122"/>
      <c r="C111" s="123"/>
      <c r="D111" s="123"/>
      <c r="E111" s="124"/>
      <c r="F111" s="125"/>
      <c r="G111" s="126"/>
    </row>
    <row r="112" spans="2:7" ht="15" thickBot="1" x14ac:dyDescent="0.35">
      <c r="B112" s="146"/>
      <c r="C112" s="147"/>
      <c r="D112" s="166"/>
      <c r="E112" s="148" t="s">
        <v>148</v>
      </c>
      <c r="F112" s="149"/>
      <c r="G112" s="150">
        <f>ROUND(G98+G102+G106+G110,0)</f>
        <v>1104134</v>
      </c>
    </row>
    <row r="113" spans="2:7" ht="15.6" thickTop="1" thickBot="1" x14ac:dyDescent="0.35"/>
    <row r="114" spans="2:7" ht="60" customHeight="1" thickTop="1" x14ac:dyDescent="0.3">
      <c r="B114" s="315" t="str">
        <f>'FORMATO 13'!C17</f>
        <v>DESHIERBE Y CONTROL DE MALEZAS: Eliminar las arvenses de hoja ancha y de hoja delgada que se presenten en el área de gramado. Siguiendo las indicaciones de la supervisión, interventoría o recomendaciones del contratista, debidamente aprobadas por el supervisor. Esta actividad debe ser de forma manual y permanente para evitar la presencia de malezas que puedan contaminar el césped, la frecuencia puede variar según el grado de infestación presente. Incluye: Insumos biológicos, mano de obra, equipos y herramientas necesarias. En caso de que se necesite usar un herbicida selectivo debe ser aprobado por el supervisor.</v>
      </c>
      <c r="C114" s="316"/>
      <c r="D114" s="316"/>
      <c r="E114" s="317"/>
      <c r="F114" s="115" t="s">
        <v>140</v>
      </c>
      <c r="G114" s="116" t="str">
        <f>'FORMATO 13'!D17</f>
        <v>MES</v>
      </c>
    </row>
    <row r="115" spans="2:7" ht="60" customHeight="1" x14ac:dyDescent="0.3">
      <c r="B115" s="318"/>
      <c r="C115" s="319"/>
      <c r="D115" s="319"/>
      <c r="E115" s="320"/>
      <c r="F115" s="117" t="s">
        <v>141</v>
      </c>
      <c r="G115" s="155">
        <f>'FORMATO 13'!B17</f>
        <v>1.05</v>
      </c>
    </row>
    <row r="116" spans="2:7" x14ac:dyDescent="0.3">
      <c r="B116" s="118" t="s">
        <v>5</v>
      </c>
      <c r="C116" s="119" t="s">
        <v>92</v>
      </c>
      <c r="D116" s="119" t="s">
        <v>93</v>
      </c>
      <c r="E116" s="119" t="s">
        <v>142</v>
      </c>
      <c r="F116" s="120" t="s">
        <v>143</v>
      </c>
      <c r="G116" s="121" t="s">
        <v>10</v>
      </c>
    </row>
    <row r="117" spans="2:7" x14ac:dyDescent="0.3">
      <c r="B117" s="122"/>
      <c r="C117" s="123"/>
      <c r="D117" s="123"/>
      <c r="E117" s="124"/>
      <c r="F117" s="125"/>
      <c r="G117" s="126"/>
    </row>
    <row r="118" spans="2:7" x14ac:dyDescent="0.3">
      <c r="B118" s="127" t="s">
        <v>91</v>
      </c>
      <c r="C118" s="123"/>
      <c r="D118" s="123"/>
      <c r="E118" s="124"/>
      <c r="F118" s="125"/>
      <c r="G118" s="126"/>
    </row>
    <row r="119" spans="2:7" x14ac:dyDescent="0.3">
      <c r="B119" s="128" t="str">
        <f>INSUMOS!$B$13</f>
        <v>BOLSAS PARA BASURA</v>
      </c>
      <c r="C119" s="129" t="str">
        <f>INSUMOS!$C$13</f>
        <v>UND</v>
      </c>
      <c r="D119" s="129">
        <v>15</v>
      </c>
      <c r="E119" s="130">
        <v>0</v>
      </c>
      <c r="F119" s="131">
        <f>INSUMOS!$E$13</f>
        <v>2053</v>
      </c>
      <c r="G119" s="132">
        <f>TRUNC(D119 * (1 + E119 / 100) * F119,0)</f>
        <v>30795</v>
      </c>
    </row>
    <row r="120" spans="2:7" x14ac:dyDescent="0.3">
      <c r="B120" s="128" t="str">
        <f>INSUMOS!$B$18</f>
        <v>GUADAÑA</v>
      </c>
      <c r="C120" s="129" t="str">
        <f>INSUMOS!$C$18</f>
        <v>DIA</v>
      </c>
      <c r="D120" s="129">
        <v>2</v>
      </c>
      <c r="E120" s="130">
        <v>0</v>
      </c>
      <c r="F120" s="131">
        <f>INSUMOS!$E$18</f>
        <v>29774</v>
      </c>
      <c r="G120" s="132">
        <f t="shared" ref="G120:G121" si="5">TRUNC(D120 * (1 + E120 / 100) * F120,0)</f>
        <v>59548</v>
      </c>
    </row>
    <row r="121" spans="2:7" x14ac:dyDescent="0.3">
      <c r="B121" s="128" t="str">
        <f>INSUMOS!$B$19</f>
        <v>COADYUDANTE I-NEX A</v>
      </c>
      <c r="C121" s="129" t="str">
        <f>INSUMOS!$C$19</f>
        <v>GLB</v>
      </c>
      <c r="D121" s="129">
        <v>0.2</v>
      </c>
      <c r="E121" s="130">
        <v>0</v>
      </c>
      <c r="F121" s="131">
        <f>INSUMOS!$E$19</f>
        <v>55275</v>
      </c>
      <c r="G121" s="132">
        <f t="shared" si="5"/>
        <v>11055</v>
      </c>
    </row>
    <row r="122" spans="2:7" x14ac:dyDescent="0.3">
      <c r="B122" s="133"/>
      <c r="C122" s="134"/>
      <c r="D122" s="135"/>
      <c r="E122" s="136"/>
      <c r="F122" s="137"/>
      <c r="G122" s="138"/>
    </row>
    <row r="123" spans="2:7" x14ac:dyDescent="0.3">
      <c r="B123" s="122"/>
      <c r="C123" s="123"/>
      <c r="D123" s="123"/>
      <c r="E123" s="124"/>
      <c r="F123" s="125" t="s">
        <v>144</v>
      </c>
      <c r="G123" s="132">
        <f>SUM(G119:G122)</f>
        <v>101398</v>
      </c>
    </row>
    <row r="124" spans="2:7" x14ac:dyDescent="0.3">
      <c r="B124" s="127" t="s">
        <v>114</v>
      </c>
      <c r="C124" s="123"/>
      <c r="D124" s="123"/>
      <c r="E124" s="124"/>
      <c r="F124" s="125"/>
      <c r="G124" s="139"/>
    </row>
    <row r="125" spans="2:7" x14ac:dyDescent="0.3">
      <c r="B125" s="151" t="str">
        <f>INSUMOS!$B$72</f>
        <v>M.O. 1 OFICIAL + 1 AYUDANTES</v>
      </c>
      <c r="C125" s="129" t="str">
        <f>INSUMOS!$C$72</f>
        <v>JORNAL</v>
      </c>
      <c r="D125" s="129">
        <v>2</v>
      </c>
      <c r="E125" s="130"/>
      <c r="F125" s="140">
        <f>INSUMOS!$E$72</f>
        <v>308098</v>
      </c>
      <c r="G125" s="132">
        <f>TRUNC(D125 * (1 + E125 / 100) * F125,0)</f>
        <v>616196</v>
      </c>
    </row>
    <row r="126" spans="2:7" x14ac:dyDescent="0.3">
      <c r="B126" s="133"/>
      <c r="C126" s="134"/>
      <c r="D126" s="135"/>
      <c r="E126" s="136"/>
      <c r="F126" s="137"/>
      <c r="G126" s="141"/>
    </row>
    <row r="127" spans="2:7" x14ac:dyDescent="0.3">
      <c r="B127" s="122"/>
      <c r="C127" s="123"/>
      <c r="D127" s="123"/>
      <c r="E127" s="124"/>
      <c r="F127" s="125" t="s">
        <v>145</v>
      </c>
      <c r="G127" s="132">
        <f>SUM(G125:G126)</f>
        <v>616196</v>
      </c>
    </row>
    <row r="128" spans="2:7" x14ac:dyDescent="0.3">
      <c r="B128" s="127" t="s">
        <v>125</v>
      </c>
      <c r="C128" s="123"/>
      <c r="D128" s="123"/>
      <c r="E128" s="124"/>
      <c r="F128" s="125"/>
      <c r="G128" s="139"/>
    </row>
    <row r="129" spans="2:7" x14ac:dyDescent="0.3">
      <c r="B129" s="142" t="str">
        <f>INSUMOS!$B$87</f>
        <v>FUMIGADORA</v>
      </c>
      <c r="C129" s="143" t="str">
        <f>INSUMOS!$C$87</f>
        <v>JORNAL</v>
      </c>
      <c r="D129" s="123">
        <v>2</v>
      </c>
      <c r="E129" s="144"/>
      <c r="F129" s="145">
        <f>INSUMOS!$E$87</f>
        <v>10367</v>
      </c>
      <c r="G129" s="132">
        <f>TRUNC(D129 * (1 + E129 / 100) * F129,0)</f>
        <v>20734</v>
      </c>
    </row>
    <row r="130" spans="2:7" x14ac:dyDescent="0.3">
      <c r="B130" s="133"/>
      <c r="C130" s="134"/>
      <c r="D130" s="135"/>
      <c r="E130" s="136"/>
      <c r="F130" s="137"/>
      <c r="G130" s="141"/>
    </row>
    <row r="131" spans="2:7" x14ac:dyDescent="0.3">
      <c r="B131" s="122"/>
      <c r="C131" s="123"/>
      <c r="D131" s="123"/>
      <c r="E131" s="124"/>
      <c r="F131" s="125" t="s">
        <v>146</v>
      </c>
      <c r="G131" s="132">
        <f>SUM(G129:G130)</f>
        <v>20734</v>
      </c>
    </row>
    <row r="132" spans="2:7" x14ac:dyDescent="0.3">
      <c r="B132" s="127" t="s">
        <v>147</v>
      </c>
      <c r="C132" s="123"/>
      <c r="D132" s="123"/>
      <c r="E132" s="124"/>
      <c r="F132" s="125"/>
      <c r="G132" s="139"/>
    </row>
    <row r="133" spans="2:7" x14ac:dyDescent="0.3">
      <c r="B133" s="133" t="str">
        <f>INSUMOS!$B$84</f>
        <v>HERRAMIENTA MENOR</v>
      </c>
      <c r="C133" s="134" t="str">
        <f>INSUMOS!$C$84</f>
        <v>GLB</v>
      </c>
      <c r="D133" s="163">
        <v>27.923500000000001</v>
      </c>
      <c r="E133" s="136"/>
      <c r="F133" s="137">
        <f>INSUMOS!$E$84</f>
        <v>2174</v>
      </c>
      <c r="G133" s="132">
        <f>TRUNC(D133 * (1 + E133 / 100) * F133,0)</f>
        <v>60705</v>
      </c>
    </row>
    <row r="134" spans="2:7" x14ac:dyDescent="0.3">
      <c r="B134" s="133"/>
      <c r="C134" s="134"/>
      <c r="D134" s="135"/>
      <c r="E134" s="136"/>
      <c r="F134" s="137"/>
      <c r="G134" s="141"/>
    </row>
    <row r="135" spans="2:7" x14ac:dyDescent="0.3">
      <c r="B135" s="122"/>
      <c r="C135" s="123"/>
      <c r="D135" s="123"/>
      <c r="E135" s="124"/>
      <c r="F135" s="125" t="str">
        <f>"SUBTOTAL " &amp;B132</f>
        <v>SUBTOTAL OTROS</v>
      </c>
      <c r="G135" s="132">
        <f>SUM(G133:G134)</f>
        <v>60705</v>
      </c>
    </row>
    <row r="136" spans="2:7" x14ac:dyDescent="0.3">
      <c r="B136" s="122"/>
      <c r="C136" s="123"/>
      <c r="D136" s="123"/>
      <c r="E136" s="124"/>
      <c r="F136" s="125"/>
      <c r="G136" s="126"/>
    </row>
    <row r="137" spans="2:7" ht="15" thickBot="1" x14ac:dyDescent="0.35">
      <c r="B137" s="146"/>
      <c r="C137" s="147"/>
      <c r="D137" s="166"/>
      <c r="E137" s="148" t="s">
        <v>148</v>
      </c>
      <c r="F137" s="149"/>
      <c r="G137" s="150">
        <f>ROUND(G123+G127+G131+G135,0)</f>
        <v>799033</v>
      </c>
    </row>
    <row r="138" spans="2:7" ht="15.6" thickTop="1" thickBot="1" x14ac:dyDescent="0.35"/>
    <row r="139" spans="2:7" ht="30" customHeight="1" thickTop="1" x14ac:dyDescent="0.3">
      <c r="B139" s="315" t="str">
        <f>'FORMATO 13'!C18</f>
        <v xml:space="preserve">FERTILIZACIÓN: Proporcionar los nutrientes necesarios para el crecimiento óptimo del césped.  Se debe hacer alternada, liquida y granular. Una vez cada diez (10) días a toda la gramilla. La frecuencia puede variar de acuerdo con el análisis y estudio de suelos o de acuerdo con las indicaciones de la supervisión.  Incluye los insumos o abonos químicos o biológicos, mano de obra, equipos y herramientas necesarias para su correcta ejecución. </v>
      </c>
      <c r="C139" s="316"/>
      <c r="D139" s="316"/>
      <c r="E139" s="317"/>
      <c r="F139" s="115" t="s">
        <v>140</v>
      </c>
      <c r="G139" s="116" t="str">
        <f>'FORMATO 13'!D18</f>
        <v>VECES</v>
      </c>
    </row>
    <row r="140" spans="2:7" ht="30" customHeight="1" x14ac:dyDescent="0.3">
      <c r="B140" s="318"/>
      <c r="C140" s="319"/>
      <c r="D140" s="319"/>
      <c r="E140" s="320"/>
      <c r="F140" s="117" t="s">
        <v>141</v>
      </c>
      <c r="G140" s="155">
        <f>'FORMATO 13'!B18</f>
        <v>1.06</v>
      </c>
    </row>
    <row r="141" spans="2:7" x14ac:dyDescent="0.3">
      <c r="B141" s="118" t="s">
        <v>5</v>
      </c>
      <c r="C141" s="119" t="s">
        <v>92</v>
      </c>
      <c r="D141" s="119" t="s">
        <v>93</v>
      </c>
      <c r="E141" s="119" t="s">
        <v>142</v>
      </c>
      <c r="F141" s="120" t="s">
        <v>143</v>
      </c>
      <c r="G141" s="121" t="s">
        <v>10</v>
      </c>
    </row>
    <row r="142" spans="2:7" x14ac:dyDescent="0.3">
      <c r="B142" s="122"/>
      <c r="C142" s="123"/>
      <c r="D142" s="123"/>
      <c r="E142" s="124"/>
      <c r="F142" s="125"/>
      <c r="G142" s="126"/>
    </row>
    <row r="143" spans="2:7" x14ac:dyDescent="0.3">
      <c r="B143" s="127" t="s">
        <v>91</v>
      </c>
      <c r="C143" s="123"/>
      <c r="D143" s="123"/>
      <c r="E143" s="124"/>
      <c r="F143" s="125"/>
      <c r="G143" s="126"/>
    </row>
    <row r="144" spans="2:7" x14ac:dyDescent="0.3">
      <c r="B144" s="128" t="str">
        <f>INSUMOS!$B$20</f>
        <v>ISABION</v>
      </c>
      <c r="C144" s="129" t="str">
        <f>INSUMOS!$C$20</f>
        <v>LITRO</v>
      </c>
      <c r="D144" s="129">
        <v>4</v>
      </c>
      <c r="E144" s="130">
        <v>0</v>
      </c>
      <c r="F144" s="131">
        <f>INSUMOS!$E$20</f>
        <v>78389</v>
      </c>
      <c r="G144" s="132">
        <f>TRUNC(D144 * (1 + E144 / 100) * F144,0)</f>
        <v>313556</v>
      </c>
    </row>
    <row r="145" spans="2:7" x14ac:dyDescent="0.3">
      <c r="B145" s="128" t="str">
        <f>INSUMOS!$B$21</f>
        <v>POLY FEED TRIPLE 19</v>
      </c>
      <c r="C145" s="129" t="str">
        <f>INSUMOS!$C$21</f>
        <v>KG</v>
      </c>
      <c r="D145" s="129">
        <v>60</v>
      </c>
      <c r="E145" s="130">
        <v>0</v>
      </c>
      <c r="F145" s="131">
        <f>INSUMOS!$E$21</f>
        <v>9497</v>
      </c>
      <c r="G145" s="132">
        <f t="shared" ref="G145:G149" si="6">TRUNC(D145 * (1 + E145 / 100) * F145,0)</f>
        <v>569820</v>
      </c>
    </row>
    <row r="146" spans="2:7" x14ac:dyDescent="0.3">
      <c r="B146" s="128" t="str">
        <f>INSUMOS!$B$22</f>
        <v>NITRATO DE CALICO</v>
      </c>
      <c r="C146" s="129" t="str">
        <f>INSUMOS!$C$22</f>
        <v>KG</v>
      </c>
      <c r="D146" s="129">
        <v>30</v>
      </c>
      <c r="E146" s="130">
        <v>0</v>
      </c>
      <c r="F146" s="131">
        <f>INSUMOS!$E$22</f>
        <v>5875</v>
      </c>
      <c r="G146" s="132">
        <f t="shared" si="6"/>
        <v>176250</v>
      </c>
    </row>
    <row r="147" spans="2:7" x14ac:dyDescent="0.3">
      <c r="B147" s="128" t="str">
        <f>INSUMOS!$B$23</f>
        <v>KELATO DE HIERRO</v>
      </c>
      <c r="C147" s="129" t="str">
        <f>INSUMOS!$C$23</f>
        <v>KG</v>
      </c>
      <c r="D147" s="129">
        <v>1</v>
      </c>
      <c r="E147" s="130">
        <v>0</v>
      </c>
      <c r="F147" s="131">
        <f>INSUMOS!$E$23</f>
        <v>63314</v>
      </c>
      <c r="G147" s="132">
        <f t="shared" si="6"/>
        <v>63314</v>
      </c>
    </row>
    <row r="148" spans="2:7" x14ac:dyDescent="0.3">
      <c r="B148" s="128" t="str">
        <f>INSUMOS!$B$24</f>
        <v>KELATO DE MAGNESIO</v>
      </c>
      <c r="C148" s="129" t="str">
        <f>INSUMOS!$C$24</f>
        <v>KG</v>
      </c>
      <c r="D148" s="129">
        <v>1</v>
      </c>
      <c r="E148" s="130">
        <v>0</v>
      </c>
      <c r="F148" s="131">
        <f>INSUMOS!$E$24</f>
        <v>58039</v>
      </c>
      <c r="G148" s="132">
        <f t="shared" si="6"/>
        <v>58039</v>
      </c>
    </row>
    <row r="149" spans="2:7" x14ac:dyDescent="0.3">
      <c r="B149" s="128" t="str">
        <f>INSUMOS!$B$25</f>
        <v>ALGAS MARINAS</v>
      </c>
      <c r="C149" s="129" t="str">
        <f>INSUMOS!$C$25</f>
        <v>KG</v>
      </c>
      <c r="D149" s="129">
        <v>1</v>
      </c>
      <c r="E149" s="130">
        <v>0</v>
      </c>
      <c r="F149" s="131">
        <f>INSUMOS!$E$25</f>
        <v>252253</v>
      </c>
      <c r="G149" s="132">
        <f t="shared" si="6"/>
        <v>252253</v>
      </c>
    </row>
    <row r="150" spans="2:7" x14ac:dyDescent="0.3">
      <c r="B150" s="133"/>
      <c r="C150" s="134"/>
      <c r="D150" s="135"/>
      <c r="E150" s="136"/>
      <c r="F150" s="137"/>
      <c r="G150" s="138"/>
    </row>
    <row r="151" spans="2:7" x14ac:dyDescent="0.3">
      <c r="B151" s="122"/>
      <c r="C151" s="123"/>
      <c r="D151" s="123"/>
      <c r="E151" s="124"/>
      <c r="F151" s="125" t="s">
        <v>144</v>
      </c>
      <c r="G151" s="132">
        <f>SUM(G144:G150)</f>
        <v>1433232</v>
      </c>
    </row>
    <row r="152" spans="2:7" x14ac:dyDescent="0.3">
      <c r="B152" s="127" t="s">
        <v>114</v>
      </c>
      <c r="C152" s="123"/>
      <c r="D152" s="123"/>
      <c r="E152" s="124"/>
      <c r="F152" s="125"/>
      <c r="G152" s="139"/>
    </row>
    <row r="153" spans="2:7" x14ac:dyDescent="0.3">
      <c r="B153" s="151" t="str">
        <f>INSUMOS!$B$72</f>
        <v>M.O. 1 OFICIAL + 1 AYUDANTES</v>
      </c>
      <c r="C153" s="129" t="str">
        <f>INSUMOS!$C$72</f>
        <v>JORNAL</v>
      </c>
      <c r="D153" s="129">
        <v>1</v>
      </c>
      <c r="E153" s="130"/>
      <c r="F153" s="140">
        <f>INSUMOS!$E$72</f>
        <v>308098</v>
      </c>
      <c r="G153" s="132">
        <f>TRUNC(D153 * (1 + E153 / 100) * F153,0)</f>
        <v>308098</v>
      </c>
    </row>
    <row r="154" spans="2:7" x14ac:dyDescent="0.3">
      <c r="B154" s="151" t="str">
        <f>INSUMOS!$B$78</f>
        <v>INGENIERO AGRONOMO</v>
      </c>
      <c r="C154" s="129" t="str">
        <f>INSUMOS!$C$78</f>
        <v>JORNAL</v>
      </c>
      <c r="D154" s="129">
        <v>1</v>
      </c>
      <c r="E154" s="130"/>
      <c r="F154" s="140">
        <f>INSUMOS!$E$78</f>
        <v>236291</v>
      </c>
      <c r="G154" s="132">
        <f>TRUNC(D154 * (1 + E154 / 100) * F154,0)</f>
        <v>236291</v>
      </c>
    </row>
    <row r="155" spans="2:7" x14ac:dyDescent="0.3">
      <c r="B155" s="133"/>
      <c r="C155" s="134"/>
      <c r="D155" s="135"/>
      <c r="E155" s="136"/>
      <c r="F155" s="137"/>
      <c r="G155" s="141"/>
    </row>
    <row r="156" spans="2:7" x14ac:dyDescent="0.3">
      <c r="B156" s="122"/>
      <c r="C156" s="123"/>
      <c r="D156" s="123"/>
      <c r="E156" s="124"/>
      <c r="F156" s="125" t="s">
        <v>145</v>
      </c>
      <c r="G156" s="132">
        <f>SUM(G153:G155)</f>
        <v>544389</v>
      </c>
    </row>
    <row r="157" spans="2:7" x14ac:dyDescent="0.3">
      <c r="B157" s="127" t="s">
        <v>125</v>
      </c>
      <c r="C157" s="123"/>
      <c r="D157" s="123"/>
      <c r="E157" s="124"/>
      <c r="F157" s="125"/>
      <c r="G157" s="139"/>
    </row>
    <row r="158" spans="2:7" x14ac:dyDescent="0.3">
      <c r="B158" s="133"/>
      <c r="C158" s="134"/>
      <c r="D158" s="135"/>
      <c r="E158" s="136"/>
      <c r="F158" s="137"/>
      <c r="G158" s="141"/>
    </row>
    <row r="159" spans="2:7" x14ac:dyDescent="0.3">
      <c r="B159" s="122"/>
      <c r="C159" s="123"/>
      <c r="D159" s="123"/>
      <c r="E159" s="124"/>
      <c r="F159" s="125" t="s">
        <v>146</v>
      </c>
      <c r="G159" s="132">
        <f>SUM(G158:G158)</f>
        <v>0</v>
      </c>
    </row>
    <row r="160" spans="2:7" x14ac:dyDescent="0.3">
      <c r="B160" s="127" t="s">
        <v>147</v>
      </c>
      <c r="C160" s="123"/>
      <c r="D160" s="123"/>
      <c r="E160" s="124"/>
      <c r="F160" s="125"/>
      <c r="G160" s="139"/>
    </row>
    <row r="161" spans="2:7" x14ac:dyDescent="0.3">
      <c r="B161" s="133" t="str">
        <f>INSUMOS!$B$84</f>
        <v>HERRAMIENTA MENOR</v>
      </c>
      <c r="C161" s="134" t="str">
        <f>INSUMOS!$C$84</f>
        <v>GLB</v>
      </c>
      <c r="D161" s="163">
        <v>14.43</v>
      </c>
      <c r="E161" s="136"/>
      <c r="F161" s="137">
        <f>INSUMOS!$E$84</f>
        <v>2174</v>
      </c>
      <c r="G161" s="132">
        <f>TRUNC(D161 * (1 + E161 / 100) * F161,0)</f>
        <v>31370</v>
      </c>
    </row>
    <row r="162" spans="2:7" x14ac:dyDescent="0.3">
      <c r="B162" s="133"/>
      <c r="C162" s="134"/>
      <c r="D162" s="135"/>
      <c r="E162" s="136"/>
      <c r="F162" s="137"/>
      <c r="G162" s="141"/>
    </row>
    <row r="163" spans="2:7" x14ac:dyDescent="0.3">
      <c r="B163" s="122"/>
      <c r="C163" s="123"/>
      <c r="D163" s="123"/>
      <c r="E163" s="124"/>
      <c r="F163" s="125" t="str">
        <f>"SUBTOTAL " &amp;B160</f>
        <v>SUBTOTAL OTROS</v>
      </c>
      <c r="G163" s="132">
        <f>SUM(G161:G162)</f>
        <v>31370</v>
      </c>
    </row>
    <row r="164" spans="2:7" x14ac:dyDescent="0.3">
      <c r="B164" s="122"/>
      <c r="C164" s="123"/>
      <c r="D164" s="123"/>
      <c r="E164" s="124"/>
      <c r="F164" s="125"/>
      <c r="G164" s="126"/>
    </row>
    <row r="165" spans="2:7" ht="15" thickBot="1" x14ac:dyDescent="0.35">
      <c r="B165" s="146"/>
      <c r="C165" s="147"/>
      <c r="D165" s="166"/>
      <c r="E165" s="148" t="s">
        <v>148</v>
      </c>
      <c r="F165" s="149"/>
      <c r="G165" s="150">
        <f>ROUND(G151+G156+G159+G163,0)</f>
        <v>2008991</v>
      </c>
    </row>
    <row r="166" spans="2:7" ht="15.6" thickTop="1" thickBot="1" x14ac:dyDescent="0.35"/>
    <row r="167" spans="2:7" ht="49.95" customHeight="1" thickTop="1" x14ac:dyDescent="0.3">
      <c r="B167" s="315" t="str">
        <f>'FORMATO 13'!C19</f>
        <v>CONTROL DE PLAGAS Y ENFERMEDADES: Monitorear y controlar las  plagas y enfermedades que puedan afectar elcampo de juego híbrido: Aplicación de micorrizas líquidas y entomopatógenos líquidos (trichoderma, beauveria baussiana, facelomicis v bacilus turigencis). Siguiendo las indicaciones de la supervisión, interventoría o recomendaciones del contratista, debidamente aprobadas por el supervisor. Incluye los insumos biológicos, mano de obra, equipos y herramientas necesarias para su correcta ejecución.</v>
      </c>
      <c r="C167" s="316"/>
      <c r="D167" s="316"/>
      <c r="E167" s="317"/>
      <c r="F167" s="115" t="s">
        <v>140</v>
      </c>
      <c r="G167" s="116" t="str">
        <f>'FORMATO 13'!D19</f>
        <v>VECES</v>
      </c>
    </row>
    <row r="168" spans="2:7" ht="49.95" customHeight="1" x14ac:dyDescent="0.3">
      <c r="B168" s="318"/>
      <c r="C168" s="319"/>
      <c r="D168" s="319"/>
      <c r="E168" s="320"/>
      <c r="F168" s="117" t="s">
        <v>141</v>
      </c>
      <c r="G168" s="155">
        <f>'FORMATO 13'!B19</f>
        <v>1.07</v>
      </c>
    </row>
    <row r="169" spans="2:7" x14ac:dyDescent="0.3">
      <c r="B169" s="118" t="s">
        <v>5</v>
      </c>
      <c r="C169" s="119" t="s">
        <v>92</v>
      </c>
      <c r="D169" s="119" t="s">
        <v>93</v>
      </c>
      <c r="E169" s="119" t="s">
        <v>142</v>
      </c>
      <c r="F169" s="120" t="s">
        <v>143</v>
      </c>
      <c r="G169" s="121" t="s">
        <v>10</v>
      </c>
    </row>
    <row r="170" spans="2:7" x14ac:dyDescent="0.3">
      <c r="B170" s="122"/>
      <c r="C170" s="123"/>
      <c r="D170" s="123"/>
      <c r="E170" s="124"/>
      <c r="F170" s="125"/>
      <c r="G170" s="126"/>
    </row>
    <row r="171" spans="2:7" x14ac:dyDescent="0.3">
      <c r="B171" s="127" t="s">
        <v>91</v>
      </c>
      <c r="C171" s="123"/>
      <c r="D171" s="123"/>
      <c r="E171" s="124"/>
      <c r="F171" s="125"/>
      <c r="G171" s="126"/>
    </row>
    <row r="172" spans="2:7" x14ac:dyDescent="0.3">
      <c r="B172" s="128" t="str">
        <f>INSUMOS!$B$26</f>
        <v>MICORRIZAS</v>
      </c>
      <c r="C172" s="129" t="str">
        <f>INSUMOS!$C$26</f>
        <v>LITRO</v>
      </c>
      <c r="D172" s="129">
        <v>2</v>
      </c>
      <c r="E172" s="130">
        <v>0</v>
      </c>
      <c r="F172" s="131">
        <f>INSUMOS!$E$26</f>
        <v>59294</v>
      </c>
      <c r="G172" s="132">
        <f>TRUNC(D172 * (1 + E172 / 100) * F172,0)</f>
        <v>118588</v>
      </c>
    </row>
    <row r="173" spans="2:7" x14ac:dyDescent="0.3">
      <c r="B173" s="128" t="str">
        <f>INSUMOS!$B$27</f>
        <v>TRICHODERMA</v>
      </c>
      <c r="C173" s="129" t="str">
        <f>INSUMOS!$C$27</f>
        <v>LITRO</v>
      </c>
      <c r="D173" s="129">
        <v>3</v>
      </c>
      <c r="E173" s="130">
        <v>0</v>
      </c>
      <c r="F173" s="131">
        <f>INSUMOS!$E$27</f>
        <v>70349</v>
      </c>
      <c r="G173" s="132">
        <f t="shared" ref="G173:G177" si="7">TRUNC(D173 * (1 + E173 / 100) * F173,0)</f>
        <v>211047</v>
      </c>
    </row>
    <row r="174" spans="2:7" x14ac:dyDescent="0.3">
      <c r="B174" s="128" t="str">
        <f>INSUMOS!$B$28</f>
        <v>BEAUVERIA BAUSSINIA</v>
      </c>
      <c r="C174" s="129" t="str">
        <f>INSUMOS!$C$28</f>
        <v>LITRO</v>
      </c>
      <c r="D174" s="129">
        <v>2</v>
      </c>
      <c r="E174" s="130">
        <v>0</v>
      </c>
      <c r="F174" s="131">
        <f>INSUMOS!$E$28</f>
        <v>48240</v>
      </c>
      <c r="G174" s="132">
        <f t="shared" si="7"/>
        <v>96480</v>
      </c>
    </row>
    <row r="175" spans="2:7" x14ac:dyDescent="0.3">
      <c r="B175" s="128" t="str">
        <f>INSUMOS!$B$29</f>
        <v>FACELOMICIS</v>
      </c>
      <c r="C175" s="129" t="str">
        <f>INSUMOS!$C$29</f>
        <v>LITRO</v>
      </c>
      <c r="D175" s="129">
        <v>2</v>
      </c>
      <c r="E175" s="130">
        <v>0</v>
      </c>
      <c r="F175" s="131">
        <f>INSUMOS!$E$29</f>
        <v>45224</v>
      </c>
      <c r="G175" s="132">
        <f t="shared" si="7"/>
        <v>90448</v>
      </c>
    </row>
    <row r="176" spans="2:7" x14ac:dyDescent="0.3">
      <c r="B176" s="128" t="str">
        <f>INSUMOS!$B$30</f>
        <v>VTACILUS TURIGENCIS</v>
      </c>
      <c r="C176" s="129" t="str">
        <f>INSUMOS!$C$30</f>
        <v>LITRO</v>
      </c>
      <c r="D176" s="129">
        <v>2</v>
      </c>
      <c r="E176" s="130">
        <v>0</v>
      </c>
      <c r="F176" s="131">
        <f>INSUMOS!$E$30</f>
        <v>32659</v>
      </c>
      <c r="G176" s="132">
        <f t="shared" si="7"/>
        <v>65318</v>
      </c>
    </row>
    <row r="177" spans="2:7" x14ac:dyDescent="0.3">
      <c r="B177" s="128" t="str">
        <f>INSUMOS!$B$31</f>
        <v>AMISTAR TOP</v>
      </c>
      <c r="C177" s="129" t="str">
        <f>INSUMOS!$C$31</f>
        <v>LITRO</v>
      </c>
      <c r="D177" s="129">
        <v>2</v>
      </c>
      <c r="E177" s="130">
        <v>0</v>
      </c>
      <c r="F177" s="131">
        <f>INSUMOS!$E$31</f>
        <v>84281</v>
      </c>
      <c r="G177" s="132">
        <f t="shared" si="7"/>
        <v>168562</v>
      </c>
    </row>
    <row r="178" spans="2:7" x14ac:dyDescent="0.3">
      <c r="B178" s="133"/>
      <c r="C178" s="134"/>
      <c r="D178" s="135"/>
      <c r="E178" s="136"/>
      <c r="F178" s="137"/>
      <c r="G178" s="138"/>
    </row>
    <row r="179" spans="2:7" x14ac:dyDescent="0.3">
      <c r="B179" s="122"/>
      <c r="C179" s="123"/>
      <c r="D179" s="123"/>
      <c r="E179" s="124"/>
      <c r="F179" s="125" t="s">
        <v>144</v>
      </c>
      <c r="G179" s="132">
        <f>SUM(G172:G178)</f>
        <v>750443</v>
      </c>
    </row>
    <row r="180" spans="2:7" x14ac:dyDescent="0.3">
      <c r="B180" s="127" t="s">
        <v>114</v>
      </c>
      <c r="C180" s="123"/>
      <c r="D180" s="123"/>
      <c r="E180" s="124"/>
      <c r="F180" s="125"/>
      <c r="G180" s="139"/>
    </row>
    <row r="181" spans="2:7" x14ac:dyDescent="0.3">
      <c r="B181" s="151" t="str">
        <f>INSUMOS!$B$73</f>
        <v>M.O. 1 OFICIAL + 2 AYUDANTES</v>
      </c>
      <c r="C181" s="129" t="str">
        <f>INSUMOS!$C$73</f>
        <v>JORNAL</v>
      </c>
      <c r="D181" s="129">
        <v>1</v>
      </c>
      <c r="E181" s="130"/>
      <c r="F181" s="140">
        <f>INSUMOS!$E$73</f>
        <v>422209</v>
      </c>
      <c r="G181" s="132">
        <f>TRUNC(D181 * (1 + E181 / 100) * F181,0)</f>
        <v>422209</v>
      </c>
    </row>
    <row r="182" spans="2:7" x14ac:dyDescent="0.3">
      <c r="B182" s="151" t="str">
        <f>INSUMOS!$B$78</f>
        <v>INGENIERO AGRONOMO</v>
      </c>
      <c r="C182" s="129" t="str">
        <f>INSUMOS!$C$78</f>
        <v>JORNAL</v>
      </c>
      <c r="D182" s="129">
        <v>1</v>
      </c>
      <c r="E182" s="130"/>
      <c r="F182" s="140">
        <f>INSUMOS!$E$78</f>
        <v>236291</v>
      </c>
      <c r="G182" s="132">
        <f>TRUNC(D182 * (1 + E182 / 100) * F182,0)</f>
        <v>236291</v>
      </c>
    </row>
    <row r="183" spans="2:7" x14ac:dyDescent="0.3">
      <c r="B183" s="133"/>
      <c r="C183" s="134"/>
      <c r="D183" s="135"/>
      <c r="E183" s="136"/>
      <c r="F183" s="137"/>
      <c r="G183" s="141"/>
    </row>
    <row r="184" spans="2:7" x14ac:dyDescent="0.3">
      <c r="B184" s="122"/>
      <c r="C184" s="123"/>
      <c r="D184" s="123"/>
      <c r="E184" s="124"/>
      <c r="F184" s="125" t="s">
        <v>145</v>
      </c>
      <c r="G184" s="132">
        <f>SUM(G181:G183)</f>
        <v>658500</v>
      </c>
    </row>
    <row r="185" spans="2:7" x14ac:dyDescent="0.3">
      <c r="B185" s="127" t="s">
        <v>125</v>
      </c>
      <c r="C185" s="123"/>
      <c r="D185" s="123"/>
      <c r="E185" s="124"/>
      <c r="F185" s="125"/>
      <c r="G185" s="139"/>
    </row>
    <row r="186" spans="2:7" x14ac:dyDescent="0.3">
      <c r="B186" s="133"/>
      <c r="C186" s="134"/>
      <c r="D186" s="135"/>
      <c r="E186" s="136"/>
      <c r="F186" s="137"/>
      <c r="G186" s="141"/>
    </row>
    <row r="187" spans="2:7" x14ac:dyDescent="0.3">
      <c r="B187" s="122"/>
      <c r="C187" s="123"/>
      <c r="D187" s="123"/>
      <c r="E187" s="124"/>
      <c r="F187" s="125" t="s">
        <v>146</v>
      </c>
      <c r="G187" s="132">
        <f>SUM(G186:G186)</f>
        <v>0</v>
      </c>
    </row>
    <row r="188" spans="2:7" x14ac:dyDescent="0.3">
      <c r="B188" s="127" t="s">
        <v>147</v>
      </c>
      <c r="C188" s="123"/>
      <c r="D188" s="123"/>
      <c r="E188" s="124"/>
      <c r="F188" s="125"/>
      <c r="G188" s="139"/>
    </row>
    <row r="189" spans="2:7" x14ac:dyDescent="0.3">
      <c r="B189" s="133" t="str">
        <f>INSUMOS!$B$84</f>
        <v>HERRAMIENTA MENOR</v>
      </c>
      <c r="C189" s="134" t="str">
        <f>INSUMOS!$C$84</f>
        <v>GLB</v>
      </c>
      <c r="D189" s="163">
        <v>31.846299999999999</v>
      </c>
      <c r="E189" s="136"/>
      <c r="F189" s="137">
        <f>INSUMOS!$E$84</f>
        <v>2174</v>
      </c>
      <c r="G189" s="132">
        <f>TRUNC(D189 * (1 + E189 / 100) * F189,0)</f>
        <v>69233</v>
      </c>
    </row>
    <row r="190" spans="2:7" x14ac:dyDescent="0.3">
      <c r="B190" s="133"/>
      <c r="C190" s="134"/>
      <c r="D190" s="135"/>
      <c r="E190" s="136"/>
      <c r="F190" s="137"/>
      <c r="G190" s="141"/>
    </row>
    <row r="191" spans="2:7" x14ac:dyDescent="0.3">
      <c r="B191" s="122"/>
      <c r="C191" s="123"/>
      <c r="D191" s="123"/>
      <c r="E191" s="124"/>
      <c r="F191" s="125" t="str">
        <f>"SUBTOTAL " &amp;B188</f>
        <v>SUBTOTAL OTROS</v>
      </c>
      <c r="G191" s="132">
        <f>SUM(G189:G190)</f>
        <v>69233</v>
      </c>
    </row>
    <row r="192" spans="2:7" x14ac:dyDescent="0.3">
      <c r="B192" s="122"/>
      <c r="C192" s="123"/>
      <c r="D192" s="123"/>
      <c r="E192" s="124"/>
      <c r="F192" s="125"/>
      <c r="G192" s="126"/>
    </row>
    <row r="193" spans="2:7" ht="15" thickBot="1" x14ac:dyDescent="0.35">
      <c r="B193" s="146"/>
      <c r="C193" s="147"/>
      <c r="D193" s="166"/>
      <c r="E193" s="148" t="s">
        <v>148</v>
      </c>
      <c r="F193" s="149"/>
      <c r="G193" s="150">
        <f>ROUND(G179+G184+G187+G191,0)</f>
        <v>1478176</v>
      </c>
    </row>
    <row r="194" spans="2:7" ht="15.6" thickTop="1" thickBot="1" x14ac:dyDescent="0.35"/>
    <row r="195" spans="2:7" ht="90" customHeight="1" thickTop="1" x14ac:dyDescent="0.3">
      <c r="B195" s="315" t="str">
        <f>'FORMATO 13'!C20</f>
        <v>AIREACIÓN CON PINES SÓLIDOS: Mejorar la circulación de aire y la penetración de agua y nutrientes en el suelo. Se debe realizar la aireación con pines sólidos una (1) vez cada 7 días o de acuerdo con las indicaciones de la supervisión y/o interventoría y/o recomendación del contratista, debidamente aprobadas por el supervisor. Se debe realizar la aireación con pines sólidos de 20 cm. Incluye, todos los materiales e insumos para su óptimo funcionamiento, operarios, herramienta menor y la recolección y disposición adecuada de los residuos. La maquinaria especializada tipo Aireador auto-propulsado o de toma fuerza hidráulico, con chuzos intercambiables de '/2” ó 3/4 “, que garantice profundidad mínima de 15 cm. para esta actividad la maquinaria es provista por la entidad y deberá ser usada para el aireación con pines sólidos. En algunos casos se deberá medir la compactación del suelo con el penetrometro antes de realizar la aireación. Nota: Deberá garantizar el buen funcionamiento de la máquina durante la ejecución del contrato y deberá ser devuelta a la entidad en las mismas condiciones en las que fue entregada, asumiendo los costos asociados para este fin.</v>
      </c>
      <c r="C195" s="316"/>
      <c r="D195" s="316"/>
      <c r="E195" s="317"/>
      <c r="F195" s="115" t="s">
        <v>140</v>
      </c>
      <c r="G195" s="116" t="str">
        <f>'FORMATO 13'!D20</f>
        <v>VECES</v>
      </c>
    </row>
    <row r="196" spans="2:7" ht="90" customHeight="1" x14ac:dyDescent="0.3">
      <c r="B196" s="318"/>
      <c r="C196" s="319"/>
      <c r="D196" s="319"/>
      <c r="E196" s="320"/>
      <c r="F196" s="117" t="s">
        <v>141</v>
      </c>
      <c r="G196" s="155">
        <f>'FORMATO 13'!B20</f>
        <v>1.08</v>
      </c>
    </row>
    <row r="197" spans="2:7" x14ac:dyDescent="0.3">
      <c r="B197" s="118" t="s">
        <v>5</v>
      </c>
      <c r="C197" s="119" t="s">
        <v>92</v>
      </c>
      <c r="D197" s="119" t="s">
        <v>93</v>
      </c>
      <c r="E197" s="119" t="s">
        <v>142</v>
      </c>
      <c r="F197" s="120" t="s">
        <v>143</v>
      </c>
      <c r="G197" s="121" t="s">
        <v>10</v>
      </c>
    </row>
    <row r="198" spans="2:7" x14ac:dyDescent="0.3">
      <c r="B198" s="122"/>
      <c r="C198" s="123"/>
      <c r="D198" s="123"/>
      <c r="E198" s="124"/>
      <c r="F198" s="125"/>
      <c r="G198" s="126"/>
    </row>
    <row r="199" spans="2:7" x14ac:dyDescent="0.3">
      <c r="B199" s="127" t="s">
        <v>91</v>
      </c>
      <c r="C199" s="123"/>
      <c r="D199" s="123"/>
      <c r="E199" s="124"/>
      <c r="F199" s="125"/>
      <c r="G199" s="126"/>
    </row>
    <row r="200" spans="2:7" x14ac:dyDescent="0.3">
      <c r="B200" s="151" t="str">
        <f>INSUMOS!$B$11</f>
        <v>GASOLINA CORRIENTE</v>
      </c>
      <c r="C200" s="129" t="str">
        <f>INSUMOS!$C$11</f>
        <v>GLN</v>
      </c>
      <c r="D200" s="129">
        <v>2</v>
      </c>
      <c r="E200" s="130">
        <v>0</v>
      </c>
      <c r="F200" s="131">
        <f>INSUMOS!$E$11</f>
        <v>16423</v>
      </c>
      <c r="G200" s="132">
        <f>TRUNC(D200 * (1 + E200 / 100) * F200,0)</f>
        <v>32846</v>
      </c>
    </row>
    <row r="201" spans="2:7" x14ac:dyDescent="0.3">
      <c r="B201" s="128" t="str">
        <f>INSUMOS!$B$12</f>
        <v>ACEITE MOTOR 4 TIEMPOS</v>
      </c>
      <c r="C201" s="129" t="str">
        <f>INSUMOS!$C$12</f>
        <v>GLN</v>
      </c>
      <c r="D201" s="129">
        <v>0.01</v>
      </c>
      <c r="E201" s="130">
        <v>0</v>
      </c>
      <c r="F201" s="131">
        <f>INSUMOS!$E$12</f>
        <v>114944</v>
      </c>
      <c r="G201" s="132">
        <f t="shared" ref="G201:G202" si="8">TRUNC(D201 * (1 + E201 / 100) * F201,0)</f>
        <v>1149</v>
      </c>
    </row>
    <row r="202" spans="2:7" x14ac:dyDescent="0.3">
      <c r="B202" s="128" t="str">
        <f>INSUMOS!$B$32</f>
        <v>JUEGO DE PINES SOLIDOS</v>
      </c>
      <c r="C202" s="129" t="str">
        <f>INSUMOS!$C$32</f>
        <v>UND</v>
      </c>
      <c r="D202" s="168">
        <v>0.05</v>
      </c>
      <c r="E202" s="130">
        <v>0</v>
      </c>
      <c r="F202" s="131">
        <f>INSUMOS!$E$32</f>
        <v>321598</v>
      </c>
      <c r="G202" s="132">
        <f t="shared" si="8"/>
        <v>16079</v>
      </c>
    </row>
    <row r="203" spans="2:7" x14ac:dyDescent="0.3">
      <c r="B203" s="133"/>
      <c r="C203" s="134"/>
      <c r="D203" s="135"/>
      <c r="E203" s="136"/>
      <c r="F203" s="137"/>
      <c r="G203" s="138"/>
    </row>
    <row r="204" spans="2:7" x14ac:dyDescent="0.3">
      <c r="B204" s="122"/>
      <c r="C204" s="123"/>
      <c r="D204" s="123"/>
      <c r="E204" s="124"/>
      <c r="F204" s="125" t="s">
        <v>144</v>
      </c>
      <c r="G204" s="132">
        <f>SUM(G200:G203)</f>
        <v>50074</v>
      </c>
    </row>
    <row r="205" spans="2:7" x14ac:dyDescent="0.3">
      <c r="B205" s="127" t="s">
        <v>114</v>
      </c>
      <c r="C205" s="123"/>
      <c r="D205" s="123"/>
      <c r="E205" s="124"/>
      <c r="F205" s="125"/>
      <c r="G205" s="139"/>
    </row>
    <row r="206" spans="2:7" x14ac:dyDescent="0.3">
      <c r="B206" s="151" t="str">
        <f>INSUMOS!$B$72</f>
        <v>M.O. 1 OFICIAL + 1 AYUDANTES</v>
      </c>
      <c r="C206" s="129" t="str">
        <f>INSUMOS!$C$72</f>
        <v>JORNAL</v>
      </c>
      <c r="D206" s="129">
        <v>1</v>
      </c>
      <c r="E206" s="130"/>
      <c r="F206" s="140">
        <f>INSUMOS!$E$72</f>
        <v>308098</v>
      </c>
      <c r="G206" s="132">
        <f>TRUNC(D206 * (1 + E206 / 100) * F206,0)</f>
        <v>308098</v>
      </c>
    </row>
    <row r="207" spans="2:7" x14ac:dyDescent="0.3">
      <c r="B207" s="133"/>
      <c r="C207" s="134"/>
      <c r="D207" s="135"/>
      <c r="E207" s="136"/>
      <c r="F207" s="137"/>
      <c r="G207" s="141"/>
    </row>
    <row r="208" spans="2:7" x14ac:dyDescent="0.3">
      <c r="B208" s="122"/>
      <c r="C208" s="123"/>
      <c r="D208" s="123"/>
      <c r="E208" s="124"/>
      <c r="F208" s="125" t="s">
        <v>145</v>
      </c>
      <c r="G208" s="132">
        <f>SUM(G206:G207)</f>
        <v>308098</v>
      </c>
    </row>
    <row r="209" spans="2:7" x14ac:dyDescent="0.3">
      <c r="B209" s="127" t="s">
        <v>125</v>
      </c>
      <c r="C209" s="123"/>
      <c r="D209" s="123"/>
      <c r="E209" s="124"/>
      <c r="F209" s="125"/>
      <c r="G209" s="139"/>
    </row>
    <row r="210" spans="2:7" x14ac:dyDescent="0.3">
      <c r="B210" s="133"/>
      <c r="C210" s="134"/>
      <c r="D210" s="135"/>
      <c r="E210" s="136"/>
      <c r="F210" s="137"/>
      <c r="G210" s="141"/>
    </row>
    <row r="211" spans="2:7" x14ac:dyDescent="0.3">
      <c r="B211" s="122"/>
      <c r="C211" s="123"/>
      <c r="D211" s="123"/>
      <c r="E211" s="124"/>
      <c r="F211" s="125" t="s">
        <v>146</v>
      </c>
      <c r="G211" s="132">
        <f>SUM(G210:G210)</f>
        <v>0</v>
      </c>
    </row>
    <row r="212" spans="2:7" x14ac:dyDescent="0.3">
      <c r="B212" s="127" t="s">
        <v>147</v>
      </c>
      <c r="C212" s="123"/>
      <c r="D212" s="123"/>
      <c r="E212" s="124"/>
      <c r="F212" s="125"/>
      <c r="G212" s="139"/>
    </row>
    <row r="213" spans="2:7" x14ac:dyDescent="0.3">
      <c r="B213" s="133" t="str">
        <f>INSUMOS!$B$84</f>
        <v>HERRAMIENTA MENOR</v>
      </c>
      <c r="C213" s="134" t="str">
        <f>INSUMOS!$C$84</f>
        <v>GLB</v>
      </c>
      <c r="D213" s="161">
        <v>0.24579999999999999</v>
      </c>
      <c r="E213" s="136"/>
      <c r="F213" s="137">
        <f>INSUMOS!$E$84</f>
        <v>2174</v>
      </c>
      <c r="G213" s="132">
        <f>TRUNC(D213 * (1 + E213 / 100) * F213,0)</f>
        <v>534</v>
      </c>
    </row>
    <row r="214" spans="2:7" x14ac:dyDescent="0.3">
      <c r="B214" s="133" t="str">
        <f>INSUMOS!$B$88</f>
        <v>MANTENIMIENTO AIREADOR AUTOPROPULSADO</v>
      </c>
      <c r="C214" s="134" t="str">
        <f>INSUMOS!$C$88</f>
        <v>GLB</v>
      </c>
      <c r="D214" s="123">
        <v>1</v>
      </c>
      <c r="E214" s="136"/>
      <c r="F214" s="137">
        <f>INSUMOS!$E$88</f>
        <v>5527</v>
      </c>
      <c r="G214" s="132">
        <f>TRUNC(D214 * (1 + E214 / 100) * F214,0)</f>
        <v>5527</v>
      </c>
    </row>
    <row r="215" spans="2:7" x14ac:dyDescent="0.3">
      <c r="B215" s="133"/>
      <c r="C215" s="134"/>
      <c r="D215" s="135"/>
      <c r="E215" s="136"/>
      <c r="F215" s="137"/>
      <c r="G215" s="141"/>
    </row>
    <row r="216" spans="2:7" x14ac:dyDescent="0.3">
      <c r="B216" s="122"/>
      <c r="C216" s="123"/>
      <c r="D216" s="123"/>
      <c r="E216" s="124"/>
      <c r="F216" s="125" t="str">
        <f>"SUBTOTAL " &amp;B212</f>
        <v>SUBTOTAL OTROS</v>
      </c>
      <c r="G216" s="132">
        <f>SUM(G213:G215)</f>
        <v>6061</v>
      </c>
    </row>
    <row r="217" spans="2:7" x14ac:dyDescent="0.3">
      <c r="B217" s="122"/>
      <c r="C217" s="123"/>
      <c r="D217" s="123"/>
      <c r="E217" s="124"/>
      <c r="F217" s="125"/>
      <c r="G217" s="126"/>
    </row>
    <row r="218" spans="2:7" ht="15" thickBot="1" x14ac:dyDescent="0.35">
      <c r="B218" s="146"/>
      <c r="C218" s="147"/>
      <c r="D218" s="166"/>
      <c r="E218" s="148" t="s">
        <v>148</v>
      </c>
      <c r="F218" s="149"/>
      <c r="G218" s="150">
        <f>ROUND(G204+G208+G211+G216,0)</f>
        <v>364233</v>
      </c>
    </row>
    <row r="219" spans="2:7" ht="15.6" thickTop="1" thickBot="1" x14ac:dyDescent="0.35"/>
    <row r="220" spans="2:7" ht="79.95" customHeight="1" thickTop="1" x14ac:dyDescent="0.3">
      <c r="B220" s="315" t="str">
        <f>'FORMATO 13'!C21</f>
        <v>VERTICUT LEVE: Corte vertical para disminuir el acolchonamiento de la grama. Se debe realizar una (1) vez cada 7 días ó de acuerdo con las indicaciones de la supervisión y/o interventoría y/o recomendación del contratista, debidamente aprobadas por el supervisor, en ambos sentidos con el fin de remover el acolchonamiento de la grama, facilitar la circulación de aire, agua y nutrientes. Incluye, todos los materiales e insumos para su óptimo funcionamiento, operarios, herramienta menor y la recolección y disposición adecuada de los residuos. La maquinaria especializada tipo “BLADE CASETTE“ para esta actividad es provista por la entidad y deberá ser usada para el verticute. Nota: Deberá garantizar el buen funcionamiento de la máquina durante la ejecución del contrato y deberá ser devuelta a la entidad en las mismas condiciones en las que fue entregada, asumiendo los costos asociados para este fin.</v>
      </c>
      <c r="C220" s="316"/>
      <c r="D220" s="316"/>
      <c r="E220" s="317"/>
      <c r="F220" s="115" t="s">
        <v>140</v>
      </c>
      <c r="G220" s="116" t="str">
        <f>'FORMATO 13'!D21</f>
        <v>VECES</v>
      </c>
    </row>
    <row r="221" spans="2:7" ht="79.95" customHeight="1" x14ac:dyDescent="0.3">
      <c r="B221" s="318"/>
      <c r="C221" s="319"/>
      <c r="D221" s="319"/>
      <c r="E221" s="320"/>
      <c r="F221" s="117" t="s">
        <v>141</v>
      </c>
      <c r="G221" s="155">
        <f>'FORMATO 13'!B21</f>
        <v>1.0900000000000001</v>
      </c>
    </row>
    <row r="222" spans="2:7" x14ac:dyDescent="0.3">
      <c r="B222" s="118" t="s">
        <v>5</v>
      </c>
      <c r="C222" s="119" t="s">
        <v>92</v>
      </c>
      <c r="D222" s="119" t="s">
        <v>93</v>
      </c>
      <c r="E222" s="119" t="s">
        <v>142</v>
      </c>
      <c r="F222" s="120" t="s">
        <v>143</v>
      </c>
      <c r="G222" s="121" t="s">
        <v>10</v>
      </c>
    </row>
    <row r="223" spans="2:7" x14ac:dyDescent="0.3">
      <c r="B223" s="122"/>
      <c r="C223" s="123"/>
      <c r="D223" s="123"/>
      <c r="E223" s="124"/>
      <c r="F223" s="125"/>
      <c r="G223" s="126"/>
    </row>
    <row r="224" spans="2:7" x14ac:dyDescent="0.3">
      <c r="B224" s="127" t="s">
        <v>91</v>
      </c>
      <c r="C224" s="123"/>
      <c r="D224" s="123"/>
      <c r="E224" s="124"/>
      <c r="F224" s="125"/>
      <c r="G224" s="126"/>
    </row>
    <row r="225" spans="2:7" x14ac:dyDescent="0.3">
      <c r="B225" s="151" t="str">
        <f>INSUMOS!$B$11</f>
        <v>GASOLINA CORRIENTE</v>
      </c>
      <c r="C225" s="129" t="str">
        <f>INSUMOS!$C$11</f>
        <v>GLN</v>
      </c>
      <c r="D225" s="129">
        <v>2</v>
      </c>
      <c r="E225" s="130">
        <v>0</v>
      </c>
      <c r="F225" s="131">
        <f>INSUMOS!$E$11</f>
        <v>16423</v>
      </c>
      <c r="G225" s="132">
        <f>TRUNC(D225 * (1 + E225 / 100) * F225,0)</f>
        <v>32846</v>
      </c>
    </row>
    <row r="226" spans="2:7" x14ac:dyDescent="0.3">
      <c r="B226" s="128" t="str">
        <f>INSUMOS!$B$12</f>
        <v>ACEITE MOTOR 4 TIEMPOS</v>
      </c>
      <c r="C226" s="129" t="str">
        <f>INSUMOS!$C$12</f>
        <v>GLN</v>
      </c>
      <c r="D226" s="129">
        <v>0.01</v>
      </c>
      <c r="E226" s="130">
        <v>0</v>
      </c>
      <c r="F226" s="131">
        <f>INSUMOS!$E$12</f>
        <v>114944</v>
      </c>
      <c r="G226" s="132">
        <f t="shared" ref="G226:G227" si="9">TRUNC(D226 * (1 + E226 / 100) * F226,0)</f>
        <v>1149</v>
      </c>
    </row>
    <row r="227" spans="2:7" x14ac:dyDescent="0.3">
      <c r="B227" s="128" t="str">
        <f>INSUMOS!$B$33</f>
        <v xml:space="preserve">JUEGO DE CUCHILLAS TIPO CORBATIN </v>
      </c>
      <c r="C227" s="129" t="str">
        <f>INSUMOS!$C$33</f>
        <v>UND</v>
      </c>
      <c r="D227" s="129">
        <v>8.3000000000000004E-2</v>
      </c>
      <c r="E227" s="130">
        <v>0</v>
      </c>
      <c r="F227" s="131">
        <f>INSUMOS!$E$33</f>
        <v>321598</v>
      </c>
      <c r="G227" s="132">
        <f t="shared" si="9"/>
        <v>26692</v>
      </c>
    </row>
    <row r="228" spans="2:7" x14ac:dyDescent="0.3">
      <c r="B228" s="133"/>
      <c r="C228" s="134"/>
      <c r="D228" s="135"/>
      <c r="E228" s="136"/>
      <c r="F228" s="137"/>
      <c r="G228" s="138"/>
    </row>
    <row r="229" spans="2:7" x14ac:dyDescent="0.3">
      <c r="B229" s="122"/>
      <c r="C229" s="123"/>
      <c r="D229" s="123"/>
      <c r="E229" s="124"/>
      <c r="F229" s="125" t="s">
        <v>144</v>
      </c>
      <c r="G229" s="132">
        <f>SUM(G225:G228)</f>
        <v>60687</v>
      </c>
    </row>
    <row r="230" spans="2:7" x14ac:dyDescent="0.3">
      <c r="B230" s="127" t="s">
        <v>114</v>
      </c>
      <c r="C230" s="123"/>
      <c r="D230" s="123"/>
      <c r="E230" s="124"/>
      <c r="F230" s="125"/>
      <c r="G230" s="139"/>
    </row>
    <row r="231" spans="2:7" x14ac:dyDescent="0.3">
      <c r="B231" s="151" t="str">
        <f>INSUMOS!$B$72</f>
        <v>M.O. 1 OFICIAL + 1 AYUDANTES</v>
      </c>
      <c r="C231" s="129" t="str">
        <f>INSUMOS!$C$72</f>
        <v>JORNAL</v>
      </c>
      <c r="D231" s="129">
        <v>1</v>
      </c>
      <c r="E231" s="130"/>
      <c r="F231" s="140">
        <f>INSUMOS!$E$72</f>
        <v>308098</v>
      </c>
      <c r="G231" s="132">
        <f>TRUNC(D231 * (1 + E231 / 100) * F231,0)</f>
        <v>308098</v>
      </c>
    </row>
    <row r="232" spans="2:7" x14ac:dyDescent="0.3">
      <c r="B232" s="133"/>
      <c r="C232" s="134"/>
      <c r="D232" s="135"/>
      <c r="E232" s="136"/>
      <c r="F232" s="137"/>
      <c r="G232" s="141"/>
    </row>
    <row r="233" spans="2:7" x14ac:dyDescent="0.3">
      <c r="B233" s="122"/>
      <c r="C233" s="123"/>
      <c r="D233" s="123"/>
      <c r="E233" s="124"/>
      <c r="F233" s="125" t="s">
        <v>145</v>
      </c>
      <c r="G233" s="132">
        <f>SUM(G231:G232)</f>
        <v>308098</v>
      </c>
    </row>
    <row r="234" spans="2:7" x14ac:dyDescent="0.3">
      <c r="B234" s="127" t="s">
        <v>125</v>
      </c>
      <c r="C234" s="123"/>
      <c r="D234" s="123"/>
      <c r="E234" s="124"/>
      <c r="F234" s="125"/>
      <c r="G234" s="139"/>
    </row>
    <row r="235" spans="2:7" x14ac:dyDescent="0.3">
      <c r="B235" s="133"/>
      <c r="C235" s="134"/>
      <c r="D235" s="135"/>
      <c r="E235" s="136"/>
      <c r="F235" s="137"/>
      <c r="G235" s="141"/>
    </row>
    <row r="236" spans="2:7" x14ac:dyDescent="0.3">
      <c r="B236" s="122"/>
      <c r="C236" s="123"/>
      <c r="D236" s="123"/>
      <c r="E236" s="124"/>
      <c r="F236" s="125" t="s">
        <v>146</v>
      </c>
      <c r="G236" s="132">
        <f>SUM(G235:G235)</f>
        <v>0</v>
      </c>
    </row>
    <row r="237" spans="2:7" x14ac:dyDescent="0.3">
      <c r="B237" s="127" t="s">
        <v>147</v>
      </c>
      <c r="C237" s="123"/>
      <c r="D237" s="123"/>
      <c r="E237" s="124"/>
      <c r="F237" s="125"/>
      <c r="G237" s="139"/>
    </row>
    <row r="238" spans="2:7" x14ac:dyDescent="0.3">
      <c r="B238" s="133" t="str">
        <f>INSUMOS!$B$84</f>
        <v>HERRAMIENTA MENOR</v>
      </c>
      <c r="C238" s="134" t="str">
        <f>INSUMOS!$C$84</f>
        <v>GLB</v>
      </c>
      <c r="D238" s="162">
        <v>19.310500000000001</v>
      </c>
      <c r="E238" s="136"/>
      <c r="F238" s="137">
        <f>INSUMOS!$E$84</f>
        <v>2174</v>
      </c>
      <c r="G238" s="132">
        <f>TRUNC(D238 * (1 + E238 / 100) * F238,0)</f>
        <v>41981</v>
      </c>
    </row>
    <row r="239" spans="2:7" x14ac:dyDescent="0.3">
      <c r="B239" s="133" t="str">
        <f>INSUMOS!$B$89</f>
        <v>MANTENIMIENTO MAQUINARIA BLADE CASETTE</v>
      </c>
      <c r="C239" s="134" t="str">
        <f>INSUMOS!$C$89</f>
        <v>GLB</v>
      </c>
      <c r="D239" s="123">
        <v>1</v>
      </c>
      <c r="E239" s="136"/>
      <c r="F239" s="137">
        <f>INSUMOS!$E$89</f>
        <v>5742</v>
      </c>
      <c r="G239" s="132">
        <f>TRUNC(D239 * (1 + E239 / 100) * F239,0)</f>
        <v>5742</v>
      </c>
    </row>
    <row r="240" spans="2:7" x14ac:dyDescent="0.3">
      <c r="B240" s="133"/>
      <c r="C240" s="134"/>
      <c r="D240" s="135"/>
      <c r="E240" s="136"/>
      <c r="F240" s="137"/>
      <c r="G240" s="141"/>
    </row>
    <row r="241" spans="2:7" x14ac:dyDescent="0.3">
      <c r="B241" s="122"/>
      <c r="C241" s="123"/>
      <c r="D241" s="123"/>
      <c r="E241" s="124"/>
      <c r="F241" s="125" t="str">
        <f>"SUBTOTAL " &amp;B237</f>
        <v>SUBTOTAL OTROS</v>
      </c>
      <c r="G241" s="132">
        <f>SUM(G238:G240)</f>
        <v>47723</v>
      </c>
    </row>
    <row r="242" spans="2:7" x14ac:dyDescent="0.3">
      <c r="B242" s="122"/>
      <c r="C242" s="123"/>
      <c r="D242" s="123"/>
      <c r="E242" s="124"/>
      <c r="F242" s="125"/>
      <c r="G242" s="126"/>
    </row>
    <row r="243" spans="2:7" ht="15" thickBot="1" x14ac:dyDescent="0.35">
      <c r="B243" s="146"/>
      <c r="C243" s="147"/>
      <c r="D243" s="166"/>
      <c r="E243" s="148" t="s">
        <v>148</v>
      </c>
      <c r="F243" s="149"/>
      <c r="G243" s="150">
        <f>ROUND(G229+G233+G236+G241,0)</f>
        <v>416508</v>
      </c>
    </row>
    <row r="244" spans="2:7" ht="15.6" thickTop="1" thickBot="1" x14ac:dyDescent="0.35"/>
    <row r="245" spans="2:7" ht="90" customHeight="1" thickTop="1" x14ac:dyDescent="0.3">
      <c r="B245" s="315" t="str">
        <f>'FORMATO 13'!C22</f>
        <v>TOP DRESSING: Llenar los orificios realizados después de la aireación, en una proporción 80% arena de granulometría media lavada en lo posible del Rio Frayle y pasada por zaranda y 20% de tierra negra. Siguiendo las indicaciones de la supervisión, interventoría o recomendaciones del contratista, debidamente aprobadas por el supervisor. Se debe realizar con la aplicación de mínimo 18 M3 de arena cernida a toda la gramilla por lo menos una (1) vez durante la ejecución del contrato, con la maquinaría especializada tipo MATE-R-MATIC, conforme a las indicaciones de la supervisión y/o interventoría y/o recomendación del contratista, debidamente aprobadas por el supervisor.  Incluye, todos los materiales e insumos para su óptimo funcionamiento, operarios, herramienta menor y la recolección y disposición adecuada de los residuos. La maquinaria especializada tipo “MATE-R-MATIC" para esta actividad es provista por la entidad y deberá ser usada para el top dressing. Nota: Deberá garantizar el buen funcionamiento de la máquina durante la ejecución del contrato y deberá ser devuelta a la entidad en las mismas condiciones en las que fue entregada, asumiendo los costos asociados para este fin.</v>
      </c>
      <c r="C245" s="316"/>
      <c r="D245" s="316"/>
      <c r="E245" s="317"/>
      <c r="F245" s="115" t="s">
        <v>140</v>
      </c>
      <c r="G245" s="116" t="str">
        <f>'FORMATO 13'!D22</f>
        <v>VECES</v>
      </c>
    </row>
    <row r="246" spans="2:7" ht="90" customHeight="1" x14ac:dyDescent="0.3">
      <c r="B246" s="318"/>
      <c r="C246" s="319"/>
      <c r="D246" s="319"/>
      <c r="E246" s="320"/>
      <c r="F246" s="117" t="s">
        <v>141</v>
      </c>
      <c r="G246" s="156">
        <f>'FORMATO 13'!B22</f>
        <v>1.1000000000000001</v>
      </c>
    </row>
    <row r="247" spans="2:7" x14ac:dyDescent="0.3">
      <c r="B247" s="118" t="s">
        <v>5</v>
      </c>
      <c r="C247" s="119" t="s">
        <v>92</v>
      </c>
      <c r="D247" s="119" t="s">
        <v>93</v>
      </c>
      <c r="E247" s="119" t="s">
        <v>142</v>
      </c>
      <c r="F247" s="120" t="s">
        <v>143</v>
      </c>
      <c r="G247" s="121" t="s">
        <v>10</v>
      </c>
    </row>
    <row r="248" spans="2:7" x14ac:dyDescent="0.3">
      <c r="B248" s="122"/>
      <c r="C248" s="123"/>
      <c r="D248" s="123"/>
      <c r="E248" s="124"/>
      <c r="F248" s="125"/>
      <c r="G248" s="126"/>
    </row>
    <row r="249" spans="2:7" x14ac:dyDescent="0.3">
      <c r="B249" s="127" t="s">
        <v>91</v>
      </c>
      <c r="C249" s="123"/>
      <c r="D249" s="123"/>
      <c r="E249" s="124"/>
      <c r="F249" s="125"/>
      <c r="G249" s="126"/>
    </row>
    <row r="250" spans="2:7" x14ac:dyDescent="0.3">
      <c r="B250" s="151" t="str">
        <f>INSUMOS!$B$11</f>
        <v>GASOLINA CORRIENTE</v>
      </c>
      <c r="C250" s="129" t="str">
        <f>INSUMOS!$C$11</f>
        <v>GLN</v>
      </c>
      <c r="D250" s="129">
        <v>3</v>
      </c>
      <c r="E250" s="130">
        <v>0</v>
      </c>
      <c r="F250" s="131">
        <f>INSUMOS!$E$11</f>
        <v>16423</v>
      </c>
      <c r="G250" s="132">
        <f>TRUNC(D250 * (1 + E250 / 100) * F250,0)</f>
        <v>49269</v>
      </c>
    </row>
    <row r="251" spans="2:7" x14ac:dyDescent="0.3">
      <c r="B251" s="128" t="str">
        <f>INSUMOS!$B$12</f>
        <v>ACEITE MOTOR 4 TIEMPOS</v>
      </c>
      <c r="C251" s="129" t="str">
        <f>INSUMOS!$C$12</f>
        <v>GLN</v>
      </c>
      <c r="D251" s="129">
        <v>0.01</v>
      </c>
      <c r="E251" s="130">
        <v>0</v>
      </c>
      <c r="F251" s="131">
        <f>INSUMOS!$E$12</f>
        <v>114944</v>
      </c>
      <c r="G251" s="132">
        <f t="shared" ref="G251:G252" si="10">TRUNC(D251 * (1 + E251 / 100) * F251,0)</f>
        <v>1149</v>
      </c>
    </row>
    <row r="252" spans="2:7" x14ac:dyDescent="0.3">
      <c r="B252" s="128" t="str">
        <f>INSUMOS!$B$34</f>
        <v>ARENA MEDIANA LAVADA SELECCIONADA</v>
      </c>
      <c r="C252" s="129" t="str">
        <f>INSUMOS!$C$34</f>
        <v>M3</v>
      </c>
      <c r="D252" s="129">
        <v>18</v>
      </c>
      <c r="E252" s="130">
        <v>0</v>
      </c>
      <c r="F252" s="131">
        <f>INSUMOS!$E$34</f>
        <v>78400</v>
      </c>
      <c r="G252" s="132">
        <f t="shared" si="10"/>
        <v>1411200</v>
      </c>
    </row>
    <row r="253" spans="2:7" x14ac:dyDescent="0.3">
      <c r="B253" s="133"/>
      <c r="C253" s="134"/>
      <c r="D253" s="135"/>
      <c r="E253" s="136"/>
      <c r="F253" s="137"/>
      <c r="G253" s="138"/>
    </row>
    <row r="254" spans="2:7" x14ac:dyDescent="0.3">
      <c r="B254" s="122"/>
      <c r="C254" s="123"/>
      <c r="D254" s="123"/>
      <c r="E254" s="124"/>
      <c r="F254" s="125" t="s">
        <v>144</v>
      </c>
      <c r="G254" s="132">
        <f>SUM(G250:G253)</f>
        <v>1461618</v>
      </c>
    </row>
    <row r="255" spans="2:7" x14ac:dyDescent="0.3">
      <c r="B255" s="127" t="s">
        <v>114</v>
      </c>
      <c r="C255" s="123"/>
      <c r="D255" s="123"/>
      <c r="E255" s="124"/>
      <c r="F255" s="125"/>
      <c r="G255" s="139"/>
    </row>
    <row r="256" spans="2:7" x14ac:dyDescent="0.3">
      <c r="B256" s="151" t="str">
        <f>INSUMOS!$B$72</f>
        <v>M.O. 1 OFICIAL + 1 AYUDANTES</v>
      </c>
      <c r="C256" s="129" t="str">
        <f>INSUMOS!$C$72</f>
        <v>JORNAL</v>
      </c>
      <c r="D256" s="160">
        <v>1.5</v>
      </c>
      <c r="E256" s="130"/>
      <c r="F256" s="140">
        <f>INSUMOS!$E$72</f>
        <v>308098</v>
      </c>
      <c r="G256" s="132">
        <f>TRUNC(D256 * (1 + E256 / 100) * F256,0)</f>
        <v>462147</v>
      </c>
    </row>
    <row r="257" spans="2:7" x14ac:dyDescent="0.3">
      <c r="B257" s="133"/>
      <c r="C257" s="134"/>
      <c r="D257" s="135"/>
      <c r="E257" s="136"/>
      <c r="F257" s="137"/>
      <c r="G257" s="141"/>
    </row>
    <row r="258" spans="2:7" x14ac:dyDescent="0.3">
      <c r="B258" s="122"/>
      <c r="C258" s="123"/>
      <c r="D258" s="123"/>
      <c r="E258" s="124"/>
      <c r="F258" s="125" t="s">
        <v>145</v>
      </c>
      <c r="G258" s="132">
        <f>SUM(G256:G257)</f>
        <v>462147</v>
      </c>
    </row>
    <row r="259" spans="2:7" x14ac:dyDescent="0.3">
      <c r="B259" s="127" t="s">
        <v>125</v>
      </c>
      <c r="C259" s="123"/>
      <c r="D259" s="123"/>
      <c r="E259" s="124"/>
      <c r="F259" s="125"/>
      <c r="G259" s="139"/>
    </row>
    <row r="260" spans="2:7" x14ac:dyDescent="0.3">
      <c r="B260" s="133"/>
      <c r="C260" s="134"/>
      <c r="D260" s="135"/>
      <c r="E260" s="136"/>
      <c r="F260" s="137"/>
      <c r="G260" s="141"/>
    </row>
    <row r="261" spans="2:7" x14ac:dyDescent="0.3">
      <c r="B261" s="122"/>
      <c r="C261" s="123"/>
      <c r="D261" s="123"/>
      <c r="E261" s="124"/>
      <c r="F261" s="125" t="s">
        <v>146</v>
      </c>
      <c r="G261" s="132">
        <f>SUM(G260:G260)</f>
        <v>0</v>
      </c>
    </row>
    <row r="262" spans="2:7" x14ac:dyDescent="0.3">
      <c r="B262" s="127" t="s">
        <v>147</v>
      </c>
      <c r="C262" s="123"/>
      <c r="D262" s="123"/>
      <c r="E262" s="124"/>
      <c r="F262" s="125"/>
      <c r="G262" s="139"/>
    </row>
    <row r="263" spans="2:7" x14ac:dyDescent="0.3">
      <c r="B263" s="133" t="str">
        <f>INSUMOS!$B$84</f>
        <v>HERRAMIENTA MENOR</v>
      </c>
      <c r="C263" s="134" t="str">
        <f>INSUMOS!$C$84</f>
        <v>GLB</v>
      </c>
      <c r="D263" s="162">
        <v>1.0672999999999999</v>
      </c>
      <c r="E263" s="136"/>
      <c r="F263" s="137">
        <f>INSUMOS!$E$84</f>
        <v>2174</v>
      </c>
      <c r="G263" s="132">
        <f>TRUNC(D263 * (1 + E263 / 100) * F263,0)</f>
        <v>2320</v>
      </c>
    </row>
    <row r="264" spans="2:7" x14ac:dyDescent="0.3">
      <c r="B264" s="133" t="str">
        <f>INSUMOS!$B$90</f>
        <v>MANTENIMIENTO MAQUINARIA MATE-R-MATIC DE 0.33M3</v>
      </c>
      <c r="C264" s="134" t="str">
        <f>INSUMOS!$C$90</f>
        <v>GLB</v>
      </c>
      <c r="D264" s="123">
        <v>1</v>
      </c>
      <c r="E264" s="136"/>
      <c r="F264" s="137">
        <f>INSUMOS!$E$90</f>
        <v>50250</v>
      </c>
      <c r="G264" s="132">
        <f>TRUNC(D264 * (1 + E264 / 100) * F264,0)</f>
        <v>50250</v>
      </c>
    </row>
    <row r="265" spans="2:7" x14ac:dyDescent="0.3">
      <c r="B265" s="133"/>
      <c r="C265" s="134"/>
      <c r="D265" s="135"/>
      <c r="E265" s="136"/>
      <c r="F265" s="137"/>
      <c r="G265" s="141"/>
    </row>
    <row r="266" spans="2:7" x14ac:dyDescent="0.3">
      <c r="B266" s="122"/>
      <c r="C266" s="123"/>
      <c r="D266" s="123"/>
      <c r="E266" s="124"/>
      <c r="F266" s="125" t="str">
        <f>"SUBTOTAL " &amp;B262</f>
        <v>SUBTOTAL OTROS</v>
      </c>
      <c r="G266" s="132">
        <f>SUM(G263:G265)</f>
        <v>52570</v>
      </c>
    </row>
    <row r="267" spans="2:7" x14ac:dyDescent="0.3">
      <c r="B267" s="122"/>
      <c r="C267" s="123"/>
      <c r="D267" s="123"/>
      <c r="E267" s="124"/>
      <c r="F267" s="125"/>
      <c r="G267" s="126"/>
    </row>
    <row r="268" spans="2:7" ht="15" thickBot="1" x14ac:dyDescent="0.35">
      <c r="B268" s="146"/>
      <c r="C268" s="147"/>
      <c r="D268" s="166"/>
      <c r="E268" s="148" t="s">
        <v>148</v>
      </c>
      <c r="F268" s="149"/>
      <c r="G268" s="150">
        <f>ROUND(G254+G258+G261+G266,0)</f>
        <v>1976335</v>
      </c>
    </row>
    <row r="269" spans="2:7" ht="15.6" thickTop="1" thickBot="1" x14ac:dyDescent="0.35"/>
    <row r="270" spans="2:7" ht="60" customHeight="1" thickTop="1" x14ac:dyDescent="0.3">
      <c r="B270" s="315" t="str">
        <f>'FORMATO 13'!C23</f>
        <v>REPARACIÓN DE APIQUES O DIVOTS: Arreglar los baches generados después de cada partido, se realiza utilizando la herramienta especial para esta labor y en algunas ocasiones se debe realizar con la proporción 80% arena de granulometría media lavada en lo posible del Rio Frayle y pasada por zaranda y 20% de tierra negra.  Se realiza después de cada partido, competencia o evento y después de uso del campo en eventos masivos. Siguiendo las indicaciones de la supervisión, interventoría o recomendaciones del contratista, debidamente aprobadas por el supervisor. Incluye materiales vegetales, orgánicos y minerales para el relleno; equipos y herramientas y mano de obra para su correcta ejecución.</v>
      </c>
      <c r="C270" s="316"/>
      <c r="D270" s="316"/>
      <c r="E270" s="317"/>
      <c r="F270" s="115" t="s">
        <v>140</v>
      </c>
      <c r="G270" s="116" t="str">
        <f>'FORMATO 13'!D23</f>
        <v>MES</v>
      </c>
    </row>
    <row r="271" spans="2:7" ht="60" customHeight="1" x14ac:dyDescent="0.3">
      <c r="B271" s="318"/>
      <c r="C271" s="319"/>
      <c r="D271" s="319"/>
      <c r="E271" s="320"/>
      <c r="F271" s="117" t="s">
        <v>141</v>
      </c>
      <c r="G271" s="155">
        <f>'FORMATO 13'!B23</f>
        <v>1.1100000000000001</v>
      </c>
    </row>
    <row r="272" spans="2:7" x14ac:dyDescent="0.3">
      <c r="B272" s="118" t="s">
        <v>5</v>
      </c>
      <c r="C272" s="119" t="s">
        <v>92</v>
      </c>
      <c r="D272" s="119" t="s">
        <v>93</v>
      </c>
      <c r="E272" s="119" t="s">
        <v>142</v>
      </c>
      <c r="F272" s="120" t="s">
        <v>143</v>
      </c>
      <c r="G272" s="121" t="s">
        <v>10</v>
      </c>
    </row>
    <row r="273" spans="2:7" x14ac:dyDescent="0.3">
      <c r="B273" s="122"/>
      <c r="C273" s="123"/>
      <c r="D273" s="123"/>
      <c r="E273" s="124"/>
      <c r="F273" s="125"/>
      <c r="G273" s="126"/>
    </row>
    <row r="274" spans="2:7" x14ac:dyDescent="0.3">
      <c r="B274" s="127" t="s">
        <v>91</v>
      </c>
      <c r="C274" s="123"/>
      <c r="D274" s="123"/>
      <c r="E274" s="124"/>
      <c r="F274" s="125"/>
      <c r="G274" s="126"/>
    </row>
    <row r="275" spans="2:7" x14ac:dyDescent="0.3">
      <c r="B275" s="128" t="str">
        <f>INSUMOS!$B$34</f>
        <v>ARENA MEDIANA LAVADA SELECCIONADA</v>
      </c>
      <c r="C275" s="129" t="str">
        <f>INSUMOS!$C$34</f>
        <v>M3</v>
      </c>
      <c r="D275" s="129">
        <v>1.5</v>
      </c>
      <c r="E275" s="130">
        <v>0</v>
      </c>
      <c r="F275" s="131">
        <f>INSUMOS!$E$34</f>
        <v>78400</v>
      </c>
      <c r="G275" s="132">
        <f t="shared" ref="G275" si="11">TRUNC(D275 * (1 + E275 / 100) * F275,0)</f>
        <v>117600</v>
      </c>
    </row>
    <row r="276" spans="2:7" x14ac:dyDescent="0.3">
      <c r="B276" s="133"/>
      <c r="C276" s="134"/>
      <c r="D276" s="135"/>
      <c r="E276" s="136"/>
      <c r="F276" s="137"/>
      <c r="G276" s="138"/>
    </row>
    <row r="277" spans="2:7" x14ac:dyDescent="0.3">
      <c r="B277" s="122"/>
      <c r="C277" s="123"/>
      <c r="D277" s="123"/>
      <c r="E277" s="124"/>
      <c r="F277" s="125" t="s">
        <v>144</v>
      </c>
      <c r="G277" s="132">
        <f>SUM(G275:G276)</f>
        <v>117600</v>
      </c>
    </row>
    <row r="278" spans="2:7" x14ac:dyDescent="0.3">
      <c r="B278" s="127" t="s">
        <v>114</v>
      </c>
      <c r="C278" s="123"/>
      <c r="D278" s="123"/>
      <c r="E278" s="124"/>
      <c r="F278" s="125"/>
      <c r="G278" s="139"/>
    </row>
    <row r="279" spans="2:7" x14ac:dyDescent="0.3">
      <c r="B279" s="151" t="str">
        <f>INSUMOS!$B$72</f>
        <v>M.O. 1 OFICIAL + 1 AYUDANTES</v>
      </c>
      <c r="C279" s="129" t="str">
        <f>INSUMOS!$C$72</f>
        <v>JORNAL</v>
      </c>
      <c r="D279" s="160">
        <v>0.96973500000000001</v>
      </c>
      <c r="E279" s="130"/>
      <c r="F279" s="140">
        <f>INSUMOS!$E$72</f>
        <v>308098</v>
      </c>
      <c r="G279" s="132">
        <f>TRUNC(D279 * (1 + E279 / 100) * F279,0)</f>
        <v>298773</v>
      </c>
    </row>
    <row r="280" spans="2:7" x14ac:dyDescent="0.3">
      <c r="B280" s="133"/>
      <c r="C280" s="134"/>
      <c r="D280" s="135"/>
      <c r="E280" s="136"/>
      <c r="F280" s="137"/>
      <c r="G280" s="141"/>
    </row>
    <row r="281" spans="2:7" x14ac:dyDescent="0.3">
      <c r="B281" s="122"/>
      <c r="C281" s="123"/>
      <c r="D281" s="123"/>
      <c r="E281" s="124"/>
      <c r="F281" s="125" t="s">
        <v>145</v>
      </c>
      <c r="G281" s="132">
        <f>SUM(G279:G280)</f>
        <v>298773</v>
      </c>
    </row>
    <row r="282" spans="2:7" x14ac:dyDescent="0.3">
      <c r="B282" s="127" t="s">
        <v>125</v>
      </c>
      <c r="C282" s="123"/>
      <c r="D282" s="123"/>
      <c r="E282" s="124"/>
      <c r="F282" s="125"/>
      <c r="G282" s="139"/>
    </row>
    <row r="283" spans="2:7" x14ac:dyDescent="0.3">
      <c r="B283" s="133"/>
      <c r="C283" s="134"/>
      <c r="D283" s="135"/>
      <c r="E283" s="136"/>
      <c r="F283" s="137"/>
      <c r="G283" s="141"/>
    </row>
    <row r="284" spans="2:7" x14ac:dyDescent="0.3">
      <c r="B284" s="122"/>
      <c r="C284" s="123"/>
      <c r="D284" s="123"/>
      <c r="E284" s="124"/>
      <c r="F284" s="125" t="s">
        <v>146</v>
      </c>
      <c r="G284" s="132">
        <f>SUM(G283:G283)</f>
        <v>0</v>
      </c>
    </row>
    <row r="285" spans="2:7" x14ac:dyDescent="0.3">
      <c r="B285" s="127" t="s">
        <v>147</v>
      </c>
      <c r="C285" s="123"/>
      <c r="D285" s="123"/>
      <c r="E285" s="124"/>
      <c r="F285" s="125"/>
      <c r="G285" s="139"/>
    </row>
    <row r="286" spans="2:7" x14ac:dyDescent="0.3">
      <c r="B286" s="133" t="str">
        <f>INSUMOS!$B$84</f>
        <v>HERRAMIENTA MENOR</v>
      </c>
      <c r="C286" s="134" t="str">
        <f>INSUMOS!$C$84</f>
        <v>GLB</v>
      </c>
      <c r="D286" s="123">
        <v>1</v>
      </c>
      <c r="E286" s="136"/>
      <c r="F286" s="137">
        <f>INSUMOS!$E$84</f>
        <v>2174</v>
      </c>
      <c r="G286" s="132">
        <f>TRUNC(D286 * (1 + E286 / 100) * F286,0)</f>
        <v>2174</v>
      </c>
    </row>
    <row r="287" spans="2:7" x14ac:dyDescent="0.3">
      <c r="B287" s="133"/>
      <c r="C287" s="134"/>
      <c r="D287" s="135"/>
      <c r="E287" s="136"/>
      <c r="F287" s="137"/>
      <c r="G287" s="141"/>
    </row>
    <row r="288" spans="2:7" x14ac:dyDescent="0.3">
      <c r="B288" s="122"/>
      <c r="C288" s="123"/>
      <c r="D288" s="123"/>
      <c r="E288" s="124"/>
      <c r="F288" s="125" t="str">
        <f>"SUBTOTAL " &amp;B285</f>
        <v>SUBTOTAL OTROS</v>
      </c>
      <c r="G288" s="132">
        <f>SUM(G286:G287)</f>
        <v>2174</v>
      </c>
    </row>
    <row r="289" spans="2:7" x14ac:dyDescent="0.3">
      <c r="B289" s="122"/>
      <c r="C289" s="123"/>
      <c r="D289" s="123"/>
      <c r="E289" s="124"/>
      <c r="F289" s="125"/>
      <c r="G289" s="126"/>
    </row>
    <row r="290" spans="2:7" ht="15" thickBot="1" x14ac:dyDescent="0.35">
      <c r="B290" s="146"/>
      <c r="C290" s="147"/>
      <c r="D290" s="166"/>
      <c r="E290" s="148" t="s">
        <v>148</v>
      </c>
      <c r="F290" s="149"/>
      <c r="G290" s="150">
        <f>ROUND(G277+G281+G284+G288,0)</f>
        <v>418547</v>
      </c>
    </row>
    <row r="291" spans="2:7" ht="15" thickTop="1" x14ac:dyDescent="0.3"/>
    <row r="292" spans="2:7" ht="15" thickBot="1" x14ac:dyDescent="0.35"/>
    <row r="293" spans="2:7" ht="79.95" customHeight="1" thickTop="1" x14ac:dyDescent="0.3">
      <c r="B293" s="315" t="str">
        <f>'FORMATO 13'!C24</f>
        <v>DEMARCACIÓN DE CAMPO: Aplicación de pintura para delimitar las áreas del campo de juego.  Se debe realizar de manera permanente, previo a cada partido regional, nacional o internacional o las veces necesarias para las competencias o según los requerimientos de la interventoría y/o supervisión, siguiendo las indicaciones de la supervisión, interventoría o recomendaciones del contratista, debidamente aprobadas por el supervisor. Incluye, todos los materiales e insumos para la correcta ejecución de la actividad, la pintura a emplear debe ser vinilo especial blanco tipo II, operarios, herramienta menor. La maquinaria especializada tipo “LINE MARKER (WHEEL TO WHEEL)“ para esta actividad es provista por la entidad y deberá ser usada para la demarcación del campo. Nota: Deberá garantizar el buen funcionamiento de la máquina durante la ejecución del contrato y deberá ser devuelta a la entidad en las mismas condiciones en las que fue entregada, asumiendo los costos asociados para este fin.</v>
      </c>
      <c r="C293" s="316"/>
      <c r="D293" s="316"/>
      <c r="E293" s="317"/>
      <c r="F293" s="115" t="s">
        <v>140</v>
      </c>
      <c r="G293" s="116" t="str">
        <f>'FORMATO 13'!D24</f>
        <v>MES</v>
      </c>
    </row>
    <row r="294" spans="2:7" ht="79.95" customHeight="1" x14ac:dyDescent="0.3">
      <c r="B294" s="318"/>
      <c r="C294" s="319"/>
      <c r="D294" s="319"/>
      <c r="E294" s="320"/>
      <c r="F294" s="117" t="s">
        <v>141</v>
      </c>
      <c r="G294" s="155">
        <f>'FORMATO 13'!B24</f>
        <v>1.1200000000000001</v>
      </c>
    </row>
    <row r="295" spans="2:7" x14ac:dyDescent="0.3">
      <c r="B295" s="118" t="s">
        <v>5</v>
      </c>
      <c r="C295" s="119" t="s">
        <v>92</v>
      </c>
      <c r="D295" s="119" t="s">
        <v>93</v>
      </c>
      <c r="E295" s="119" t="s">
        <v>142</v>
      </c>
      <c r="F295" s="120" t="s">
        <v>143</v>
      </c>
      <c r="G295" s="121" t="s">
        <v>10</v>
      </c>
    </row>
    <row r="296" spans="2:7" x14ac:dyDescent="0.3">
      <c r="B296" s="122"/>
      <c r="C296" s="123"/>
      <c r="D296" s="123"/>
      <c r="E296" s="124"/>
      <c r="F296" s="125"/>
      <c r="G296" s="126"/>
    </row>
    <row r="297" spans="2:7" x14ac:dyDescent="0.3">
      <c r="B297" s="127" t="s">
        <v>91</v>
      </c>
      <c r="C297" s="123"/>
      <c r="D297" s="123"/>
      <c r="E297" s="124"/>
      <c r="F297" s="125"/>
      <c r="G297" s="126"/>
    </row>
    <row r="298" spans="2:7" x14ac:dyDescent="0.3">
      <c r="B298" s="128" t="str">
        <f>INSUMOS!$B$35</f>
        <v>PINTURA VINILO TIPO II</v>
      </c>
      <c r="C298" s="129" t="str">
        <f>INSUMOS!$C$35</f>
        <v>GLN</v>
      </c>
      <c r="D298" s="129">
        <v>40</v>
      </c>
      <c r="E298" s="130">
        <v>0</v>
      </c>
      <c r="F298" s="131">
        <f>INSUMOS!$E$35</f>
        <v>58800</v>
      </c>
      <c r="G298" s="132">
        <f t="shared" ref="G298" si="12">TRUNC(D298 * (1 + E298 / 100) * F298,0)</f>
        <v>2352000</v>
      </c>
    </row>
    <row r="299" spans="2:7" x14ac:dyDescent="0.3">
      <c r="B299" s="133"/>
      <c r="C299" s="134"/>
      <c r="D299" s="135"/>
      <c r="E299" s="136"/>
      <c r="F299" s="137"/>
      <c r="G299" s="138"/>
    </row>
    <row r="300" spans="2:7" x14ac:dyDescent="0.3">
      <c r="B300" s="122"/>
      <c r="C300" s="123"/>
      <c r="D300" s="123"/>
      <c r="E300" s="124"/>
      <c r="F300" s="125" t="s">
        <v>144</v>
      </c>
      <c r="G300" s="132">
        <f>SUM(G298:G299)</f>
        <v>2352000</v>
      </c>
    </row>
    <row r="301" spans="2:7" x14ac:dyDescent="0.3">
      <c r="B301" s="127" t="s">
        <v>114</v>
      </c>
      <c r="C301" s="123"/>
      <c r="D301" s="123"/>
      <c r="E301" s="124"/>
      <c r="F301" s="125"/>
      <c r="G301" s="139"/>
    </row>
    <row r="302" spans="2:7" x14ac:dyDescent="0.3">
      <c r="B302" s="151" t="str">
        <f>INSUMOS!$B$71</f>
        <v>M.O. 1 OFICIAL</v>
      </c>
      <c r="C302" s="129" t="str">
        <f>INSUMOS!$C$71</f>
        <v>JORNAL</v>
      </c>
      <c r="D302" s="129">
        <v>2.75</v>
      </c>
      <c r="E302" s="130"/>
      <c r="F302" s="140">
        <f>INSUMOS!$E$71</f>
        <v>193987</v>
      </c>
      <c r="G302" s="132">
        <f>TRUNC(D302 * (1 + E302 / 100) * F302,0)</f>
        <v>533464</v>
      </c>
    </row>
    <row r="303" spans="2:7" x14ac:dyDescent="0.3">
      <c r="B303" s="133"/>
      <c r="C303" s="134"/>
      <c r="D303" s="135"/>
      <c r="E303" s="136"/>
      <c r="F303" s="137"/>
      <c r="G303" s="141"/>
    </row>
    <row r="304" spans="2:7" x14ac:dyDescent="0.3">
      <c r="B304" s="122"/>
      <c r="C304" s="123"/>
      <c r="D304" s="123"/>
      <c r="E304" s="124"/>
      <c r="F304" s="125" t="s">
        <v>145</v>
      </c>
      <c r="G304" s="132">
        <f>SUM(G302:G303)</f>
        <v>533464</v>
      </c>
    </row>
    <row r="305" spans="2:7" x14ac:dyDescent="0.3">
      <c r="B305" s="127" t="s">
        <v>125</v>
      </c>
      <c r="C305" s="123"/>
      <c r="D305" s="123"/>
      <c r="E305" s="124"/>
      <c r="F305" s="125"/>
      <c r="G305" s="139"/>
    </row>
    <row r="306" spans="2:7" x14ac:dyDescent="0.3">
      <c r="B306" s="133"/>
      <c r="C306" s="134"/>
      <c r="D306" s="135"/>
      <c r="E306" s="136"/>
      <c r="F306" s="137"/>
      <c r="G306" s="141"/>
    </row>
    <row r="307" spans="2:7" x14ac:dyDescent="0.3">
      <c r="B307" s="122"/>
      <c r="C307" s="123"/>
      <c r="D307" s="123"/>
      <c r="E307" s="124"/>
      <c r="F307" s="125" t="s">
        <v>146</v>
      </c>
      <c r="G307" s="132">
        <f>SUM(G306:G306)</f>
        <v>0</v>
      </c>
    </row>
    <row r="308" spans="2:7" x14ac:dyDescent="0.3">
      <c r="B308" s="127" t="s">
        <v>147</v>
      </c>
      <c r="C308" s="123"/>
      <c r="D308" s="123"/>
      <c r="E308" s="124"/>
      <c r="F308" s="125"/>
      <c r="G308" s="139"/>
    </row>
    <row r="309" spans="2:7" x14ac:dyDescent="0.3">
      <c r="B309" s="133" t="str">
        <f>INSUMOS!$B$84</f>
        <v>HERRAMIENTA MENOR</v>
      </c>
      <c r="C309" s="134" t="str">
        <f>INSUMOS!$C$84</f>
        <v>GLB</v>
      </c>
      <c r="D309" s="163">
        <v>19.829999999999998</v>
      </c>
      <c r="E309" s="136"/>
      <c r="F309" s="137">
        <f>INSUMOS!$E$84</f>
        <v>2174</v>
      </c>
      <c r="G309" s="132">
        <f>TRUNC(D309 * (1 + E309 / 100) * F309,0)</f>
        <v>43110</v>
      </c>
    </row>
    <row r="310" spans="2:7" x14ac:dyDescent="0.3">
      <c r="B310" s="133" t="str">
        <f>INSUMOS!$B$91</f>
        <v>MANTENIMIENTO MAQUINARIA LINE MARKER</v>
      </c>
      <c r="C310" s="134" t="str">
        <f>INSUMOS!$C$91</f>
        <v>GLB</v>
      </c>
      <c r="D310" s="123">
        <v>1</v>
      </c>
      <c r="E310" s="136"/>
      <c r="F310" s="137">
        <f>INSUMOS!$E$91</f>
        <v>93100</v>
      </c>
      <c r="G310" s="132">
        <f>TRUNC(D310 * (1 + E310 / 100) * F310,0)</f>
        <v>93100</v>
      </c>
    </row>
    <row r="311" spans="2:7" x14ac:dyDescent="0.3">
      <c r="B311" s="133"/>
      <c r="C311" s="134"/>
      <c r="D311" s="135"/>
      <c r="E311" s="136"/>
      <c r="F311" s="137"/>
      <c r="G311" s="141"/>
    </row>
    <row r="312" spans="2:7" x14ac:dyDescent="0.3">
      <c r="B312" s="122"/>
      <c r="C312" s="123"/>
      <c r="D312" s="123"/>
      <c r="E312" s="124"/>
      <c r="F312" s="125" t="str">
        <f>"SUBTOTAL " &amp;B308</f>
        <v>SUBTOTAL OTROS</v>
      </c>
      <c r="G312" s="132">
        <f>SUM(G309:G311)</f>
        <v>136210</v>
      </c>
    </row>
    <row r="313" spans="2:7" x14ac:dyDescent="0.3">
      <c r="B313" s="122"/>
      <c r="C313" s="123"/>
      <c r="D313" s="123"/>
      <c r="E313" s="124"/>
      <c r="F313" s="125"/>
      <c r="G313" s="126"/>
    </row>
    <row r="314" spans="2:7" ht="15" thickBot="1" x14ac:dyDescent="0.35">
      <c r="B314" s="146"/>
      <c r="C314" s="147"/>
      <c r="D314" s="166"/>
      <c r="E314" s="148" t="s">
        <v>148</v>
      </c>
      <c r="F314" s="149"/>
      <c r="G314" s="150">
        <f>ROUND(G300+G304+G307+G312,0)</f>
        <v>3021674</v>
      </c>
    </row>
    <row r="315" spans="2:7" ht="15" thickTop="1" x14ac:dyDescent="0.3"/>
    <row r="316" spans="2:7" ht="15" thickBot="1" x14ac:dyDescent="0.35"/>
    <row r="317" spans="2:7" ht="109.95" customHeight="1" thickTop="1" x14ac:dyDescent="0.3">
      <c r="B317" s="315" t="str">
        <f>'FORMATO 13'!C25</f>
        <v>MICRONIVELACIÓN: Nivelar tanto por arriba como por abajo del nivel del diseño de la cancha. Se debe realizar en el tiempo de duración del contrato cada que se evidencia desnivelación o cuando el supervisor del contrato lo indique. Se deberán realizar las labores de topografía requeridas para establecer los niveles de las gramas y controlar las actividades de nivelación y micronivelación. La micro nivelación de las gramas se debe hacer con arena mediana del rio Fraile cernida, lavada, seleccionada y tierra abonada. La proporción debe ser 80% arena y 20% tierra negra abonada con la maquinaría especializada tipo MATE-R-MATIC. La micro nivelación se establece a mínimo 2500 mts2, incluye nivelación topográfica, o de acuerdo a las indicaciones de la supervisión y/o interventoría y/o recomendación del contratista, debidamente aprobadas por el supervisor. Incluye, todos los materiales e insumos para su óptimo funcionamiento, operarios, herramienta menor y la recolección y disposición adecuada de los residuos. La maquinaria especializada tipo “MATE-R-MATIC de 0.33 m3, 499 km de capacidad“ para esta actividad es provista por la entidad y deberá ser usada para la micro nivelación. Nota: Deberá garantizar el buen funcionamiento de la máquina durante la ejecución del contrato y deberá ser devuelta a la entidad en las mismas condiciones en las que fue entregada, asumiendo los costos asociados para este fin.</v>
      </c>
      <c r="C317" s="316"/>
      <c r="D317" s="316"/>
      <c r="E317" s="317"/>
      <c r="F317" s="115" t="s">
        <v>140</v>
      </c>
      <c r="G317" s="116" t="str">
        <f>'FORMATO 13'!D25</f>
        <v>MES</v>
      </c>
    </row>
    <row r="318" spans="2:7" ht="109.95" customHeight="1" x14ac:dyDescent="0.3">
      <c r="B318" s="318"/>
      <c r="C318" s="319"/>
      <c r="D318" s="319"/>
      <c r="E318" s="320"/>
      <c r="F318" s="117" t="s">
        <v>141</v>
      </c>
      <c r="G318" s="155">
        <f>'FORMATO 13'!B25</f>
        <v>1.1300000000000001</v>
      </c>
    </row>
    <row r="319" spans="2:7" x14ac:dyDescent="0.3">
      <c r="B319" s="118" t="s">
        <v>5</v>
      </c>
      <c r="C319" s="119" t="s">
        <v>92</v>
      </c>
      <c r="D319" s="119" t="s">
        <v>93</v>
      </c>
      <c r="E319" s="119" t="s">
        <v>142</v>
      </c>
      <c r="F319" s="120" t="s">
        <v>143</v>
      </c>
      <c r="G319" s="121" t="s">
        <v>10</v>
      </c>
    </row>
    <row r="320" spans="2:7" x14ac:dyDescent="0.3">
      <c r="B320" s="122"/>
      <c r="C320" s="123"/>
      <c r="D320" s="123"/>
      <c r="E320" s="124"/>
      <c r="F320" s="125"/>
      <c r="G320" s="126"/>
    </row>
    <row r="321" spans="2:7" x14ac:dyDescent="0.3">
      <c r="B321" s="127" t="s">
        <v>91</v>
      </c>
      <c r="C321" s="123"/>
      <c r="D321" s="123"/>
      <c r="E321" s="124"/>
      <c r="F321" s="125"/>
      <c r="G321" s="126"/>
    </row>
    <row r="322" spans="2:7" x14ac:dyDescent="0.3">
      <c r="B322" s="128" t="str">
        <f>INSUMOS!$B$34</f>
        <v>ARENA MEDIANA LAVADA SELECCIONADA</v>
      </c>
      <c r="C322" s="129" t="str">
        <f>INSUMOS!$C$34</f>
        <v>M3</v>
      </c>
      <c r="D322" s="129">
        <v>3</v>
      </c>
      <c r="E322" s="130">
        <v>0</v>
      </c>
      <c r="F322" s="131">
        <f>INSUMOS!$E$34</f>
        <v>78400</v>
      </c>
      <c r="G322" s="132">
        <f t="shared" ref="G322" si="13">TRUNC(D322 * (1 + E322 / 100) * F322,0)</f>
        <v>235200</v>
      </c>
    </row>
    <row r="323" spans="2:7" x14ac:dyDescent="0.3">
      <c r="B323" s="133"/>
      <c r="C323" s="134"/>
      <c r="D323" s="135"/>
      <c r="E323" s="136"/>
      <c r="F323" s="137"/>
      <c r="G323" s="138"/>
    </row>
    <row r="324" spans="2:7" x14ac:dyDescent="0.3">
      <c r="B324" s="122"/>
      <c r="C324" s="123"/>
      <c r="D324" s="123"/>
      <c r="E324" s="124"/>
      <c r="F324" s="125" t="s">
        <v>144</v>
      </c>
      <c r="G324" s="132">
        <f>SUM(G322:G323)</f>
        <v>235200</v>
      </c>
    </row>
    <row r="325" spans="2:7" x14ac:dyDescent="0.3">
      <c r="B325" s="127" t="s">
        <v>114</v>
      </c>
      <c r="C325" s="123"/>
      <c r="D325" s="123"/>
      <c r="E325" s="124"/>
      <c r="F325" s="125"/>
      <c r="G325" s="139"/>
    </row>
    <row r="326" spans="2:7" x14ac:dyDescent="0.3">
      <c r="B326" s="151" t="str">
        <f>INSUMOS!$B$73</f>
        <v>M.O. 1 OFICIAL + 2 AYUDANTES</v>
      </c>
      <c r="C326" s="129" t="str">
        <f>INSUMOS!$C$73</f>
        <v>JORNAL</v>
      </c>
      <c r="D326" s="129">
        <v>1</v>
      </c>
      <c r="E326" s="130"/>
      <c r="F326" s="140">
        <f>INSUMOS!$E$73</f>
        <v>422209</v>
      </c>
      <c r="G326" s="132">
        <f>TRUNC(D326 * (1 + E326 / 100) * F326,0)</f>
        <v>422209</v>
      </c>
    </row>
    <row r="327" spans="2:7" x14ac:dyDescent="0.3">
      <c r="B327" s="151" t="str">
        <f>INSUMOS!$B$77</f>
        <v>M.O. TOPOGRAFIA 1 CADENERO-1 TOP</v>
      </c>
      <c r="C327" s="129" t="str">
        <f>INSUMOS!$C$77</f>
        <v>JORNAL</v>
      </c>
      <c r="D327" s="129">
        <v>1</v>
      </c>
      <c r="E327" s="130"/>
      <c r="F327" s="140">
        <f>INSUMOS!$E$77</f>
        <v>743393</v>
      </c>
      <c r="G327" s="132">
        <f>TRUNC(D327 * (1 + E327 / 100) * F327,0)</f>
        <v>743393</v>
      </c>
    </row>
    <row r="328" spans="2:7" x14ac:dyDescent="0.3">
      <c r="B328" s="133"/>
      <c r="C328" s="134"/>
      <c r="D328" s="135"/>
      <c r="E328" s="136"/>
      <c r="F328" s="137"/>
      <c r="G328" s="141"/>
    </row>
    <row r="329" spans="2:7" x14ac:dyDescent="0.3">
      <c r="B329" s="122"/>
      <c r="C329" s="123"/>
      <c r="D329" s="123"/>
      <c r="E329" s="124"/>
      <c r="F329" s="125" t="s">
        <v>145</v>
      </c>
      <c r="G329" s="132">
        <f>SUM(G326:G328)</f>
        <v>1165602</v>
      </c>
    </row>
    <row r="330" spans="2:7" x14ac:dyDescent="0.3">
      <c r="B330" s="127" t="s">
        <v>125</v>
      </c>
      <c r="C330" s="123"/>
      <c r="D330" s="123"/>
      <c r="E330" s="124"/>
      <c r="F330" s="125"/>
      <c r="G330" s="139"/>
    </row>
    <row r="331" spans="2:7" x14ac:dyDescent="0.3">
      <c r="B331" s="133"/>
      <c r="C331" s="134"/>
      <c r="D331" s="135"/>
      <c r="E331" s="136"/>
      <c r="F331" s="137"/>
      <c r="G331" s="141"/>
    </row>
    <row r="332" spans="2:7" x14ac:dyDescent="0.3">
      <c r="B332" s="122"/>
      <c r="C332" s="123"/>
      <c r="D332" s="123"/>
      <c r="E332" s="124"/>
      <c r="F332" s="125" t="s">
        <v>146</v>
      </c>
      <c r="G332" s="132">
        <f>SUM(G331:G331)</f>
        <v>0</v>
      </c>
    </row>
    <row r="333" spans="2:7" x14ac:dyDescent="0.3">
      <c r="B333" s="127" t="s">
        <v>147</v>
      </c>
      <c r="C333" s="123"/>
      <c r="D333" s="123"/>
      <c r="E333" s="124"/>
      <c r="F333" s="125"/>
      <c r="G333" s="139"/>
    </row>
    <row r="334" spans="2:7" x14ac:dyDescent="0.3">
      <c r="B334" s="133" t="str">
        <f>INSUMOS!$B$84</f>
        <v>HERRAMIENTA MENOR</v>
      </c>
      <c r="C334" s="134" t="str">
        <f>INSUMOS!$C$84</f>
        <v>GLB</v>
      </c>
      <c r="D334" s="123">
        <v>26</v>
      </c>
      <c r="E334" s="136"/>
      <c r="F334" s="137">
        <f>INSUMOS!$E$84</f>
        <v>2174</v>
      </c>
      <c r="G334" s="132">
        <f>TRUNC(D334 * (1 + E334 / 100) * F334,0)</f>
        <v>56524</v>
      </c>
    </row>
    <row r="335" spans="2:7" x14ac:dyDescent="0.3">
      <c r="B335" s="133" t="str">
        <f>INSUMOS!$B$90</f>
        <v>MANTENIMIENTO MAQUINARIA MATE-R-MATIC DE 0.33M3</v>
      </c>
      <c r="C335" s="134" t="str">
        <f>INSUMOS!$C$90</f>
        <v>GLB</v>
      </c>
      <c r="D335" s="123">
        <v>1</v>
      </c>
      <c r="E335" s="136"/>
      <c r="F335" s="137">
        <f>INSUMOS!$E$90</f>
        <v>50250</v>
      </c>
      <c r="G335" s="132">
        <f>TRUNC(D335 * (1 + E335 / 100) * F335,0)</f>
        <v>50250</v>
      </c>
    </row>
    <row r="336" spans="2:7" x14ac:dyDescent="0.3">
      <c r="B336" s="133"/>
      <c r="C336" s="134"/>
      <c r="D336" s="135"/>
      <c r="E336" s="136"/>
      <c r="F336" s="137"/>
      <c r="G336" s="141"/>
    </row>
    <row r="337" spans="2:7" x14ac:dyDescent="0.3">
      <c r="B337" s="122"/>
      <c r="C337" s="123"/>
      <c r="D337" s="123"/>
      <c r="E337" s="124"/>
      <c r="F337" s="125" t="str">
        <f>"SUBTOTAL " &amp;B333</f>
        <v>SUBTOTAL OTROS</v>
      </c>
      <c r="G337" s="132">
        <f>SUM(G334:G336)</f>
        <v>106774</v>
      </c>
    </row>
    <row r="338" spans="2:7" x14ac:dyDescent="0.3">
      <c r="B338" s="122"/>
      <c r="C338" s="123"/>
      <c r="D338" s="123"/>
      <c r="E338" s="124"/>
      <c r="F338" s="125"/>
      <c r="G338" s="126"/>
    </row>
    <row r="339" spans="2:7" ht="15" thickBot="1" x14ac:dyDescent="0.35">
      <c r="B339" s="146"/>
      <c r="C339" s="147"/>
      <c r="D339" s="166"/>
      <c r="E339" s="148" t="s">
        <v>148</v>
      </c>
      <c r="F339" s="149"/>
      <c r="G339" s="150">
        <f>ROUND(G324+G329+G332+G337,0)</f>
        <v>1507576</v>
      </c>
    </row>
    <row r="340" spans="2:7" ht="15" thickTop="1" x14ac:dyDescent="0.3"/>
    <row r="341" spans="2:7" ht="15" thickBot="1" x14ac:dyDescent="0.35"/>
    <row r="342" spans="2:7" ht="70.05" customHeight="1" thickTop="1" x14ac:dyDescent="0.3">
      <c r="B342" s="315" t="str">
        <f>'FORMATO 13'!C26</f>
        <v>ANÁLISIS Y ESTUDIO DE SUELOS: Consiste en sacar muestras del suelo con el barreno y llevarlos al laboratorio para identificar los parámetros físicos y químicos para realizar el plan de fertilización de la grama.Con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 Incluye los materiales, mano de obra, equipos y herramientas necesarias para su correcta ejecución. de acuerdo a las indicaciones de la supervisión y/o interventoría y/o recomendación del contratista, debidamente aprobadas por el supervisor.</v>
      </c>
      <c r="C342" s="316"/>
      <c r="D342" s="316"/>
      <c r="E342" s="317"/>
      <c r="F342" s="115" t="s">
        <v>140</v>
      </c>
      <c r="G342" s="116" t="str">
        <f>'FORMATO 13'!D26</f>
        <v>VECES</v>
      </c>
    </row>
    <row r="343" spans="2:7" ht="70.05" customHeight="1" x14ac:dyDescent="0.3">
      <c r="B343" s="318"/>
      <c r="C343" s="319"/>
      <c r="D343" s="319"/>
      <c r="E343" s="320"/>
      <c r="F343" s="117" t="s">
        <v>141</v>
      </c>
      <c r="G343" s="155">
        <f>'FORMATO 13'!B26</f>
        <v>1.1400000000000001</v>
      </c>
    </row>
    <row r="344" spans="2:7" x14ac:dyDescent="0.3">
      <c r="B344" s="118" t="s">
        <v>5</v>
      </c>
      <c r="C344" s="119" t="s">
        <v>92</v>
      </c>
      <c r="D344" s="119" t="s">
        <v>93</v>
      </c>
      <c r="E344" s="119" t="s">
        <v>142</v>
      </c>
      <c r="F344" s="120" t="s">
        <v>143</v>
      </c>
      <c r="G344" s="121" t="s">
        <v>10</v>
      </c>
    </row>
    <row r="345" spans="2:7" x14ac:dyDescent="0.3">
      <c r="B345" s="122"/>
      <c r="C345" s="123"/>
      <c r="D345" s="123"/>
      <c r="E345" s="124"/>
      <c r="F345" s="125"/>
      <c r="G345" s="126"/>
    </row>
    <row r="346" spans="2:7" x14ac:dyDescent="0.3">
      <c r="B346" s="127" t="s">
        <v>91</v>
      </c>
      <c r="C346" s="123"/>
      <c r="D346" s="123"/>
      <c r="E346" s="124"/>
      <c r="F346" s="125"/>
      <c r="G346" s="126"/>
    </row>
    <row r="347" spans="2:7" x14ac:dyDescent="0.3">
      <c r="B347" s="133"/>
      <c r="C347" s="134"/>
      <c r="D347" s="135"/>
      <c r="E347" s="136"/>
      <c r="F347" s="137"/>
      <c r="G347" s="138"/>
    </row>
    <row r="348" spans="2:7" x14ac:dyDescent="0.3">
      <c r="B348" s="122"/>
      <c r="C348" s="123"/>
      <c r="D348" s="123"/>
      <c r="E348" s="124"/>
      <c r="F348" s="125" t="s">
        <v>144</v>
      </c>
      <c r="G348" s="132">
        <f>SUM(G347:G347)</f>
        <v>0</v>
      </c>
    </row>
    <row r="349" spans="2:7" x14ac:dyDescent="0.3">
      <c r="B349" s="127" t="s">
        <v>114</v>
      </c>
      <c r="C349" s="123"/>
      <c r="D349" s="123"/>
      <c r="E349" s="124"/>
      <c r="F349" s="125"/>
      <c r="G349" s="139"/>
    </row>
    <row r="350" spans="2:7" x14ac:dyDescent="0.3">
      <c r="B350" s="133"/>
      <c r="C350" s="134"/>
      <c r="D350" s="135"/>
      <c r="E350" s="136"/>
      <c r="F350" s="137"/>
      <c r="G350" s="141"/>
    </row>
    <row r="351" spans="2:7" x14ac:dyDescent="0.3">
      <c r="B351" s="122"/>
      <c r="C351" s="123"/>
      <c r="D351" s="123"/>
      <c r="E351" s="124"/>
      <c r="F351" s="125" t="s">
        <v>145</v>
      </c>
      <c r="G351" s="132">
        <f>SUM(G350:G350)</f>
        <v>0</v>
      </c>
    </row>
    <row r="352" spans="2:7" x14ac:dyDescent="0.3">
      <c r="B352" s="127" t="s">
        <v>125</v>
      </c>
      <c r="C352" s="123"/>
      <c r="D352" s="123"/>
      <c r="E352" s="124"/>
      <c r="F352" s="125"/>
      <c r="G352" s="139"/>
    </row>
    <row r="353" spans="2:7" x14ac:dyDescent="0.3">
      <c r="B353" s="133"/>
      <c r="C353" s="134"/>
      <c r="D353" s="135"/>
      <c r="E353" s="136"/>
      <c r="F353" s="137"/>
      <c r="G353" s="141"/>
    </row>
    <row r="354" spans="2:7" x14ac:dyDescent="0.3">
      <c r="B354" s="122"/>
      <c r="C354" s="123"/>
      <c r="D354" s="123"/>
      <c r="E354" s="124"/>
      <c r="F354" s="125" t="s">
        <v>146</v>
      </c>
      <c r="G354" s="132">
        <f>SUM(G353:G353)</f>
        <v>0</v>
      </c>
    </row>
    <row r="355" spans="2:7" x14ac:dyDescent="0.3">
      <c r="B355" s="127" t="s">
        <v>147</v>
      </c>
      <c r="C355" s="123"/>
      <c r="D355" s="123"/>
      <c r="E355" s="124"/>
      <c r="F355" s="125"/>
      <c r="G355" s="139"/>
    </row>
    <row r="356" spans="2:7" x14ac:dyDescent="0.3">
      <c r="B356" s="133" t="str">
        <f>INSUMOS!$B$92</f>
        <v>ANALISIS FOLIAR DE LABORATORIO</v>
      </c>
      <c r="C356" s="134" t="str">
        <f>INSUMOS!$C$92</f>
        <v>GBL</v>
      </c>
      <c r="D356" s="123">
        <v>1</v>
      </c>
      <c r="E356" s="136"/>
      <c r="F356" s="137">
        <f>INSUMOS!$E$92</f>
        <v>966666</v>
      </c>
      <c r="G356" s="132">
        <f>TRUNC(D356 * (1 + E356 / 100) * F356,0)</f>
        <v>966666</v>
      </c>
    </row>
    <row r="357" spans="2:7" x14ac:dyDescent="0.3">
      <c r="B357" s="133"/>
      <c r="C357" s="134"/>
      <c r="D357" s="135"/>
      <c r="E357" s="136"/>
      <c r="F357" s="137"/>
      <c r="G357" s="141"/>
    </row>
    <row r="358" spans="2:7" x14ac:dyDescent="0.3">
      <c r="B358" s="122"/>
      <c r="C358" s="123"/>
      <c r="D358" s="123"/>
      <c r="E358" s="124"/>
      <c r="F358" s="125" t="str">
        <f>"SUBTOTAL " &amp;B355</f>
        <v>SUBTOTAL OTROS</v>
      </c>
      <c r="G358" s="132">
        <f>SUM(G356:G357)</f>
        <v>966666</v>
      </c>
    </row>
    <row r="359" spans="2:7" x14ac:dyDescent="0.3">
      <c r="B359" s="122"/>
      <c r="C359" s="123"/>
      <c r="D359" s="123"/>
      <c r="E359" s="124"/>
      <c r="F359" s="125"/>
      <c r="G359" s="126"/>
    </row>
    <row r="360" spans="2:7" ht="15" thickBot="1" x14ac:dyDescent="0.35">
      <c r="B360" s="146"/>
      <c r="C360" s="147"/>
      <c r="D360" s="166"/>
      <c r="E360" s="148" t="s">
        <v>148</v>
      </c>
      <c r="F360" s="149"/>
      <c r="G360" s="150">
        <f>ROUND(G348+G351+G354+G358,0)</f>
        <v>966666</v>
      </c>
    </row>
    <row r="361" spans="2:7" ht="15" thickTop="1" x14ac:dyDescent="0.3"/>
    <row r="362" spans="2:7" ht="15" thickBot="1" x14ac:dyDescent="0.35"/>
    <row r="363" spans="2:7" ht="60" customHeight="1" thickTop="1" x14ac:dyDescent="0.3">
      <c r="B363" s="315" t="str">
        <f>'FORMATO 13'!C27</f>
        <v>LIMPIEZA PERMANENTE Y RETIRO DE SOBRANTES: Se debe realizar de forma permanente, en todo el tiempo de duración del contrato. Siguiendo las indicaciones de la supervisión, interventoría o recomendaciones del contratista, debidamente aprobadas por el supervisor. Se debe realizar el aseo y limpieza del área de trabajo y sus alrededores afectados; todos los sobrantes de este trabajo deberán ser depositados en los sitios autorizados por la autoridad ambiental municipal. Incluye mano de obra, equipos y herramienta de cargue y descargue; maquinaria, equipo y herramienta para el transporte; trámite y costos de permisos para disposición de material de desecho.</v>
      </c>
      <c r="C363" s="316"/>
      <c r="D363" s="316"/>
      <c r="E363" s="317"/>
      <c r="F363" s="115" t="s">
        <v>140</v>
      </c>
      <c r="G363" s="116" t="str">
        <f>'FORMATO 13'!D27</f>
        <v>MES</v>
      </c>
    </row>
    <row r="364" spans="2:7" ht="60" customHeight="1" x14ac:dyDescent="0.3">
      <c r="B364" s="318"/>
      <c r="C364" s="319"/>
      <c r="D364" s="319"/>
      <c r="E364" s="320"/>
      <c r="F364" s="117" t="s">
        <v>141</v>
      </c>
      <c r="G364" s="155">
        <f>'FORMATO 13'!B27</f>
        <v>1.1500000000000001</v>
      </c>
    </row>
    <row r="365" spans="2:7" x14ac:dyDescent="0.3">
      <c r="B365" s="118" t="s">
        <v>5</v>
      </c>
      <c r="C365" s="119" t="s">
        <v>92</v>
      </c>
      <c r="D365" s="119" t="s">
        <v>93</v>
      </c>
      <c r="E365" s="119" t="s">
        <v>142</v>
      </c>
      <c r="F365" s="120" t="s">
        <v>143</v>
      </c>
      <c r="G365" s="121" t="s">
        <v>10</v>
      </c>
    </row>
    <row r="366" spans="2:7" x14ac:dyDescent="0.3">
      <c r="B366" s="122"/>
      <c r="C366" s="123"/>
      <c r="D366" s="123"/>
      <c r="E366" s="124"/>
      <c r="F366" s="125"/>
      <c r="G366" s="126"/>
    </row>
    <row r="367" spans="2:7" x14ac:dyDescent="0.3">
      <c r="B367" s="127" t="s">
        <v>91</v>
      </c>
      <c r="C367" s="123"/>
      <c r="D367" s="123"/>
      <c r="E367" s="124"/>
      <c r="F367" s="125"/>
      <c r="G367" s="126"/>
    </row>
    <row r="368" spans="2:7" x14ac:dyDescent="0.3">
      <c r="B368" s="128" t="str">
        <f>INSUMOS!$B$13</f>
        <v>BOLSAS PARA BASURA</v>
      </c>
      <c r="C368" s="129" t="str">
        <f>INSUMOS!$C$13</f>
        <v>UND</v>
      </c>
      <c r="D368" s="129">
        <v>90</v>
      </c>
      <c r="E368" s="130">
        <v>0</v>
      </c>
      <c r="F368" s="131">
        <f>INSUMOS!$E$13</f>
        <v>2053</v>
      </c>
      <c r="G368" s="132">
        <f>TRUNC(D368 * (1 + E368 / 100) * F368,0)</f>
        <v>184770</v>
      </c>
    </row>
    <row r="369" spans="2:7" x14ac:dyDescent="0.3">
      <c r="B369" s="142"/>
      <c r="C369" s="157"/>
      <c r="D369" s="158"/>
      <c r="E369" s="159"/>
      <c r="F369" s="145"/>
      <c r="G369" s="138"/>
    </row>
    <row r="370" spans="2:7" x14ac:dyDescent="0.3">
      <c r="B370" s="122"/>
      <c r="C370" s="123"/>
      <c r="D370" s="123"/>
      <c r="E370" s="124"/>
      <c r="F370" s="125" t="s">
        <v>144</v>
      </c>
      <c r="G370" s="132">
        <f>SUM(G368:G368)</f>
        <v>184770</v>
      </c>
    </row>
    <row r="371" spans="2:7" x14ac:dyDescent="0.3">
      <c r="B371" s="127" t="s">
        <v>114</v>
      </c>
      <c r="C371" s="123"/>
      <c r="D371" s="123"/>
      <c r="E371" s="124"/>
      <c r="F371" s="125"/>
      <c r="G371" s="139"/>
    </row>
    <row r="372" spans="2:7" x14ac:dyDescent="0.3">
      <c r="B372" s="151" t="str">
        <f>INSUMOS!$B$68</f>
        <v>M.O. ALBAÑILERIA 2 AYUDANTES</v>
      </c>
      <c r="C372" s="129" t="str">
        <f>INSUMOS!$C$68</f>
        <v>JORNAL</v>
      </c>
      <c r="D372" s="129">
        <v>3</v>
      </c>
      <c r="E372" s="130"/>
      <c r="F372" s="140">
        <f>INSUMOS!$E$68</f>
        <v>228221</v>
      </c>
      <c r="G372" s="132">
        <f>TRUNC(D372 * (1 + E372 / 100) * F372,0)</f>
        <v>684663</v>
      </c>
    </row>
    <row r="373" spans="2:7" x14ac:dyDescent="0.3">
      <c r="B373" s="142"/>
      <c r="C373" s="157"/>
      <c r="D373" s="158"/>
      <c r="E373" s="159"/>
      <c r="F373" s="145"/>
      <c r="G373" s="141"/>
    </row>
    <row r="374" spans="2:7" x14ac:dyDescent="0.3">
      <c r="B374" s="122"/>
      <c r="C374" s="123"/>
      <c r="D374" s="123"/>
      <c r="E374" s="124"/>
      <c r="F374" s="125" t="s">
        <v>145</v>
      </c>
      <c r="G374" s="132">
        <f>SUM(G372:G372)</f>
        <v>684663</v>
      </c>
    </row>
    <row r="375" spans="2:7" x14ac:dyDescent="0.3">
      <c r="B375" s="127" t="s">
        <v>125</v>
      </c>
      <c r="C375" s="123"/>
      <c r="D375" s="123"/>
      <c r="E375" s="124"/>
      <c r="F375" s="125"/>
      <c r="G375" s="139"/>
    </row>
    <row r="376" spans="2:7" x14ac:dyDescent="0.3">
      <c r="B376" s="151" t="str">
        <f>INSUMOS!$B$83</f>
        <v>VOLQUETA 8 M3 CON BOTADERO CERTIFICADO</v>
      </c>
      <c r="C376" s="129" t="str">
        <f>INSUMOS!$C$83</f>
        <v>M3</v>
      </c>
      <c r="D376" s="129">
        <v>8</v>
      </c>
      <c r="E376" s="130"/>
      <c r="F376" s="140">
        <f>INSUMOS!$E$83</f>
        <v>24812</v>
      </c>
      <c r="G376" s="132">
        <f>TRUNC(D376 * (1 + E376 / 100) * F376,0)</f>
        <v>198496</v>
      </c>
    </row>
    <row r="377" spans="2:7" x14ac:dyDescent="0.3">
      <c r="B377" s="142"/>
      <c r="C377" s="157"/>
      <c r="D377" s="158"/>
      <c r="E377" s="159"/>
      <c r="F377" s="145"/>
      <c r="G377" s="141"/>
    </row>
    <row r="378" spans="2:7" x14ac:dyDescent="0.3">
      <c r="B378" s="122"/>
      <c r="C378" s="123"/>
      <c r="D378" s="123"/>
      <c r="E378" s="124"/>
      <c r="F378" s="125" t="s">
        <v>146</v>
      </c>
      <c r="G378" s="132">
        <f>SUM(G376:G376)</f>
        <v>198496</v>
      </c>
    </row>
    <row r="379" spans="2:7" x14ac:dyDescent="0.3">
      <c r="B379" s="127" t="s">
        <v>147</v>
      </c>
      <c r="C379" s="123"/>
      <c r="D379" s="123"/>
      <c r="E379" s="124"/>
      <c r="F379" s="125"/>
      <c r="G379" s="139"/>
    </row>
    <row r="380" spans="2:7" x14ac:dyDescent="0.3">
      <c r="B380" s="133" t="str">
        <f>INSUMOS!$B$84</f>
        <v>HERRAMIENTA MENOR</v>
      </c>
      <c r="C380" s="134" t="str">
        <f>INSUMOS!$C$84</f>
        <v>GLB</v>
      </c>
      <c r="D380" s="163">
        <v>20.861000000000001</v>
      </c>
      <c r="E380" s="136"/>
      <c r="F380" s="137">
        <f>INSUMOS!$E$84</f>
        <v>2174</v>
      </c>
      <c r="G380" s="132">
        <f>TRUNC(D380 * (1 + E380 / 100) * F380,0)</f>
        <v>45351</v>
      </c>
    </row>
    <row r="381" spans="2:7" x14ac:dyDescent="0.3">
      <c r="B381" s="133"/>
      <c r="C381" s="134"/>
      <c r="D381" s="135"/>
      <c r="E381" s="136"/>
      <c r="F381" s="137"/>
      <c r="G381" s="141"/>
    </row>
    <row r="382" spans="2:7" x14ac:dyDescent="0.3">
      <c r="B382" s="122"/>
      <c r="C382" s="123"/>
      <c r="D382" s="123"/>
      <c r="E382" s="124"/>
      <c r="F382" s="125" t="str">
        <f>"SUBTOTAL " &amp;B379</f>
        <v>SUBTOTAL OTROS</v>
      </c>
      <c r="G382" s="132">
        <f>SUM(G380:G381)</f>
        <v>45351</v>
      </c>
    </row>
    <row r="383" spans="2:7" x14ac:dyDescent="0.3">
      <c r="B383" s="122"/>
      <c r="C383" s="123"/>
      <c r="D383" s="123"/>
      <c r="E383" s="124"/>
      <c r="F383" s="125"/>
      <c r="G383" s="126"/>
    </row>
    <row r="384" spans="2:7" ht="15" thickBot="1" x14ac:dyDescent="0.35">
      <c r="B384" s="146"/>
      <c r="C384" s="147"/>
      <c r="D384" s="166"/>
      <c r="E384" s="148" t="s">
        <v>148</v>
      </c>
      <c r="F384" s="149"/>
      <c r="G384" s="150">
        <f>ROUND(G370+G374+G378+G382,0)</f>
        <v>1113280</v>
      </c>
    </row>
    <row r="385" spans="2:7" ht="15" thickTop="1" x14ac:dyDescent="0.3"/>
    <row r="386" spans="2:7" ht="15" thickBot="1" x14ac:dyDescent="0.35"/>
    <row r="387" spans="2:7" ht="79.95" customHeight="1" thickTop="1" x14ac:dyDescent="0.3">
      <c r="B387" s="315" t="str">
        <f>'FORMATO 13'!C29</f>
        <v>Limpieza permanente para zonas expuestas por contaminación: incluye Lavado de andenes peatonales, escaleras, vías vehiculares incluyendo el sardinel, parqueaderos, rampas, escaleras, muros menores de 1 metro de altura y otras zonas duras del estadio Olímpico Pascual Guerrero, esta labor consiste en el barrido, recolección, acopio, trasiego y disposición final de los residuos sólidos y orgánicos que se encuentren dentro del área; incluyendo el control manual o químico de malezas, aplicación de agua y detergentes a alta presión, con máquinas hidrolavadoras de ser requerido, Incluye los materiales, mano de obra, equipos y herramientas necesarias para su correcta ejecución. Todos los sobrantes de este trabajo deberán ser depositados en los sitios autorizados por la autoridad ambiental municipal incluyendo trámite y costos de permisos para disposición de material de desecho.</v>
      </c>
      <c r="C387" s="316"/>
      <c r="D387" s="316"/>
      <c r="E387" s="317"/>
      <c r="F387" s="115" t="s">
        <v>140</v>
      </c>
      <c r="G387" s="116" t="str">
        <f>'FORMATO 13'!D29</f>
        <v>M2</v>
      </c>
    </row>
    <row r="388" spans="2:7" ht="79.95" customHeight="1" x14ac:dyDescent="0.3">
      <c r="B388" s="318"/>
      <c r="C388" s="319"/>
      <c r="D388" s="319"/>
      <c r="E388" s="320"/>
      <c r="F388" s="117" t="s">
        <v>141</v>
      </c>
      <c r="G388" s="155">
        <f>'FORMATO 13'!B29</f>
        <v>1.1700000000000002</v>
      </c>
    </row>
    <row r="389" spans="2:7" x14ac:dyDescent="0.3">
      <c r="B389" s="118" t="s">
        <v>5</v>
      </c>
      <c r="C389" s="119" t="s">
        <v>92</v>
      </c>
      <c r="D389" s="119" t="s">
        <v>93</v>
      </c>
      <c r="E389" s="119" t="s">
        <v>142</v>
      </c>
      <c r="F389" s="120" t="s">
        <v>143</v>
      </c>
      <c r="G389" s="121" t="s">
        <v>10</v>
      </c>
    </row>
    <row r="390" spans="2:7" x14ac:dyDescent="0.3">
      <c r="B390" s="122"/>
      <c r="C390" s="123"/>
      <c r="D390" s="123"/>
      <c r="E390" s="124"/>
      <c r="F390" s="125"/>
      <c r="G390" s="126"/>
    </row>
    <row r="391" spans="2:7" x14ac:dyDescent="0.3">
      <c r="B391" s="127" t="s">
        <v>91</v>
      </c>
      <c r="C391" s="123"/>
      <c r="D391" s="123"/>
      <c r="E391" s="124"/>
      <c r="F391" s="125"/>
      <c r="G391" s="126"/>
    </row>
    <row r="392" spans="2:7" x14ac:dyDescent="0.3">
      <c r="B392" s="128" t="str">
        <f>INSUMOS!$B$13</f>
        <v>BOLSAS PARA BASURA</v>
      </c>
      <c r="C392" s="129" t="str">
        <f>INSUMOS!$C$13</f>
        <v>UND</v>
      </c>
      <c r="D392" s="129">
        <v>0.01</v>
      </c>
      <c r="E392" s="130">
        <v>0</v>
      </c>
      <c r="F392" s="131">
        <f>INSUMOS!$E$13</f>
        <v>2053</v>
      </c>
      <c r="G392" s="132">
        <f>TRUNC(D392 * (1 + E392 / 100) * F392,0)</f>
        <v>20</v>
      </c>
    </row>
    <row r="393" spans="2:7" x14ac:dyDescent="0.3">
      <c r="B393" s="128" t="str">
        <f>INSUMOS!$B$36</f>
        <v>DETERGENTE EN POLVO</v>
      </c>
      <c r="C393" s="129" t="str">
        <f>INSUMOS!$C$36</f>
        <v>KG</v>
      </c>
      <c r="D393" s="129">
        <v>1E-3</v>
      </c>
      <c r="E393" s="130">
        <v>0</v>
      </c>
      <c r="F393" s="131">
        <f>INSUMOS!$E$36</f>
        <v>13300</v>
      </c>
      <c r="G393" s="132">
        <f>TRUNC(D393 * (1 + E393 / 100) * F393,0)</f>
        <v>13</v>
      </c>
    </row>
    <row r="394" spans="2:7" x14ac:dyDescent="0.3">
      <c r="B394" s="142"/>
      <c r="C394" s="157"/>
      <c r="D394" s="158"/>
      <c r="E394" s="159"/>
      <c r="F394" s="145"/>
      <c r="G394" s="138"/>
    </row>
    <row r="395" spans="2:7" x14ac:dyDescent="0.3">
      <c r="B395" s="122"/>
      <c r="C395" s="123"/>
      <c r="D395" s="123"/>
      <c r="E395" s="124"/>
      <c r="F395" s="125" t="s">
        <v>144</v>
      </c>
      <c r="G395" s="132">
        <f>SUM(G392:G394)</f>
        <v>33</v>
      </c>
    </row>
    <row r="396" spans="2:7" x14ac:dyDescent="0.3">
      <c r="B396" s="127" t="s">
        <v>114</v>
      </c>
      <c r="C396" s="123"/>
      <c r="D396" s="123"/>
      <c r="E396" s="124"/>
      <c r="F396" s="125"/>
      <c r="G396" s="139"/>
    </row>
    <row r="397" spans="2:7" x14ac:dyDescent="0.3">
      <c r="B397" s="151" t="str">
        <f>INSUMOS!$B$70</f>
        <v>M.O. ALBAÑILERIA 4 AYUDANTES</v>
      </c>
      <c r="C397" s="129" t="str">
        <f>INSUMOS!$C$70</f>
        <v>JORNAL</v>
      </c>
      <c r="D397" s="129">
        <v>7.1900000000000002E-4</v>
      </c>
      <c r="E397" s="130"/>
      <c r="F397" s="140">
        <f>INSUMOS!$E$70</f>
        <v>456442</v>
      </c>
      <c r="G397" s="132">
        <f>TRUNC(D397 * (1 + E397 / 100) * F397,0)</f>
        <v>328</v>
      </c>
    </row>
    <row r="398" spans="2:7" x14ac:dyDescent="0.3">
      <c r="B398" s="142"/>
      <c r="C398" s="157"/>
      <c r="D398" s="158"/>
      <c r="E398" s="159"/>
      <c r="F398" s="145"/>
      <c r="G398" s="141"/>
    </row>
    <row r="399" spans="2:7" x14ac:dyDescent="0.3">
      <c r="B399" s="122"/>
      <c r="C399" s="123"/>
      <c r="D399" s="123"/>
      <c r="E399" s="124"/>
      <c r="F399" s="125" t="s">
        <v>145</v>
      </c>
      <c r="G399" s="132">
        <f>SUM(G397:G397)</f>
        <v>328</v>
      </c>
    </row>
    <row r="400" spans="2:7" x14ac:dyDescent="0.3">
      <c r="B400" s="127" t="s">
        <v>125</v>
      </c>
      <c r="C400" s="123"/>
      <c r="D400" s="123"/>
      <c r="E400" s="124"/>
      <c r="F400" s="125"/>
      <c r="G400" s="139"/>
    </row>
    <row r="401" spans="2:7" x14ac:dyDescent="0.3">
      <c r="B401" s="151" t="str">
        <f>INSUMOS!$B$83</f>
        <v>VOLQUETA 8 M3 CON BOTADERO CERTIFICADO</v>
      </c>
      <c r="C401" s="129" t="str">
        <f>INSUMOS!$C$83</f>
        <v>M3</v>
      </c>
      <c r="D401" s="129">
        <v>1E-3</v>
      </c>
      <c r="E401" s="130"/>
      <c r="F401" s="140">
        <f>INSUMOS!$E$83</f>
        <v>24812</v>
      </c>
      <c r="G401" s="132">
        <f>TRUNC(D401 * (1 + E401 / 100) * F401,0)</f>
        <v>24</v>
      </c>
    </row>
    <row r="402" spans="2:7" x14ac:dyDescent="0.3">
      <c r="B402" s="151" t="str">
        <f>INSUMOS!$B$93</f>
        <v>HIDROLAVADORA</v>
      </c>
      <c r="C402" s="129" t="str">
        <f>INSUMOS!$C$93</f>
        <v>DIA</v>
      </c>
      <c r="D402" s="129">
        <v>1E-3</v>
      </c>
      <c r="E402" s="130"/>
      <c r="F402" s="140">
        <f>INSUMOS!$E$93</f>
        <v>259164</v>
      </c>
      <c r="G402" s="132">
        <f>TRUNC(D402 * (1 + E402 / 100) * F402,0)</f>
        <v>259</v>
      </c>
    </row>
    <row r="403" spans="2:7" x14ac:dyDescent="0.3">
      <c r="B403" s="142"/>
      <c r="C403" s="157"/>
      <c r="D403" s="158"/>
      <c r="E403" s="159"/>
      <c r="F403" s="145"/>
      <c r="G403" s="141"/>
    </row>
    <row r="404" spans="2:7" x14ac:dyDescent="0.3">
      <c r="B404" s="122"/>
      <c r="C404" s="123"/>
      <c r="D404" s="123"/>
      <c r="E404" s="124"/>
      <c r="F404" s="125" t="s">
        <v>146</v>
      </c>
      <c r="G404" s="132">
        <f>SUM(G401:G401)</f>
        <v>24</v>
      </c>
    </row>
    <row r="405" spans="2:7" x14ac:dyDescent="0.3">
      <c r="B405" s="127" t="s">
        <v>147</v>
      </c>
      <c r="C405" s="123"/>
      <c r="D405" s="123"/>
      <c r="E405" s="124"/>
      <c r="F405" s="125"/>
      <c r="G405" s="139"/>
    </row>
    <row r="406" spans="2:7" x14ac:dyDescent="0.3">
      <c r="B406" s="133" t="str">
        <f>INSUMOS!$B$84</f>
        <v>HERRAMIENTA MENOR</v>
      </c>
      <c r="C406" s="134" t="str">
        <f>INSUMOS!$C$84</f>
        <v>GLB</v>
      </c>
      <c r="D406" s="123">
        <v>3.0000000000000001E-3</v>
      </c>
      <c r="E406" s="136"/>
      <c r="F406" s="137">
        <f>INSUMOS!$E$84</f>
        <v>2174</v>
      </c>
      <c r="G406" s="132">
        <f>TRUNC(D406 * (1 + E406 / 100) * F406,0)</f>
        <v>6</v>
      </c>
    </row>
    <row r="407" spans="2:7" x14ac:dyDescent="0.3">
      <c r="B407" s="133"/>
      <c r="C407" s="134"/>
      <c r="D407" s="135"/>
      <c r="E407" s="136"/>
      <c r="F407" s="137"/>
      <c r="G407" s="141"/>
    </row>
    <row r="408" spans="2:7" x14ac:dyDescent="0.3">
      <c r="B408" s="122"/>
      <c r="C408" s="123"/>
      <c r="D408" s="123"/>
      <c r="E408" s="124"/>
      <c r="F408" s="125" t="str">
        <f>"SUBTOTAL " &amp;B405</f>
        <v>SUBTOTAL OTROS</v>
      </c>
      <c r="G408" s="132">
        <f>SUM(G406:G407)</f>
        <v>6</v>
      </c>
    </row>
    <row r="409" spans="2:7" x14ac:dyDescent="0.3">
      <c r="B409" s="122"/>
      <c r="C409" s="123"/>
      <c r="D409" s="123"/>
      <c r="E409" s="124"/>
      <c r="F409" s="125"/>
      <c r="G409" s="126"/>
    </row>
    <row r="410" spans="2:7" ht="15" thickBot="1" x14ac:dyDescent="0.35">
      <c r="B410" s="146"/>
      <c r="C410" s="147"/>
      <c r="D410" s="166"/>
      <c r="E410" s="148" t="s">
        <v>148</v>
      </c>
      <c r="F410" s="149"/>
      <c r="G410" s="150">
        <f>ROUND(G395+G399+G404+G408,0)</f>
        <v>391</v>
      </c>
    </row>
    <row r="411" spans="2:7" ht="15" thickTop="1" x14ac:dyDescent="0.3"/>
    <row r="412" spans="2:7" ht="15" thickBot="1" x14ac:dyDescent="0.35"/>
    <row r="413" spans="2:7" ht="15" thickTop="1" x14ac:dyDescent="0.3">
      <c r="B413" s="315" t="str">
        <f>'FORMATO 13'!C30</f>
        <v>MANTENIMIENTO DE GRAMAS EXTERIORES UNIDAD DEPORTIVA SAN FERNANDO</v>
      </c>
      <c r="C413" s="316"/>
      <c r="D413" s="316"/>
      <c r="E413" s="317"/>
      <c r="F413" s="115" t="s">
        <v>140</v>
      </c>
      <c r="G413" s="116" t="str">
        <f>'FORMATO 13'!D30</f>
        <v>M2</v>
      </c>
    </row>
    <row r="414" spans="2:7" x14ac:dyDescent="0.3">
      <c r="B414" s="318"/>
      <c r="C414" s="319"/>
      <c r="D414" s="319"/>
      <c r="E414" s="320"/>
      <c r="F414" s="117" t="s">
        <v>141</v>
      </c>
      <c r="G414" s="155">
        <f>'FORMATO 13'!B30</f>
        <v>1.1800000000000002</v>
      </c>
    </row>
    <row r="415" spans="2:7" x14ac:dyDescent="0.3">
      <c r="B415" s="118" t="s">
        <v>5</v>
      </c>
      <c r="C415" s="119" t="s">
        <v>92</v>
      </c>
      <c r="D415" s="119" t="s">
        <v>93</v>
      </c>
      <c r="E415" s="119" t="s">
        <v>142</v>
      </c>
      <c r="F415" s="120" t="s">
        <v>143</v>
      </c>
      <c r="G415" s="121" t="s">
        <v>10</v>
      </c>
    </row>
    <row r="416" spans="2:7" x14ac:dyDescent="0.3">
      <c r="B416" s="122"/>
      <c r="C416" s="123"/>
      <c r="D416" s="123"/>
      <c r="E416" s="124"/>
      <c r="F416" s="125"/>
      <c r="G416" s="126"/>
    </row>
    <row r="417" spans="2:7" x14ac:dyDescent="0.3">
      <c r="B417" s="127" t="s">
        <v>91</v>
      </c>
      <c r="C417" s="123"/>
      <c r="D417" s="123"/>
      <c r="E417" s="124"/>
      <c r="F417" s="125"/>
      <c r="G417" s="126"/>
    </row>
    <row r="418" spans="2:7" x14ac:dyDescent="0.3">
      <c r="B418" s="128"/>
      <c r="C418" s="129"/>
      <c r="D418" s="129"/>
      <c r="E418" s="130"/>
      <c r="F418" s="131"/>
      <c r="G418" s="132"/>
    </row>
    <row r="419" spans="2:7" x14ac:dyDescent="0.3">
      <c r="B419" s="122"/>
      <c r="C419" s="123"/>
      <c r="D419" s="123"/>
      <c r="E419" s="124"/>
      <c r="F419" s="125" t="s">
        <v>144</v>
      </c>
      <c r="G419" s="132">
        <f>SUM(G416:G418)</f>
        <v>0</v>
      </c>
    </row>
    <row r="420" spans="2:7" x14ac:dyDescent="0.3">
      <c r="B420" s="127" t="s">
        <v>114</v>
      </c>
      <c r="C420" s="123"/>
      <c r="D420" s="123"/>
      <c r="E420" s="124"/>
      <c r="F420" s="125"/>
      <c r="G420" s="139"/>
    </row>
    <row r="421" spans="2:7" x14ac:dyDescent="0.3">
      <c r="B421" s="151" t="str">
        <f>INSUMOS!$B$70</f>
        <v>M.O. ALBAÑILERIA 4 AYUDANTES</v>
      </c>
      <c r="C421" s="129" t="str">
        <f>INSUMOS!$C$70</f>
        <v>JORNAL</v>
      </c>
      <c r="D421" s="129">
        <v>5.9999999999999995E-4</v>
      </c>
      <c r="E421" s="130"/>
      <c r="F421" s="140">
        <f>INSUMOS!$E$70</f>
        <v>456442</v>
      </c>
      <c r="G421" s="132">
        <f>TRUNC(D421 * (1 + E421 / 100) * F421,0)</f>
        <v>273</v>
      </c>
    </row>
    <row r="422" spans="2:7" x14ac:dyDescent="0.3">
      <c r="B422" s="142"/>
      <c r="C422" s="157"/>
      <c r="D422" s="158"/>
      <c r="E422" s="159"/>
      <c r="F422" s="145"/>
      <c r="G422" s="141"/>
    </row>
    <row r="423" spans="2:7" x14ac:dyDescent="0.3">
      <c r="B423" s="122"/>
      <c r="C423" s="123"/>
      <c r="D423" s="123"/>
      <c r="E423" s="124"/>
      <c r="F423" s="125" t="s">
        <v>145</v>
      </c>
      <c r="G423" s="132">
        <f>SUM(G421:G421)</f>
        <v>273</v>
      </c>
    </row>
    <row r="424" spans="2:7" x14ac:dyDescent="0.3">
      <c r="B424" s="127" t="s">
        <v>125</v>
      </c>
      <c r="C424" s="123"/>
      <c r="D424" s="123"/>
      <c r="E424" s="124"/>
      <c r="F424" s="125"/>
      <c r="G424" s="139"/>
    </row>
    <row r="425" spans="2:7" x14ac:dyDescent="0.3">
      <c r="B425" s="151"/>
      <c r="C425" s="129"/>
      <c r="D425" s="129"/>
      <c r="E425" s="130"/>
      <c r="F425" s="140"/>
      <c r="G425" s="132"/>
    </row>
    <row r="426" spans="2:7" x14ac:dyDescent="0.3">
      <c r="B426" s="142"/>
      <c r="C426" s="157"/>
      <c r="D426" s="158"/>
      <c r="E426" s="159"/>
      <c r="F426" s="145"/>
      <c r="G426" s="141"/>
    </row>
    <row r="427" spans="2:7" x14ac:dyDescent="0.3">
      <c r="B427" s="122"/>
      <c r="C427" s="123"/>
      <c r="D427" s="123"/>
      <c r="E427" s="124"/>
      <c r="F427" s="125" t="s">
        <v>146</v>
      </c>
      <c r="G427" s="132">
        <f>SUM(G425:G426)</f>
        <v>0</v>
      </c>
    </row>
    <row r="428" spans="2:7" x14ac:dyDescent="0.3">
      <c r="B428" s="127" t="s">
        <v>147</v>
      </c>
      <c r="C428" s="123"/>
      <c r="D428" s="123"/>
      <c r="E428" s="124"/>
      <c r="F428" s="125"/>
      <c r="G428" s="139"/>
    </row>
    <row r="429" spans="2:7" x14ac:dyDescent="0.3">
      <c r="B429" s="133" t="str">
        <f>INSUMOS!$B$84</f>
        <v>HERRAMIENTA MENOR</v>
      </c>
      <c r="C429" s="134" t="str">
        <f>INSUMOS!$C$84</f>
        <v>GLB</v>
      </c>
      <c r="D429" s="123">
        <v>5.0000000000000001E-4</v>
      </c>
      <c r="E429" s="136"/>
      <c r="F429" s="137">
        <f>INSUMOS!$E$84</f>
        <v>2174</v>
      </c>
      <c r="G429" s="132">
        <f>TRUNC(D429 * (1 + E429 / 100) * F429,0)</f>
        <v>1</v>
      </c>
    </row>
    <row r="430" spans="2:7" x14ac:dyDescent="0.3">
      <c r="B430" s="133"/>
      <c r="C430" s="134"/>
      <c r="D430" s="135"/>
      <c r="E430" s="136"/>
      <c r="F430" s="137"/>
      <c r="G430" s="141"/>
    </row>
    <row r="431" spans="2:7" x14ac:dyDescent="0.3">
      <c r="B431" s="122"/>
      <c r="C431" s="123"/>
      <c r="D431" s="123"/>
      <c r="E431" s="124"/>
      <c r="F431" s="125" t="str">
        <f>"SUBTOTAL " &amp;B428</f>
        <v>SUBTOTAL OTROS</v>
      </c>
      <c r="G431" s="132">
        <f>SUM(G429:G430)</f>
        <v>1</v>
      </c>
    </row>
    <row r="432" spans="2:7" x14ac:dyDescent="0.3">
      <c r="B432" s="122"/>
      <c r="C432" s="123"/>
      <c r="D432" s="123"/>
      <c r="E432" s="124"/>
      <c r="F432" s="125"/>
      <c r="G432" s="126"/>
    </row>
    <row r="433" spans="2:7" ht="15" thickBot="1" x14ac:dyDescent="0.35">
      <c r="B433" s="146"/>
      <c r="C433" s="147"/>
      <c r="D433" s="166"/>
      <c r="E433" s="148" t="s">
        <v>148</v>
      </c>
      <c r="F433" s="149"/>
      <c r="G433" s="150">
        <f>ROUND(G419+G423+G427+G431,0)</f>
        <v>274</v>
      </c>
    </row>
    <row r="434" spans="2:7" ht="15" thickTop="1" x14ac:dyDescent="0.3"/>
    <row r="435" spans="2:7" ht="15" thickBot="1" x14ac:dyDescent="0.35"/>
    <row r="436" spans="2:7" ht="15" thickBot="1" x14ac:dyDescent="0.35">
      <c r="B436" s="114">
        <f>'FORMATO 13'!B36</f>
        <v>2</v>
      </c>
      <c r="C436" s="106"/>
      <c r="D436" s="106"/>
      <c r="E436" s="100"/>
      <c r="F436" s="113"/>
      <c r="G436" s="113"/>
    </row>
    <row r="437" spans="2:7" ht="15" thickBot="1" x14ac:dyDescent="0.35">
      <c r="B437" s="312" t="str">
        <f>'FORMATO 13'!C36</f>
        <v>MANTENIMIENTO GRAMA NATURAL DEL ESTADIO INTERNACIONAL DE ATLETISMO PEDRO GRAJALES - CANCHA EN PISTA PRINCIPAL</v>
      </c>
      <c r="C437" s="313"/>
      <c r="D437" s="313"/>
      <c r="E437" s="313"/>
      <c r="F437" s="313"/>
      <c r="G437" s="314"/>
    </row>
    <row r="439" spans="2:7" ht="15" thickBot="1" x14ac:dyDescent="0.35"/>
    <row r="440" spans="2:7" ht="90" customHeight="1" thickTop="1" x14ac:dyDescent="0.3">
      <c r="B440" s="315" t="str">
        <f>'FORMATO 13'!C37</f>
        <v>CORTE: Mantener la altura adecuada del césped para favorecer un crecimiento saludable del gramado. Se debe realizar un corte antes de cada partido o evento a toda la gramilla,  o de acuerdo con las indicaciones de la supervisión y/o interventoría y/o recomendación del contratista, debidamente aprobadas por el supervisor con la finalidad de tener a la altura óptima el prado. Incluye la maquinaria, la maquinaria especializada, el combustible, el operario, recolección y botada de sobrantes. El corte debe ser permanente y ajustado para la perfecta conservación de las gramillas. Se debe utilizar una cortadora especializada tipo greenera. Es necesario realizar un corte antes de cada partido o evento en toda la gramilla, siguiendo las indicaciones de la supervisión, interventoría o recomendaciones del contratista, debidamente aprobadas por el supervisor. Esto garantiza que el césped mantenga la altura óptima definida por la entidad. Incluye, toda la maquinaria necesaria, todos los materiales e insumos para su óptimo funcionamiento, operarios, herramienta menor y la recolección y disposición adecuada de los residuos.</v>
      </c>
      <c r="C440" s="316"/>
      <c r="D440" s="316"/>
      <c r="E440" s="317"/>
      <c r="F440" s="115" t="s">
        <v>140</v>
      </c>
      <c r="G440" s="116" t="str">
        <f>'FORMATO 13'!D37</f>
        <v>VECES</v>
      </c>
    </row>
    <row r="441" spans="2:7" ht="90" customHeight="1" x14ac:dyDescent="0.3">
      <c r="B441" s="318"/>
      <c r="C441" s="319"/>
      <c r="D441" s="319"/>
      <c r="E441" s="320"/>
      <c r="F441" s="117" t="s">
        <v>141</v>
      </c>
      <c r="G441" s="155">
        <f>'FORMATO 13'!B37</f>
        <v>2.0099999999999998</v>
      </c>
    </row>
    <row r="442" spans="2:7" x14ac:dyDescent="0.3">
      <c r="B442" s="118" t="s">
        <v>5</v>
      </c>
      <c r="C442" s="119" t="s">
        <v>92</v>
      </c>
      <c r="D442" s="119" t="s">
        <v>93</v>
      </c>
      <c r="E442" s="119" t="s">
        <v>142</v>
      </c>
      <c r="F442" s="120" t="s">
        <v>143</v>
      </c>
      <c r="G442" s="121" t="s">
        <v>10</v>
      </c>
    </row>
    <row r="443" spans="2:7" x14ac:dyDescent="0.3">
      <c r="B443" s="122"/>
      <c r="C443" s="123"/>
      <c r="D443" s="123"/>
      <c r="E443" s="124"/>
      <c r="F443" s="125"/>
      <c r="G443" s="126"/>
    </row>
    <row r="444" spans="2:7" x14ac:dyDescent="0.3">
      <c r="B444" s="127" t="s">
        <v>91</v>
      </c>
      <c r="C444" s="123"/>
      <c r="D444" s="123"/>
      <c r="E444" s="124"/>
      <c r="F444" s="125"/>
      <c r="G444" s="126"/>
    </row>
    <row r="445" spans="2:7" x14ac:dyDescent="0.3">
      <c r="B445" s="128" t="str">
        <f>INSUMOS!$B$37</f>
        <v>RASTRILLO PLÁSTICO</v>
      </c>
      <c r="C445" s="129" t="str">
        <f>INSUMOS!$C$37</f>
        <v>UND</v>
      </c>
      <c r="D445" s="129">
        <v>1.5</v>
      </c>
      <c r="E445" s="130">
        <v>0</v>
      </c>
      <c r="F445" s="131">
        <f>INSUMOS!$E$37</f>
        <v>29179</v>
      </c>
      <c r="G445" s="132">
        <f t="shared" ref="G445:G450" si="14">TRUNC(D445 * (1 + E445 / 100) * F445,0)</f>
        <v>43768</v>
      </c>
    </row>
    <row r="446" spans="2:7" x14ac:dyDescent="0.3">
      <c r="B446" s="128" t="str">
        <f>INSUMOS!$B$13</f>
        <v>BOLSAS PARA BASURA</v>
      </c>
      <c r="C446" s="129" t="str">
        <f>INSUMOS!$C$13</f>
        <v>UND</v>
      </c>
      <c r="D446" s="129">
        <v>70</v>
      </c>
      <c r="E446" s="130">
        <v>0</v>
      </c>
      <c r="F446" s="131">
        <f>INSUMOS!$E$13</f>
        <v>2053</v>
      </c>
      <c r="G446" s="132">
        <f t="shared" si="14"/>
        <v>143710</v>
      </c>
    </row>
    <row r="447" spans="2:7" x14ac:dyDescent="0.3">
      <c r="B447" s="128" t="str">
        <f>INSUMOS!$B$38</f>
        <v>TELAR SINTETICO TIPO ALFOMBRA 1.50X3.00</v>
      </c>
      <c r="C447" s="129" t="str">
        <f>INSUMOS!$C$38</f>
        <v>UND</v>
      </c>
      <c r="D447" s="129">
        <v>0.05</v>
      </c>
      <c r="E447" s="130">
        <v>0</v>
      </c>
      <c r="F447" s="131">
        <f>INSUMOS!$E$38</f>
        <v>225321</v>
      </c>
      <c r="G447" s="132">
        <f t="shared" si="14"/>
        <v>11266</v>
      </c>
    </row>
    <row r="448" spans="2:7" x14ac:dyDescent="0.3">
      <c r="B448" s="128" t="str">
        <f>INSUMOS!$B$39</f>
        <v>CARRETA TIPO BUGUI</v>
      </c>
      <c r="C448" s="129" t="str">
        <f>INSUMOS!$C$39</f>
        <v>DIA</v>
      </c>
      <c r="D448" s="129">
        <v>5</v>
      </c>
      <c r="E448" s="130">
        <v>0</v>
      </c>
      <c r="F448" s="131">
        <f>INSUMOS!$E$39</f>
        <v>4665</v>
      </c>
      <c r="G448" s="132">
        <f t="shared" si="14"/>
        <v>23325</v>
      </c>
    </row>
    <row r="449" spans="2:7" x14ac:dyDescent="0.3">
      <c r="B449" s="128" t="str">
        <f>INSUMOS!$B$40</f>
        <v>ESCOBA PLASTICA DE CERDA FINA ANCHA</v>
      </c>
      <c r="C449" s="129" t="str">
        <f>INSUMOS!$C$40</f>
        <v>UND</v>
      </c>
      <c r="D449" s="129">
        <v>3</v>
      </c>
      <c r="E449" s="130">
        <v>0</v>
      </c>
      <c r="F449" s="131">
        <f>INSUMOS!$E$40</f>
        <v>7217</v>
      </c>
      <c r="G449" s="132">
        <f t="shared" si="14"/>
        <v>21651</v>
      </c>
    </row>
    <row r="450" spans="2:7" x14ac:dyDescent="0.3">
      <c r="B450" s="151" t="str">
        <f>INSUMOS!$B$11</f>
        <v>GASOLINA CORRIENTE</v>
      </c>
      <c r="C450" s="129" t="str">
        <f>INSUMOS!$C$11</f>
        <v>GLN</v>
      </c>
      <c r="D450" s="129">
        <v>0.5</v>
      </c>
      <c r="E450" s="130">
        <v>0</v>
      </c>
      <c r="F450" s="131">
        <f>INSUMOS!$E$11</f>
        <v>16423</v>
      </c>
      <c r="G450" s="132">
        <f t="shared" si="14"/>
        <v>8211</v>
      </c>
    </row>
    <row r="451" spans="2:7" x14ac:dyDescent="0.3">
      <c r="B451" s="128"/>
      <c r="C451" s="129"/>
      <c r="D451" s="129"/>
      <c r="E451" s="130"/>
      <c r="F451" s="131"/>
      <c r="G451" s="132"/>
    </row>
    <row r="452" spans="2:7" x14ac:dyDescent="0.3">
      <c r="B452" s="122"/>
      <c r="C452" s="123"/>
      <c r="D452" s="123"/>
      <c r="E452" s="124"/>
      <c r="F452" s="125" t="s">
        <v>144</v>
      </c>
      <c r="G452" s="132">
        <f>SUM(G443:G451)</f>
        <v>251931</v>
      </c>
    </row>
    <row r="453" spans="2:7" x14ac:dyDescent="0.3">
      <c r="B453" s="127" t="s">
        <v>114</v>
      </c>
      <c r="C453" s="123"/>
      <c r="D453" s="123"/>
      <c r="E453" s="124"/>
      <c r="F453" s="125"/>
      <c r="G453" s="139"/>
    </row>
    <row r="454" spans="2:7" x14ac:dyDescent="0.3">
      <c r="B454" s="151" t="str">
        <f>INSUMOS!$B$73</f>
        <v>M.O. 1 OFICIAL + 2 AYUDANTES</v>
      </c>
      <c r="C454" s="129" t="str">
        <f>INSUMOS!$C$73</f>
        <v>JORNAL</v>
      </c>
      <c r="D454" s="129">
        <v>0.5</v>
      </c>
      <c r="E454" s="130"/>
      <c r="F454" s="140">
        <f>INSUMOS!$E$73</f>
        <v>422209</v>
      </c>
      <c r="G454" s="132">
        <f>TRUNC(D454 * (1 + E454 / 100) * F454,0)</f>
        <v>211104</v>
      </c>
    </row>
    <row r="455" spans="2:7" x14ac:dyDescent="0.3">
      <c r="B455" s="142"/>
      <c r="C455" s="157"/>
      <c r="D455" s="158"/>
      <c r="E455" s="159"/>
      <c r="F455" s="145"/>
      <c r="G455" s="141"/>
    </row>
    <row r="456" spans="2:7" x14ac:dyDescent="0.3">
      <c r="B456" s="122"/>
      <c r="C456" s="123"/>
      <c r="D456" s="123"/>
      <c r="E456" s="124"/>
      <c r="F456" s="125" t="s">
        <v>145</v>
      </c>
      <c r="G456" s="132">
        <f>SUM(G454:G454)</f>
        <v>211104</v>
      </c>
    </row>
    <row r="457" spans="2:7" x14ac:dyDescent="0.3">
      <c r="B457" s="127" t="s">
        <v>125</v>
      </c>
      <c r="C457" s="123"/>
      <c r="D457" s="123"/>
      <c r="E457" s="124"/>
      <c r="F457" s="125"/>
      <c r="G457" s="139"/>
    </row>
    <row r="458" spans="2:7" x14ac:dyDescent="0.3">
      <c r="B458" s="133" t="str">
        <f>INSUMOS!$B$94</f>
        <v>CORTACESPED TIPO GREENERA A GASOLINA</v>
      </c>
      <c r="C458" s="134" t="str">
        <f>INSUMOS!$C$94</f>
        <v>GLB</v>
      </c>
      <c r="D458" s="123">
        <v>0.05</v>
      </c>
      <c r="E458" s="136"/>
      <c r="F458" s="137">
        <f>INSUMOS!$E$94</f>
        <v>931000</v>
      </c>
      <c r="G458" s="132">
        <f>TRUNC(D458 * (1 + E458 / 100) * F458,0)</f>
        <v>46550</v>
      </c>
    </row>
    <row r="459" spans="2:7" x14ac:dyDescent="0.3">
      <c r="B459" s="151"/>
      <c r="C459" s="129"/>
      <c r="D459" s="129"/>
      <c r="E459" s="130"/>
      <c r="F459" s="140"/>
      <c r="G459" s="132"/>
    </row>
    <row r="460" spans="2:7" x14ac:dyDescent="0.3">
      <c r="B460" s="142"/>
      <c r="C460" s="157"/>
      <c r="D460" s="158"/>
      <c r="E460" s="159"/>
      <c r="F460" s="145"/>
      <c r="G460" s="141"/>
    </row>
    <row r="461" spans="2:7" x14ac:dyDescent="0.3">
      <c r="B461" s="122"/>
      <c r="C461" s="123"/>
      <c r="D461" s="123"/>
      <c r="E461" s="124"/>
      <c r="F461" s="125" t="s">
        <v>146</v>
      </c>
      <c r="G461" s="132">
        <f>SUM(G458:G458)</f>
        <v>46550</v>
      </c>
    </row>
    <row r="462" spans="2:7" x14ac:dyDescent="0.3">
      <c r="B462" s="127" t="s">
        <v>147</v>
      </c>
      <c r="C462" s="123"/>
      <c r="D462" s="123"/>
      <c r="E462" s="124"/>
      <c r="F462" s="125"/>
      <c r="G462" s="139"/>
    </row>
    <row r="463" spans="2:7" x14ac:dyDescent="0.3">
      <c r="B463" s="133" t="str">
        <f>INSUMOS!$B$84</f>
        <v>HERRAMIENTA MENOR</v>
      </c>
      <c r="C463" s="134" t="str">
        <f>INSUMOS!$C$84</f>
        <v>GLB</v>
      </c>
      <c r="D463" s="163">
        <v>3.9119999999999999</v>
      </c>
      <c r="E463" s="136"/>
      <c r="F463" s="137">
        <f>INSUMOS!$E$84</f>
        <v>2174</v>
      </c>
      <c r="G463" s="132">
        <f>TRUNC(D463 * (1 + E463 / 100) * F463,0)</f>
        <v>8504</v>
      </c>
    </row>
    <row r="464" spans="2:7" x14ac:dyDescent="0.3">
      <c r="B464" s="133"/>
      <c r="C464" s="134"/>
      <c r="D464" s="135"/>
      <c r="E464" s="136"/>
      <c r="F464" s="137"/>
      <c r="G464" s="141"/>
    </row>
    <row r="465" spans="2:7" x14ac:dyDescent="0.3">
      <c r="B465" s="122"/>
      <c r="C465" s="123"/>
      <c r="D465" s="123"/>
      <c r="E465" s="124"/>
      <c r="F465" s="125" t="str">
        <f>"SUBTOTAL " &amp;B462</f>
        <v>SUBTOTAL OTROS</v>
      </c>
      <c r="G465" s="132">
        <f>SUM(G463:G464)</f>
        <v>8504</v>
      </c>
    </row>
    <row r="466" spans="2:7" x14ac:dyDescent="0.3">
      <c r="B466" s="122"/>
      <c r="C466" s="123"/>
      <c r="D466" s="123"/>
      <c r="E466" s="124"/>
      <c r="F466" s="125"/>
      <c r="G466" s="126"/>
    </row>
    <row r="467" spans="2:7" ht="15" thickBot="1" x14ac:dyDescent="0.35">
      <c r="B467" s="146"/>
      <c r="C467" s="147"/>
      <c r="D467" s="166"/>
      <c r="E467" s="148" t="s">
        <v>148</v>
      </c>
      <c r="F467" s="149"/>
      <c r="G467" s="150">
        <f>ROUND(G452+G456+G461+G465,0)</f>
        <v>518089</v>
      </c>
    </row>
    <row r="468" spans="2:7" ht="15" thickTop="1" x14ac:dyDescent="0.3"/>
    <row r="469" spans="2:7" ht="15" thickBot="1" x14ac:dyDescent="0.35"/>
    <row r="470" spans="2:7" ht="30" customHeight="1" thickTop="1" x14ac:dyDescent="0.3">
      <c r="B470" s="315" t="str">
        <f>'FORMATO 13'!C38</f>
        <v xml:space="preserve">RIEGO: Permanente dependiendo de las condiciones hidroclimátológicas y de la necesidad del campo. Siguiendo las indicaciones de la supervisión, interventoría o recomendaciones del contratista, debidamente aprobadas por el supervisor. </v>
      </c>
      <c r="C470" s="316"/>
      <c r="D470" s="316"/>
      <c r="E470" s="317"/>
      <c r="F470" s="115" t="s">
        <v>140</v>
      </c>
      <c r="G470" s="116" t="str">
        <f>'FORMATO 13'!D38</f>
        <v>MES</v>
      </c>
    </row>
    <row r="471" spans="2:7" ht="30" customHeight="1" x14ac:dyDescent="0.3">
      <c r="B471" s="318"/>
      <c r="C471" s="319"/>
      <c r="D471" s="319"/>
      <c r="E471" s="320"/>
      <c r="F471" s="117" t="s">
        <v>141</v>
      </c>
      <c r="G471" s="155">
        <f>'FORMATO 13'!B38</f>
        <v>2.0199999999999996</v>
      </c>
    </row>
    <row r="472" spans="2:7" x14ac:dyDescent="0.3">
      <c r="B472" s="118" t="s">
        <v>5</v>
      </c>
      <c r="C472" s="119" t="s">
        <v>92</v>
      </c>
      <c r="D472" s="119" t="s">
        <v>93</v>
      </c>
      <c r="E472" s="119" t="s">
        <v>142</v>
      </c>
      <c r="F472" s="120" t="s">
        <v>143</v>
      </c>
      <c r="G472" s="121" t="s">
        <v>10</v>
      </c>
    </row>
    <row r="473" spans="2:7" x14ac:dyDescent="0.3">
      <c r="B473" s="122"/>
      <c r="C473" s="123"/>
      <c r="D473" s="123"/>
      <c r="E473" s="124"/>
      <c r="F473" s="125"/>
      <c r="G473" s="126"/>
    </row>
    <row r="474" spans="2:7" x14ac:dyDescent="0.3">
      <c r="B474" s="127" t="s">
        <v>91</v>
      </c>
      <c r="C474" s="123"/>
      <c r="D474" s="123"/>
      <c r="E474" s="124"/>
      <c r="F474" s="125"/>
      <c r="G474" s="126"/>
    </row>
    <row r="475" spans="2:7" x14ac:dyDescent="0.3">
      <c r="B475" s="128" t="str">
        <f>INSUMOS!$B$41</f>
        <v>MANGUERA PARA RIEGO 2" TIPO BOMBERO DE 200ML</v>
      </c>
      <c r="C475" s="129" t="str">
        <f>INSUMOS!$C$41</f>
        <v>ML</v>
      </c>
      <c r="D475" s="129">
        <v>20</v>
      </c>
      <c r="E475" s="130">
        <v>0</v>
      </c>
      <c r="F475" s="131">
        <f>INSUMOS!$E$41</f>
        <v>6657</v>
      </c>
      <c r="G475" s="132">
        <f t="shared" ref="G475:G477" si="15">TRUNC(D475 * (1 + E475 / 100) * F475,0)</f>
        <v>133140</v>
      </c>
    </row>
    <row r="476" spans="2:7" x14ac:dyDescent="0.3">
      <c r="B476" s="128" t="str">
        <f>INSUMOS!$B$42</f>
        <v>CAÑON 50 (DIAMETRO DE RIEGO 50ML)</v>
      </c>
      <c r="C476" s="129" t="str">
        <f>INSUMOS!$C$42</f>
        <v>UND</v>
      </c>
      <c r="D476" s="129">
        <v>0.1</v>
      </c>
      <c r="E476" s="130">
        <v>0</v>
      </c>
      <c r="F476" s="131">
        <f>INSUMOS!$E$42</f>
        <v>1723748</v>
      </c>
      <c r="G476" s="132">
        <f t="shared" si="15"/>
        <v>172374</v>
      </c>
    </row>
    <row r="477" spans="2:7" x14ac:dyDescent="0.3">
      <c r="B477" s="128" t="str">
        <f>INSUMOS!$B$43</f>
        <v>TRIPODE</v>
      </c>
      <c r="C477" s="129" t="str">
        <f>INSUMOS!$C$43</f>
        <v>UND</v>
      </c>
      <c r="D477" s="129">
        <v>0.1</v>
      </c>
      <c r="E477" s="130">
        <v>0</v>
      </c>
      <c r="F477" s="131">
        <f>INSUMOS!$E$43</f>
        <v>383055</v>
      </c>
      <c r="G477" s="132">
        <f t="shared" si="15"/>
        <v>38305</v>
      </c>
    </row>
    <row r="478" spans="2:7" x14ac:dyDescent="0.3">
      <c r="B478" s="128"/>
      <c r="C478" s="129"/>
      <c r="D478" s="129"/>
      <c r="E478" s="130"/>
      <c r="F478" s="131"/>
      <c r="G478" s="132"/>
    </row>
    <row r="479" spans="2:7" x14ac:dyDescent="0.3">
      <c r="B479" s="122"/>
      <c r="C479" s="123"/>
      <c r="D479" s="123"/>
      <c r="E479" s="124"/>
      <c r="F479" s="125" t="s">
        <v>144</v>
      </c>
      <c r="G479" s="132">
        <f>SUM(G473:G478)</f>
        <v>343819</v>
      </c>
    </row>
    <row r="480" spans="2:7" x14ac:dyDescent="0.3">
      <c r="B480" s="127" t="s">
        <v>114</v>
      </c>
      <c r="C480" s="123"/>
      <c r="D480" s="123"/>
      <c r="E480" s="124"/>
      <c r="F480" s="125"/>
      <c r="G480" s="139"/>
    </row>
    <row r="481" spans="2:7" x14ac:dyDescent="0.3">
      <c r="B481" s="151" t="str">
        <f>INSUMOS!$B$68</f>
        <v>M.O. ALBAÑILERIA 2 AYUDANTES</v>
      </c>
      <c r="C481" s="129" t="str">
        <f>INSUMOS!$C$68</f>
        <v>JORNAL</v>
      </c>
      <c r="D481" s="129">
        <v>0.62503299999999995</v>
      </c>
      <c r="E481" s="130"/>
      <c r="F481" s="140">
        <f>INSUMOS!$E$68</f>
        <v>228221</v>
      </c>
      <c r="G481" s="132">
        <f>TRUNC(D481 * (1 + E481 / 100) * F481,0)</f>
        <v>142645</v>
      </c>
    </row>
    <row r="482" spans="2:7" x14ac:dyDescent="0.3">
      <c r="B482" s="142"/>
      <c r="C482" s="157"/>
      <c r="D482" s="158"/>
      <c r="E482" s="159"/>
      <c r="F482" s="145"/>
      <c r="G482" s="141"/>
    </row>
    <row r="483" spans="2:7" x14ac:dyDescent="0.3">
      <c r="B483" s="122"/>
      <c r="C483" s="123"/>
      <c r="D483" s="123"/>
      <c r="E483" s="124"/>
      <c r="F483" s="125" t="s">
        <v>145</v>
      </c>
      <c r="G483" s="132">
        <f>SUM(G481:G481)</f>
        <v>142645</v>
      </c>
    </row>
    <row r="484" spans="2:7" x14ac:dyDescent="0.3">
      <c r="B484" s="127" t="s">
        <v>125</v>
      </c>
      <c r="C484" s="123"/>
      <c r="D484" s="123"/>
      <c r="E484" s="124"/>
      <c r="F484" s="125"/>
      <c r="G484" s="139"/>
    </row>
    <row r="485" spans="2:7" x14ac:dyDescent="0.3">
      <c r="B485" s="151"/>
      <c r="C485" s="129"/>
      <c r="D485" s="129"/>
      <c r="E485" s="130"/>
      <c r="F485" s="140"/>
      <c r="G485" s="132"/>
    </row>
    <row r="486" spans="2:7" x14ac:dyDescent="0.3">
      <c r="B486" s="142"/>
      <c r="C486" s="157"/>
      <c r="D486" s="158"/>
      <c r="E486" s="159"/>
      <c r="F486" s="145"/>
      <c r="G486" s="141"/>
    </row>
    <row r="487" spans="2:7" x14ac:dyDescent="0.3">
      <c r="B487" s="122"/>
      <c r="C487" s="123"/>
      <c r="D487" s="123"/>
      <c r="E487" s="124"/>
      <c r="F487" s="125" t="s">
        <v>146</v>
      </c>
      <c r="G487" s="132">
        <f>SUM(G485:G486)</f>
        <v>0</v>
      </c>
    </row>
    <row r="488" spans="2:7" x14ac:dyDescent="0.3">
      <c r="B488" s="127" t="s">
        <v>147</v>
      </c>
      <c r="C488" s="123"/>
      <c r="D488" s="123"/>
      <c r="E488" s="124"/>
      <c r="F488" s="125"/>
      <c r="G488" s="139"/>
    </row>
    <row r="489" spans="2:7" x14ac:dyDescent="0.3">
      <c r="B489" s="133" t="str">
        <f>INSUMOS!$B$84</f>
        <v>HERRAMIENTA MENOR</v>
      </c>
      <c r="C489" s="134" t="str">
        <f>INSUMOS!$C$84</f>
        <v>GLB</v>
      </c>
      <c r="D489" s="123">
        <v>15</v>
      </c>
      <c r="E489" s="136"/>
      <c r="F489" s="137">
        <f>INSUMOS!$E$84</f>
        <v>2174</v>
      </c>
      <c r="G489" s="132">
        <f>TRUNC(D489 * (1 + E489 / 100) * F489,0)</f>
        <v>32610</v>
      </c>
    </row>
    <row r="490" spans="2:7" x14ac:dyDescent="0.3">
      <c r="B490" s="133"/>
      <c r="C490" s="134"/>
      <c r="D490" s="135"/>
      <c r="E490" s="136"/>
      <c r="F490" s="137"/>
      <c r="G490" s="141"/>
    </row>
    <row r="491" spans="2:7" x14ac:dyDescent="0.3">
      <c r="B491" s="122"/>
      <c r="C491" s="123"/>
      <c r="D491" s="123"/>
      <c r="E491" s="124"/>
      <c r="F491" s="125" t="str">
        <f>"SUBTOTAL " &amp;B488</f>
        <v>SUBTOTAL OTROS</v>
      </c>
      <c r="G491" s="132">
        <f>SUM(G489:G490)</f>
        <v>32610</v>
      </c>
    </row>
    <row r="492" spans="2:7" x14ac:dyDescent="0.3">
      <c r="B492" s="122"/>
      <c r="C492" s="123"/>
      <c r="D492" s="123"/>
      <c r="E492" s="124"/>
      <c r="F492" s="125"/>
      <c r="G492" s="126"/>
    </row>
    <row r="493" spans="2:7" ht="15" thickBot="1" x14ac:dyDescent="0.35">
      <c r="B493" s="146"/>
      <c r="C493" s="147"/>
      <c r="D493" s="166"/>
      <c r="E493" s="148" t="s">
        <v>148</v>
      </c>
      <c r="F493" s="149"/>
      <c r="G493" s="150">
        <f>ROUND(G479+G483+G487+G491,0)</f>
        <v>519074</v>
      </c>
    </row>
    <row r="494" spans="2:7" ht="15" thickTop="1" x14ac:dyDescent="0.3"/>
    <row r="495" spans="2:7" ht="15" thickBot="1" x14ac:dyDescent="0.35"/>
    <row r="496" spans="2:7" ht="49.95" customHeight="1" thickTop="1" x14ac:dyDescent="0.3">
      <c r="B496" s="315" t="str">
        <f>'FORMATO 13'!C39</f>
        <v>DESHIERBE Y CONTROL DE MALEZAS: Eliminar las arvenses de hoja ancha y de hoja delgada que se presenten en el área de gramado. De manera permanente. Siguiendo las indicaciones de la supervisión, interventoría o recomendaciones del contratista, debidamente aprobadas por el supervisor. Esta actividad debe ser de forma manual y permanente, la frecuencia puede variar según el grado de infestación presente.  Incluye: Mano de obra, equipos y herramientas necesarias. En caso de que se necesite usar un herbicida selectivo debe ser aprobado por el supervisor.</v>
      </c>
      <c r="C496" s="316"/>
      <c r="D496" s="316"/>
      <c r="E496" s="317"/>
      <c r="F496" s="115" t="s">
        <v>140</v>
      </c>
      <c r="G496" s="116" t="str">
        <f>'FORMATO 13'!D39</f>
        <v>MES</v>
      </c>
    </row>
    <row r="497" spans="2:7" ht="49.95" customHeight="1" x14ac:dyDescent="0.3">
      <c r="B497" s="318"/>
      <c r="C497" s="319"/>
      <c r="D497" s="319"/>
      <c r="E497" s="320"/>
      <c r="F497" s="117" t="s">
        <v>141</v>
      </c>
      <c r="G497" s="155">
        <f>'FORMATO 13'!B39</f>
        <v>2.0299999999999994</v>
      </c>
    </row>
    <row r="498" spans="2:7" x14ac:dyDescent="0.3">
      <c r="B498" s="118" t="s">
        <v>5</v>
      </c>
      <c r="C498" s="119" t="s">
        <v>92</v>
      </c>
      <c r="D498" s="119" t="s">
        <v>93</v>
      </c>
      <c r="E498" s="119" t="s">
        <v>142</v>
      </c>
      <c r="F498" s="120" t="s">
        <v>143</v>
      </c>
      <c r="G498" s="121" t="s">
        <v>10</v>
      </c>
    </row>
    <row r="499" spans="2:7" x14ac:dyDescent="0.3">
      <c r="B499" s="122"/>
      <c r="C499" s="123"/>
      <c r="D499" s="123"/>
      <c r="E499" s="124"/>
      <c r="F499" s="125"/>
      <c r="G499" s="126"/>
    </row>
    <row r="500" spans="2:7" x14ac:dyDescent="0.3">
      <c r="B500" s="127" t="s">
        <v>91</v>
      </c>
      <c r="C500" s="123"/>
      <c r="D500" s="123"/>
      <c r="E500" s="124"/>
      <c r="F500" s="125"/>
      <c r="G500" s="126"/>
    </row>
    <row r="501" spans="2:7" x14ac:dyDescent="0.3">
      <c r="B501" s="128" t="str">
        <f>INSUMOS!$B$13</f>
        <v>BOLSAS PARA BASURA</v>
      </c>
      <c r="C501" s="129" t="str">
        <f>INSUMOS!$C$13</f>
        <v>UND</v>
      </c>
      <c r="D501" s="129">
        <v>50</v>
      </c>
      <c r="E501" s="130">
        <v>0</v>
      </c>
      <c r="F501" s="131">
        <f>INSUMOS!$E$13</f>
        <v>2053</v>
      </c>
      <c r="G501" s="132">
        <f t="shared" ref="G501:G503" si="16">TRUNC(D501 * (1 + E501 / 100) * F501,0)</f>
        <v>102650</v>
      </c>
    </row>
    <row r="502" spans="2:7" x14ac:dyDescent="0.3">
      <c r="B502" s="128" t="str">
        <f>INSUMOS!$B$18</f>
        <v>GUADAÑA</v>
      </c>
      <c r="C502" s="129" t="str">
        <f>INSUMOS!$C$18</f>
        <v>DIA</v>
      </c>
      <c r="D502" s="129">
        <v>2</v>
      </c>
      <c r="E502" s="130">
        <v>0</v>
      </c>
      <c r="F502" s="131">
        <f>INSUMOS!$E$18</f>
        <v>29774</v>
      </c>
      <c r="G502" s="132">
        <f t="shared" si="16"/>
        <v>59548</v>
      </c>
    </row>
    <row r="503" spans="2:7" x14ac:dyDescent="0.3">
      <c r="B503" s="128" t="str">
        <f>INSUMOS!$B$19</f>
        <v>COADYUDANTE I-NEX A</v>
      </c>
      <c r="C503" s="129" t="str">
        <f>INSUMOS!$C$19</f>
        <v>GLB</v>
      </c>
      <c r="D503" s="129">
        <v>0.2</v>
      </c>
      <c r="E503" s="130">
        <v>0</v>
      </c>
      <c r="F503" s="131">
        <f>INSUMOS!$E$19</f>
        <v>55275</v>
      </c>
      <c r="G503" s="132">
        <f t="shared" si="16"/>
        <v>11055</v>
      </c>
    </row>
    <row r="504" spans="2:7" x14ac:dyDescent="0.3">
      <c r="B504" s="128"/>
      <c r="C504" s="129"/>
      <c r="D504" s="129"/>
      <c r="E504" s="130"/>
      <c r="F504" s="131"/>
      <c r="G504" s="132"/>
    </row>
    <row r="505" spans="2:7" x14ac:dyDescent="0.3">
      <c r="B505" s="122"/>
      <c r="C505" s="123"/>
      <c r="D505" s="123"/>
      <c r="E505" s="124"/>
      <c r="F505" s="125" t="s">
        <v>144</v>
      </c>
      <c r="G505" s="132">
        <f>SUM(G499:G504)</f>
        <v>173253</v>
      </c>
    </row>
    <row r="506" spans="2:7" x14ac:dyDescent="0.3">
      <c r="B506" s="127" t="s">
        <v>114</v>
      </c>
      <c r="C506" s="123"/>
      <c r="D506" s="123"/>
      <c r="E506" s="124"/>
      <c r="F506" s="125"/>
      <c r="G506" s="139"/>
    </row>
    <row r="507" spans="2:7" x14ac:dyDescent="0.3">
      <c r="B507" s="151" t="str">
        <f>INSUMOS!$B$68</f>
        <v>M.O. ALBAÑILERIA 2 AYUDANTES</v>
      </c>
      <c r="C507" s="129" t="str">
        <f>INSUMOS!$C$68</f>
        <v>JORNAL</v>
      </c>
      <c r="D507" s="129">
        <v>2</v>
      </c>
      <c r="E507" s="130"/>
      <c r="F507" s="140">
        <f>INSUMOS!$E$68</f>
        <v>228221</v>
      </c>
      <c r="G507" s="132">
        <f>TRUNC(D507 * (1 + E507 / 100) * F507,0)</f>
        <v>456442</v>
      </c>
    </row>
    <row r="508" spans="2:7" x14ac:dyDescent="0.3">
      <c r="B508" s="142"/>
      <c r="C508" s="157"/>
      <c r="D508" s="158"/>
      <c r="E508" s="159"/>
      <c r="F508" s="145"/>
      <c r="G508" s="141"/>
    </row>
    <row r="509" spans="2:7" x14ac:dyDescent="0.3">
      <c r="B509" s="122"/>
      <c r="C509" s="123"/>
      <c r="D509" s="123"/>
      <c r="E509" s="124"/>
      <c r="F509" s="125" t="s">
        <v>145</v>
      </c>
      <c r="G509" s="132">
        <f>SUM(G507:G507)</f>
        <v>456442</v>
      </c>
    </row>
    <row r="510" spans="2:7" x14ac:dyDescent="0.3">
      <c r="B510" s="127" t="s">
        <v>125</v>
      </c>
      <c r="C510" s="123"/>
      <c r="D510" s="123"/>
      <c r="E510" s="124"/>
      <c r="F510" s="125"/>
      <c r="G510" s="139"/>
    </row>
    <row r="511" spans="2:7" x14ac:dyDescent="0.3">
      <c r="B511" s="151"/>
      <c r="C511" s="129"/>
      <c r="D511" s="129"/>
      <c r="E511" s="130"/>
      <c r="F511" s="140"/>
      <c r="G511" s="132"/>
    </row>
    <row r="512" spans="2:7" x14ac:dyDescent="0.3">
      <c r="B512" s="142"/>
      <c r="C512" s="157"/>
      <c r="D512" s="158"/>
      <c r="E512" s="159"/>
      <c r="F512" s="145"/>
      <c r="G512" s="141"/>
    </row>
    <row r="513" spans="2:7" x14ac:dyDescent="0.3">
      <c r="B513" s="122"/>
      <c r="C513" s="123"/>
      <c r="D513" s="123"/>
      <c r="E513" s="124"/>
      <c r="F513" s="125" t="s">
        <v>146</v>
      </c>
      <c r="G513" s="132">
        <f>SUM(G511:G512)</f>
        <v>0</v>
      </c>
    </row>
    <row r="514" spans="2:7" x14ac:dyDescent="0.3">
      <c r="B514" s="127" t="s">
        <v>147</v>
      </c>
      <c r="C514" s="123"/>
      <c r="D514" s="123"/>
      <c r="E514" s="124"/>
      <c r="F514" s="125"/>
      <c r="G514" s="139"/>
    </row>
    <row r="515" spans="2:7" x14ac:dyDescent="0.3">
      <c r="B515" s="133" t="str">
        <f>INSUMOS!$B$84</f>
        <v>HERRAMIENTA MENOR</v>
      </c>
      <c r="C515" s="134" t="str">
        <f>INSUMOS!$C$84</f>
        <v>GLB</v>
      </c>
      <c r="D515" s="123">
        <v>13.276999999999999</v>
      </c>
      <c r="E515" s="136"/>
      <c r="F515" s="137">
        <f>INSUMOS!$E$84</f>
        <v>2174</v>
      </c>
      <c r="G515" s="132">
        <f>TRUNC(D515 * (1 + E515 / 100) * F515,0)</f>
        <v>28864</v>
      </c>
    </row>
    <row r="516" spans="2:7" x14ac:dyDescent="0.3">
      <c r="B516" s="133"/>
      <c r="C516" s="134"/>
      <c r="D516" s="135"/>
      <c r="E516" s="136"/>
      <c r="F516" s="137"/>
      <c r="G516" s="141"/>
    </row>
    <row r="517" spans="2:7" x14ac:dyDescent="0.3">
      <c r="B517" s="122"/>
      <c r="C517" s="123"/>
      <c r="D517" s="123"/>
      <c r="E517" s="124"/>
      <c r="F517" s="125" t="str">
        <f>"SUBTOTAL " &amp;B514</f>
        <v>SUBTOTAL OTROS</v>
      </c>
      <c r="G517" s="132">
        <f>SUM(G515:G516)</f>
        <v>28864</v>
      </c>
    </row>
    <row r="518" spans="2:7" x14ac:dyDescent="0.3">
      <c r="B518" s="122"/>
      <c r="C518" s="123"/>
      <c r="D518" s="123"/>
      <c r="E518" s="124"/>
      <c r="F518" s="125"/>
      <c r="G518" s="126"/>
    </row>
    <row r="519" spans="2:7" ht="15" thickBot="1" x14ac:dyDescent="0.35">
      <c r="B519" s="146"/>
      <c r="C519" s="147"/>
      <c r="D519" s="166"/>
      <c r="E519" s="148" t="s">
        <v>148</v>
      </c>
      <c r="F519" s="149"/>
      <c r="G519" s="150">
        <f>ROUND(G505+G509+G513+G517,0)</f>
        <v>658559</v>
      </c>
    </row>
    <row r="520" spans="2:7" ht="15" thickTop="1" x14ac:dyDescent="0.3"/>
    <row r="521" spans="2:7" ht="15" thickBot="1" x14ac:dyDescent="0.35"/>
    <row r="522" spans="2:7" ht="49.95" customHeight="1" thickTop="1" x14ac:dyDescent="0.3">
      <c r="B522" s="315" t="str">
        <f>'FORMATO 13'!C40</f>
        <v>FERTILIZACIÓN: Proporcionar los nutrientes necesarios para el crecimiento óptimo del césped.  Se debe hacer alternada, liquida y granular. Una vez cada treinta (30) días a toda la gramilla. La frecuencia puede variar de acuerdo con las indicaciones de la supervisión. Suministro y aplicación de abono químico.  Incluye los insumos, fertilizantes liquidos y granulares, mano de obra, equipos y herramientas necesarias para su correcta ejecución. La fertilización debe ser alternada entre forma líquida y sólida.</v>
      </c>
      <c r="C522" s="316"/>
      <c r="D522" s="316"/>
      <c r="E522" s="317"/>
      <c r="F522" s="115" t="s">
        <v>140</v>
      </c>
      <c r="G522" s="116" t="str">
        <f>'FORMATO 13'!D40</f>
        <v>VECES</v>
      </c>
    </row>
    <row r="523" spans="2:7" ht="49.95" customHeight="1" x14ac:dyDescent="0.3">
      <c r="B523" s="318"/>
      <c r="C523" s="319"/>
      <c r="D523" s="319"/>
      <c r="E523" s="320"/>
      <c r="F523" s="117" t="s">
        <v>141</v>
      </c>
      <c r="G523" s="155">
        <f>'FORMATO 13'!B40</f>
        <v>2.0399999999999991</v>
      </c>
    </row>
    <row r="524" spans="2:7" x14ac:dyDescent="0.3">
      <c r="B524" s="118" t="s">
        <v>5</v>
      </c>
      <c r="C524" s="119" t="s">
        <v>92</v>
      </c>
      <c r="D524" s="119" t="s">
        <v>93</v>
      </c>
      <c r="E524" s="119" t="s">
        <v>142</v>
      </c>
      <c r="F524" s="120" t="s">
        <v>143</v>
      </c>
      <c r="G524" s="121" t="s">
        <v>10</v>
      </c>
    </row>
    <row r="525" spans="2:7" x14ac:dyDescent="0.3">
      <c r="B525" s="122"/>
      <c r="C525" s="123"/>
      <c r="D525" s="123"/>
      <c r="E525" s="124"/>
      <c r="F525" s="125"/>
      <c r="G525" s="126"/>
    </row>
    <row r="526" spans="2:7" x14ac:dyDescent="0.3">
      <c r="B526" s="127" t="s">
        <v>91</v>
      </c>
      <c r="C526" s="123"/>
      <c r="D526" s="123"/>
      <c r="E526" s="124"/>
      <c r="F526" s="125"/>
      <c r="G526" s="126"/>
    </row>
    <row r="527" spans="2:7" x14ac:dyDescent="0.3">
      <c r="B527" s="128" t="str">
        <f>INSUMOS!$B$44</f>
        <v>AGUA</v>
      </c>
      <c r="C527" s="129" t="str">
        <f>INSUMOS!$C$44</f>
        <v>LTS</v>
      </c>
      <c r="D527" s="129">
        <v>5</v>
      </c>
      <c r="E527" s="130">
        <v>0</v>
      </c>
      <c r="F527" s="131">
        <f>INSUMOS!$E$44</f>
        <v>40</v>
      </c>
      <c r="G527" s="132">
        <f t="shared" ref="G527" si="17">TRUNC(D527 * (1 + E527 / 100) * F527,0)</f>
        <v>200</v>
      </c>
    </row>
    <row r="528" spans="2:7" x14ac:dyDescent="0.3">
      <c r="B528" s="128" t="str">
        <f>INSUMOS!$B$45</f>
        <v>BIOABONO "EL CEDRO" X 40 KILOS</v>
      </c>
      <c r="C528" s="129" t="str">
        <f>INSUMOS!$C$45</f>
        <v>UND</v>
      </c>
      <c r="D528" s="129">
        <v>1</v>
      </c>
      <c r="E528" s="130">
        <v>0</v>
      </c>
      <c r="F528" s="131">
        <f>INSUMOS!$E$45</f>
        <v>28420</v>
      </c>
      <c r="G528" s="132">
        <f t="shared" ref="G528:G536" si="18">TRUNC(D528 * (1 + E528 / 100) * F528,0)</f>
        <v>28420</v>
      </c>
    </row>
    <row r="529" spans="2:7" x14ac:dyDescent="0.3">
      <c r="B529" s="128" t="str">
        <f>INSUMOS!$B$46</f>
        <v>CAMPOFERY HUMUS X LITRO</v>
      </c>
      <c r="C529" s="129" t="str">
        <f>INSUMOS!$C$46</f>
        <v>UND</v>
      </c>
      <c r="D529" s="129">
        <v>1</v>
      </c>
      <c r="E529" s="130">
        <v>0</v>
      </c>
      <c r="F529" s="131">
        <f>INSUMOS!$E$46</f>
        <v>26250</v>
      </c>
      <c r="G529" s="132">
        <f t="shared" si="18"/>
        <v>26250</v>
      </c>
    </row>
    <row r="530" spans="2:7" x14ac:dyDescent="0.3">
      <c r="B530" s="128" t="str">
        <f>INSUMOS!$B$47</f>
        <v>SOLUTEC INICIO X KILO</v>
      </c>
      <c r="C530" s="129" t="str">
        <f>INSUMOS!$C$47</f>
        <v>UND</v>
      </c>
      <c r="D530" s="129">
        <v>1</v>
      </c>
      <c r="E530" s="130">
        <v>0</v>
      </c>
      <c r="F530" s="131">
        <f>INSUMOS!$E$47</f>
        <v>17800</v>
      </c>
      <c r="G530" s="132">
        <f t="shared" si="18"/>
        <v>17800</v>
      </c>
    </row>
    <row r="531" spans="2:7" x14ac:dyDescent="0.3">
      <c r="B531" s="128" t="str">
        <f>INSUMOS!$B$48</f>
        <v>DKP-500 X LITRO</v>
      </c>
      <c r="C531" s="129" t="str">
        <f>INSUMOS!$C$48</f>
        <v>UND</v>
      </c>
      <c r="D531" s="129">
        <v>1</v>
      </c>
      <c r="E531" s="130">
        <v>0</v>
      </c>
      <c r="F531" s="131">
        <f>INSUMOS!$E$48</f>
        <v>54847</v>
      </c>
      <c r="G531" s="132">
        <f t="shared" si="18"/>
        <v>54847</v>
      </c>
    </row>
    <row r="532" spans="2:7" x14ac:dyDescent="0.3">
      <c r="B532" s="128" t="str">
        <f>INSUMOS!$B$49</f>
        <v>SULFEX HIERRO X KILO</v>
      </c>
      <c r="C532" s="129" t="str">
        <f>INSUMOS!$C$49</f>
        <v>UND</v>
      </c>
      <c r="D532" s="129">
        <v>1</v>
      </c>
      <c r="E532" s="130">
        <v>0</v>
      </c>
      <c r="F532" s="131">
        <f>INSUMOS!$E$49</f>
        <v>7098</v>
      </c>
      <c r="G532" s="132">
        <f t="shared" si="18"/>
        <v>7098</v>
      </c>
    </row>
    <row r="533" spans="2:7" x14ac:dyDescent="0.3">
      <c r="B533" s="128" t="str">
        <f>INSUMOS!$B$50</f>
        <v>CIAMSA UREA X 50KSG</v>
      </c>
      <c r="C533" s="129" t="str">
        <f>INSUMOS!$C$50</f>
        <v>UND</v>
      </c>
      <c r="D533" s="129">
        <v>1</v>
      </c>
      <c r="E533" s="130">
        <v>0</v>
      </c>
      <c r="F533" s="131">
        <f>INSUMOS!$E$50</f>
        <v>226792</v>
      </c>
      <c r="G533" s="132">
        <f t="shared" si="18"/>
        <v>226792</v>
      </c>
    </row>
    <row r="534" spans="2:7" x14ac:dyDescent="0.3">
      <c r="B534" s="128" t="str">
        <f>INSUMOS!$B$51</f>
        <v>YARA TRIPLE QUINCE GRADO 15-15-15 X 50 KILOS</v>
      </c>
      <c r="C534" s="129" t="str">
        <f>INSUMOS!$C$51</f>
        <v>UND</v>
      </c>
      <c r="D534" s="129">
        <v>1</v>
      </c>
      <c r="E534" s="130">
        <v>0</v>
      </c>
      <c r="F534" s="131">
        <f>INSUMOS!$E$51</f>
        <v>292924</v>
      </c>
      <c r="G534" s="132">
        <f t="shared" si="18"/>
        <v>292924</v>
      </c>
    </row>
    <row r="535" spans="2:7" x14ac:dyDescent="0.3">
      <c r="B535" s="128" t="str">
        <f>INSUMOS!$B$52</f>
        <v>YARA BELA NITROMAG GRADO 21-0-0-7 X 50 KILOS</v>
      </c>
      <c r="C535" s="129" t="str">
        <f>INSUMOS!$C$52</f>
        <v>UND</v>
      </c>
      <c r="D535" s="129">
        <v>1</v>
      </c>
      <c r="E535" s="130">
        <v>0</v>
      </c>
      <c r="F535" s="131">
        <f>INSUMOS!$E$52</f>
        <v>93059</v>
      </c>
      <c r="G535" s="132">
        <f t="shared" si="18"/>
        <v>93059</v>
      </c>
    </row>
    <row r="536" spans="2:7" x14ac:dyDescent="0.3">
      <c r="B536" s="128" t="str">
        <f>INSUMOS!$B$41</f>
        <v>MANGUERA PARA RIEGO 2" TIPO BOMBERO DE 200ML</v>
      </c>
      <c r="C536" s="129" t="str">
        <f>INSUMOS!$C$41</f>
        <v>ML</v>
      </c>
      <c r="D536" s="129">
        <v>20</v>
      </c>
      <c r="E536" s="130">
        <v>0</v>
      </c>
      <c r="F536" s="131">
        <f>INSUMOS!$E$41</f>
        <v>6657</v>
      </c>
      <c r="G536" s="132">
        <f t="shared" si="18"/>
        <v>133140</v>
      </c>
    </row>
    <row r="537" spans="2:7" x14ac:dyDescent="0.3">
      <c r="B537" s="128"/>
      <c r="C537" s="129"/>
      <c r="D537" s="129"/>
      <c r="E537" s="130"/>
      <c r="F537" s="131"/>
      <c r="G537" s="132"/>
    </row>
    <row r="538" spans="2:7" x14ac:dyDescent="0.3">
      <c r="B538" s="122"/>
      <c r="C538" s="123"/>
      <c r="D538" s="123"/>
      <c r="E538" s="124"/>
      <c r="F538" s="125" t="s">
        <v>144</v>
      </c>
      <c r="G538" s="132">
        <f>SUM(G525:G537)</f>
        <v>880530</v>
      </c>
    </row>
    <row r="539" spans="2:7" x14ac:dyDescent="0.3">
      <c r="B539" s="127" t="s">
        <v>114</v>
      </c>
      <c r="C539" s="123"/>
      <c r="D539" s="123"/>
      <c r="E539" s="124"/>
      <c r="F539" s="125"/>
      <c r="G539" s="139"/>
    </row>
    <row r="540" spans="2:7" x14ac:dyDescent="0.3">
      <c r="B540" s="151" t="str">
        <f>INSUMOS!$B$73</f>
        <v>M.O. 1 OFICIAL + 2 AYUDANTES</v>
      </c>
      <c r="C540" s="129" t="str">
        <f>INSUMOS!$C$73</f>
        <v>JORNAL</v>
      </c>
      <c r="D540" s="129">
        <v>1</v>
      </c>
      <c r="E540" s="130"/>
      <c r="F540" s="140">
        <f>INSUMOS!$E$73</f>
        <v>422209</v>
      </c>
      <c r="G540" s="132">
        <f>TRUNC(D540 * (1 + E540 / 100) * F540,0)</f>
        <v>422209</v>
      </c>
    </row>
    <row r="541" spans="2:7" x14ac:dyDescent="0.3">
      <c r="B541" s="142"/>
      <c r="C541" s="157"/>
      <c r="D541" s="158"/>
      <c r="E541" s="159"/>
      <c r="F541" s="145"/>
      <c r="G541" s="141"/>
    </row>
    <row r="542" spans="2:7" x14ac:dyDescent="0.3">
      <c r="B542" s="122"/>
      <c r="C542" s="123"/>
      <c r="D542" s="123"/>
      <c r="E542" s="124"/>
      <c r="F542" s="125" t="s">
        <v>145</v>
      </c>
      <c r="G542" s="132">
        <f>SUM(G540:G540)</f>
        <v>422209</v>
      </c>
    </row>
    <row r="543" spans="2:7" x14ac:dyDescent="0.3">
      <c r="B543" s="127" t="s">
        <v>125</v>
      </c>
      <c r="C543" s="123"/>
      <c r="D543" s="123"/>
      <c r="E543" s="124"/>
      <c r="F543" s="125"/>
      <c r="G543" s="139"/>
    </row>
    <row r="544" spans="2:7" x14ac:dyDescent="0.3">
      <c r="B544" s="151" t="str">
        <f>INSUMOS!$B$95</f>
        <v>SPRAYER</v>
      </c>
      <c r="C544" s="129" t="str">
        <f>INSUMOS!$C$95</f>
        <v>DIA</v>
      </c>
      <c r="D544" s="129">
        <v>1</v>
      </c>
      <c r="E544" s="130"/>
      <c r="F544" s="140">
        <f>INSUMOS!$E$95</f>
        <v>164719</v>
      </c>
      <c r="G544" s="132">
        <f t="shared" ref="G544:G546" si="19">TRUNC(D544 * (1 + E544 / 100) * F544,0)</f>
        <v>164719</v>
      </c>
    </row>
    <row r="545" spans="2:7" x14ac:dyDescent="0.3">
      <c r="B545" s="151" t="str">
        <f>INSUMOS!$B$96</f>
        <v>BOMBA ESTACIONARIA</v>
      </c>
      <c r="C545" s="129" t="str">
        <f>INSUMOS!$C$96</f>
        <v>DIA</v>
      </c>
      <c r="D545" s="129">
        <v>1</v>
      </c>
      <c r="E545" s="130"/>
      <c r="F545" s="140">
        <f>INSUMOS!$E$96</f>
        <v>64791</v>
      </c>
      <c r="G545" s="132">
        <f t="shared" si="19"/>
        <v>64791</v>
      </c>
    </row>
    <row r="546" spans="2:7" x14ac:dyDescent="0.3">
      <c r="B546" s="151" t="str">
        <f>INSUMOS!$B$97</f>
        <v>CANECA 55 GALONES</v>
      </c>
      <c r="C546" s="129" t="str">
        <f>INSUMOS!$C$97</f>
        <v>UND</v>
      </c>
      <c r="D546" s="129">
        <v>1</v>
      </c>
      <c r="E546" s="130"/>
      <c r="F546" s="140">
        <f>INSUMOS!$E$97</f>
        <v>30917</v>
      </c>
      <c r="G546" s="132">
        <f t="shared" si="19"/>
        <v>30917</v>
      </c>
    </row>
    <row r="547" spans="2:7" x14ac:dyDescent="0.3">
      <c r="B547" s="151"/>
      <c r="C547" s="129"/>
      <c r="D547" s="129"/>
      <c r="E547" s="130"/>
      <c r="F547" s="140"/>
      <c r="G547" s="132"/>
    </row>
    <row r="548" spans="2:7" x14ac:dyDescent="0.3">
      <c r="B548" s="122"/>
      <c r="C548" s="123"/>
      <c r="D548" s="123"/>
      <c r="E548" s="124"/>
      <c r="F548" s="125" t="s">
        <v>146</v>
      </c>
      <c r="G548" s="132">
        <f>SUM(G544:G547)</f>
        <v>260427</v>
      </c>
    </row>
    <row r="549" spans="2:7" x14ac:dyDescent="0.3">
      <c r="B549" s="127" t="s">
        <v>147</v>
      </c>
      <c r="C549" s="123"/>
      <c r="D549" s="123"/>
      <c r="E549" s="124"/>
      <c r="F549" s="125"/>
      <c r="G549" s="139"/>
    </row>
    <row r="550" spans="2:7" x14ac:dyDescent="0.3">
      <c r="B550" s="133" t="str">
        <f>INSUMOS!$B$84</f>
        <v>HERRAMIENTA MENOR</v>
      </c>
      <c r="C550" s="134" t="str">
        <f>INSUMOS!$C$84</f>
        <v>GLB</v>
      </c>
      <c r="D550" s="123">
        <v>1.02</v>
      </c>
      <c r="E550" s="136"/>
      <c r="F550" s="137">
        <f>INSUMOS!$E$84</f>
        <v>2174</v>
      </c>
      <c r="G550" s="132">
        <f>TRUNC(D550 * (1 + E550 / 100) * F550,0)</f>
        <v>2217</v>
      </c>
    </row>
    <row r="551" spans="2:7" x14ac:dyDescent="0.3">
      <c r="B551" s="133"/>
      <c r="C551" s="134"/>
      <c r="D551" s="135"/>
      <c r="E551" s="136"/>
      <c r="F551" s="137"/>
      <c r="G551" s="141"/>
    </row>
    <row r="552" spans="2:7" x14ac:dyDescent="0.3">
      <c r="B552" s="122"/>
      <c r="C552" s="123"/>
      <c r="D552" s="123"/>
      <c r="E552" s="124"/>
      <c r="F552" s="125" t="str">
        <f>"SUBTOTAL " &amp;B549</f>
        <v>SUBTOTAL OTROS</v>
      </c>
      <c r="G552" s="132">
        <f>SUM(G550:G551)</f>
        <v>2217</v>
      </c>
    </row>
    <row r="553" spans="2:7" x14ac:dyDescent="0.3">
      <c r="B553" s="122"/>
      <c r="C553" s="123"/>
      <c r="D553" s="123"/>
      <c r="E553" s="124"/>
      <c r="F553" s="125"/>
      <c r="G553" s="126"/>
    </row>
    <row r="554" spans="2:7" ht="15" thickBot="1" x14ac:dyDescent="0.35">
      <c r="B554" s="146"/>
      <c r="C554" s="147"/>
      <c r="D554" s="166"/>
      <c r="E554" s="148" t="s">
        <v>148</v>
      </c>
      <c r="F554" s="149"/>
      <c r="G554" s="150">
        <f>ROUND(G538+G542+G548+G552,0)</f>
        <v>1565383</v>
      </c>
    </row>
    <row r="555" spans="2:7" ht="15" thickTop="1" x14ac:dyDescent="0.3"/>
    <row r="556" spans="2:7" ht="15" thickBot="1" x14ac:dyDescent="0.35"/>
    <row r="557" spans="2:7" ht="49.95" customHeight="1" thickTop="1" x14ac:dyDescent="0.3">
      <c r="B557" s="315" t="str">
        <f>'FORMATO 13'!C41</f>
        <v xml:space="preserve">CONTROL DE PLAGAS Y ENFERMEDADES: Monitorear y controlar las  plagas y enfermedades que puedan afectar el campo de juego: Aplicación de micorrizas líquidas y entomopatógenos líquidos (trichoderma, beauveria baussiana, facelomicis v bacilus turigencis). Siguiendo las indicaciones de la supervisión, interventoría o recomendaciones del contratista, debidamente aprobadas por el supervisor. Incluye los insumos biológicos, mano de obra, equipos y herramientas necesarias para su correcta ejecución. </v>
      </c>
      <c r="C557" s="316"/>
      <c r="D557" s="316"/>
      <c r="E557" s="317"/>
      <c r="F557" s="115" t="s">
        <v>140</v>
      </c>
      <c r="G557" s="116" t="str">
        <f>'FORMATO 13'!D41</f>
        <v>VECES</v>
      </c>
    </row>
    <row r="558" spans="2:7" ht="49.95" customHeight="1" x14ac:dyDescent="0.3">
      <c r="B558" s="318"/>
      <c r="C558" s="319"/>
      <c r="D558" s="319"/>
      <c r="E558" s="320"/>
      <c r="F558" s="117" t="s">
        <v>141</v>
      </c>
      <c r="G558" s="155">
        <f>'FORMATO 13'!B41</f>
        <v>2.0499999999999989</v>
      </c>
    </row>
    <row r="559" spans="2:7" x14ac:dyDescent="0.3">
      <c r="B559" s="118" t="s">
        <v>5</v>
      </c>
      <c r="C559" s="119" t="s">
        <v>92</v>
      </c>
      <c r="D559" s="119" t="s">
        <v>93</v>
      </c>
      <c r="E559" s="119" t="s">
        <v>142</v>
      </c>
      <c r="F559" s="120" t="s">
        <v>143</v>
      </c>
      <c r="G559" s="121" t="s">
        <v>10</v>
      </c>
    </row>
    <row r="560" spans="2:7" x14ac:dyDescent="0.3">
      <c r="B560" s="122"/>
      <c r="C560" s="123"/>
      <c r="D560" s="123"/>
      <c r="E560" s="124"/>
      <c r="F560" s="125"/>
      <c r="G560" s="126"/>
    </row>
    <row r="561" spans="2:7" x14ac:dyDescent="0.3">
      <c r="B561" s="127" t="s">
        <v>91</v>
      </c>
      <c r="C561" s="123"/>
      <c r="D561" s="123"/>
      <c r="E561" s="124"/>
      <c r="F561" s="125"/>
      <c r="G561" s="126"/>
    </row>
    <row r="562" spans="2:7" x14ac:dyDescent="0.3">
      <c r="B562" s="128" t="str">
        <f>INSUMOS!$B$26</f>
        <v>MICORRIZAS</v>
      </c>
      <c r="C562" s="129" t="str">
        <f>INSUMOS!$C$26</f>
        <v>LITRO</v>
      </c>
      <c r="D562" s="129">
        <v>1</v>
      </c>
      <c r="E562" s="130">
        <v>0</v>
      </c>
      <c r="F562" s="131">
        <f>INSUMOS!$E$26</f>
        <v>59294</v>
      </c>
      <c r="G562" s="132">
        <f t="shared" ref="G562:G566" si="20">TRUNC(D562 * (1 + E562 / 100) * F562,0)</f>
        <v>59294</v>
      </c>
    </row>
    <row r="563" spans="2:7" x14ac:dyDescent="0.3">
      <c r="B563" s="128" t="str">
        <f>INSUMOS!$B$27</f>
        <v>TRICHODERMA</v>
      </c>
      <c r="C563" s="129" t="str">
        <f>INSUMOS!$C$27</f>
        <v>LITRO</v>
      </c>
      <c r="D563" s="129">
        <v>1</v>
      </c>
      <c r="E563" s="130">
        <v>0</v>
      </c>
      <c r="F563" s="131">
        <f>INSUMOS!$E$27</f>
        <v>70349</v>
      </c>
      <c r="G563" s="132">
        <f t="shared" si="20"/>
        <v>70349</v>
      </c>
    </row>
    <row r="564" spans="2:7" x14ac:dyDescent="0.3">
      <c r="B564" s="128" t="str">
        <f>INSUMOS!$B$28</f>
        <v>BEAUVERIA BAUSSINIA</v>
      </c>
      <c r="C564" s="129" t="str">
        <f>INSUMOS!$C$28</f>
        <v>LITRO</v>
      </c>
      <c r="D564" s="129">
        <v>1</v>
      </c>
      <c r="E564" s="130">
        <v>0</v>
      </c>
      <c r="F564" s="131">
        <f>INSUMOS!$E$28</f>
        <v>48240</v>
      </c>
      <c r="G564" s="132">
        <f t="shared" si="20"/>
        <v>48240</v>
      </c>
    </row>
    <row r="565" spans="2:7" x14ac:dyDescent="0.3">
      <c r="B565" s="128" t="str">
        <f>INSUMOS!$B$29</f>
        <v>FACELOMICIS</v>
      </c>
      <c r="C565" s="129" t="str">
        <f>INSUMOS!$C$29</f>
        <v>LITRO</v>
      </c>
      <c r="D565" s="129">
        <v>1</v>
      </c>
      <c r="E565" s="130">
        <v>0</v>
      </c>
      <c r="F565" s="131">
        <f>INSUMOS!$E$29</f>
        <v>45224</v>
      </c>
      <c r="G565" s="132">
        <f t="shared" si="20"/>
        <v>45224</v>
      </c>
    </row>
    <row r="566" spans="2:7" x14ac:dyDescent="0.3">
      <c r="B566" s="128" t="str">
        <f>INSUMOS!$B$30</f>
        <v>VTACILUS TURIGENCIS</v>
      </c>
      <c r="C566" s="129" t="str">
        <f>INSUMOS!$C$30</f>
        <v>LITRO</v>
      </c>
      <c r="D566" s="129">
        <v>1</v>
      </c>
      <c r="E566" s="130">
        <v>0</v>
      </c>
      <c r="F566" s="131">
        <f>INSUMOS!$E$30</f>
        <v>32659</v>
      </c>
      <c r="G566" s="132">
        <f t="shared" si="20"/>
        <v>32659</v>
      </c>
    </row>
    <row r="567" spans="2:7" x14ac:dyDescent="0.3">
      <c r="B567" s="128"/>
      <c r="C567" s="129"/>
      <c r="D567" s="129"/>
      <c r="E567" s="130"/>
      <c r="F567" s="131"/>
      <c r="G567" s="132"/>
    </row>
    <row r="568" spans="2:7" x14ac:dyDescent="0.3">
      <c r="B568" s="122"/>
      <c r="C568" s="123"/>
      <c r="D568" s="123"/>
      <c r="E568" s="124"/>
      <c r="F568" s="125" t="s">
        <v>144</v>
      </c>
      <c r="G568" s="132">
        <f>SUM(G560:G567)</f>
        <v>255766</v>
      </c>
    </row>
    <row r="569" spans="2:7" x14ac:dyDescent="0.3">
      <c r="B569" s="127" t="s">
        <v>114</v>
      </c>
      <c r="C569" s="123"/>
      <c r="D569" s="123"/>
      <c r="E569" s="124"/>
      <c r="F569" s="125"/>
      <c r="G569" s="139"/>
    </row>
    <row r="570" spans="2:7" x14ac:dyDescent="0.3">
      <c r="B570" s="151" t="str">
        <f>INSUMOS!$B$73</f>
        <v>M.O. 1 OFICIAL + 2 AYUDANTES</v>
      </c>
      <c r="C570" s="129" t="str">
        <f>INSUMOS!$C$73</f>
        <v>JORNAL</v>
      </c>
      <c r="D570" s="129">
        <f>6/8</f>
        <v>0.75</v>
      </c>
      <c r="E570" s="130"/>
      <c r="F570" s="140">
        <f>INSUMOS!$E$73</f>
        <v>422209</v>
      </c>
      <c r="G570" s="132">
        <f>TRUNC(D570 * (1 + E570 / 100) * F570,0)</f>
        <v>316656</v>
      </c>
    </row>
    <row r="571" spans="2:7" x14ac:dyDescent="0.3">
      <c r="B571" s="142"/>
      <c r="C571" s="157"/>
      <c r="D571" s="158"/>
      <c r="E571" s="159"/>
      <c r="F571" s="145"/>
      <c r="G571" s="141"/>
    </row>
    <row r="572" spans="2:7" x14ac:dyDescent="0.3">
      <c r="B572" s="122"/>
      <c r="C572" s="123"/>
      <c r="D572" s="123"/>
      <c r="E572" s="124"/>
      <c r="F572" s="125" t="s">
        <v>145</v>
      </c>
      <c r="G572" s="132">
        <f>SUM(G570:G570)</f>
        <v>316656</v>
      </c>
    </row>
    <row r="573" spans="2:7" x14ac:dyDescent="0.3">
      <c r="B573" s="127" t="s">
        <v>125</v>
      </c>
      <c r="C573" s="123"/>
      <c r="D573" s="123"/>
      <c r="E573" s="124"/>
      <c r="F573" s="125"/>
      <c r="G573" s="139"/>
    </row>
    <row r="574" spans="2:7" x14ac:dyDescent="0.3">
      <c r="B574" s="151" t="str">
        <f>INSUMOS!$B$96</f>
        <v>BOMBA ESTACIONARIA</v>
      </c>
      <c r="C574" s="129" t="str">
        <f>INSUMOS!$C$96</f>
        <v>DIA</v>
      </c>
      <c r="D574" s="129">
        <v>1</v>
      </c>
      <c r="E574" s="130"/>
      <c r="F574" s="140">
        <f>INSUMOS!$E$96</f>
        <v>64791</v>
      </c>
      <c r="G574" s="132">
        <f t="shared" ref="G574:G575" si="21">TRUNC(D574 * (1 + E574 / 100) * F574,0)</f>
        <v>64791</v>
      </c>
    </row>
    <row r="575" spans="2:7" x14ac:dyDescent="0.3">
      <c r="B575" s="151" t="str">
        <f>INSUMOS!$B$97</f>
        <v>CANECA 55 GALONES</v>
      </c>
      <c r="C575" s="129" t="str">
        <f>INSUMOS!$C$97</f>
        <v>UND</v>
      </c>
      <c r="D575" s="129">
        <v>1</v>
      </c>
      <c r="E575" s="130"/>
      <c r="F575" s="140">
        <f>INSUMOS!$E$97</f>
        <v>30917</v>
      </c>
      <c r="G575" s="132">
        <f t="shared" si="21"/>
        <v>30917</v>
      </c>
    </row>
    <row r="576" spans="2:7" x14ac:dyDescent="0.3">
      <c r="B576" s="151"/>
      <c r="C576" s="129"/>
      <c r="D576" s="129"/>
      <c r="E576" s="130"/>
      <c r="F576" s="140"/>
      <c r="G576" s="132"/>
    </row>
    <row r="577" spans="2:7" x14ac:dyDescent="0.3">
      <c r="B577" s="122"/>
      <c r="C577" s="123"/>
      <c r="D577" s="123"/>
      <c r="E577" s="124"/>
      <c r="F577" s="125" t="s">
        <v>146</v>
      </c>
      <c r="G577" s="132">
        <f>SUM(G574:G576)</f>
        <v>95708</v>
      </c>
    </row>
    <row r="578" spans="2:7" x14ac:dyDescent="0.3">
      <c r="B578" s="127" t="s">
        <v>147</v>
      </c>
      <c r="C578" s="123"/>
      <c r="D578" s="123"/>
      <c r="E578" s="124"/>
      <c r="F578" s="125"/>
      <c r="G578" s="139"/>
    </row>
    <row r="579" spans="2:7" x14ac:dyDescent="0.3">
      <c r="B579" s="133" t="str">
        <f>INSUMOS!$B$84</f>
        <v>HERRAMIENTA MENOR</v>
      </c>
      <c r="C579" s="134" t="str">
        <f>INSUMOS!$C$84</f>
        <v>GLB</v>
      </c>
      <c r="D579" s="162">
        <v>14.984</v>
      </c>
      <c r="E579" s="136"/>
      <c r="F579" s="137">
        <f>INSUMOS!$E$84</f>
        <v>2174</v>
      </c>
      <c r="G579" s="132">
        <f>TRUNC(D579 * (1 + E579 / 100) * F579,0)</f>
        <v>32575</v>
      </c>
    </row>
    <row r="580" spans="2:7" x14ac:dyDescent="0.3">
      <c r="B580" s="133"/>
      <c r="C580" s="134"/>
      <c r="D580" s="135"/>
      <c r="E580" s="136"/>
      <c r="F580" s="137"/>
      <c r="G580" s="141"/>
    </row>
    <row r="581" spans="2:7" x14ac:dyDescent="0.3">
      <c r="B581" s="122"/>
      <c r="C581" s="123"/>
      <c r="D581" s="123"/>
      <c r="E581" s="124"/>
      <c r="F581" s="125" t="str">
        <f>"SUBTOTAL " &amp;B578</f>
        <v>SUBTOTAL OTROS</v>
      </c>
      <c r="G581" s="132">
        <f>SUM(G579:G580)</f>
        <v>32575</v>
      </c>
    </row>
    <row r="582" spans="2:7" x14ac:dyDescent="0.3">
      <c r="B582" s="122"/>
      <c r="C582" s="123"/>
      <c r="D582" s="123"/>
      <c r="E582" s="124"/>
      <c r="F582" s="125"/>
      <c r="G582" s="126"/>
    </row>
    <row r="583" spans="2:7" ht="15" thickBot="1" x14ac:dyDescent="0.35">
      <c r="B583" s="146"/>
      <c r="C583" s="147"/>
      <c r="D583" s="166"/>
      <c r="E583" s="148" t="s">
        <v>148</v>
      </c>
      <c r="F583" s="149"/>
      <c r="G583" s="150">
        <f>ROUND(G568+G572+G577+G581,0)</f>
        <v>700705</v>
      </c>
    </row>
    <row r="584" spans="2:7" ht="15" thickTop="1" x14ac:dyDescent="0.3"/>
    <row r="585" spans="2:7" ht="15" thickBot="1" x14ac:dyDescent="0.35"/>
    <row r="586" spans="2:7" ht="49.95" customHeight="1" thickTop="1" x14ac:dyDescent="0.3">
      <c r="B586" s="315" t="str">
        <f>'FORMATO 13'!C42</f>
        <v xml:space="preserve">AIREACIÓN CON PINES SÓLIDOS: Mejorar la circulación de aire y la penetración de agua y nutrientes en el suelo. Se debe realizar la aireación con pines sólidos una (1) vez cada mes o de acuerdo con las indicaciones de la supervisión y/o interventoría y/o recomendación del contratista, debidamente aprobadas por el supervisor. Se debe realizar la aireación con pines sólidos de 20 cm, Incluye toda la maquinaria necesaria, todos los materiales e insumos para su óptimo funcionamiento, operarios, herramienta menor y la recolección y disposición adecuada de los residuos. </v>
      </c>
      <c r="C586" s="316"/>
      <c r="D586" s="316"/>
      <c r="E586" s="317"/>
      <c r="F586" s="115" t="s">
        <v>140</v>
      </c>
      <c r="G586" s="116" t="str">
        <f>'FORMATO 13'!D42</f>
        <v>VECES</v>
      </c>
    </row>
    <row r="587" spans="2:7" ht="49.95" customHeight="1" x14ac:dyDescent="0.3">
      <c r="B587" s="318"/>
      <c r="C587" s="319"/>
      <c r="D587" s="319"/>
      <c r="E587" s="320"/>
      <c r="F587" s="117" t="s">
        <v>141</v>
      </c>
      <c r="G587" s="155">
        <f>'FORMATO 13'!B42</f>
        <v>2.0599999999999987</v>
      </c>
    </row>
    <row r="588" spans="2:7" x14ac:dyDescent="0.3">
      <c r="B588" s="118" t="s">
        <v>5</v>
      </c>
      <c r="C588" s="119" t="s">
        <v>92</v>
      </c>
      <c r="D588" s="119" t="s">
        <v>93</v>
      </c>
      <c r="E588" s="119" t="s">
        <v>142</v>
      </c>
      <c r="F588" s="120" t="s">
        <v>143</v>
      </c>
      <c r="G588" s="121" t="s">
        <v>10</v>
      </c>
    </row>
    <row r="589" spans="2:7" x14ac:dyDescent="0.3">
      <c r="B589" s="122"/>
      <c r="C589" s="123"/>
      <c r="D589" s="123"/>
      <c r="E589" s="124"/>
      <c r="F589" s="125"/>
      <c r="G589" s="126"/>
    </row>
    <row r="590" spans="2:7" x14ac:dyDescent="0.3">
      <c r="B590" s="127" t="s">
        <v>91</v>
      </c>
      <c r="C590" s="123"/>
      <c r="D590" s="123"/>
      <c r="E590" s="124"/>
      <c r="F590" s="125"/>
      <c r="G590" s="126"/>
    </row>
    <row r="591" spans="2:7" x14ac:dyDescent="0.3">
      <c r="B591" s="128" t="str">
        <f>INSUMOS!$B$13</f>
        <v>BOLSAS PARA BASURA</v>
      </c>
      <c r="C591" s="129" t="str">
        <f>INSUMOS!$C$13</f>
        <v>UND</v>
      </c>
      <c r="D591" s="129">
        <v>50</v>
      </c>
      <c r="E591" s="130">
        <v>0</v>
      </c>
      <c r="F591" s="131">
        <f>INSUMOS!$E$13</f>
        <v>2053</v>
      </c>
      <c r="G591" s="132">
        <f t="shared" ref="G591" si="22">TRUNC(D591 * (1 + E591 / 100) * F591,0)</f>
        <v>102650</v>
      </c>
    </row>
    <row r="592" spans="2:7" x14ac:dyDescent="0.3">
      <c r="B592" s="128"/>
      <c r="C592" s="129"/>
      <c r="D592" s="129"/>
      <c r="E592" s="130"/>
      <c r="F592" s="131"/>
      <c r="G592" s="132"/>
    </row>
    <row r="593" spans="2:7" x14ac:dyDescent="0.3">
      <c r="B593" s="122"/>
      <c r="C593" s="123"/>
      <c r="D593" s="123"/>
      <c r="E593" s="124"/>
      <c r="F593" s="125" t="s">
        <v>144</v>
      </c>
      <c r="G593" s="132">
        <f>SUM(G589:G592)</f>
        <v>102650</v>
      </c>
    </row>
    <row r="594" spans="2:7" x14ac:dyDescent="0.3">
      <c r="B594" s="127" t="s">
        <v>114</v>
      </c>
      <c r="C594" s="123"/>
      <c r="D594" s="123"/>
      <c r="E594" s="124"/>
      <c r="F594" s="125"/>
      <c r="G594" s="139"/>
    </row>
    <row r="595" spans="2:7" x14ac:dyDescent="0.3">
      <c r="B595" s="151" t="str">
        <f>INSUMOS!$B$72</f>
        <v>M.O. 1 OFICIAL + 1 AYUDANTES</v>
      </c>
      <c r="C595" s="129" t="str">
        <f>INSUMOS!$C$72</f>
        <v>JORNAL</v>
      </c>
      <c r="D595" s="129">
        <v>1</v>
      </c>
      <c r="E595" s="130"/>
      <c r="F595" s="140">
        <f>INSUMOS!$E$72</f>
        <v>308098</v>
      </c>
      <c r="G595" s="132">
        <f>TRUNC(D595 * (1 + E595 / 100) * F595,0)</f>
        <v>308098</v>
      </c>
    </row>
    <row r="596" spans="2:7" x14ac:dyDescent="0.3">
      <c r="B596" s="142"/>
      <c r="C596" s="157"/>
      <c r="D596" s="158"/>
      <c r="E596" s="159"/>
      <c r="F596" s="145"/>
      <c r="G596" s="141"/>
    </row>
    <row r="597" spans="2:7" x14ac:dyDescent="0.3">
      <c r="B597" s="122"/>
      <c r="C597" s="123"/>
      <c r="D597" s="123"/>
      <c r="E597" s="124"/>
      <c r="F597" s="125" t="s">
        <v>145</v>
      </c>
      <c r="G597" s="132">
        <f>SUM(G595:G595)</f>
        <v>308098</v>
      </c>
    </row>
    <row r="598" spans="2:7" x14ac:dyDescent="0.3">
      <c r="B598" s="127" t="s">
        <v>125</v>
      </c>
      <c r="C598" s="123"/>
      <c r="D598" s="123"/>
      <c r="E598" s="124"/>
      <c r="F598" s="125"/>
      <c r="G598" s="139"/>
    </row>
    <row r="599" spans="2:7" x14ac:dyDescent="0.3">
      <c r="B599" s="151" t="str">
        <f>INSUMOS!$B$98</f>
        <v>RODILLO CON CHUZOS</v>
      </c>
      <c r="C599" s="129" t="str">
        <f>INSUMOS!$C$98</f>
        <v>DIA</v>
      </c>
      <c r="D599" s="129">
        <v>1</v>
      </c>
      <c r="E599" s="130"/>
      <c r="F599" s="140">
        <f>INSUMOS!$E$98</f>
        <v>49000</v>
      </c>
      <c r="G599" s="132">
        <f t="shared" ref="G599" si="23">TRUNC(D599 * (1 + E599 / 100) * F599,0)</f>
        <v>49000</v>
      </c>
    </row>
    <row r="600" spans="2:7" x14ac:dyDescent="0.3">
      <c r="B600" s="151"/>
      <c r="C600" s="129"/>
      <c r="D600" s="129"/>
      <c r="E600" s="130"/>
      <c r="F600" s="140"/>
      <c r="G600" s="132"/>
    </row>
    <row r="601" spans="2:7" x14ac:dyDescent="0.3">
      <c r="B601" s="122"/>
      <c r="C601" s="123"/>
      <c r="D601" s="123"/>
      <c r="E601" s="124"/>
      <c r="F601" s="125" t="s">
        <v>146</v>
      </c>
      <c r="G601" s="132">
        <f>SUM(G599:G600)</f>
        <v>49000</v>
      </c>
    </row>
    <row r="602" spans="2:7" x14ac:dyDescent="0.3">
      <c r="B602" s="127" t="s">
        <v>147</v>
      </c>
      <c r="C602" s="123"/>
      <c r="D602" s="123"/>
      <c r="E602" s="124"/>
      <c r="F602" s="125"/>
      <c r="G602" s="139"/>
    </row>
    <row r="603" spans="2:7" x14ac:dyDescent="0.3">
      <c r="B603" s="133" t="str">
        <f>INSUMOS!$B$84</f>
        <v>HERRAMIENTA MENOR</v>
      </c>
      <c r="C603" s="134" t="str">
        <f>INSUMOS!$C$84</f>
        <v>GLB</v>
      </c>
      <c r="D603" s="123">
        <v>1.5915999999999999</v>
      </c>
      <c r="E603" s="136"/>
      <c r="F603" s="137">
        <f>INSUMOS!$E$84</f>
        <v>2174</v>
      </c>
      <c r="G603" s="132">
        <f>TRUNC(D603 * (1 + E603 / 100) * F603,0)</f>
        <v>3460</v>
      </c>
    </row>
    <row r="604" spans="2:7" x14ac:dyDescent="0.3">
      <c r="B604" s="133"/>
      <c r="C604" s="134"/>
      <c r="D604" s="135"/>
      <c r="E604" s="136"/>
      <c r="F604" s="137"/>
      <c r="G604" s="141"/>
    </row>
    <row r="605" spans="2:7" x14ac:dyDescent="0.3">
      <c r="B605" s="122"/>
      <c r="C605" s="123"/>
      <c r="D605" s="123"/>
      <c r="E605" s="124"/>
      <c r="F605" s="125" t="str">
        <f>"SUBTOTAL " &amp;B602</f>
        <v>SUBTOTAL OTROS</v>
      </c>
      <c r="G605" s="132">
        <f>SUM(G603:G604)</f>
        <v>3460</v>
      </c>
    </row>
    <row r="606" spans="2:7" x14ac:dyDescent="0.3">
      <c r="B606" s="122"/>
      <c r="C606" s="123"/>
      <c r="D606" s="123"/>
      <c r="E606" s="124"/>
      <c r="F606" s="125"/>
      <c r="G606" s="126"/>
    </row>
    <row r="607" spans="2:7" ht="15" thickBot="1" x14ac:dyDescent="0.35">
      <c r="B607" s="146"/>
      <c r="C607" s="147"/>
      <c r="D607" s="166"/>
      <c r="E607" s="148" t="s">
        <v>148</v>
      </c>
      <c r="F607" s="149"/>
      <c r="G607" s="150">
        <f>ROUND(G593+G597+G601+G605,0)</f>
        <v>463208</v>
      </c>
    </row>
    <row r="608" spans="2:7" ht="15" thickTop="1" x14ac:dyDescent="0.3"/>
    <row r="609" spans="2:7" ht="15" thickBot="1" x14ac:dyDescent="0.35"/>
    <row r="610" spans="2:7" ht="60" customHeight="1" thickTop="1" x14ac:dyDescent="0.3">
      <c r="B610" s="315" t="str">
        <f>'FORMATO 13'!C43</f>
        <v>REPARACIÓN DE APIQUES O DIVOTS: Arreglar los baches generados después de cada partido, se realiza utilizando la herramienta especial para esta labor y en algunas ocasiones se debe realizar con la proporción 80% arena media y 20% tierra negra.  Se realiza después de cada partido, competencia o evento y después de uso del campo en eventos masivos. Siguiendo las indicaciones de la supervisión, interventoría o recomendaciones del contratista, debidamente aprobadas por el supervisor.Incluye materiales vegetales, orgánicos y minerales para el relleno; equipos y herramientas y mano de obra para su correcta ejecución.</v>
      </c>
      <c r="C610" s="316"/>
      <c r="D610" s="316"/>
      <c r="E610" s="317"/>
      <c r="F610" s="115" t="s">
        <v>140</v>
      </c>
      <c r="G610" s="116" t="str">
        <f>'FORMATO 13'!D43</f>
        <v>MES</v>
      </c>
    </row>
    <row r="611" spans="2:7" ht="60" customHeight="1" x14ac:dyDescent="0.3">
      <c r="B611" s="318"/>
      <c r="C611" s="319"/>
      <c r="D611" s="319"/>
      <c r="E611" s="320"/>
      <c r="F611" s="117" t="s">
        <v>141</v>
      </c>
      <c r="G611" s="155">
        <f>'FORMATO 13'!B43</f>
        <v>2.0699999999999985</v>
      </c>
    </row>
    <row r="612" spans="2:7" x14ac:dyDescent="0.3">
      <c r="B612" s="118" t="s">
        <v>5</v>
      </c>
      <c r="C612" s="119" t="s">
        <v>92</v>
      </c>
      <c r="D612" s="119" t="s">
        <v>93</v>
      </c>
      <c r="E612" s="119" t="s">
        <v>142</v>
      </c>
      <c r="F612" s="120" t="s">
        <v>143</v>
      </c>
      <c r="G612" s="121" t="s">
        <v>10</v>
      </c>
    </row>
    <row r="613" spans="2:7" x14ac:dyDescent="0.3">
      <c r="B613" s="122"/>
      <c r="C613" s="123"/>
      <c r="D613" s="123"/>
      <c r="E613" s="124"/>
      <c r="F613" s="125"/>
      <c r="G613" s="126"/>
    </row>
    <row r="614" spans="2:7" x14ac:dyDescent="0.3">
      <c r="B614" s="127" t="s">
        <v>91</v>
      </c>
      <c r="C614" s="123"/>
      <c r="D614" s="123"/>
      <c r="E614" s="124"/>
      <c r="F614" s="125"/>
      <c r="G614" s="126"/>
    </row>
    <row r="615" spans="2:7" x14ac:dyDescent="0.3">
      <c r="B615" s="128" t="str">
        <f>INSUMOS!$B$34</f>
        <v>ARENA MEDIANA LAVADA SELECCIONADA</v>
      </c>
      <c r="C615" s="129" t="str">
        <f>INSUMOS!$C$34</f>
        <v>M3</v>
      </c>
      <c r="D615" s="129">
        <v>0.8</v>
      </c>
      <c r="E615" s="130">
        <v>0</v>
      </c>
      <c r="F615" s="131">
        <f>INSUMOS!$E$34</f>
        <v>78400</v>
      </c>
      <c r="G615" s="132">
        <f t="shared" ref="G615" si="24">TRUNC(D615 * (1 + E615 / 100) * F615,0)</f>
        <v>62720</v>
      </c>
    </row>
    <row r="616" spans="2:7" x14ac:dyDescent="0.3">
      <c r="B616" s="128" t="str">
        <f>INSUMOS!$B$53</f>
        <v>TIERRA NEGRA</v>
      </c>
      <c r="C616" s="129" t="str">
        <f>INSUMOS!$C$53</f>
        <v>M3</v>
      </c>
      <c r="D616" s="129">
        <v>0.2</v>
      </c>
      <c r="E616" s="130">
        <v>0</v>
      </c>
      <c r="F616" s="131">
        <f>INSUMOS!$E$53</f>
        <v>58912</v>
      </c>
      <c r="G616" s="132">
        <f t="shared" ref="G616" si="25">TRUNC(D616 * (1 + E616 / 100) * F616,0)</f>
        <v>11782</v>
      </c>
    </row>
    <row r="617" spans="2:7" x14ac:dyDescent="0.3">
      <c r="B617" s="128"/>
      <c r="C617" s="129"/>
      <c r="D617" s="129"/>
      <c r="E617" s="130"/>
      <c r="F617" s="131"/>
      <c r="G617" s="132"/>
    </row>
    <row r="618" spans="2:7" x14ac:dyDescent="0.3">
      <c r="B618" s="122"/>
      <c r="C618" s="123"/>
      <c r="D618" s="123"/>
      <c r="E618" s="124"/>
      <c r="F618" s="125" t="s">
        <v>144</v>
      </c>
      <c r="G618" s="132">
        <f>SUM(G613:G617)</f>
        <v>74502</v>
      </c>
    </row>
    <row r="619" spans="2:7" x14ac:dyDescent="0.3">
      <c r="B619" s="127" t="s">
        <v>114</v>
      </c>
      <c r="C619" s="123"/>
      <c r="D619" s="123"/>
      <c r="E619" s="124"/>
      <c r="F619" s="125"/>
      <c r="G619" s="139"/>
    </row>
    <row r="620" spans="2:7" x14ac:dyDescent="0.3">
      <c r="B620" s="151" t="str">
        <f>INSUMOS!$B$73</f>
        <v>M.O. 1 OFICIAL + 2 AYUDANTES</v>
      </c>
      <c r="C620" s="129" t="str">
        <f>INSUMOS!$C$73</f>
        <v>JORNAL</v>
      </c>
      <c r="D620" s="129">
        <v>1</v>
      </c>
      <c r="E620" s="130"/>
      <c r="F620" s="140">
        <f>INSUMOS!$E$73</f>
        <v>422209</v>
      </c>
      <c r="G620" s="132">
        <f>TRUNC(D620 * (1 + E620 / 100) * F620,0)</f>
        <v>422209</v>
      </c>
    </row>
    <row r="621" spans="2:7" x14ac:dyDescent="0.3">
      <c r="B621" s="142"/>
      <c r="C621" s="157"/>
      <c r="D621" s="158"/>
      <c r="E621" s="159"/>
      <c r="F621" s="145"/>
      <c r="G621" s="141"/>
    </row>
    <row r="622" spans="2:7" x14ac:dyDescent="0.3">
      <c r="B622" s="122"/>
      <c r="C622" s="123"/>
      <c r="D622" s="123"/>
      <c r="E622" s="124"/>
      <c r="F622" s="125" t="s">
        <v>145</v>
      </c>
      <c r="G622" s="132">
        <f>SUM(G620:G620)</f>
        <v>422209</v>
      </c>
    </row>
    <row r="623" spans="2:7" x14ac:dyDescent="0.3">
      <c r="B623" s="127" t="s">
        <v>125</v>
      </c>
      <c r="C623" s="123"/>
      <c r="D623" s="123"/>
      <c r="E623" s="124"/>
      <c r="F623" s="125"/>
      <c r="G623" s="139"/>
    </row>
    <row r="624" spans="2:7" x14ac:dyDescent="0.3">
      <c r="B624" s="151"/>
      <c r="C624" s="129"/>
      <c r="D624" s="129"/>
      <c r="E624" s="130"/>
      <c r="F624" s="140"/>
      <c r="G624" s="132"/>
    </row>
    <row r="625" spans="2:7" x14ac:dyDescent="0.3">
      <c r="B625" s="122"/>
      <c r="C625" s="123"/>
      <c r="D625" s="123"/>
      <c r="E625" s="124"/>
      <c r="F625" s="125" t="s">
        <v>146</v>
      </c>
      <c r="G625" s="132">
        <f>SUM(G624:G624)</f>
        <v>0</v>
      </c>
    </row>
    <row r="626" spans="2:7" x14ac:dyDescent="0.3">
      <c r="B626" s="127" t="s">
        <v>147</v>
      </c>
      <c r="C626" s="123"/>
      <c r="D626" s="123"/>
      <c r="E626" s="124"/>
      <c r="F626" s="125"/>
      <c r="G626" s="139"/>
    </row>
    <row r="627" spans="2:7" x14ac:dyDescent="0.3">
      <c r="B627" s="133" t="str">
        <f>INSUMOS!$B$84</f>
        <v>HERRAMIENTA MENOR</v>
      </c>
      <c r="C627" s="134" t="str">
        <f>INSUMOS!$C$84</f>
        <v>GLB</v>
      </c>
      <c r="D627" s="123">
        <v>2.1724999999999999</v>
      </c>
      <c r="E627" s="136"/>
      <c r="F627" s="137">
        <f>INSUMOS!$E$84</f>
        <v>2174</v>
      </c>
      <c r="G627" s="132">
        <f>TRUNC(D627 * (1 + E627 / 100) * F627,0)</f>
        <v>4723</v>
      </c>
    </row>
    <row r="628" spans="2:7" x14ac:dyDescent="0.3">
      <c r="B628" s="133"/>
      <c r="C628" s="134"/>
      <c r="D628" s="135"/>
      <c r="E628" s="136"/>
      <c r="F628" s="137"/>
      <c r="G628" s="141"/>
    </row>
    <row r="629" spans="2:7" x14ac:dyDescent="0.3">
      <c r="B629" s="122"/>
      <c r="C629" s="123"/>
      <c r="D629" s="123"/>
      <c r="E629" s="124"/>
      <c r="F629" s="125" t="str">
        <f>"SUBTOTAL " &amp;B626</f>
        <v>SUBTOTAL OTROS</v>
      </c>
      <c r="G629" s="132">
        <f>SUM(G627:G628)</f>
        <v>4723</v>
      </c>
    </row>
    <row r="630" spans="2:7" x14ac:dyDescent="0.3">
      <c r="B630" s="122"/>
      <c r="C630" s="123"/>
      <c r="D630" s="123"/>
      <c r="E630" s="124"/>
      <c r="F630" s="125"/>
      <c r="G630" s="126"/>
    </row>
    <row r="631" spans="2:7" ht="15" thickBot="1" x14ac:dyDescent="0.35">
      <c r="B631" s="146"/>
      <c r="C631" s="147"/>
      <c r="D631" s="166"/>
      <c r="E631" s="148" t="s">
        <v>148</v>
      </c>
      <c r="F631" s="149"/>
      <c r="G631" s="150">
        <f>ROUND(G618+G622+G625+G629,0)</f>
        <v>501434</v>
      </c>
    </row>
    <row r="632" spans="2:7" ht="15" thickTop="1" x14ac:dyDescent="0.3"/>
    <row r="633" spans="2:7" ht="15" thickBot="1" x14ac:dyDescent="0.35"/>
    <row r="634" spans="2:7" ht="49.95" customHeight="1" thickTop="1" x14ac:dyDescent="0.3">
      <c r="B634" s="315" t="str">
        <f>'FORMATO 13'!C44</f>
        <v>MANTENIMIENTO DE FOSOS DE CAIDA Y OTRAS ÁREAS DE ARENA: Se debe realizar previo a cada evento de atletismo local, regional, nacional o internacional, o las veces necesarias para las competencias,  ó según los requerimientos de la interventoría y/o supervisión o al menos. Incluye: cepillado, desmalezada y agregado de arena, o de acuerdo a las indicaciones de la supervisión y/o interventoría y/o recomendación del contratista, debidamente aprobadas por el supervisor.  Incluye materiales minerales para el relleno; equipos y herramientas y mano de obra, necesarias para su correcta ejecucion.</v>
      </c>
      <c r="C634" s="316"/>
      <c r="D634" s="316"/>
      <c r="E634" s="317"/>
      <c r="F634" s="115" t="s">
        <v>140</v>
      </c>
      <c r="G634" s="116" t="str">
        <f>'FORMATO 13'!D44</f>
        <v>MES</v>
      </c>
    </row>
    <row r="635" spans="2:7" ht="49.95" customHeight="1" x14ac:dyDescent="0.3">
      <c r="B635" s="318"/>
      <c r="C635" s="319"/>
      <c r="D635" s="319"/>
      <c r="E635" s="320"/>
      <c r="F635" s="117" t="s">
        <v>141</v>
      </c>
      <c r="G635" s="155">
        <f>'FORMATO 13'!B44</f>
        <v>2.0799999999999983</v>
      </c>
    </row>
    <row r="636" spans="2:7" x14ac:dyDescent="0.3">
      <c r="B636" s="118" t="s">
        <v>5</v>
      </c>
      <c r="C636" s="119" t="s">
        <v>92</v>
      </c>
      <c r="D636" s="119" t="s">
        <v>93</v>
      </c>
      <c r="E636" s="119" t="s">
        <v>142</v>
      </c>
      <c r="F636" s="120" t="s">
        <v>143</v>
      </c>
      <c r="G636" s="121" t="s">
        <v>10</v>
      </c>
    </row>
    <row r="637" spans="2:7" x14ac:dyDescent="0.3">
      <c r="B637" s="122"/>
      <c r="C637" s="123"/>
      <c r="D637" s="123"/>
      <c r="E637" s="124"/>
      <c r="F637" s="125"/>
      <c r="G637" s="126"/>
    </row>
    <row r="638" spans="2:7" x14ac:dyDescent="0.3">
      <c r="B638" s="127" t="s">
        <v>91</v>
      </c>
      <c r="C638" s="123"/>
      <c r="D638" s="123"/>
      <c r="E638" s="124"/>
      <c r="F638" s="125"/>
      <c r="G638" s="126"/>
    </row>
    <row r="639" spans="2:7" x14ac:dyDescent="0.3">
      <c r="B639" s="128" t="str">
        <f>INSUMOS!$B$34</f>
        <v>ARENA MEDIANA LAVADA SELECCIONADA</v>
      </c>
      <c r="C639" s="129" t="str">
        <f>INSUMOS!$C$34</f>
        <v>M3</v>
      </c>
      <c r="D639" s="129">
        <v>2</v>
      </c>
      <c r="E639" s="130">
        <v>0</v>
      </c>
      <c r="F639" s="131">
        <f>INSUMOS!$E$34</f>
        <v>78400</v>
      </c>
      <c r="G639" s="132">
        <f t="shared" ref="G639" si="26">TRUNC(D639 * (1 + E639 / 100) * F639,0)</f>
        <v>156800</v>
      </c>
    </row>
    <row r="640" spans="2:7" x14ac:dyDescent="0.3">
      <c r="B640" s="128"/>
      <c r="C640" s="129"/>
      <c r="D640" s="129"/>
      <c r="E640" s="130"/>
      <c r="F640" s="131"/>
      <c r="G640" s="132"/>
    </row>
    <row r="641" spans="2:7" x14ac:dyDescent="0.3">
      <c r="B641" s="122"/>
      <c r="C641" s="123"/>
      <c r="D641" s="123"/>
      <c r="E641" s="124"/>
      <c r="F641" s="125" t="s">
        <v>144</v>
      </c>
      <c r="G641" s="132">
        <f>SUM(G637:G640)</f>
        <v>156800</v>
      </c>
    </row>
    <row r="642" spans="2:7" x14ac:dyDescent="0.3">
      <c r="B642" s="127" t="s">
        <v>114</v>
      </c>
      <c r="C642" s="123"/>
      <c r="D642" s="123"/>
      <c r="E642" s="124"/>
      <c r="F642" s="125"/>
      <c r="G642" s="139"/>
    </row>
    <row r="643" spans="2:7" x14ac:dyDescent="0.3">
      <c r="B643" s="151" t="str">
        <f>INSUMOS!$B$73</f>
        <v>M.O. 1 OFICIAL + 2 AYUDANTES</v>
      </c>
      <c r="C643" s="129" t="str">
        <f>INSUMOS!$C$73</f>
        <v>JORNAL</v>
      </c>
      <c r="D643" s="129">
        <v>1</v>
      </c>
      <c r="E643" s="130"/>
      <c r="F643" s="140">
        <f>INSUMOS!$E$73</f>
        <v>422209</v>
      </c>
      <c r="G643" s="132">
        <f>TRUNC(D643 * (1 + E643 / 100) * F643,0)</f>
        <v>422209</v>
      </c>
    </row>
    <row r="644" spans="2:7" x14ac:dyDescent="0.3">
      <c r="B644" s="142"/>
      <c r="C644" s="157"/>
      <c r="D644" s="158"/>
      <c r="E644" s="159"/>
      <c r="F644" s="145"/>
      <c r="G644" s="141"/>
    </row>
    <row r="645" spans="2:7" x14ac:dyDescent="0.3">
      <c r="B645" s="122"/>
      <c r="C645" s="123"/>
      <c r="D645" s="123"/>
      <c r="E645" s="124"/>
      <c r="F645" s="125" t="s">
        <v>145</v>
      </c>
      <c r="G645" s="132">
        <f>SUM(G643:G643)</f>
        <v>422209</v>
      </c>
    </row>
    <row r="646" spans="2:7" x14ac:dyDescent="0.3">
      <c r="B646" s="127" t="s">
        <v>125</v>
      </c>
      <c r="C646" s="123"/>
      <c r="D646" s="123"/>
      <c r="E646" s="124"/>
      <c r="F646" s="125"/>
      <c r="G646" s="139"/>
    </row>
    <row r="647" spans="2:7" x14ac:dyDescent="0.3">
      <c r="B647" s="133" t="str">
        <f>INSUMOS!$B$99</f>
        <v>CARRETA TIPO BUGUI</v>
      </c>
      <c r="C647" s="134" t="str">
        <f>INSUMOS!$C$99</f>
        <v>DIA</v>
      </c>
      <c r="D647" s="123">
        <v>1</v>
      </c>
      <c r="E647" s="136"/>
      <c r="F647" s="137">
        <f>INSUMOS!$E$99</f>
        <v>4665</v>
      </c>
      <c r="G647" s="132">
        <f>TRUNC(D647 * (1 + E647 / 100) * F647,0)</f>
        <v>4665</v>
      </c>
    </row>
    <row r="648" spans="2:7" x14ac:dyDescent="0.3">
      <c r="B648" s="151"/>
      <c r="C648" s="129"/>
      <c r="D648" s="129"/>
      <c r="E648" s="130"/>
      <c r="F648" s="140"/>
      <c r="G648" s="132"/>
    </row>
    <row r="649" spans="2:7" x14ac:dyDescent="0.3">
      <c r="B649" s="122"/>
      <c r="C649" s="123"/>
      <c r="D649" s="123"/>
      <c r="E649" s="124"/>
      <c r="F649" s="125" t="s">
        <v>146</v>
      </c>
      <c r="G649" s="132">
        <f>SUM(G647:G648)</f>
        <v>4665</v>
      </c>
    </row>
    <row r="650" spans="2:7" x14ac:dyDescent="0.3">
      <c r="B650" s="127" t="s">
        <v>147</v>
      </c>
      <c r="C650" s="123"/>
      <c r="D650" s="123"/>
      <c r="E650" s="124"/>
      <c r="F650" s="125"/>
      <c r="G650" s="139"/>
    </row>
    <row r="651" spans="2:7" x14ac:dyDescent="0.3">
      <c r="B651" s="133" t="str">
        <f>INSUMOS!$B$84</f>
        <v>HERRAMIENTA MENOR</v>
      </c>
      <c r="C651" s="134" t="str">
        <f>INSUMOS!$C$84</f>
        <v>GLB</v>
      </c>
      <c r="D651" s="163">
        <v>15.516</v>
      </c>
      <c r="E651" s="136"/>
      <c r="F651" s="137">
        <f>INSUMOS!$E$84</f>
        <v>2174</v>
      </c>
      <c r="G651" s="132">
        <f>TRUNC(D651 * (1 + E651 / 100) * F651,0)</f>
        <v>33731</v>
      </c>
    </row>
    <row r="652" spans="2:7" x14ac:dyDescent="0.3">
      <c r="B652" s="133"/>
      <c r="C652" s="134"/>
      <c r="D652" s="135"/>
      <c r="E652" s="136"/>
      <c r="F652" s="137"/>
      <c r="G652" s="141"/>
    </row>
    <row r="653" spans="2:7" x14ac:dyDescent="0.3">
      <c r="B653" s="122"/>
      <c r="C653" s="123"/>
      <c r="D653" s="123"/>
      <c r="E653" s="124"/>
      <c r="F653" s="125" t="str">
        <f>"SUBTOTAL " &amp;B650</f>
        <v>SUBTOTAL OTROS</v>
      </c>
      <c r="G653" s="132">
        <f>SUM(G651:G652)</f>
        <v>33731</v>
      </c>
    </row>
    <row r="654" spans="2:7" x14ac:dyDescent="0.3">
      <c r="B654" s="122"/>
      <c r="C654" s="123"/>
      <c r="D654" s="123"/>
      <c r="E654" s="124"/>
      <c r="F654" s="125"/>
      <c r="G654" s="126"/>
    </row>
    <row r="655" spans="2:7" ht="15" thickBot="1" x14ac:dyDescent="0.35">
      <c r="B655" s="146"/>
      <c r="C655" s="147"/>
      <c r="D655" s="166"/>
      <c r="E655" s="148" t="s">
        <v>148</v>
      </c>
      <c r="F655" s="149"/>
      <c r="G655" s="150">
        <f>ROUND(G641+G645+G649+G653,0)</f>
        <v>617405</v>
      </c>
    </row>
    <row r="656" spans="2:7" ht="15" thickTop="1" x14ac:dyDescent="0.3"/>
    <row r="657" spans="2:7" ht="15" thickBot="1" x14ac:dyDescent="0.35"/>
    <row r="658" spans="2:7" ht="49.95" customHeight="1" thickTop="1" x14ac:dyDescent="0.3">
      <c r="B658" s="315" t="str">
        <f>'FORMATO 13'!C45</f>
        <v>DISPOSICIÓN FINAL DE SOBRANTES: Se debe realizar el aseo y limpieza permanente del área de trabajo y sus alrededores afectados; todos los sobrantes de este trabajo deberán ser depositados en los sitios autorizados por la autoridad ambiental municipal. Incluye mano de obra, equipos y herramienta de cargue y descargue; maquinaria, equipo y herramienta para el transporte; trámite y costos de permisos para disposición de material de desecho.</v>
      </c>
      <c r="C658" s="316"/>
      <c r="D658" s="316"/>
      <c r="E658" s="317"/>
      <c r="F658" s="115" t="s">
        <v>140</v>
      </c>
      <c r="G658" s="116" t="str">
        <f>'FORMATO 13'!D45</f>
        <v>MES</v>
      </c>
    </row>
    <row r="659" spans="2:7" ht="49.95" customHeight="1" x14ac:dyDescent="0.3">
      <c r="B659" s="318"/>
      <c r="C659" s="319"/>
      <c r="D659" s="319"/>
      <c r="E659" s="320"/>
      <c r="F659" s="117" t="s">
        <v>141</v>
      </c>
      <c r="G659" s="155">
        <f>'FORMATO 13'!B45</f>
        <v>2.0899999999999981</v>
      </c>
    </row>
    <row r="660" spans="2:7" x14ac:dyDescent="0.3">
      <c r="B660" s="118" t="s">
        <v>5</v>
      </c>
      <c r="C660" s="119" t="s">
        <v>92</v>
      </c>
      <c r="D660" s="119" t="s">
        <v>93</v>
      </c>
      <c r="E660" s="119" t="s">
        <v>142</v>
      </c>
      <c r="F660" s="120" t="s">
        <v>143</v>
      </c>
      <c r="G660" s="121" t="s">
        <v>10</v>
      </c>
    </row>
    <row r="661" spans="2:7" x14ac:dyDescent="0.3">
      <c r="B661" s="122"/>
      <c r="C661" s="123"/>
      <c r="D661" s="123"/>
      <c r="E661" s="124"/>
      <c r="F661" s="125"/>
      <c r="G661" s="126"/>
    </row>
    <row r="662" spans="2:7" x14ac:dyDescent="0.3">
      <c r="B662" s="127" t="s">
        <v>91</v>
      </c>
      <c r="C662" s="123"/>
      <c r="D662" s="123"/>
      <c r="E662" s="124"/>
      <c r="F662" s="125"/>
      <c r="G662" s="126"/>
    </row>
    <row r="663" spans="2:7" x14ac:dyDescent="0.3">
      <c r="B663" s="128" t="str">
        <f>INSUMOS!$B$13</f>
        <v>BOLSAS PARA BASURA</v>
      </c>
      <c r="C663" s="129" t="str">
        <f>INSUMOS!$C$13</f>
        <v>UND</v>
      </c>
      <c r="D663" s="129">
        <v>55</v>
      </c>
      <c r="E663" s="130">
        <v>0</v>
      </c>
      <c r="F663" s="131">
        <f>INSUMOS!$E$13</f>
        <v>2053</v>
      </c>
      <c r="G663" s="132">
        <f t="shared" ref="G663" si="27">TRUNC(D663 * (1 + E663 / 100) * F663,0)</f>
        <v>112915</v>
      </c>
    </row>
    <row r="664" spans="2:7" x14ac:dyDescent="0.3">
      <c r="B664" s="142"/>
      <c r="C664" s="157"/>
      <c r="D664" s="158"/>
      <c r="E664" s="159"/>
      <c r="F664" s="145"/>
      <c r="G664" s="138"/>
    </row>
    <row r="665" spans="2:7" x14ac:dyDescent="0.3">
      <c r="B665" s="122"/>
      <c r="C665" s="123"/>
      <c r="D665" s="123"/>
      <c r="E665" s="124"/>
      <c r="F665" s="125" t="s">
        <v>144</v>
      </c>
      <c r="G665" s="132">
        <f>SUM(G663:G663)</f>
        <v>112915</v>
      </c>
    </row>
    <row r="666" spans="2:7" x14ac:dyDescent="0.3">
      <c r="B666" s="127" t="s">
        <v>114</v>
      </c>
      <c r="C666" s="123"/>
      <c r="D666" s="123"/>
      <c r="E666" s="124"/>
      <c r="F666" s="125"/>
      <c r="G666" s="139"/>
    </row>
    <row r="667" spans="2:7" x14ac:dyDescent="0.3">
      <c r="B667" s="133" t="str">
        <f>INSUMOS!$B$70</f>
        <v>M.O. ALBAÑILERIA 4 AYUDANTES</v>
      </c>
      <c r="C667" s="134" t="str">
        <f>INSUMOS!$C$70</f>
        <v>JORNAL</v>
      </c>
      <c r="D667" s="123">
        <v>1.75</v>
      </c>
      <c r="E667" s="136"/>
      <c r="F667" s="137">
        <f>INSUMOS!$E$70</f>
        <v>456442</v>
      </c>
      <c r="G667" s="132">
        <f>TRUNC(D667 * (1 + E667 / 100) * F667,0)</f>
        <v>798773</v>
      </c>
    </row>
    <row r="668" spans="2:7" x14ac:dyDescent="0.3">
      <c r="B668" s="142"/>
      <c r="C668" s="157"/>
      <c r="D668" s="158"/>
      <c r="E668" s="159"/>
      <c r="F668" s="145"/>
      <c r="G668" s="141"/>
    </row>
    <row r="669" spans="2:7" x14ac:dyDescent="0.3">
      <c r="B669" s="122"/>
      <c r="C669" s="123"/>
      <c r="D669" s="123"/>
      <c r="E669" s="124"/>
      <c r="F669" s="125" t="s">
        <v>145</v>
      </c>
      <c r="G669" s="132">
        <f>SUM(G667:G667)</f>
        <v>798773</v>
      </c>
    </row>
    <row r="670" spans="2:7" x14ac:dyDescent="0.3">
      <c r="B670" s="127" t="s">
        <v>125</v>
      </c>
      <c r="C670" s="123"/>
      <c r="D670" s="123"/>
      <c r="E670" s="124"/>
      <c r="F670" s="125"/>
      <c r="G670" s="139"/>
    </row>
    <row r="671" spans="2:7" x14ac:dyDescent="0.3">
      <c r="B671" s="133" t="str">
        <f>INSUMOS!$B$83</f>
        <v>VOLQUETA 8 M3 CON BOTADERO CERTIFICADO</v>
      </c>
      <c r="C671" s="134" t="str">
        <f>INSUMOS!$C$83</f>
        <v>M3</v>
      </c>
      <c r="D671" s="123">
        <v>5</v>
      </c>
      <c r="E671" s="136"/>
      <c r="F671" s="137">
        <f>INSUMOS!$E$83</f>
        <v>24812</v>
      </c>
      <c r="G671" s="132">
        <f>TRUNC(D671 * (1 + E671 / 100) * F671,0)</f>
        <v>124060</v>
      </c>
    </row>
    <row r="672" spans="2:7" x14ac:dyDescent="0.3">
      <c r="B672" s="142"/>
      <c r="C672" s="157"/>
      <c r="D672" s="158"/>
      <c r="E672" s="159"/>
      <c r="F672" s="145"/>
      <c r="G672" s="141"/>
    </row>
    <row r="673" spans="2:7" x14ac:dyDescent="0.3">
      <c r="B673" s="122"/>
      <c r="C673" s="123"/>
      <c r="D673" s="123"/>
      <c r="E673" s="124"/>
      <c r="F673" s="125" t="s">
        <v>146</v>
      </c>
      <c r="G673" s="132">
        <f>SUM(G671:G671)</f>
        <v>124060</v>
      </c>
    </row>
    <row r="674" spans="2:7" x14ac:dyDescent="0.3">
      <c r="B674" s="127" t="s">
        <v>147</v>
      </c>
      <c r="C674" s="123"/>
      <c r="D674" s="123"/>
      <c r="E674" s="124"/>
      <c r="F674" s="125"/>
      <c r="G674" s="139"/>
    </row>
    <row r="675" spans="2:7" x14ac:dyDescent="0.3">
      <c r="B675" s="133" t="str">
        <f>INSUMOS!$B$84</f>
        <v>HERRAMIENTA MENOR</v>
      </c>
      <c r="C675" s="134" t="str">
        <f>INSUMOS!$C$84</f>
        <v>GLB</v>
      </c>
      <c r="D675" s="163">
        <v>4.4074999999999998</v>
      </c>
      <c r="E675" s="136"/>
      <c r="F675" s="137">
        <f>INSUMOS!$E$84</f>
        <v>2174</v>
      </c>
      <c r="G675" s="132">
        <f>TRUNC(D675 * (1 + E675 / 100) * F675,0)</f>
        <v>9581</v>
      </c>
    </row>
    <row r="676" spans="2:7" x14ac:dyDescent="0.3">
      <c r="B676" s="133"/>
      <c r="C676" s="134"/>
      <c r="D676" s="135"/>
      <c r="E676" s="136"/>
      <c r="F676" s="137"/>
      <c r="G676" s="141"/>
    </row>
    <row r="677" spans="2:7" x14ac:dyDescent="0.3">
      <c r="B677" s="122"/>
      <c r="C677" s="123"/>
      <c r="D677" s="123"/>
      <c r="E677" s="124"/>
      <c r="F677" s="125" t="str">
        <f>"SUBTOTAL " &amp;B674</f>
        <v>SUBTOTAL OTROS</v>
      </c>
      <c r="G677" s="132">
        <f>SUM(G675:G676)</f>
        <v>9581</v>
      </c>
    </row>
    <row r="678" spans="2:7" x14ac:dyDescent="0.3">
      <c r="B678" s="122"/>
      <c r="C678" s="123"/>
      <c r="D678" s="123"/>
      <c r="E678" s="124"/>
      <c r="F678" s="125"/>
      <c r="G678" s="126"/>
    </row>
    <row r="679" spans="2:7" ht="15" thickBot="1" x14ac:dyDescent="0.35">
      <c r="B679" s="146"/>
      <c r="C679" s="147"/>
      <c r="D679" s="166"/>
      <c r="E679" s="148" t="s">
        <v>148</v>
      </c>
      <c r="F679" s="149"/>
      <c r="G679" s="150">
        <f>ROUND(G665+G669+G673+G677,0)</f>
        <v>1045329</v>
      </c>
    </row>
    <row r="680" spans="2:7" ht="15" thickTop="1" x14ac:dyDescent="0.3"/>
    <row r="681" spans="2:7" ht="15" thickBot="1" x14ac:dyDescent="0.35"/>
    <row r="682" spans="2:7" ht="15" thickBot="1" x14ac:dyDescent="0.35">
      <c r="B682" s="114">
        <f>'FORMATO 13'!B47</f>
        <v>3</v>
      </c>
      <c r="C682" s="106"/>
      <c r="D682" s="106"/>
      <c r="E682" s="100"/>
      <c r="F682" s="113"/>
      <c r="G682" s="113"/>
    </row>
    <row r="683" spans="2:7" ht="15" thickBot="1" x14ac:dyDescent="0.35">
      <c r="B683" s="312" t="str">
        <f>'FORMATO 13'!C47</f>
        <v>MANTENIMIENTO GRAMA NATURAL DEL ESTADIO INTERNACIONAL DE ATLETISMO PEDRO GRAJALES - CANCHA EN PISTA DE CALENTAMIENTO</v>
      </c>
      <c r="C683" s="313"/>
      <c r="D683" s="313"/>
      <c r="E683" s="313"/>
      <c r="F683" s="313"/>
      <c r="G683" s="314"/>
    </row>
    <row r="685" spans="2:7" ht="15" thickBot="1" x14ac:dyDescent="0.35"/>
    <row r="686" spans="2:7" ht="60" customHeight="1" thickTop="1" x14ac:dyDescent="0.3">
      <c r="B686" s="315" t="str">
        <f>'FORMATO 13'!C48</f>
        <v xml:space="preserve">CORTE: Mantener la altura adecuada del césped para favorecer un crecimiento saludable del gramado.  Se debe realizar un corte antes de cada partido o evento a toda la gramilla,  o de acuerdo con las indicaciones de la supervisión y/o interventoría y/o recomendación del contratista, debidamente aprobadas por el supervisor, con la finalidad de tener a la altura óptima el prado. Incluye:  La maquinaria especializada, el combustible, operarios, herramientas menores, recolección y disposición adecuada de los residuos. El corte debe ser permanente y ajustado para la perfecta conservación de las gramillas. Se debe utilizar una cortadora especializada tipo greenera.  Esto garantiza que el césped mantenga la altura óptima definida por la entidad. </v>
      </c>
      <c r="C686" s="316"/>
      <c r="D686" s="316"/>
      <c r="E686" s="317"/>
      <c r="F686" s="115" t="s">
        <v>140</v>
      </c>
      <c r="G686" s="116" t="str">
        <f>'FORMATO 13'!D48</f>
        <v>VECES</v>
      </c>
    </row>
    <row r="687" spans="2:7" ht="60" customHeight="1" x14ac:dyDescent="0.3">
      <c r="B687" s="318"/>
      <c r="C687" s="319"/>
      <c r="D687" s="319"/>
      <c r="E687" s="320"/>
      <c r="F687" s="117" t="s">
        <v>141</v>
      </c>
      <c r="G687" s="155">
        <f>'FORMATO 13'!B48</f>
        <v>3.01</v>
      </c>
    </row>
    <row r="688" spans="2:7" x14ac:dyDescent="0.3">
      <c r="B688" s="118" t="s">
        <v>5</v>
      </c>
      <c r="C688" s="119" t="s">
        <v>92</v>
      </c>
      <c r="D688" s="119" t="s">
        <v>93</v>
      </c>
      <c r="E688" s="119" t="s">
        <v>142</v>
      </c>
      <c r="F688" s="120" t="s">
        <v>143</v>
      </c>
      <c r="G688" s="121" t="s">
        <v>10</v>
      </c>
    </row>
    <row r="689" spans="2:7" x14ac:dyDescent="0.3">
      <c r="B689" s="122"/>
      <c r="C689" s="123"/>
      <c r="D689" s="123"/>
      <c r="E689" s="124"/>
      <c r="F689" s="125"/>
      <c r="G689" s="126"/>
    </row>
    <row r="690" spans="2:7" x14ac:dyDescent="0.3">
      <c r="B690" s="127" t="s">
        <v>91</v>
      </c>
      <c r="C690" s="123"/>
      <c r="D690" s="123"/>
      <c r="E690" s="124"/>
      <c r="F690" s="125"/>
      <c r="G690" s="126"/>
    </row>
    <row r="691" spans="2:7" x14ac:dyDescent="0.3">
      <c r="B691" s="128" t="str">
        <f>INSUMOS!$B$37</f>
        <v>RASTRILLO PLÁSTICO</v>
      </c>
      <c r="C691" s="129" t="str">
        <f>INSUMOS!$C$37</f>
        <v>UND</v>
      </c>
      <c r="D691" s="129">
        <v>1.5</v>
      </c>
      <c r="E691" s="130">
        <v>0</v>
      </c>
      <c r="F691" s="131">
        <f>INSUMOS!$E$37</f>
        <v>29179</v>
      </c>
      <c r="G691" s="132">
        <f t="shared" ref="G691:G696" si="28">TRUNC(D691 * (1 + E691 / 100) * F691,0)</f>
        <v>43768</v>
      </c>
    </row>
    <row r="692" spans="2:7" x14ac:dyDescent="0.3">
      <c r="B692" s="128" t="str">
        <f>INSUMOS!$B$13</f>
        <v>BOLSAS PARA BASURA</v>
      </c>
      <c r="C692" s="129" t="str">
        <f>INSUMOS!$C$13</f>
        <v>UND</v>
      </c>
      <c r="D692" s="129">
        <v>70</v>
      </c>
      <c r="E692" s="130">
        <v>0</v>
      </c>
      <c r="F692" s="131">
        <f>INSUMOS!$E$13</f>
        <v>2053</v>
      </c>
      <c r="G692" s="132">
        <f t="shared" si="28"/>
        <v>143710</v>
      </c>
    </row>
    <row r="693" spans="2:7" x14ac:dyDescent="0.3">
      <c r="B693" s="128" t="str">
        <f>INSUMOS!$B$38</f>
        <v>TELAR SINTETICO TIPO ALFOMBRA 1.50X3.00</v>
      </c>
      <c r="C693" s="129" t="str">
        <f>INSUMOS!$C$38</f>
        <v>UND</v>
      </c>
      <c r="D693" s="129">
        <v>0.05</v>
      </c>
      <c r="E693" s="130">
        <v>0</v>
      </c>
      <c r="F693" s="131">
        <f>INSUMOS!$E$38</f>
        <v>225321</v>
      </c>
      <c r="G693" s="132">
        <f t="shared" si="28"/>
        <v>11266</v>
      </c>
    </row>
    <row r="694" spans="2:7" x14ac:dyDescent="0.3">
      <c r="B694" s="128" t="str">
        <f>INSUMOS!$B$39</f>
        <v>CARRETA TIPO BUGUI</v>
      </c>
      <c r="C694" s="129" t="str">
        <f>INSUMOS!$C$39</f>
        <v>DIA</v>
      </c>
      <c r="D694" s="129">
        <v>5</v>
      </c>
      <c r="E694" s="130">
        <v>0</v>
      </c>
      <c r="F694" s="131">
        <f>INSUMOS!$E$39</f>
        <v>4665</v>
      </c>
      <c r="G694" s="132">
        <f t="shared" si="28"/>
        <v>23325</v>
      </c>
    </row>
    <row r="695" spans="2:7" x14ac:dyDescent="0.3">
      <c r="B695" s="128" t="str">
        <f>INSUMOS!$B$40</f>
        <v>ESCOBA PLASTICA DE CERDA FINA ANCHA</v>
      </c>
      <c r="C695" s="129" t="str">
        <f>INSUMOS!$C$40</f>
        <v>UND</v>
      </c>
      <c r="D695" s="129">
        <v>3</v>
      </c>
      <c r="E695" s="130">
        <v>0</v>
      </c>
      <c r="F695" s="131">
        <f>INSUMOS!$E$40</f>
        <v>7217</v>
      </c>
      <c r="G695" s="132">
        <f t="shared" si="28"/>
        <v>21651</v>
      </c>
    </row>
    <row r="696" spans="2:7" x14ac:dyDescent="0.3">
      <c r="B696" s="151" t="str">
        <f>INSUMOS!$B$11</f>
        <v>GASOLINA CORRIENTE</v>
      </c>
      <c r="C696" s="129" t="str">
        <f>INSUMOS!$C$11</f>
        <v>GLN</v>
      </c>
      <c r="D696" s="129">
        <v>0.5</v>
      </c>
      <c r="E696" s="130">
        <v>0</v>
      </c>
      <c r="F696" s="131">
        <f>INSUMOS!$E$11</f>
        <v>16423</v>
      </c>
      <c r="G696" s="132">
        <f t="shared" si="28"/>
        <v>8211</v>
      </c>
    </row>
    <row r="697" spans="2:7" x14ac:dyDescent="0.3">
      <c r="B697" s="128"/>
      <c r="C697" s="129"/>
      <c r="D697" s="129"/>
      <c r="E697" s="130"/>
      <c r="F697" s="131"/>
      <c r="G697" s="132"/>
    </row>
    <row r="698" spans="2:7" x14ac:dyDescent="0.3">
      <c r="B698" s="122"/>
      <c r="C698" s="123"/>
      <c r="D698" s="123"/>
      <c r="E698" s="124"/>
      <c r="F698" s="125" t="s">
        <v>144</v>
      </c>
      <c r="G698" s="132">
        <f>SUM(G689:G697)</f>
        <v>251931</v>
      </c>
    </row>
    <row r="699" spans="2:7" x14ac:dyDescent="0.3">
      <c r="B699" s="127" t="s">
        <v>114</v>
      </c>
      <c r="C699" s="123"/>
      <c r="D699" s="123"/>
      <c r="E699" s="124"/>
      <c r="F699" s="125"/>
      <c r="G699" s="139"/>
    </row>
    <row r="700" spans="2:7" x14ac:dyDescent="0.3">
      <c r="B700" s="151" t="str">
        <f>INSUMOS!$B$73</f>
        <v>M.O. 1 OFICIAL + 2 AYUDANTES</v>
      </c>
      <c r="C700" s="129" t="str">
        <f>INSUMOS!$C$73</f>
        <v>JORNAL</v>
      </c>
      <c r="D700" s="129">
        <v>0.5</v>
      </c>
      <c r="E700" s="130"/>
      <c r="F700" s="140">
        <f>INSUMOS!$E$73</f>
        <v>422209</v>
      </c>
      <c r="G700" s="132">
        <f>TRUNC(D700 * (1 + E700 / 100) * F700,0)</f>
        <v>211104</v>
      </c>
    </row>
    <row r="701" spans="2:7" x14ac:dyDescent="0.3">
      <c r="B701" s="142"/>
      <c r="C701" s="157"/>
      <c r="D701" s="158"/>
      <c r="E701" s="159"/>
      <c r="F701" s="145"/>
      <c r="G701" s="141"/>
    </row>
    <row r="702" spans="2:7" x14ac:dyDescent="0.3">
      <c r="B702" s="122"/>
      <c r="C702" s="123"/>
      <c r="D702" s="123"/>
      <c r="E702" s="124"/>
      <c r="F702" s="125" t="s">
        <v>145</v>
      </c>
      <c r="G702" s="132">
        <f>SUM(G700:G700)</f>
        <v>211104</v>
      </c>
    </row>
    <row r="703" spans="2:7" x14ac:dyDescent="0.3">
      <c r="B703" s="127" t="s">
        <v>125</v>
      </c>
      <c r="C703" s="123"/>
      <c r="D703" s="123"/>
      <c r="E703" s="124"/>
      <c r="F703" s="125"/>
      <c r="G703" s="139"/>
    </row>
    <row r="704" spans="2:7" x14ac:dyDescent="0.3">
      <c r="B704" s="133" t="str">
        <f>INSUMOS!$B$94</f>
        <v>CORTACESPED TIPO GREENERA A GASOLINA</v>
      </c>
      <c r="C704" s="134" t="str">
        <f>INSUMOS!$C$94</f>
        <v>GLB</v>
      </c>
      <c r="D704" s="123">
        <v>0.05</v>
      </c>
      <c r="E704" s="136"/>
      <c r="F704" s="137">
        <f>INSUMOS!$E$94</f>
        <v>931000</v>
      </c>
      <c r="G704" s="132">
        <f>TRUNC(D704 * (1 + E704 / 100) * F704,0)</f>
        <v>46550</v>
      </c>
    </row>
    <row r="705" spans="2:7" x14ac:dyDescent="0.3">
      <c r="B705" s="151"/>
      <c r="C705" s="129"/>
      <c r="D705" s="129"/>
      <c r="E705" s="130"/>
      <c r="F705" s="140"/>
      <c r="G705" s="132"/>
    </row>
    <row r="706" spans="2:7" x14ac:dyDescent="0.3">
      <c r="B706" s="142"/>
      <c r="C706" s="157"/>
      <c r="D706" s="158"/>
      <c r="E706" s="159"/>
      <c r="F706" s="145"/>
      <c r="G706" s="141"/>
    </row>
    <row r="707" spans="2:7" x14ac:dyDescent="0.3">
      <c r="B707" s="122"/>
      <c r="C707" s="123"/>
      <c r="D707" s="123"/>
      <c r="E707" s="124"/>
      <c r="F707" s="125" t="s">
        <v>146</v>
      </c>
      <c r="G707" s="132">
        <f>SUM(G704:G704)</f>
        <v>46550</v>
      </c>
    </row>
    <row r="708" spans="2:7" x14ac:dyDescent="0.3">
      <c r="B708" s="127" t="s">
        <v>147</v>
      </c>
      <c r="C708" s="123"/>
      <c r="D708" s="123"/>
      <c r="E708" s="124"/>
      <c r="F708" s="125"/>
      <c r="G708" s="139"/>
    </row>
    <row r="709" spans="2:7" x14ac:dyDescent="0.3">
      <c r="B709" s="133" t="str">
        <f>INSUMOS!$B$84</f>
        <v>HERRAMIENTA MENOR</v>
      </c>
      <c r="C709" s="134" t="str">
        <f>INSUMOS!$C$84</f>
        <v>GLB</v>
      </c>
      <c r="D709" s="163">
        <v>3.9119999999999999</v>
      </c>
      <c r="E709" s="136"/>
      <c r="F709" s="137">
        <f>INSUMOS!$E$84</f>
        <v>2174</v>
      </c>
      <c r="G709" s="132">
        <f>TRUNC(D709 * (1 + E709 / 100) * F709,0)</f>
        <v>8504</v>
      </c>
    </row>
    <row r="710" spans="2:7" x14ac:dyDescent="0.3">
      <c r="B710" s="133"/>
      <c r="C710" s="134"/>
      <c r="D710" s="135"/>
      <c r="E710" s="136"/>
      <c r="F710" s="137"/>
      <c r="G710" s="141"/>
    </row>
    <row r="711" spans="2:7" x14ac:dyDescent="0.3">
      <c r="B711" s="122"/>
      <c r="C711" s="123"/>
      <c r="D711" s="123"/>
      <c r="E711" s="124"/>
      <c r="F711" s="125" t="str">
        <f>"SUBTOTAL " &amp;B708</f>
        <v>SUBTOTAL OTROS</v>
      </c>
      <c r="G711" s="132">
        <f>SUM(G709:G710)</f>
        <v>8504</v>
      </c>
    </row>
    <row r="712" spans="2:7" x14ac:dyDescent="0.3">
      <c r="B712" s="122"/>
      <c r="C712" s="123"/>
      <c r="D712" s="123"/>
      <c r="E712" s="124"/>
      <c r="F712" s="125"/>
      <c r="G712" s="126"/>
    </row>
    <row r="713" spans="2:7" ht="15" thickBot="1" x14ac:dyDescent="0.35">
      <c r="B713" s="146"/>
      <c r="C713" s="147"/>
      <c r="D713" s="166"/>
      <c r="E713" s="148" t="s">
        <v>148</v>
      </c>
      <c r="F713" s="149"/>
      <c r="G713" s="150">
        <f>ROUND(G698+G702+G707+G711,0)</f>
        <v>518089</v>
      </c>
    </row>
    <row r="714" spans="2:7" ht="15" thickTop="1" x14ac:dyDescent="0.3"/>
    <row r="715" spans="2:7" ht="15" thickBot="1" x14ac:dyDescent="0.35"/>
    <row r="716" spans="2:7" ht="40.049999999999997" customHeight="1" thickTop="1" x14ac:dyDescent="0.3">
      <c r="B716" s="315" t="str">
        <f>'FORMATO 13'!C49</f>
        <v xml:space="preserve">RIEGO: Permanente dependiendo de las condiciones hidroclimátológicas y de la necesidad del campo. Siguiendo las indicaciones de la supervisión, interventoría o recomendaciones del contratista, debidamente aprobadas por el supervisor. Permanente dependiendo de las condiciones hidroclimátológicas y de la necesidad del campo. </v>
      </c>
      <c r="C716" s="316"/>
      <c r="D716" s="316"/>
      <c r="E716" s="317"/>
      <c r="F716" s="115" t="s">
        <v>140</v>
      </c>
      <c r="G716" s="116" t="str">
        <f>'FORMATO 13'!D49</f>
        <v>MES</v>
      </c>
    </row>
    <row r="717" spans="2:7" ht="40.049999999999997" customHeight="1" x14ac:dyDescent="0.3">
      <c r="B717" s="318"/>
      <c r="C717" s="319"/>
      <c r="D717" s="319"/>
      <c r="E717" s="320"/>
      <c r="F717" s="117" t="s">
        <v>141</v>
      </c>
      <c r="G717" s="155">
        <f>'FORMATO 13'!B49</f>
        <v>3.0199999999999996</v>
      </c>
    </row>
    <row r="718" spans="2:7" x14ac:dyDescent="0.3">
      <c r="B718" s="118" t="s">
        <v>5</v>
      </c>
      <c r="C718" s="119" t="s">
        <v>92</v>
      </c>
      <c r="D718" s="119" t="s">
        <v>93</v>
      </c>
      <c r="E718" s="119" t="s">
        <v>142</v>
      </c>
      <c r="F718" s="120" t="s">
        <v>143</v>
      </c>
      <c r="G718" s="121" t="s">
        <v>10</v>
      </c>
    </row>
    <row r="719" spans="2:7" x14ac:dyDescent="0.3">
      <c r="B719" s="122"/>
      <c r="C719" s="123"/>
      <c r="D719" s="123"/>
      <c r="E719" s="124"/>
      <c r="F719" s="125"/>
      <c r="G719" s="126"/>
    </row>
    <row r="720" spans="2:7" x14ac:dyDescent="0.3">
      <c r="B720" s="127" t="s">
        <v>91</v>
      </c>
      <c r="C720" s="123"/>
      <c r="D720" s="123"/>
      <c r="E720" s="124"/>
      <c r="F720" s="125"/>
      <c r="G720" s="126"/>
    </row>
    <row r="721" spans="2:7" x14ac:dyDescent="0.3">
      <c r="B721" s="128" t="str">
        <f>INSUMOS!$B$41</f>
        <v>MANGUERA PARA RIEGO 2" TIPO BOMBERO DE 200ML</v>
      </c>
      <c r="C721" s="129" t="str">
        <f>INSUMOS!$C$41</f>
        <v>ML</v>
      </c>
      <c r="D721" s="129">
        <v>20</v>
      </c>
      <c r="E721" s="130">
        <v>0</v>
      </c>
      <c r="F721" s="131">
        <f>INSUMOS!$E$41</f>
        <v>6657</v>
      </c>
      <c r="G721" s="132">
        <f t="shared" ref="G721:G723" si="29">TRUNC(D721 * (1 + E721 / 100) * F721,0)</f>
        <v>133140</v>
      </c>
    </row>
    <row r="722" spans="2:7" x14ac:dyDescent="0.3">
      <c r="B722" s="128" t="str">
        <f>INSUMOS!$B$42</f>
        <v>CAÑON 50 (DIAMETRO DE RIEGO 50ML)</v>
      </c>
      <c r="C722" s="129" t="str">
        <f>INSUMOS!$C$42</f>
        <v>UND</v>
      </c>
      <c r="D722" s="129">
        <v>0.1</v>
      </c>
      <c r="E722" s="130">
        <v>0</v>
      </c>
      <c r="F722" s="131">
        <f>INSUMOS!$E$42</f>
        <v>1723748</v>
      </c>
      <c r="G722" s="132">
        <f t="shared" si="29"/>
        <v>172374</v>
      </c>
    </row>
    <row r="723" spans="2:7" x14ac:dyDescent="0.3">
      <c r="B723" s="128" t="str">
        <f>INSUMOS!$B$43</f>
        <v>TRIPODE</v>
      </c>
      <c r="C723" s="129" t="str">
        <f>INSUMOS!$C$43</f>
        <v>UND</v>
      </c>
      <c r="D723" s="129">
        <v>0.1</v>
      </c>
      <c r="E723" s="130">
        <v>0</v>
      </c>
      <c r="F723" s="131">
        <f>INSUMOS!$E$43</f>
        <v>383055</v>
      </c>
      <c r="G723" s="132">
        <f t="shared" si="29"/>
        <v>38305</v>
      </c>
    </row>
    <row r="724" spans="2:7" x14ac:dyDescent="0.3">
      <c r="B724" s="128"/>
      <c r="C724" s="129"/>
      <c r="D724" s="129"/>
      <c r="E724" s="130"/>
      <c r="F724" s="131"/>
      <c r="G724" s="132"/>
    </row>
    <row r="725" spans="2:7" x14ac:dyDescent="0.3">
      <c r="B725" s="122"/>
      <c r="C725" s="123"/>
      <c r="D725" s="123"/>
      <c r="E725" s="124"/>
      <c r="F725" s="125" t="s">
        <v>144</v>
      </c>
      <c r="G725" s="132">
        <f>SUM(G719:G724)</f>
        <v>343819</v>
      </c>
    </row>
    <row r="726" spans="2:7" x14ac:dyDescent="0.3">
      <c r="B726" s="127" t="s">
        <v>114</v>
      </c>
      <c r="C726" s="123"/>
      <c r="D726" s="123"/>
      <c r="E726" s="124"/>
      <c r="F726" s="125"/>
      <c r="G726" s="139"/>
    </row>
    <row r="727" spans="2:7" x14ac:dyDescent="0.3">
      <c r="B727" s="151" t="str">
        <f>INSUMOS!$B$68</f>
        <v>M.O. ALBAÑILERIA 2 AYUDANTES</v>
      </c>
      <c r="C727" s="129" t="str">
        <f>INSUMOS!$C$68</f>
        <v>JORNAL</v>
      </c>
      <c r="D727" s="129">
        <v>0.62503299999999995</v>
      </c>
      <c r="E727" s="130"/>
      <c r="F727" s="140">
        <f>INSUMOS!$E$68</f>
        <v>228221</v>
      </c>
      <c r="G727" s="132">
        <f>TRUNC(D727 * (1 + E727 / 100) * F727,0)</f>
        <v>142645</v>
      </c>
    </row>
    <row r="728" spans="2:7" x14ac:dyDescent="0.3">
      <c r="B728" s="142"/>
      <c r="C728" s="157"/>
      <c r="D728" s="158"/>
      <c r="E728" s="159"/>
      <c r="F728" s="145"/>
      <c r="G728" s="141"/>
    </row>
    <row r="729" spans="2:7" x14ac:dyDescent="0.3">
      <c r="B729" s="122"/>
      <c r="C729" s="123"/>
      <c r="D729" s="123"/>
      <c r="E729" s="124"/>
      <c r="F729" s="125" t="s">
        <v>145</v>
      </c>
      <c r="G729" s="132">
        <f>SUM(G727:G727)</f>
        <v>142645</v>
      </c>
    </row>
    <row r="730" spans="2:7" x14ac:dyDescent="0.3">
      <c r="B730" s="127" t="s">
        <v>125</v>
      </c>
      <c r="C730" s="123"/>
      <c r="D730" s="123"/>
      <c r="E730" s="124"/>
      <c r="F730" s="125"/>
      <c r="G730" s="139"/>
    </row>
    <row r="731" spans="2:7" x14ac:dyDescent="0.3">
      <c r="B731" s="151"/>
      <c r="C731" s="129"/>
      <c r="D731" s="129"/>
      <c r="E731" s="130"/>
      <c r="F731" s="140"/>
      <c r="G731" s="132"/>
    </row>
    <row r="732" spans="2:7" x14ac:dyDescent="0.3">
      <c r="B732" s="142"/>
      <c r="C732" s="157"/>
      <c r="D732" s="158"/>
      <c r="E732" s="159"/>
      <c r="F732" s="145"/>
      <c r="G732" s="141"/>
    </row>
    <row r="733" spans="2:7" x14ac:dyDescent="0.3">
      <c r="B733" s="122"/>
      <c r="C733" s="123"/>
      <c r="D733" s="123"/>
      <c r="E733" s="124"/>
      <c r="F733" s="125" t="s">
        <v>146</v>
      </c>
      <c r="G733" s="132">
        <f>SUM(G731:G732)</f>
        <v>0</v>
      </c>
    </row>
    <row r="734" spans="2:7" x14ac:dyDescent="0.3">
      <c r="B734" s="127" t="s">
        <v>147</v>
      </c>
      <c r="C734" s="123"/>
      <c r="D734" s="123"/>
      <c r="E734" s="124"/>
      <c r="F734" s="125"/>
      <c r="G734" s="139"/>
    </row>
    <row r="735" spans="2:7" x14ac:dyDescent="0.3">
      <c r="B735" s="133" t="str">
        <f>INSUMOS!$B$84</f>
        <v>HERRAMIENTA MENOR</v>
      </c>
      <c r="C735" s="134" t="str">
        <f>INSUMOS!$C$84</f>
        <v>GLB</v>
      </c>
      <c r="D735" s="123">
        <v>15</v>
      </c>
      <c r="E735" s="136"/>
      <c r="F735" s="137">
        <f>INSUMOS!$E$84</f>
        <v>2174</v>
      </c>
      <c r="G735" s="132">
        <f>TRUNC(D735 * (1 + E735 / 100) * F735,0)</f>
        <v>32610</v>
      </c>
    </row>
    <row r="736" spans="2:7" x14ac:dyDescent="0.3">
      <c r="B736" s="133"/>
      <c r="C736" s="134"/>
      <c r="D736" s="135"/>
      <c r="E736" s="136"/>
      <c r="F736" s="137"/>
      <c r="G736" s="141"/>
    </row>
    <row r="737" spans="2:7" x14ac:dyDescent="0.3">
      <c r="B737" s="122"/>
      <c r="C737" s="123"/>
      <c r="D737" s="123"/>
      <c r="E737" s="124"/>
      <c r="F737" s="125" t="str">
        <f>"SUBTOTAL " &amp;B734</f>
        <v>SUBTOTAL OTROS</v>
      </c>
      <c r="G737" s="132">
        <f>SUM(G735:G736)</f>
        <v>32610</v>
      </c>
    </row>
    <row r="738" spans="2:7" x14ac:dyDescent="0.3">
      <c r="B738" s="122"/>
      <c r="C738" s="123"/>
      <c r="D738" s="123"/>
      <c r="E738" s="124"/>
      <c r="F738" s="125"/>
      <c r="G738" s="126"/>
    </row>
    <row r="739" spans="2:7" ht="15" thickBot="1" x14ac:dyDescent="0.35">
      <c r="B739" s="146"/>
      <c r="C739" s="147"/>
      <c r="D739" s="166"/>
      <c r="E739" s="148" t="s">
        <v>148</v>
      </c>
      <c r="F739" s="149"/>
      <c r="G739" s="150">
        <f>ROUND(G725+G729+G733+G737,0)</f>
        <v>519074</v>
      </c>
    </row>
    <row r="740" spans="2:7" ht="15" thickTop="1" x14ac:dyDescent="0.3"/>
    <row r="741" spans="2:7" ht="15" thickBot="1" x14ac:dyDescent="0.35"/>
    <row r="742" spans="2:7" ht="70.05" customHeight="1" thickTop="1" x14ac:dyDescent="0.3">
      <c r="B742" s="315" t="str">
        <f>'FORMATO 13'!C50</f>
        <v>DESHIERBE Y CONTROL DE MALEZAS: Eliminar las arvenses de hoja ancha y de hoja delgada que se presenten en el área de gramado. Esta actividad debe ser de forma manual y permanente para evitar la presencia de malezas que puedan contaminar el césped, la frecuencia puede variar según el grado de infestación presente o conforme a las indicaciones de la supervisión, interventoría o recomendaciones del contratista, debidamente aprobadas por el supervisor. Incluye:Insumos biológicos, mano de obra, equipos y herramientas necesarias. En caso de que se necesite usar un herbicida selectivo debe ser aprobado por el supervisor.</v>
      </c>
      <c r="C742" s="316"/>
      <c r="D742" s="316"/>
      <c r="E742" s="317"/>
      <c r="F742" s="115" t="s">
        <v>140</v>
      </c>
      <c r="G742" s="116" t="str">
        <f>'FORMATO 13'!D50</f>
        <v>MES</v>
      </c>
    </row>
    <row r="743" spans="2:7" ht="70.05" customHeight="1" x14ac:dyDescent="0.3">
      <c r="B743" s="318"/>
      <c r="C743" s="319"/>
      <c r="D743" s="319"/>
      <c r="E743" s="320"/>
      <c r="F743" s="117" t="s">
        <v>141</v>
      </c>
      <c r="G743" s="155">
        <f>'FORMATO 13'!B50</f>
        <v>3.0299999999999994</v>
      </c>
    </row>
    <row r="744" spans="2:7" x14ac:dyDescent="0.3">
      <c r="B744" s="118" t="s">
        <v>5</v>
      </c>
      <c r="C744" s="119" t="s">
        <v>92</v>
      </c>
      <c r="D744" s="119" t="s">
        <v>93</v>
      </c>
      <c r="E744" s="119" t="s">
        <v>142</v>
      </c>
      <c r="F744" s="120" t="s">
        <v>143</v>
      </c>
      <c r="G744" s="121" t="s">
        <v>10</v>
      </c>
    </row>
    <row r="745" spans="2:7" x14ac:dyDescent="0.3">
      <c r="B745" s="122"/>
      <c r="C745" s="123"/>
      <c r="D745" s="123"/>
      <c r="E745" s="124"/>
      <c r="F745" s="125"/>
      <c r="G745" s="126"/>
    </row>
    <row r="746" spans="2:7" x14ac:dyDescent="0.3">
      <c r="B746" s="127" t="s">
        <v>91</v>
      </c>
      <c r="C746" s="123"/>
      <c r="D746" s="123"/>
      <c r="E746" s="124"/>
      <c r="F746" s="125"/>
      <c r="G746" s="126"/>
    </row>
    <row r="747" spans="2:7" x14ac:dyDescent="0.3">
      <c r="B747" s="128" t="str">
        <f>INSUMOS!$B$13</f>
        <v>BOLSAS PARA BASURA</v>
      </c>
      <c r="C747" s="129" t="str">
        <f>INSUMOS!$C$13</f>
        <v>UND</v>
      </c>
      <c r="D747" s="129">
        <v>50</v>
      </c>
      <c r="E747" s="130">
        <v>0</v>
      </c>
      <c r="F747" s="131">
        <f>INSUMOS!$E$13</f>
        <v>2053</v>
      </c>
      <c r="G747" s="132">
        <f t="shared" ref="G747" si="30">TRUNC(D747 * (1 + E747 / 100) * F747,0)</f>
        <v>102650</v>
      </c>
    </row>
    <row r="748" spans="2:7" x14ac:dyDescent="0.3">
      <c r="B748" s="128"/>
      <c r="C748" s="129"/>
      <c r="D748" s="129"/>
      <c r="E748" s="130"/>
      <c r="F748" s="131"/>
      <c r="G748" s="132"/>
    </row>
    <row r="749" spans="2:7" x14ac:dyDescent="0.3">
      <c r="B749" s="122"/>
      <c r="C749" s="123"/>
      <c r="D749" s="123"/>
      <c r="E749" s="124"/>
      <c r="F749" s="125" t="s">
        <v>144</v>
      </c>
      <c r="G749" s="132">
        <f>SUM(G745:G748)</f>
        <v>102650</v>
      </c>
    </row>
    <row r="750" spans="2:7" x14ac:dyDescent="0.3">
      <c r="B750" s="127" t="s">
        <v>114</v>
      </c>
      <c r="C750" s="123"/>
      <c r="D750" s="123"/>
      <c r="E750" s="124"/>
      <c r="F750" s="125"/>
      <c r="G750" s="139"/>
    </row>
    <row r="751" spans="2:7" x14ac:dyDescent="0.3">
      <c r="B751" s="151" t="str">
        <f>INSUMOS!$B$68</f>
        <v>M.O. ALBAÑILERIA 2 AYUDANTES</v>
      </c>
      <c r="C751" s="129" t="str">
        <f>INSUMOS!$C$68</f>
        <v>JORNAL</v>
      </c>
      <c r="D751" s="160">
        <v>2.88</v>
      </c>
      <c r="E751" s="130"/>
      <c r="F751" s="140">
        <f>INSUMOS!$E$68</f>
        <v>228221</v>
      </c>
      <c r="G751" s="132">
        <f>TRUNC(D751 * (1 + E751 / 100) * F751,0)</f>
        <v>657276</v>
      </c>
    </row>
    <row r="752" spans="2:7" x14ac:dyDescent="0.3">
      <c r="B752" s="142"/>
      <c r="C752" s="157"/>
      <c r="D752" s="158"/>
      <c r="E752" s="159"/>
      <c r="F752" s="145"/>
      <c r="G752" s="141"/>
    </row>
    <row r="753" spans="2:7" x14ac:dyDescent="0.3">
      <c r="B753" s="122"/>
      <c r="C753" s="123"/>
      <c r="D753" s="123"/>
      <c r="E753" s="124"/>
      <c r="F753" s="125" t="s">
        <v>145</v>
      </c>
      <c r="G753" s="132">
        <f>SUM(G751:G751)</f>
        <v>657276</v>
      </c>
    </row>
    <row r="754" spans="2:7" x14ac:dyDescent="0.3">
      <c r="B754" s="127" t="s">
        <v>125</v>
      </c>
      <c r="C754" s="123"/>
      <c r="D754" s="123"/>
      <c r="E754" s="124"/>
      <c r="F754" s="125"/>
      <c r="G754" s="139"/>
    </row>
    <row r="755" spans="2:7" x14ac:dyDescent="0.3">
      <c r="B755" s="151"/>
      <c r="C755" s="129"/>
      <c r="D755" s="129"/>
      <c r="E755" s="130"/>
      <c r="F755" s="140"/>
      <c r="G755" s="132"/>
    </row>
    <row r="756" spans="2:7" x14ac:dyDescent="0.3">
      <c r="B756" s="142"/>
      <c r="C756" s="157"/>
      <c r="D756" s="158"/>
      <c r="E756" s="159"/>
      <c r="F756" s="145"/>
      <c r="G756" s="141"/>
    </row>
    <row r="757" spans="2:7" x14ac:dyDescent="0.3">
      <c r="B757" s="122"/>
      <c r="C757" s="123"/>
      <c r="D757" s="123"/>
      <c r="E757" s="124"/>
      <c r="F757" s="125" t="s">
        <v>146</v>
      </c>
      <c r="G757" s="132">
        <f>SUM(G755:G756)</f>
        <v>0</v>
      </c>
    </row>
    <row r="758" spans="2:7" x14ac:dyDescent="0.3">
      <c r="B758" s="127" t="s">
        <v>147</v>
      </c>
      <c r="C758" s="123"/>
      <c r="D758" s="123"/>
      <c r="E758" s="124"/>
      <c r="F758" s="125"/>
      <c r="G758" s="139"/>
    </row>
    <row r="759" spans="2:7" x14ac:dyDescent="0.3">
      <c r="B759" s="133" t="str">
        <f>INSUMOS!$B$84</f>
        <v>HERRAMIENTA MENOR</v>
      </c>
      <c r="C759" s="134" t="str">
        <f>INSUMOS!$C$84</f>
        <v>GLB</v>
      </c>
      <c r="D759" s="163">
        <v>2.0554999999999999</v>
      </c>
      <c r="E759" s="136"/>
      <c r="F759" s="137">
        <f>INSUMOS!$E$84</f>
        <v>2174</v>
      </c>
      <c r="G759" s="132">
        <f>TRUNC(D759 * (1 + E759 / 100) * F759,0)</f>
        <v>4468</v>
      </c>
    </row>
    <row r="760" spans="2:7" x14ac:dyDescent="0.3">
      <c r="B760" s="133"/>
      <c r="C760" s="134"/>
      <c r="D760" s="135"/>
      <c r="E760" s="136"/>
      <c r="F760" s="137"/>
      <c r="G760" s="141"/>
    </row>
    <row r="761" spans="2:7" x14ac:dyDescent="0.3">
      <c r="B761" s="122"/>
      <c r="C761" s="123"/>
      <c r="D761" s="123"/>
      <c r="E761" s="124"/>
      <c r="F761" s="125" t="str">
        <f>"SUBTOTAL " &amp;B758</f>
        <v>SUBTOTAL OTROS</v>
      </c>
      <c r="G761" s="132">
        <f>SUM(G759:G760)</f>
        <v>4468</v>
      </c>
    </row>
    <row r="762" spans="2:7" x14ac:dyDescent="0.3">
      <c r="B762" s="122"/>
      <c r="C762" s="123"/>
      <c r="D762" s="123"/>
      <c r="E762" s="124"/>
      <c r="F762" s="125"/>
      <c r="G762" s="126"/>
    </row>
    <row r="763" spans="2:7" ht="15" thickBot="1" x14ac:dyDescent="0.35">
      <c r="B763" s="146"/>
      <c r="C763" s="147"/>
      <c r="D763" s="166"/>
      <c r="E763" s="148" t="s">
        <v>148</v>
      </c>
      <c r="F763" s="149"/>
      <c r="G763" s="150">
        <f>ROUND(G749+G753+G757+G761,0)</f>
        <v>764394</v>
      </c>
    </row>
    <row r="764" spans="2:7" ht="15" thickTop="1" x14ac:dyDescent="0.3"/>
    <row r="765" spans="2:7" ht="15" thickBot="1" x14ac:dyDescent="0.35"/>
    <row r="766" spans="2:7" ht="60" customHeight="1" thickTop="1" x14ac:dyDescent="0.3">
      <c r="B766" s="315" t="str">
        <f>'FORMATO 13'!C51</f>
        <v>FERTILIZACIÓN: Proporcionar los nutrientes necesarios para el crecimiento óptimo del césped.  Se debe hacer alternada, liquida y granular. Una vez cada quince (15) días a toda la gramilla. La frecuencia puede variar de acuerdo con el análisis foliar y de suelos o de acuerdo con las indicaciones de la supervisión.Suministro y aplicación de abono químico.  Incluye los insumos, fertilizantes liquidos y granulares, mano de obra, equipos y herramientas necesarias para su correcta ejecución. La fertilización debe ser alternada entre forma líquida y sólida.</v>
      </c>
      <c r="C766" s="316"/>
      <c r="D766" s="316"/>
      <c r="E766" s="317"/>
      <c r="F766" s="115" t="s">
        <v>140</v>
      </c>
      <c r="G766" s="116" t="str">
        <f>'FORMATO 13'!D51</f>
        <v>VECES</v>
      </c>
    </row>
    <row r="767" spans="2:7" ht="60" customHeight="1" x14ac:dyDescent="0.3">
      <c r="B767" s="318"/>
      <c r="C767" s="319"/>
      <c r="D767" s="319"/>
      <c r="E767" s="320"/>
      <c r="F767" s="117" t="s">
        <v>141</v>
      </c>
      <c r="G767" s="155">
        <f>'FORMATO 13'!B51</f>
        <v>3.0399999999999991</v>
      </c>
    </row>
    <row r="768" spans="2:7" x14ac:dyDescent="0.3">
      <c r="B768" s="118" t="s">
        <v>5</v>
      </c>
      <c r="C768" s="119" t="s">
        <v>92</v>
      </c>
      <c r="D768" s="119" t="s">
        <v>93</v>
      </c>
      <c r="E768" s="119" t="s">
        <v>142</v>
      </c>
      <c r="F768" s="120" t="s">
        <v>143</v>
      </c>
      <c r="G768" s="121" t="s">
        <v>10</v>
      </c>
    </row>
    <row r="769" spans="2:7" x14ac:dyDescent="0.3">
      <c r="B769" s="122"/>
      <c r="C769" s="123"/>
      <c r="D769" s="123"/>
      <c r="E769" s="124"/>
      <c r="F769" s="125"/>
      <c r="G769" s="126"/>
    </row>
    <row r="770" spans="2:7" x14ac:dyDescent="0.3">
      <c r="B770" s="127" t="s">
        <v>91</v>
      </c>
      <c r="C770" s="123"/>
      <c r="D770" s="123"/>
      <c r="E770" s="124"/>
      <c r="F770" s="125"/>
      <c r="G770" s="126"/>
    </row>
    <row r="771" spans="2:7" x14ac:dyDescent="0.3">
      <c r="B771" s="128" t="str">
        <f>INSUMOS!$B$44</f>
        <v>AGUA</v>
      </c>
      <c r="C771" s="129" t="str">
        <f>INSUMOS!$C$44</f>
        <v>LTS</v>
      </c>
      <c r="D771" s="129">
        <v>5</v>
      </c>
      <c r="E771" s="130">
        <v>0</v>
      </c>
      <c r="F771" s="131">
        <f>INSUMOS!$E$44</f>
        <v>40</v>
      </c>
      <c r="G771" s="132">
        <f t="shared" ref="G771:G780" si="31">TRUNC(D771 * (1 + E771 / 100) * F771,0)</f>
        <v>200</v>
      </c>
    </row>
    <row r="772" spans="2:7" x14ac:dyDescent="0.3">
      <c r="B772" s="128" t="str">
        <f>INSUMOS!$B$45</f>
        <v>BIOABONO "EL CEDRO" X 40 KILOS</v>
      </c>
      <c r="C772" s="129" t="str">
        <f>INSUMOS!$C$45</f>
        <v>UND</v>
      </c>
      <c r="D772" s="129">
        <v>1</v>
      </c>
      <c r="E772" s="130">
        <v>0</v>
      </c>
      <c r="F772" s="131">
        <f>INSUMOS!$E$45</f>
        <v>28420</v>
      </c>
      <c r="G772" s="132">
        <f t="shared" si="31"/>
        <v>28420</v>
      </c>
    </row>
    <row r="773" spans="2:7" x14ac:dyDescent="0.3">
      <c r="B773" s="128" t="str">
        <f>INSUMOS!$B$46</f>
        <v>CAMPOFERY HUMUS X LITRO</v>
      </c>
      <c r="C773" s="129" t="str">
        <f>INSUMOS!$C$46</f>
        <v>UND</v>
      </c>
      <c r="D773" s="129">
        <v>1</v>
      </c>
      <c r="E773" s="130">
        <v>0</v>
      </c>
      <c r="F773" s="131">
        <f>INSUMOS!$E$46</f>
        <v>26250</v>
      </c>
      <c r="G773" s="132">
        <f t="shared" si="31"/>
        <v>26250</v>
      </c>
    </row>
    <row r="774" spans="2:7" x14ac:dyDescent="0.3">
      <c r="B774" s="128" t="str">
        <f>INSUMOS!$B$47</f>
        <v>SOLUTEC INICIO X KILO</v>
      </c>
      <c r="C774" s="129" t="str">
        <f>INSUMOS!$C$47</f>
        <v>UND</v>
      </c>
      <c r="D774" s="129">
        <v>1</v>
      </c>
      <c r="E774" s="130">
        <v>0</v>
      </c>
      <c r="F774" s="131">
        <f>INSUMOS!$E$47</f>
        <v>17800</v>
      </c>
      <c r="G774" s="132">
        <f t="shared" si="31"/>
        <v>17800</v>
      </c>
    </row>
    <row r="775" spans="2:7" x14ac:dyDescent="0.3">
      <c r="B775" s="128" t="str">
        <f>INSUMOS!$B$48</f>
        <v>DKP-500 X LITRO</v>
      </c>
      <c r="C775" s="129" t="str">
        <f>INSUMOS!$C$48</f>
        <v>UND</v>
      </c>
      <c r="D775" s="129">
        <v>1</v>
      </c>
      <c r="E775" s="130">
        <v>0</v>
      </c>
      <c r="F775" s="131">
        <f>INSUMOS!$E$48</f>
        <v>54847</v>
      </c>
      <c r="G775" s="132">
        <f t="shared" si="31"/>
        <v>54847</v>
      </c>
    </row>
    <row r="776" spans="2:7" x14ac:dyDescent="0.3">
      <c r="B776" s="128" t="str">
        <f>INSUMOS!$B$49</f>
        <v>SULFEX HIERRO X KILO</v>
      </c>
      <c r="C776" s="129" t="str">
        <f>INSUMOS!$C$49</f>
        <v>UND</v>
      </c>
      <c r="D776" s="129">
        <v>1</v>
      </c>
      <c r="E776" s="130">
        <v>0</v>
      </c>
      <c r="F776" s="131">
        <f>INSUMOS!$E$49</f>
        <v>7098</v>
      </c>
      <c r="G776" s="132">
        <f t="shared" si="31"/>
        <v>7098</v>
      </c>
    </row>
    <row r="777" spans="2:7" x14ac:dyDescent="0.3">
      <c r="B777" s="128" t="str">
        <f>INSUMOS!$B$50</f>
        <v>CIAMSA UREA X 50KSG</v>
      </c>
      <c r="C777" s="129" t="str">
        <f>INSUMOS!$C$50</f>
        <v>UND</v>
      </c>
      <c r="D777" s="129">
        <v>1</v>
      </c>
      <c r="E777" s="130">
        <v>0</v>
      </c>
      <c r="F777" s="131">
        <f>INSUMOS!$E$50</f>
        <v>226792</v>
      </c>
      <c r="G777" s="132">
        <f t="shared" si="31"/>
        <v>226792</v>
      </c>
    </row>
    <row r="778" spans="2:7" x14ac:dyDescent="0.3">
      <c r="B778" s="128" t="str">
        <f>INSUMOS!$B$51</f>
        <v>YARA TRIPLE QUINCE GRADO 15-15-15 X 50 KILOS</v>
      </c>
      <c r="C778" s="129" t="str">
        <f>INSUMOS!$C$51</f>
        <v>UND</v>
      </c>
      <c r="D778" s="129">
        <v>1</v>
      </c>
      <c r="E778" s="130">
        <v>0</v>
      </c>
      <c r="F778" s="131">
        <f>INSUMOS!$E$51</f>
        <v>292924</v>
      </c>
      <c r="G778" s="132">
        <f t="shared" si="31"/>
        <v>292924</v>
      </c>
    </row>
    <row r="779" spans="2:7" x14ac:dyDescent="0.3">
      <c r="B779" s="128" t="str">
        <f>INSUMOS!$B$52</f>
        <v>YARA BELA NITROMAG GRADO 21-0-0-7 X 50 KILOS</v>
      </c>
      <c r="C779" s="129" t="str">
        <f>INSUMOS!$C$52</f>
        <v>UND</v>
      </c>
      <c r="D779" s="129">
        <v>1</v>
      </c>
      <c r="E779" s="130">
        <v>0</v>
      </c>
      <c r="F779" s="131">
        <f>INSUMOS!$E$52</f>
        <v>93059</v>
      </c>
      <c r="G779" s="132">
        <f t="shared" si="31"/>
        <v>93059</v>
      </c>
    </row>
    <row r="780" spans="2:7" x14ac:dyDescent="0.3">
      <c r="B780" s="128" t="str">
        <f>INSUMOS!$B$41</f>
        <v>MANGUERA PARA RIEGO 2" TIPO BOMBERO DE 200ML</v>
      </c>
      <c r="C780" s="129" t="str">
        <f>INSUMOS!$C$41</f>
        <v>ML</v>
      </c>
      <c r="D780" s="129">
        <v>20</v>
      </c>
      <c r="E780" s="130">
        <v>0</v>
      </c>
      <c r="F780" s="131">
        <f>INSUMOS!$E$41</f>
        <v>6657</v>
      </c>
      <c r="G780" s="132">
        <f t="shared" si="31"/>
        <v>133140</v>
      </c>
    </row>
    <row r="781" spans="2:7" x14ac:dyDescent="0.3">
      <c r="B781" s="128"/>
      <c r="C781" s="129"/>
      <c r="D781" s="129"/>
      <c r="E781" s="130"/>
      <c r="F781" s="131"/>
      <c r="G781" s="132"/>
    </row>
    <row r="782" spans="2:7" x14ac:dyDescent="0.3">
      <c r="B782" s="122"/>
      <c r="C782" s="123"/>
      <c r="D782" s="123"/>
      <c r="E782" s="124"/>
      <c r="F782" s="125" t="s">
        <v>144</v>
      </c>
      <c r="G782" s="132">
        <f>SUM(G769:G781)</f>
        <v>880530</v>
      </c>
    </row>
    <row r="783" spans="2:7" x14ac:dyDescent="0.3">
      <c r="B783" s="127" t="s">
        <v>114</v>
      </c>
      <c r="C783" s="123"/>
      <c r="D783" s="123"/>
      <c r="E783" s="124"/>
      <c r="F783" s="125"/>
      <c r="G783" s="139"/>
    </row>
    <row r="784" spans="2:7" x14ac:dyDescent="0.3">
      <c r="B784" s="151" t="str">
        <f>INSUMOS!$B$73</f>
        <v>M.O. 1 OFICIAL + 2 AYUDANTES</v>
      </c>
      <c r="C784" s="129" t="str">
        <f>INSUMOS!$C$73</f>
        <v>JORNAL</v>
      </c>
      <c r="D784" s="129">
        <v>0.5</v>
      </c>
      <c r="E784" s="130"/>
      <c r="F784" s="140">
        <f>INSUMOS!$E$73</f>
        <v>422209</v>
      </c>
      <c r="G784" s="132">
        <f>TRUNC(D784 * (1 + E784 / 100) * F784,0)</f>
        <v>211104</v>
      </c>
    </row>
    <row r="785" spans="2:7" x14ac:dyDescent="0.3">
      <c r="B785" s="142"/>
      <c r="C785" s="157"/>
      <c r="D785" s="158"/>
      <c r="E785" s="159"/>
      <c r="F785" s="145"/>
      <c r="G785" s="141"/>
    </row>
    <row r="786" spans="2:7" x14ac:dyDescent="0.3">
      <c r="B786" s="122"/>
      <c r="C786" s="123"/>
      <c r="D786" s="123"/>
      <c r="E786" s="124"/>
      <c r="F786" s="125" t="s">
        <v>145</v>
      </c>
      <c r="G786" s="132">
        <f>SUM(G784:G784)</f>
        <v>211104</v>
      </c>
    </row>
    <row r="787" spans="2:7" x14ac:dyDescent="0.3">
      <c r="B787" s="127" t="s">
        <v>125</v>
      </c>
      <c r="C787" s="123"/>
      <c r="D787" s="123"/>
      <c r="E787" s="124"/>
      <c r="F787" s="125"/>
      <c r="G787" s="139"/>
    </row>
    <row r="788" spans="2:7" x14ac:dyDescent="0.3">
      <c r="B788" s="151" t="str">
        <f>INSUMOS!$B$95</f>
        <v>SPRAYER</v>
      </c>
      <c r="C788" s="129" t="str">
        <f>INSUMOS!$C$95</f>
        <v>DIA</v>
      </c>
      <c r="D788" s="129">
        <v>1</v>
      </c>
      <c r="E788" s="130"/>
      <c r="F788" s="140">
        <f>INSUMOS!$E$95</f>
        <v>164719</v>
      </c>
      <c r="G788" s="132">
        <f t="shared" ref="G788" si="32">TRUNC(D788 * (1 + E788 / 100) * F788,0)</f>
        <v>164719</v>
      </c>
    </row>
    <row r="789" spans="2:7" x14ac:dyDescent="0.3">
      <c r="B789" s="151"/>
      <c r="C789" s="129"/>
      <c r="D789" s="129"/>
      <c r="E789" s="130"/>
      <c r="F789" s="140"/>
      <c r="G789" s="132"/>
    </row>
    <row r="790" spans="2:7" x14ac:dyDescent="0.3">
      <c r="B790" s="122"/>
      <c r="C790" s="123"/>
      <c r="D790" s="123"/>
      <c r="E790" s="124"/>
      <c r="F790" s="125" t="s">
        <v>146</v>
      </c>
      <c r="G790" s="132">
        <f>SUM(G788:G789)</f>
        <v>164719</v>
      </c>
    </row>
    <row r="791" spans="2:7" x14ac:dyDescent="0.3">
      <c r="B791" s="127" t="s">
        <v>147</v>
      </c>
      <c r="C791" s="123"/>
      <c r="D791" s="123"/>
      <c r="E791" s="124"/>
      <c r="F791" s="125"/>
      <c r="G791" s="139"/>
    </row>
    <row r="792" spans="2:7" x14ac:dyDescent="0.3">
      <c r="B792" s="133" t="str">
        <f>INSUMOS!$B$84</f>
        <v>HERRAMIENTA MENOR</v>
      </c>
      <c r="C792" s="134" t="str">
        <f>INSUMOS!$C$84</f>
        <v>GLB</v>
      </c>
      <c r="D792" s="163">
        <v>25.399899999999999</v>
      </c>
      <c r="E792" s="136"/>
      <c r="F792" s="137">
        <f>INSUMOS!$E$84</f>
        <v>2174</v>
      </c>
      <c r="G792" s="132">
        <f>TRUNC(D792 * (1 + E792 / 100) * F792,0)</f>
        <v>55219</v>
      </c>
    </row>
    <row r="793" spans="2:7" x14ac:dyDescent="0.3">
      <c r="B793" s="133"/>
      <c r="C793" s="134"/>
      <c r="D793" s="135"/>
      <c r="E793" s="136"/>
      <c r="F793" s="137"/>
      <c r="G793" s="141"/>
    </row>
    <row r="794" spans="2:7" x14ac:dyDescent="0.3">
      <c r="B794" s="122"/>
      <c r="C794" s="123"/>
      <c r="D794" s="123"/>
      <c r="E794" s="124"/>
      <c r="F794" s="125" t="str">
        <f>"SUBTOTAL " &amp;B791</f>
        <v>SUBTOTAL OTROS</v>
      </c>
      <c r="G794" s="132">
        <f>SUM(G792:G793)</f>
        <v>55219</v>
      </c>
    </row>
    <row r="795" spans="2:7" x14ac:dyDescent="0.3">
      <c r="B795" s="122"/>
      <c r="C795" s="123"/>
      <c r="D795" s="123"/>
      <c r="E795" s="124"/>
      <c r="F795" s="125"/>
      <c r="G795" s="126"/>
    </row>
    <row r="796" spans="2:7" ht="15" thickBot="1" x14ac:dyDescent="0.35">
      <c r="B796" s="146"/>
      <c r="C796" s="147"/>
      <c r="D796" s="166"/>
      <c r="E796" s="148" t="s">
        <v>148</v>
      </c>
      <c r="F796" s="149"/>
      <c r="G796" s="150">
        <f>ROUND(G782+G786+G790+G794,0)</f>
        <v>1311572</v>
      </c>
    </row>
    <row r="797" spans="2:7" ht="15" thickTop="1" x14ac:dyDescent="0.3"/>
    <row r="798" spans="2:7" ht="15" thickBot="1" x14ac:dyDescent="0.35"/>
    <row r="799" spans="2:7" ht="49.95" customHeight="1" thickTop="1" x14ac:dyDescent="0.3">
      <c r="B799" s="315" t="str">
        <f>'FORMATO 13'!C52</f>
        <v>CONTROL DE PLAGAS Y ENFERMEDADES: Monitorear y controlar las  plagas y enfermedades que puedan afectar elcampo de juego híbrido: Aplicación de micorrizas líquidas y entomopatógenos líquidos (trichoderma, beauveria baussiana, facelomicis v bacilus turigencis). Siguiendo las indicaciones de la supervisión, interventoría o recomendaciones del contratista, debidamente aprobadas por el supervisor.</v>
      </c>
      <c r="C799" s="316"/>
      <c r="D799" s="316"/>
      <c r="E799" s="317"/>
      <c r="F799" s="115" t="s">
        <v>140</v>
      </c>
      <c r="G799" s="116" t="str">
        <f>'FORMATO 13'!D52</f>
        <v>VECES</v>
      </c>
    </row>
    <row r="800" spans="2:7" ht="49.95" customHeight="1" x14ac:dyDescent="0.3">
      <c r="B800" s="318"/>
      <c r="C800" s="319"/>
      <c r="D800" s="319"/>
      <c r="E800" s="320"/>
      <c r="F800" s="117" t="s">
        <v>141</v>
      </c>
      <c r="G800" s="155">
        <f>'FORMATO 13'!B52</f>
        <v>3.0499999999999989</v>
      </c>
    </row>
    <row r="801" spans="2:7" x14ac:dyDescent="0.3">
      <c r="B801" s="118" t="s">
        <v>5</v>
      </c>
      <c r="C801" s="119" t="s">
        <v>92</v>
      </c>
      <c r="D801" s="119" t="s">
        <v>93</v>
      </c>
      <c r="E801" s="119" t="s">
        <v>142</v>
      </c>
      <c r="F801" s="120" t="s">
        <v>143</v>
      </c>
      <c r="G801" s="121" t="s">
        <v>10</v>
      </c>
    </row>
    <row r="802" spans="2:7" x14ac:dyDescent="0.3">
      <c r="B802" s="122"/>
      <c r="C802" s="123"/>
      <c r="D802" s="123"/>
      <c r="E802" s="124"/>
      <c r="F802" s="125"/>
      <c r="G802" s="126"/>
    </row>
    <row r="803" spans="2:7" x14ac:dyDescent="0.3">
      <c r="B803" s="127" t="s">
        <v>91</v>
      </c>
      <c r="C803" s="123"/>
      <c r="D803" s="123"/>
      <c r="E803" s="124"/>
      <c r="F803" s="125"/>
      <c r="G803" s="126"/>
    </row>
    <row r="804" spans="2:7" x14ac:dyDescent="0.3">
      <c r="B804" s="128" t="str">
        <f>INSUMOS!$B$26</f>
        <v>MICORRIZAS</v>
      </c>
      <c r="C804" s="129" t="str">
        <f>INSUMOS!$C$26</f>
        <v>LITRO</v>
      </c>
      <c r="D804" s="129">
        <v>1</v>
      </c>
      <c r="E804" s="130">
        <v>0</v>
      </c>
      <c r="F804" s="131">
        <f>INSUMOS!$E$26</f>
        <v>59294</v>
      </c>
      <c r="G804" s="132">
        <f t="shared" ref="G804:G808" si="33">TRUNC(D804 * (1 + E804 / 100) * F804,0)</f>
        <v>59294</v>
      </c>
    </row>
    <row r="805" spans="2:7" x14ac:dyDescent="0.3">
      <c r="B805" s="128" t="str">
        <f>INSUMOS!$B$27</f>
        <v>TRICHODERMA</v>
      </c>
      <c r="C805" s="129" t="str">
        <f>INSUMOS!$C$27</f>
        <v>LITRO</v>
      </c>
      <c r="D805" s="129">
        <v>1</v>
      </c>
      <c r="E805" s="130">
        <v>0</v>
      </c>
      <c r="F805" s="131">
        <f>INSUMOS!$E$27</f>
        <v>70349</v>
      </c>
      <c r="G805" s="132">
        <f t="shared" si="33"/>
        <v>70349</v>
      </c>
    </row>
    <row r="806" spans="2:7" x14ac:dyDescent="0.3">
      <c r="B806" s="128" t="str">
        <f>INSUMOS!$B$28</f>
        <v>BEAUVERIA BAUSSINIA</v>
      </c>
      <c r="C806" s="129" t="str">
        <f>INSUMOS!$C$28</f>
        <v>LITRO</v>
      </c>
      <c r="D806" s="129">
        <v>1</v>
      </c>
      <c r="E806" s="130">
        <v>0</v>
      </c>
      <c r="F806" s="131">
        <f>INSUMOS!$E$28</f>
        <v>48240</v>
      </c>
      <c r="G806" s="132">
        <f t="shared" si="33"/>
        <v>48240</v>
      </c>
    </row>
    <row r="807" spans="2:7" x14ac:dyDescent="0.3">
      <c r="B807" s="128" t="str">
        <f>INSUMOS!$B$29</f>
        <v>FACELOMICIS</v>
      </c>
      <c r="C807" s="129" t="str">
        <f>INSUMOS!$C$29</f>
        <v>LITRO</v>
      </c>
      <c r="D807" s="129">
        <v>1</v>
      </c>
      <c r="E807" s="130">
        <v>0</v>
      </c>
      <c r="F807" s="131">
        <f>INSUMOS!$E$29</f>
        <v>45224</v>
      </c>
      <c r="G807" s="132">
        <f t="shared" si="33"/>
        <v>45224</v>
      </c>
    </row>
    <row r="808" spans="2:7" x14ac:dyDescent="0.3">
      <c r="B808" s="128" t="str">
        <f>INSUMOS!$B$30</f>
        <v>VTACILUS TURIGENCIS</v>
      </c>
      <c r="C808" s="129" t="str">
        <f>INSUMOS!$C$30</f>
        <v>LITRO</v>
      </c>
      <c r="D808" s="129">
        <v>1</v>
      </c>
      <c r="E808" s="130">
        <v>0</v>
      </c>
      <c r="F808" s="131">
        <f>INSUMOS!$E$30</f>
        <v>32659</v>
      </c>
      <c r="G808" s="132">
        <f t="shared" si="33"/>
        <v>32659</v>
      </c>
    </row>
    <row r="809" spans="2:7" x14ac:dyDescent="0.3">
      <c r="B809" s="128"/>
      <c r="C809" s="129"/>
      <c r="D809" s="129"/>
      <c r="E809" s="130"/>
      <c r="F809" s="131"/>
      <c r="G809" s="132"/>
    </row>
    <row r="810" spans="2:7" x14ac:dyDescent="0.3">
      <c r="B810" s="122"/>
      <c r="C810" s="123"/>
      <c r="D810" s="123"/>
      <c r="E810" s="124"/>
      <c r="F810" s="125" t="s">
        <v>144</v>
      </c>
      <c r="G810" s="132">
        <f>SUM(G802:G809)</f>
        <v>255766</v>
      </c>
    </row>
    <row r="811" spans="2:7" x14ac:dyDescent="0.3">
      <c r="B811" s="127" t="s">
        <v>114</v>
      </c>
      <c r="C811" s="123"/>
      <c r="D811" s="123"/>
      <c r="E811" s="124"/>
      <c r="F811" s="125"/>
      <c r="G811" s="139"/>
    </row>
    <row r="812" spans="2:7" x14ac:dyDescent="0.3">
      <c r="B812" s="151" t="str">
        <f>INSUMOS!$B$73</f>
        <v>M.O. 1 OFICIAL + 2 AYUDANTES</v>
      </c>
      <c r="C812" s="129" t="str">
        <f>INSUMOS!$C$73</f>
        <v>JORNAL</v>
      </c>
      <c r="D812" s="129">
        <f>5.5/8</f>
        <v>0.6875</v>
      </c>
      <c r="E812" s="130"/>
      <c r="F812" s="140">
        <f>INSUMOS!$E$73</f>
        <v>422209</v>
      </c>
      <c r="G812" s="132">
        <f>TRUNC(D812 * (1 + E812 / 100) * F812,0)</f>
        <v>290268</v>
      </c>
    </row>
    <row r="813" spans="2:7" x14ac:dyDescent="0.3">
      <c r="B813" s="142"/>
      <c r="C813" s="157"/>
      <c r="D813" s="158"/>
      <c r="E813" s="159"/>
      <c r="F813" s="145"/>
      <c r="G813" s="141"/>
    </row>
    <row r="814" spans="2:7" x14ac:dyDescent="0.3">
      <c r="B814" s="122"/>
      <c r="C814" s="123"/>
      <c r="D814" s="123"/>
      <c r="E814" s="124"/>
      <c r="F814" s="125" t="s">
        <v>145</v>
      </c>
      <c r="G814" s="132">
        <f>SUM(G812:G812)</f>
        <v>290268</v>
      </c>
    </row>
    <row r="815" spans="2:7" x14ac:dyDescent="0.3">
      <c r="B815" s="127" t="s">
        <v>125</v>
      </c>
      <c r="C815" s="123"/>
      <c r="D815" s="123"/>
      <c r="E815" s="124"/>
      <c r="F815" s="125"/>
      <c r="G815" s="139"/>
    </row>
    <row r="816" spans="2:7" x14ac:dyDescent="0.3">
      <c r="B816" s="151" t="str">
        <f>INSUMOS!$B$96</f>
        <v>BOMBA ESTACIONARIA</v>
      </c>
      <c r="C816" s="129" t="str">
        <f>INSUMOS!$C$96</f>
        <v>DIA</v>
      </c>
      <c r="D816" s="129">
        <v>1</v>
      </c>
      <c r="E816" s="130"/>
      <c r="F816" s="140">
        <f>INSUMOS!$E$96</f>
        <v>64791</v>
      </c>
      <c r="G816" s="132">
        <f t="shared" ref="G816:G817" si="34">TRUNC(D816 * (1 + E816 / 100) * F816,0)</f>
        <v>64791</v>
      </c>
    </row>
    <row r="817" spans="2:7" x14ac:dyDescent="0.3">
      <c r="B817" s="151" t="str">
        <f>INSUMOS!$B$97</f>
        <v>CANECA 55 GALONES</v>
      </c>
      <c r="C817" s="129" t="str">
        <f>INSUMOS!$C$97</f>
        <v>UND</v>
      </c>
      <c r="D817" s="129">
        <v>1</v>
      </c>
      <c r="E817" s="130"/>
      <c r="F817" s="140">
        <f>INSUMOS!$E$97</f>
        <v>30917</v>
      </c>
      <c r="G817" s="132">
        <f t="shared" si="34"/>
        <v>30917</v>
      </c>
    </row>
    <row r="818" spans="2:7" x14ac:dyDescent="0.3">
      <c r="B818" s="151"/>
      <c r="C818" s="129"/>
      <c r="D818" s="129"/>
      <c r="E818" s="130"/>
      <c r="F818" s="140"/>
      <c r="G818" s="132"/>
    </row>
    <row r="819" spans="2:7" x14ac:dyDescent="0.3">
      <c r="B819" s="122"/>
      <c r="C819" s="123"/>
      <c r="D819" s="123"/>
      <c r="E819" s="124"/>
      <c r="F819" s="125" t="s">
        <v>146</v>
      </c>
      <c r="G819" s="132">
        <f>SUM(G816:G818)</f>
        <v>95708</v>
      </c>
    </row>
    <row r="820" spans="2:7" x14ac:dyDescent="0.3">
      <c r="B820" s="127" t="s">
        <v>147</v>
      </c>
      <c r="C820" s="123"/>
      <c r="D820" s="123"/>
      <c r="E820" s="124"/>
      <c r="F820" s="125"/>
      <c r="G820" s="139"/>
    </row>
    <row r="821" spans="2:7" x14ac:dyDescent="0.3">
      <c r="B821" s="133" t="str">
        <f>INSUMOS!$B$84</f>
        <v>HERRAMIENTA MENOR</v>
      </c>
      <c r="C821" s="134" t="str">
        <f>INSUMOS!$C$84</f>
        <v>GLB</v>
      </c>
      <c r="D821" s="162">
        <v>3.83</v>
      </c>
      <c r="E821" s="136"/>
      <c r="F821" s="137">
        <f>INSUMOS!$E$84</f>
        <v>2174</v>
      </c>
      <c r="G821" s="132">
        <f>TRUNC(D821 * (1 + E821 / 100) * F821,0)</f>
        <v>8326</v>
      </c>
    </row>
    <row r="822" spans="2:7" x14ac:dyDescent="0.3">
      <c r="B822" s="133"/>
      <c r="C822" s="134"/>
      <c r="D822" s="135"/>
      <c r="E822" s="136"/>
      <c r="F822" s="137"/>
      <c r="G822" s="141"/>
    </row>
    <row r="823" spans="2:7" x14ac:dyDescent="0.3">
      <c r="B823" s="122"/>
      <c r="C823" s="123"/>
      <c r="D823" s="123"/>
      <c r="E823" s="124"/>
      <c r="F823" s="125" t="str">
        <f>"SUBTOTAL " &amp;B820</f>
        <v>SUBTOTAL OTROS</v>
      </c>
      <c r="G823" s="132">
        <f>SUM(G821:G822)</f>
        <v>8326</v>
      </c>
    </row>
    <row r="824" spans="2:7" x14ac:dyDescent="0.3">
      <c r="B824" s="122"/>
      <c r="C824" s="123"/>
      <c r="D824" s="123"/>
      <c r="E824" s="124"/>
      <c r="F824" s="125"/>
      <c r="G824" s="126"/>
    </row>
    <row r="825" spans="2:7" ht="15" thickBot="1" x14ac:dyDescent="0.35">
      <c r="B825" s="146"/>
      <c r="C825" s="147"/>
      <c r="D825" s="166"/>
      <c r="E825" s="148" t="s">
        <v>148</v>
      </c>
      <c r="F825" s="149"/>
      <c r="G825" s="150">
        <f>ROUND(G810+G814+G819+G823,0)</f>
        <v>650068</v>
      </c>
    </row>
    <row r="826" spans="2:7" ht="15" thickTop="1" x14ac:dyDescent="0.3"/>
    <row r="827" spans="2:7" ht="15" thickBot="1" x14ac:dyDescent="0.35"/>
    <row r="828" spans="2:7" ht="60" customHeight="1" thickTop="1" x14ac:dyDescent="0.3">
      <c r="B828" s="315" t="str">
        <f>'FORMATO 13'!C53</f>
        <v xml:space="preserve">AIREACIÓN CON PINES SÓLIDOS: Mejorar la circulación de aire y la penetración de agua y nutrientes en el suelo. Se debe realizar la aireación con pines sólidos una (1) vez cada mes o de acuerdo con las indicaciones de la supervisión y/o interventoría y/o recomendación del contratista, debidamente aprobadas por el supervisor. Se debe realizar la aireación con pines sólidos de 20 cm,  Incluye toda la maquinaria necesaria, todos los materiales e insumos para su óptimo funcionamiento, operarios, herramienta menor y la recolección y disposición adecuada de los residuos. </v>
      </c>
      <c r="C828" s="316"/>
      <c r="D828" s="316"/>
      <c r="E828" s="317"/>
      <c r="F828" s="115" t="s">
        <v>140</v>
      </c>
      <c r="G828" s="116" t="str">
        <f>'FORMATO 13'!D53</f>
        <v>VECES</v>
      </c>
    </row>
    <row r="829" spans="2:7" ht="60" customHeight="1" x14ac:dyDescent="0.3">
      <c r="B829" s="318"/>
      <c r="C829" s="319"/>
      <c r="D829" s="319"/>
      <c r="E829" s="320"/>
      <c r="F829" s="117" t="s">
        <v>141</v>
      </c>
      <c r="G829" s="155">
        <f>'FORMATO 13'!B53</f>
        <v>3.0599999999999987</v>
      </c>
    </row>
    <row r="830" spans="2:7" x14ac:dyDescent="0.3">
      <c r="B830" s="118" t="s">
        <v>5</v>
      </c>
      <c r="C830" s="119" t="s">
        <v>92</v>
      </c>
      <c r="D830" s="119" t="s">
        <v>93</v>
      </c>
      <c r="E830" s="119" t="s">
        <v>142</v>
      </c>
      <c r="F830" s="120" t="s">
        <v>143</v>
      </c>
      <c r="G830" s="121" t="s">
        <v>10</v>
      </c>
    </row>
    <row r="831" spans="2:7" x14ac:dyDescent="0.3">
      <c r="B831" s="122"/>
      <c r="C831" s="123"/>
      <c r="D831" s="123"/>
      <c r="E831" s="124"/>
      <c r="F831" s="125"/>
      <c r="G831" s="126"/>
    </row>
    <row r="832" spans="2:7" x14ac:dyDescent="0.3">
      <c r="B832" s="127" t="s">
        <v>91</v>
      </c>
      <c r="C832" s="123"/>
      <c r="D832" s="123"/>
      <c r="E832" s="124"/>
      <c r="F832" s="125"/>
      <c r="G832" s="126"/>
    </row>
    <row r="833" spans="2:7" x14ac:dyDescent="0.3">
      <c r="B833" s="128" t="str">
        <f>INSUMOS!$B$13</f>
        <v>BOLSAS PARA BASURA</v>
      </c>
      <c r="C833" s="129" t="str">
        <f>INSUMOS!$C$13</f>
        <v>UND</v>
      </c>
      <c r="D833" s="129">
        <v>50</v>
      </c>
      <c r="E833" s="130">
        <v>0</v>
      </c>
      <c r="F833" s="131">
        <f>INSUMOS!$E$13</f>
        <v>2053</v>
      </c>
      <c r="G833" s="132">
        <f t="shared" ref="G833" si="35">TRUNC(D833 * (1 + E833 / 100) * F833,0)</f>
        <v>102650</v>
      </c>
    </row>
    <row r="834" spans="2:7" x14ac:dyDescent="0.3">
      <c r="B834" s="128"/>
      <c r="C834" s="129"/>
      <c r="D834" s="129"/>
      <c r="E834" s="130"/>
      <c r="F834" s="131"/>
      <c r="G834" s="132"/>
    </row>
    <row r="835" spans="2:7" x14ac:dyDescent="0.3">
      <c r="B835" s="122"/>
      <c r="C835" s="123"/>
      <c r="D835" s="123"/>
      <c r="E835" s="124"/>
      <c r="F835" s="125" t="s">
        <v>144</v>
      </c>
      <c r="G835" s="132">
        <f>SUM(G831:G834)</f>
        <v>102650</v>
      </c>
    </row>
    <row r="836" spans="2:7" x14ac:dyDescent="0.3">
      <c r="B836" s="127" t="s">
        <v>114</v>
      </c>
      <c r="C836" s="123"/>
      <c r="D836" s="123"/>
      <c r="E836" s="124"/>
      <c r="F836" s="125"/>
      <c r="G836" s="139"/>
    </row>
    <row r="837" spans="2:7" x14ac:dyDescent="0.3">
      <c r="B837" s="151" t="str">
        <f>INSUMOS!$B$72</f>
        <v>M.O. 1 OFICIAL + 1 AYUDANTES</v>
      </c>
      <c r="C837" s="129" t="str">
        <f>INSUMOS!$C$72</f>
        <v>JORNAL</v>
      </c>
      <c r="D837" s="129">
        <v>1</v>
      </c>
      <c r="E837" s="130"/>
      <c r="F837" s="140">
        <f>INSUMOS!$E$72</f>
        <v>308098</v>
      </c>
      <c r="G837" s="132">
        <f>TRUNC(D837 * (1 + E837 / 100) * F837,0)</f>
        <v>308098</v>
      </c>
    </row>
    <row r="838" spans="2:7" x14ac:dyDescent="0.3">
      <c r="B838" s="142"/>
      <c r="C838" s="157"/>
      <c r="D838" s="158"/>
      <c r="E838" s="159"/>
      <c r="F838" s="145"/>
      <c r="G838" s="141"/>
    </row>
    <row r="839" spans="2:7" x14ac:dyDescent="0.3">
      <c r="B839" s="122"/>
      <c r="C839" s="123"/>
      <c r="D839" s="123"/>
      <c r="E839" s="124"/>
      <c r="F839" s="125" t="s">
        <v>145</v>
      </c>
      <c r="G839" s="132">
        <f>SUM(G837:G837)</f>
        <v>308098</v>
      </c>
    </row>
    <row r="840" spans="2:7" x14ac:dyDescent="0.3">
      <c r="B840" s="127" t="s">
        <v>125</v>
      </c>
      <c r="C840" s="123"/>
      <c r="D840" s="123"/>
      <c r="E840" s="124"/>
      <c r="F840" s="125"/>
      <c r="G840" s="139"/>
    </row>
    <row r="841" spans="2:7" x14ac:dyDescent="0.3">
      <c r="B841" s="151" t="str">
        <f>INSUMOS!$B$98</f>
        <v>RODILLO CON CHUZOS</v>
      </c>
      <c r="C841" s="129" t="str">
        <f>INSUMOS!$C$98</f>
        <v>DIA</v>
      </c>
      <c r="D841" s="129">
        <v>1</v>
      </c>
      <c r="E841" s="130"/>
      <c r="F841" s="140">
        <f>INSUMOS!$E$98</f>
        <v>49000</v>
      </c>
      <c r="G841" s="132">
        <f t="shared" ref="G841" si="36">TRUNC(D841 * (1 + E841 / 100) * F841,0)</f>
        <v>49000</v>
      </c>
    </row>
    <row r="842" spans="2:7" x14ac:dyDescent="0.3">
      <c r="B842" s="151"/>
      <c r="C842" s="129"/>
      <c r="D842" s="129"/>
      <c r="E842" s="130"/>
      <c r="F842" s="140"/>
      <c r="G842" s="132"/>
    </row>
    <row r="843" spans="2:7" x14ac:dyDescent="0.3">
      <c r="B843" s="122"/>
      <c r="C843" s="123"/>
      <c r="D843" s="123"/>
      <c r="E843" s="124"/>
      <c r="F843" s="125" t="s">
        <v>146</v>
      </c>
      <c r="G843" s="132">
        <f>SUM(G841:G842)</f>
        <v>49000</v>
      </c>
    </row>
    <row r="844" spans="2:7" x14ac:dyDescent="0.3">
      <c r="B844" s="127" t="s">
        <v>147</v>
      </c>
      <c r="C844" s="123"/>
      <c r="D844" s="123"/>
      <c r="E844" s="124"/>
      <c r="F844" s="125"/>
      <c r="G844" s="139"/>
    </row>
    <row r="845" spans="2:7" x14ac:dyDescent="0.3">
      <c r="B845" s="133" t="str">
        <f>INSUMOS!$B$84</f>
        <v>HERRAMIENTA MENOR</v>
      </c>
      <c r="C845" s="134" t="str">
        <f>INSUMOS!$C$84</f>
        <v>GLB</v>
      </c>
      <c r="D845" s="123">
        <v>1.5915999999999999</v>
      </c>
      <c r="E845" s="136"/>
      <c r="F845" s="137">
        <f>INSUMOS!$E$84</f>
        <v>2174</v>
      </c>
      <c r="G845" s="132">
        <f>TRUNC(D845 * (1 + E845 / 100) * F845,0)</f>
        <v>3460</v>
      </c>
    </row>
    <row r="846" spans="2:7" x14ac:dyDescent="0.3">
      <c r="B846" s="133"/>
      <c r="C846" s="134"/>
      <c r="D846" s="135"/>
      <c r="E846" s="136"/>
      <c r="F846" s="137"/>
      <c r="G846" s="141"/>
    </row>
    <row r="847" spans="2:7" x14ac:dyDescent="0.3">
      <c r="B847" s="122"/>
      <c r="C847" s="123"/>
      <c r="D847" s="123"/>
      <c r="E847" s="124"/>
      <c r="F847" s="125" t="str">
        <f>"SUBTOTAL " &amp;B844</f>
        <v>SUBTOTAL OTROS</v>
      </c>
      <c r="G847" s="132">
        <f>SUM(G845:G846)</f>
        <v>3460</v>
      </c>
    </row>
    <row r="848" spans="2:7" x14ac:dyDescent="0.3">
      <c r="B848" s="122"/>
      <c r="C848" s="123"/>
      <c r="D848" s="123"/>
      <c r="E848" s="124"/>
      <c r="F848" s="125"/>
      <c r="G848" s="126"/>
    </row>
    <row r="849" spans="2:7" ht="15" thickBot="1" x14ac:dyDescent="0.35">
      <c r="B849" s="146"/>
      <c r="C849" s="147"/>
      <c r="D849" s="166"/>
      <c r="E849" s="148" t="s">
        <v>148</v>
      </c>
      <c r="F849" s="149"/>
      <c r="G849" s="150">
        <f>ROUND(G835+G839+G843+G847,0)</f>
        <v>463208</v>
      </c>
    </row>
    <row r="850" spans="2:7" ht="15" thickTop="1" x14ac:dyDescent="0.3"/>
    <row r="851" spans="2:7" ht="15" thickBot="1" x14ac:dyDescent="0.35"/>
    <row r="852" spans="2:7" ht="60" customHeight="1" thickTop="1" x14ac:dyDescent="0.3">
      <c r="B852" s="315" t="str">
        <f>'FORMATO 13'!C54</f>
        <v xml:space="preserve">TOP DRESSING: Llenar los orificios realizados después de la aireación, en una proporción 80% arena de granulometría media lavada y pasada por zaranda y 20% de tierra negra. 2kg de la mezcla por M2. Siguiendo las indicaciones de la supervisión, interventoría o recomendaciones del contratista, debidamente aprobadas por el supervisor.                   Incluye toda la maquinaria necesaria, todos los materiales e insumos para su óptimo funcionamiento, operarios, herramienta menor y la recolección y disposición adecuada de los residuos. </v>
      </c>
      <c r="C852" s="316"/>
      <c r="D852" s="316"/>
      <c r="E852" s="317"/>
      <c r="F852" s="115" t="s">
        <v>140</v>
      </c>
      <c r="G852" s="116" t="str">
        <f>'FORMATO 13'!D54</f>
        <v>VECES</v>
      </c>
    </row>
    <row r="853" spans="2:7" ht="60" customHeight="1" x14ac:dyDescent="0.3">
      <c r="B853" s="318"/>
      <c r="C853" s="319"/>
      <c r="D853" s="319"/>
      <c r="E853" s="320"/>
      <c r="F853" s="117" t="s">
        <v>141</v>
      </c>
      <c r="G853" s="156">
        <f>'FORMATO 13'!B54</f>
        <v>3.0699999999999985</v>
      </c>
    </row>
    <row r="854" spans="2:7" x14ac:dyDescent="0.3">
      <c r="B854" s="118" t="s">
        <v>5</v>
      </c>
      <c r="C854" s="119" t="s">
        <v>92</v>
      </c>
      <c r="D854" s="119" t="s">
        <v>93</v>
      </c>
      <c r="E854" s="119" t="s">
        <v>142</v>
      </c>
      <c r="F854" s="120" t="s">
        <v>143</v>
      </c>
      <c r="G854" s="121" t="s">
        <v>10</v>
      </c>
    </row>
    <row r="855" spans="2:7" x14ac:dyDescent="0.3">
      <c r="B855" s="122"/>
      <c r="C855" s="123"/>
      <c r="D855" s="123"/>
      <c r="E855" s="124"/>
      <c r="F855" s="125"/>
      <c r="G855" s="126"/>
    </row>
    <row r="856" spans="2:7" x14ac:dyDescent="0.3">
      <c r="B856" s="127" t="s">
        <v>91</v>
      </c>
      <c r="C856" s="123"/>
      <c r="D856" s="123"/>
      <c r="E856" s="124"/>
      <c r="F856" s="125"/>
      <c r="G856" s="126"/>
    </row>
    <row r="857" spans="2:7" x14ac:dyDescent="0.3">
      <c r="B857" s="151" t="str">
        <f>INSUMOS!$B$11</f>
        <v>GASOLINA CORRIENTE</v>
      </c>
      <c r="C857" s="129" t="str">
        <f>INSUMOS!$C$11</f>
        <v>GLN</v>
      </c>
      <c r="D857" s="129">
        <v>5</v>
      </c>
      <c r="E857" s="130">
        <v>0</v>
      </c>
      <c r="F857" s="131">
        <f>INSUMOS!$E$11</f>
        <v>16423</v>
      </c>
      <c r="G857" s="132">
        <f>TRUNC(D857 * (1 + E857 / 100) * F857,0)</f>
        <v>82115</v>
      </c>
    </row>
    <row r="858" spans="2:7" x14ac:dyDescent="0.3">
      <c r="B858" s="128" t="str">
        <f>INSUMOS!$B$53</f>
        <v>TIERRA NEGRA</v>
      </c>
      <c r="C858" s="129" t="str">
        <f>INSUMOS!$C$53</f>
        <v>M3</v>
      </c>
      <c r="D858" s="129">
        <v>2.4</v>
      </c>
      <c r="E858" s="130">
        <v>0</v>
      </c>
      <c r="F858" s="131">
        <f>INSUMOS!$E$53</f>
        <v>58912</v>
      </c>
      <c r="G858" s="132">
        <f t="shared" ref="G858:G859" si="37">TRUNC(D858 * (1 + E858 / 100) * F858,0)</f>
        <v>141388</v>
      </c>
    </row>
    <row r="859" spans="2:7" x14ac:dyDescent="0.3">
      <c r="B859" s="128" t="str">
        <f>INSUMOS!$B$34</f>
        <v>ARENA MEDIANA LAVADA SELECCIONADA</v>
      </c>
      <c r="C859" s="129" t="str">
        <f>INSUMOS!$C$34</f>
        <v>M3</v>
      </c>
      <c r="D859" s="129">
        <v>9.6</v>
      </c>
      <c r="E859" s="130">
        <v>0</v>
      </c>
      <c r="F859" s="131">
        <f>INSUMOS!$E$34</f>
        <v>78400</v>
      </c>
      <c r="G859" s="132">
        <f t="shared" si="37"/>
        <v>752640</v>
      </c>
    </row>
    <row r="860" spans="2:7" x14ac:dyDescent="0.3">
      <c r="B860" s="133"/>
      <c r="C860" s="134"/>
      <c r="D860" s="135"/>
      <c r="E860" s="136"/>
      <c r="F860" s="137"/>
      <c r="G860" s="138"/>
    </row>
    <row r="861" spans="2:7" x14ac:dyDescent="0.3">
      <c r="B861" s="122"/>
      <c r="C861" s="123"/>
      <c r="D861" s="123"/>
      <c r="E861" s="124"/>
      <c r="F861" s="125" t="s">
        <v>144</v>
      </c>
      <c r="G861" s="132">
        <f>SUM(G857:G860)</f>
        <v>976143</v>
      </c>
    </row>
    <row r="862" spans="2:7" x14ac:dyDescent="0.3">
      <c r="B862" s="127" t="s">
        <v>114</v>
      </c>
      <c r="C862" s="123"/>
      <c r="D862" s="123"/>
      <c r="E862" s="124"/>
      <c r="F862" s="125"/>
      <c r="G862" s="139"/>
    </row>
    <row r="863" spans="2:7" x14ac:dyDescent="0.3">
      <c r="B863" s="151" t="str">
        <f>INSUMOS!$B$72</f>
        <v>M.O. 1 OFICIAL + 1 AYUDANTES</v>
      </c>
      <c r="C863" s="129" t="str">
        <f>INSUMOS!$C$72</f>
        <v>JORNAL</v>
      </c>
      <c r="D863" s="160">
        <v>1.5</v>
      </c>
      <c r="E863" s="130"/>
      <c r="F863" s="140">
        <f>INSUMOS!$E$72</f>
        <v>308098</v>
      </c>
      <c r="G863" s="132">
        <f>TRUNC(D863 * (1 + E863 / 100) * F863,0)</f>
        <v>462147</v>
      </c>
    </row>
    <row r="864" spans="2:7" x14ac:dyDescent="0.3">
      <c r="B864" s="133"/>
      <c r="C864" s="134"/>
      <c r="D864" s="135"/>
      <c r="E864" s="136"/>
      <c r="F864" s="137"/>
      <c r="G864" s="141"/>
    </row>
    <row r="865" spans="2:7" x14ac:dyDescent="0.3">
      <c r="B865" s="122"/>
      <c r="C865" s="123"/>
      <c r="D865" s="123"/>
      <c r="E865" s="124"/>
      <c r="F865" s="125" t="s">
        <v>145</v>
      </c>
      <c r="G865" s="132">
        <f>SUM(G863:G864)</f>
        <v>462147</v>
      </c>
    </row>
    <row r="866" spans="2:7" x14ac:dyDescent="0.3">
      <c r="B866" s="127" t="s">
        <v>125</v>
      </c>
      <c r="C866" s="123"/>
      <c r="D866" s="123"/>
      <c r="E866" s="124"/>
      <c r="F866" s="125"/>
      <c r="G866" s="139"/>
    </row>
    <row r="867" spans="2:7" x14ac:dyDescent="0.3">
      <c r="B867" s="133" t="str">
        <f>INSUMOS!$B$100</f>
        <v>ARENADORA A GASOLINA</v>
      </c>
      <c r="C867" s="134" t="str">
        <f>INSUMOS!$C$100</f>
        <v>DIA</v>
      </c>
      <c r="D867" s="160">
        <v>2</v>
      </c>
      <c r="E867" s="136"/>
      <c r="F867" s="137">
        <f>INSUMOS!$E$100</f>
        <v>63499</v>
      </c>
      <c r="G867" s="132">
        <f>TRUNC(D867 * (1 + E867 / 100) * F867,0)</f>
        <v>126998</v>
      </c>
    </row>
    <row r="868" spans="2:7" x14ac:dyDescent="0.3">
      <c r="B868" s="142"/>
      <c r="C868" s="157"/>
      <c r="D868" s="158"/>
      <c r="E868" s="159"/>
      <c r="F868" s="145"/>
      <c r="G868" s="141"/>
    </row>
    <row r="869" spans="2:7" x14ac:dyDescent="0.3">
      <c r="B869" s="122"/>
      <c r="C869" s="123"/>
      <c r="D869" s="123"/>
      <c r="E869" s="124"/>
      <c r="F869" s="125" t="s">
        <v>146</v>
      </c>
      <c r="G869" s="132">
        <f>SUM(G867:G867)</f>
        <v>126998</v>
      </c>
    </row>
    <row r="870" spans="2:7" x14ac:dyDescent="0.3">
      <c r="B870" s="127" t="s">
        <v>147</v>
      </c>
      <c r="C870" s="123"/>
      <c r="D870" s="123"/>
      <c r="E870" s="124"/>
      <c r="F870" s="125"/>
      <c r="G870" s="139"/>
    </row>
    <row r="871" spans="2:7" x14ac:dyDescent="0.3">
      <c r="B871" s="133" t="str">
        <f>INSUMOS!$B$84</f>
        <v>HERRAMIENTA MENOR</v>
      </c>
      <c r="C871" s="134" t="str">
        <f>INSUMOS!$C$84</f>
        <v>GLB</v>
      </c>
      <c r="D871" s="160">
        <v>2.7509999999999999</v>
      </c>
      <c r="E871" s="136"/>
      <c r="F871" s="137">
        <f>INSUMOS!$E$84</f>
        <v>2174</v>
      </c>
      <c r="G871" s="132">
        <f>TRUNC(D871 * (1 + E871 / 100) * F871,0)</f>
        <v>5980</v>
      </c>
    </row>
    <row r="872" spans="2:7" x14ac:dyDescent="0.3">
      <c r="B872" s="133"/>
      <c r="C872" s="134"/>
      <c r="D872" s="135"/>
      <c r="E872" s="136"/>
      <c r="F872" s="137"/>
      <c r="G872" s="141"/>
    </row>
    <row r="873" spans="2:7" x14ac:dyDescent="0.3">
      <c r="B873" s="122"/>
      <c r="C873" s="123"/>
      <c r="D873" s="123"/>
      <c r="E873" s="124"/>
      <c r="F873" s="125" t="str">
        <f>"SUBTOTAL " &amp;B870</f>
        <v>SUBTOTAL OTROS</v>
      </c>
      <c r="G873" s="132">
        <f>SUM(G871:G872)</f>
        <v>5980</v>
      </c>
    </row>
    <row r="874" spans="2:7" x14ac:dyDescent="0.3">
      <c r="B874" s="122"/>
      <c r="C874" s="123"/>
      <c r="D874" s="123"/>
      <c r="E874" s="124"/>
      <c r="F874" s="125"/>
      <c r="G874" s="126"/>
    </row>
    <row r="875" spans="2:7" ht="15" thickBot="1" x14ac:dyDescent="0.35">
      <c r="B875" s="146"/>
      <c r="C875" s="147"/>
      <c r="D875" s="166"/>
      <c r="E875" s="148" t="s">
        <v>148</v>
      </c>
      <c r="F875" s="149"/>
      <c r="G875" s="150">
        <f>ROUND(G861+G865+G869+G873,0)</f>
        <v>1571268</v>
      </c>
    </row>
    <row r="876" spans="2:7" ht="15" thickTop="1" x14ac:dyDescent="0.3"/>
    <row r="877" spans="2:7" ht="15" thickBot="1" x14ac:dyDescent="0.35"/>
    <row r="878" spans="2:7" ht="60" customHeight="1" thickTop="1" x14ac:dyDescent="0.3">
      <c r="B878" s="315" t="str">
        <f>'FORMATO 13'!C55</f>
        <v>REPARACIÓN DE APIQUES O DIVOTS: Arreglar los baches generados después de cada partido, se realiza utilizando la herramienta especial para esta labor y en algunas ocasiones se debe realizar con la proporción 80% arena media y 20% tierra negra.  Se realiza después de cada partido, competencia o evento y después de uso del campo en eventos masivos. Siguiendo las indicaciones de la supervisión, interventoría o recomendaciones del contratista, debidamente aprobadas por el supervisor.  Incluye materiales vegetales, orgánicos y minerales para el relleno; equipos y herramientas y mano de obra para su correcta ejecución.</v>
      </c>
      <c r="C878" s="316"/>
      <c r="D878" s="316"/>
      <c r="E878" s="317"/>
      <c r="F878" s="115" t="s">
        <v>140</v>
      </c>
      <c r="G878" s="116" t="str">
        <f>'FORMATO 13'!D55</f>
        <v>MES</v>
      </c>
    </row>
    <row r="879" spans="2:7" ht="60" customHeight="1" x14ac:dyDescent="0.3">
      <c r="B879" s="318"/>
      <c r="C879" s="319"/>
      <c r="D879" s="319"/>
      <c r="E879" s="320"/>
      <c r="F879" s="117" t="s">
        <v>141</v>
      </c>
      <c r="G879" s="155">
        <f>'FORMATO 13'!B55</f>
        <v>3.0799999999999983</v>
      </c>
    </row>
    <row r="880" spans="2:7" x14ac:dyDescent="0.3">
      <c r="B880" s="118" t="s">
        <v>5</v>
      </c>
      <c r="C880" s="119" t="s">
        <v>92</v>
      </c>
      <c r="D880" s="119" t="s">
        <v>93</v>
      </c>
      <c r="E880" s="119" t="s">
        <v>142</v>
      </c>
      <c r="F880" s="120" t="s">
        <v>143</v>
      </c>
      <c r="G880" s="121" t="s">
        <v>10</v>
      </c>
    </row>
    <row r="881" spans="2:7" x14ac:dyDescent="0.3">
      <c r="B881" s="122"/>
      <c r="C881" s="123"/>
      <c r="D881" s="123"/>
      <c r="E881" s="124"/>
      <c r="F881" s="125"/>
      <c r="G881" s="126"/>
    </row>
    <row r="882" spans="2:7" x14ac:dyDescent="0.3">
      <c r="B882" s="127" t="s">
        <v>91</v>
      </c>
      <c r="C882" s="123"/>
      <c r="D882" s="123"/>
      <c r="E882" s="124"/>
      <c r="F882" s="125"/>
      <c r="G882" s="126"/>
    </row>
    <row r="883" spans="2:7" x14ac:dyDescent="0.3">
      <c r="B883" s="128" t="str">
        <f>INSUMOS!$B$34</f>
        <v>ARENA MEDIANA LAVADA SELECCIONADA</v>
      </c>
      <c r="C883" s="129" t="str">
        <f>INSUMOS!$C$34</f>
        <v>M3</v>
      </c>
      <c r="D883" s="129">
        <v>0.8</v>
      </c>
      <c r="E883" s="130">
        <v>0</v>
      </c>
      <c r="F883" s="131">
        <f>INSUMOS!$E$34</f>
        <v>78400</v>
      </c>
      <c r="G883" s="132">
        <f t="shared" ref="G883:G884" si="38">TRUNC(D883 * (1 + E883 / 100) * F883,0)</f>
        <v>62720</v>
      </c>
    </row>
    <row r="884" spans="2:7" x14ac:dyDescent="0.3">
      <c r="B884" s="128" t="str">
        <f>INSUMOS!$B$53</f>
        <v>TIERRA NEGRA</v>
      </c>
      <c r="C884" s="129" t="str">
        <f>INSUMOS!$C$53</f>
        <v>M3</v>
      </c>
      <c r="D884" s="129">
        <v>0.2</v>
      </c>
      <c r="E884" s="130">
        <v>0</v>
      </c>
      <c r="F884" s="131">
        <f>INSUMOS!$E$53</f>
        <v>58912</v>
      </c>
      <c r="G884" s="132">
        <f t="shared" si="38"/>
        <v>11782</v>
      </c>
    </row>
    <row r="885" spans="2:7" x14ac:dyDescent="0.3">
      <c r="B885" s="128"/>
      <c r="C885" s="129"/>
      <c r="D885" s="129"/>
      <c r="E885" s="130"/>
      <c r="F885" s="131"/>
      <c r="G885" s="132"/>
    </row>
    <row r="886" spans="2:7" x14ac:dyDescent="0.3">
      <c r="B886" s="122"/>
      <c r="C886" s="123"/>
      <c r="D886" s="123"/>
      <c r="E886" s="124"/>
      <c r="F886" s="125" t="s">
        <v>144</v>
      </c>
      <c r="G886" s="132">
        <f>SUM(G881:G885)</f>
        <v>74502</v>
      </c>
    </row>
    <row r="887" spans="2:7" x14ac:dyDescent="0.3">
      <c r="B887" s="127" t="s">
        <v>114</v>
      </c>
      <c r="C887" s="123"/>
      <c r="D887" s="123"/>
      <c r="E887" s="124"/>
      <c r="F887" s="125"/>
      <c r="G887" s="139"/>
    </row>
    <row r="888" spans="2:7" x14ac:dyDescent="0.3">
      <c r="B888" s="151" t="str">
        <f>INSUMOS!$B$73</f>
        <v>M.O. 1 OFICIAL + 2 AYUDANTES</v>
      </c>
      <c r="C888" s="129" t="str">
        <f>INSUMOS!$C$73</f>
        <v>JORNAL</v>
      </c>
      <c r="D888" s="129">
        <v>1</v>
      </c>
      <c r="E888" s="130"/>
      <c r="F888" s="140">
        <f>INSUMOS!$E$73</f>
        <v>422209</v>
      </c>
      <c r="G888" s="132">
        <f>TRUNC(D888 * (1 + E888 / 100) * F888,0)</f>
        <v>422209</v>
      </c>
    </row>
    <row r="889" spans="2:7" x14ac:dyDescent="0.3">
      <c r="B889" s="142"/>
      <c r="C889" s="157"/>
      <c r="D889" s="158"/>
      <c r="E889" s="159"/>
      <c r="F889" s="145"/>
      <c r="G889" s="141"/>
    </row>
    <row r="890" spans="2:7" x14ac:dyDescent="0.3">
      <c r="B890" s="122"/>
      <c r="C890" s="123"/>
      <c r="D890" s="123"/>
      <c r="E890" s="124"/>
      <c r="F890" s="125" t="s">
        <v>145</v>
      </c>
      <c r="G890" s="132">
        <f>SUM(G888:G888)</f>
        <v>422209</v>
      </c>
    </row>
    <row r="891" spans="2:7" x14ac:dyDescent="0.3">
      <c r="B891" s="127" t="s">
        <v>125</v>
      </c>
      <c r="C891" s="123"/>
      <c r="D891" s="123"/>
      <c r="E891" s="124"/>
      <c r="F891" s="125"/>
      <c r="G891" s="139"/>
    </row>
    <row r="892" spans="2:7" x14ac:dyDescent="0.3">
      <c r="B892" s="151"/>
      <c r="C892" s="129"/>
      <c r="D892" s="129"/>
      <c r="E892" s="130"/>
      <c r="F892" s="140"/>
      <c r="G892" s="132"/>
    </row>
    <row r="893" spans="2:7" x14ac:dyDescent="0.3">
      <c r="B893" s="122"/>
      <c r="C893" s="123"/>
      <c r="D893" s="123"/>
      <c r="E893" s="124"/>
      <c r="F893" s="125" t="s">
        <v>146</v>
      </c>
      <c r="G893" s="132">
        <f>SUM(G892:G892)</f>
        <v>0</v>
      </c>
    </row>
    <row r="894" spans="2:7" x14ac:dyDescent="0.3">
      <c r="B894" s="127" t="s">
        <v>147</v>
      </c>
      <c r="C894" s="123"/>
      <c r="D894" s="123"/>
      <c r="E894" s="124"/>
      <c r="F894" s="125"/>
      <c r="G894" s="139"/>
    </row>
    <row r="895" spans="2:7" x14ac:dyDescent="0.3">
      <c r="B895" s="133" t="str">
        <f>INSUMOS!$B$84</f>
        <v>HERRAMIENTA MENOR</v>
      </c>
      <c r="C895" s="134" t="str">
        <f>INSUMOS!$C$84</f>
        <v>GLB</v>
      </c>
      <c r="D895" s="123">
        <v>2.1724999999999999</v>
      </c>
      <c r="E895" s="136"/>
      <c r="F895" s="137">
        <f>INSUMOS!$E$84</f>
        <v>2174</v>
      </c>
      <c r="G895" s="132">
        <f>TRUNC(D895 * (1 + E895 / 100) * F895,0)</f>
        <v>4723</v>
      </c>
    </row>
    <row r="896" spans="2:7" x14ac:dyDescent="0.3">
      <c r="B896" s="133"/>
      <c r="C896" s="134"/>
      <c r="D896" s="135"/>
      <c r="E896" s="136"/>
      <c r="F896" s="137"/>
      <c r="G896" s="141"/>
    </row>
    <row r="897" spans="2:7" x14ac:dyDescent="0.3">
      <c r="B897" s="122"/>
      <c r="C897" s="123"/>
      <c r="D897" s="123"/>
      <c r="E897" s="124"/>
      <c r="F897" s="125" t="str">
        <f>"SUBTOTAL " &amp;B894</f>
        <v>SUBTOTAL OTROS</v>
      </c>
      <c r="G897" s="132">
        <f>SUM(G895:G896)</f>
        <v>4723</v>
      </c>
    </row>
    <row r="898" spans="2:7" x14ac:dyDescent="0.3">
      <c r="B898" s="122"/>
      <c r="C898" s="123"/>
      <c r="D898" s="123"/>
      <c r="E898" s="124"/>
      <c r="F898" s="125"/>
      <c r="G898" s="126"/>
    </row>
    <row r="899" spans="2:7" ht="15" thickBot="1" x14ac:dyDescent="0.35">
      <c r="B899" s="146"/>
      <c r="C899" s="147"/>
      <c r="D899" s="166"/>
      <c r="E899" s="148" t="s">
        <v>148</v>
      </c>
      <c r="F899" s="149"/>
      <c r="G899" s="150">
        <f>ROUND(G886+G890+G893+G897,0)</f>
        <v>501434</v>
      </c>
    </row>
    <row r="900" spans="2:7" ht="15" thickTop="1" x14ac:dyDescent="0.3"/>
    <row r="901" spans="2:7" ht="15" thickBot="1" x14ac:dyDescent="0.35"/>
    <row r="902" spans="2:7" ht="79.95" customHeight="1" thickTop="1" x14ac:dyDescent="0.3">
      <c r="B902" s="315" t="str">
        <f>'FORMATO 13'!C56</f>
        <v>ANÁLISIS Y ESTUDIO DE SUELOS:  Consiste en sacar muestras del suelo con el barreno y llevarlos al laboratorio para identificar los parámetros físicos y químicos para realizar el plan de fertilización de la grama.Con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 Incluye los materiales, mano de obra, equipos y herramientas necesarias para su correcta ejecución. de acuerdo a las indicaciones de la supervisión y/o interventoría y/o recomendación del contratista, debidamente aprobadas por el supervisor.</v>
      </c>
      <c r="C902" s="316"/>
      <c r="D902" s="316"/>
      <c r="E902" s="317"/>
      <c r="F902" s="115" t="s">
        <v>140</v>
      </c>
      <c r="G902" s="116" t="str">
        <f>'FORMATO 13'!D56</f>
        <v>VECES</v>
      </c>
    </row>
    <row r="903" spans="2:7" ht="79.95" customHeight="1" x14ac:dyDescent="0.3">
      <c r="B903" s="318"/>
      <c r="C903" s="319"/>
      <c r="D903" s="319"/>
      <c r="E903" s="320"/>
      <c r="F903" s="117" t="s">
        <v>141</v>
      </c>
      <c r="G903" s="155">
        <f>'FORMATO 13'!B56</f>
        <v>3.0899999999999981</v>
      </c>
    </row>
    <row r="904" spans="2:7" x14ac:dyDescent="0.3">
      <c r="B904" s="118" t="s">
        <v>5</v>
      </c>
      <c r="C904" s="119" t="s">
        <v>92</v>
      </c>
      <c r="D904" s="119" t="s">
        <v>93</v>
      </c>
      <c r="E904" s="119" t="s">
        <v>142</v>
      </c>
      <c r="F904" s="120" t="s">
        <v>143</v>
      </c>
      <c r="G904" s="121" t="s">
        <v>10</v>
      </c>
    </row>
    <row r="905" spans="2:7" x14ac:dyDescent="0.3">
      <c r="B905" s="122"/>
      <c r="C905" s="123"/>
      <c r="D905" s="123"/>
      <c r="E905" s="124"/>
      <c r="F905" s="125"/>
      <c r="G905" s="126"/>
    </row>
    <row r="906" spans="2:7" x14ac:dyDescent="0.3">
      <c r="B906" s="127" t="s">
        <v>91</v>
      </c>
      <c r="C906" s="123"/>
      <c r="D906" s="123"/>
      <c r="E906" s="124"/>
      <c r="F906" s="125"/>
      <c r="G906" s="126"/>
    </row>
    <row r="907" spans="2:7" x14ac:dyDescent="0.3">
      <c r="B907" s="133"/>
      <c r="C907" s="134"/>
      <c r="D907" s="135"/>
      <c r="E907" s="136"/>
      <c r="F907" s="137"/>
      <c r="G907" s="138"/>
    </row>
    <row r="908" spans="2:7" x14ac:dyDescent="0.3">
      <c r="B908" s="122"/>
      <c r="C908" s="123"/>
      <c r="D908" s="123"/>
      <c r="E908" s="124"/>
      <c r="F908" s="125" t="s">
        <v>144</v>
      </c>
      <c r="G908" s="132">
        <f>SUM(G907:G907)</f>
        <v>0</v>
      </c>
    </row>
    <row r="909" spans="2:7" x14ac:dyDescent="0.3">
      <c r="B909" s="127" t="s">
        <v>114</v>
      </c>
      <c r="C909" s="123"/>
      <c r="D909" s="123"/>
      <c r="E909" s="124"/>
      <c r="F909" s="125"/>
      <c r="G909" s="139"/>
    </row>
    <row r="910" spans="2:7" x14ac:dyDescent="0.3">
      <c r="B910" s="133"/>
      <c r="C910" s="134"/>
      <c r="D910" s="135"/>
      <c r="E910" s="136"/>
      <c r="F910" s="137"/>
      <c r="G910" s="141"/>
    </row>
    <row r="911" spans="2:7" x14ac:dyDescent="0.3">
      <c r="B911" s="122"/>
      <c r="C911" s="123"/>
      <c r="D911" s="123"/>
      <c r="E911" s="124"/>
      <c r="F911" s="125" t="s">
        <v>145</v>
      </c>
      <c r="G911" s="132">
        <f>SUM(G910:G910)</f>
        <v>0</v>
      </c>
    </row>
    <row r="912" spans="2:7" x14ac:dyDescent="0.3">
      <c r="B912" s="127" t="s">
        <v>125</v>
      </c>
      <c r="C912" s="123"/>
      <c r="D912" s="123"/>
      <c r="E912" s="124"/>
      <c r="F912" s="125"/>
      <c r="G912" s="139"/>
    </row>
    <row r="913" spans="2:7" x14ac:dyDescent="0.3">
      <c r="B913" s="133"/>
      <c r="C913" s="134"/>
      <c r="D913" s="135"/>
      <c r="E913" s="136"/>
      <c r="F913" s="137"/>
      <c r="G913" s="141"/>
    </row>
    <row r="914" spans="2:7" x14ac:dyDescent="0.3">
      <c r="B914" s="122"/>
      <c r="C914" s="123"/>
      <c r="D914" s="123"/>
      <c r="E914" s="124"/>
      <c r="F914" s="125" t="s">
        <v>146</v>
      </c>
      <c r="G914" s="132">
        <f>SUM(G913:G913)</f>
        <v>0</v>
      </c>
    </row>
    <row r="915" spans="2:7" x14ac:dyDescent="0.3">
      <c r="B915" s="127" t="s">
        <v>147</v>
      </c>
      <c r="C915" s="123"/>
      <c r="D915" s="123"/>
      <c r="E915" s="124"/>
      <c r="F915" s="125"/>
      <c r="G915" s="139"/>
    </row>
    <row r="916" spans="2:7" x14ac:dyDescent="0.3">
      <c r="B916" s="133" t="str">
        <f>INSUMOS!$B$92</f>
        <v>ANALISIS FOLIAR DE LABORATORIO</v>
      </c>
      <c r="C916" s="134" t="str">
        <f>INSUMOS!$C$92</f>
        <v>GBL</v>
      </c>
      <c r="D916" s="123">
        <v>1</v>
      </c>
      <c r="E916" s="136"/>
      <c r="F916" s="137">
        <f>INSUMOS!$E$92</f>
        <v>966666</v>
      </c>
      <c r="G916" s="132">
        <f>TRUNC(D916 * (1 + E916 / 100) * F916,0)</f>
        <v>966666</v>
      </c>
    </row>
    <row r="917" spans="2:7" x14ac:dyDescent="0.3">
      <c r="B917" s="133"/>
      <c r="C917" s="134"/>
      <c r="D917" s="135"/>
      <c r="E917" s="136"/>
      <c r="F917" s="137"/>
      <c r="G917" s="141"/>
    </row>
    <row r="918" spans="2:7" x14ac:dyDescent="0.3">
      <c r="B918" s="122"/>
      <c r="C918" s="123"/>
      <c r="D918" s="123"/>
      <c r="E918" s="124"/>
      <c r="F918" s="125" t="str">
        <f>"SUBTOTAL " &amp;B915</f>
        <v>SUBTOTAL OTROS</v>
      </c>
      <c r="G918" s="132">
        <f>SUM(G916:G917)</f>
        <v>966666</v>
      </c>
    </row>
    <row r="919" spans="2:7" x14ac:dyDescent="0.3">
      <c r="B919" s="122"/>
      <c r="C919" s="123"/>
      <c r="D919" s="123"/>
      <c r="E919" s="124"/>
      <c r="F919" s="125"/>
      <c r="G919" s="126"/>
    </row>
    <row r="920" spans="2:7" ht="15" thickBot="1" x14ac:dyDescent="0.35">
      <c r="B920" s="146"/>
      <c r="C920" s="147"/>
      <c r="D920" s="166"/>
      <c r="E920" s="148" t="s">
        <v>148</v>
      </c>
      <c r="F920" s="149"/>
      <c r="G920" s="150">
        <f>ROUND(G908+G911+G914+G918,0)</f>
        <v>966666</v>
      </c>
    </row>
    <row r="921" spans="2:7" ht="15" thickTop="1" x14ac:dyDescent="0.3"/>
    <row r="922" spans="2:7" ht="15" thickBot="1" x14ac:dyDescent="0.35"/>
    <row r="923" spans="2:7" ht="49.95" customHeight="1" thickTop="1" x14ac:dyDescent="0.3">
      <c r="B923" s="315" t="str">
        <f>'FORMATO 13'!C57</f>
        <v>DISPOSICIÓN FINAL DE SOBRANTES: Se debe realizar el aseo y limpieza permanente del área de trabajo y sus alrededores afectados; todos los sobrantes de este trabajo deberán ser depositados en los sitios autorizados por la autoridad ambiental municipal. Incluye mano de obra, equipos y herramienta de cargue y descargue; maquinaria, equipo y herramienta para el transporte; trámite y costos de permisos para disposición de material de desecho.</v>
      </c>
      <c r="C923" s="316"/>
      <c r="D923" s="316"/>
      <c r="E923" s="317"/>
      <c r="F923" s="115" t="s">
        <v>140</v>
      </c>
      <c r="G923" s="116" t="str">
        <f>'FORMATO 13'!D57</f>
        <v>MES</v>
      </c>
    </row>
    <row r="924" spans="2:7" ht="49.95" customHeight="1" x14ac:dyDescent="0.3">
      <c r="B924" s="318"/>
      <c r="C924" s="319"/>
      <c r="D924" s="319"/>
      <c r="E924" s="320"/>
      <c r="F924" s="117" t="s">
        <v>141</v>
      </c>
      <c r="G924" s="156">
        <f>'FORMATO 13'!B57</f>
        <v>3.0999999999999979</v>
      </c>
    </row>
    <row r="925" spans="2:7" x14ac:dyDescent="0.3">
      <c r="B925" s="118" t="s">
        <v>5</v>
      </c>
      <c r="C925" s="119" t="s">
        <v>92</v>
      </c>
      <c r="D925" s="119" t="s">
        <v>93</v>
      </c>
      <c r="E925" s="119" t="s">
        <v>142</v>
      </c>
      <c r="F925" s="120" t="s">
        <v>143</v>
      </c>
      <c r="G925" s="121" t="s">
        <v>10</v>
      </c>
    </row>
    <row r="926" spans="2:7" x14ac:dyDescent="0.3">
      <c r="B926" s="122"/>
      <c r="C926" s="123"/>
      <c r="D926" s="123"/>
      <c r="E926" s="124"/>
      <c r="F926" s="125"/>
      <c r="G926" s="126"/>
    </row>
    <row r="927" spans="2:7" x14ac:dyDescent="0.3">
      <c r="B927" s="127" t="s">
        <v>91</v>
      </c>
      <c r="C927" s="123"/>
      <c r="D927" s="123"/>
      <c r="E927" s="124"/>
      <c r="F927" s="125"/>
      <c r="G927" s="126"/>
    </row>
    <row r="928" spans="2:7" x14ac:dyDescent="0.3">
      <c r="B928" s="128" t="str">
        <f>INSUMOS!$B$13</f>
        <v>BOLSAS PARA BASURA</v>
      </c>
      <c r="C928" s="129" t="str">
        <f>INSUMOS!$C$13</f>
        <v>UND</v>
      </c>
      <c r="D928" s="129">
        <v>55</v>
      </c>
      <c r="E928" s="130">
        <v>0</v>
      </c>
      <c r="F928" s="131">
        <f>INSUMOS!$E$13</f>
        <v>2053</v>
      </c>
      <c r="G928" s="132">
        <f t="shared" ref="G928" si="39">TRUNC(D928 * (1 + E928 / 100) * F928,0)</f>
        <v>112915</v>
      </c>
    </row>
    <row r="929" spans="2:7" x14ac:dyDescent="0.3">
      <c r="B929" s="142"/>
      <c r="C929" s="157"/>
      <c r="D929" s="158"/>
      <c r="E929" s="159"/>
      <c r="F929" s="145"/>
      <c r="G929" s="138"/>
    </row>
    <row r="930" spans="2:7" x14ac:dyDescent="0.3">
      <c r="B930" s="122"/>
      <c r="C930" s="123"/>
      <c r="D930" s="123"/>
      <c r="E930" s="124"/>
      <c r="F930" s="125" t="s">
        <v>144</v>
      </c>
      <c r="G930" s="132">
        <f>SUM(G928:G928)</f>
        <v>112915</v>
      </c>
    </row>
    <row r="931" spans="2:7" x14ac:dyDescent="0.3">
      <c r="B931" s="127" t="s">
        <v>114</v>
      </c>
      <c r="C931" s="123"/>
      <c r="D931" s="123"/>
      <c r="E931" s="124"/>
      <c r="F931" s="125"/>
      <c r="G931" s="139"/>
    </row>
    <row r="932" spans="2:7" x14ac:dyDescent="0.3">
      <c r="B932" s="133" t="str">
        <f>INSUMOS!$B$70</f>
        <v>M.O. ALBAÑILERIA 4 AYUDANTES</v>
      </c>
      <c r="C932" s="134" t="str">
        <f>INSUMOS!$C$70</f>
        <v>JORNAL</v>
      </c>
      <c r="D932" s="123">
        <v>1.75</v>
      </c>
      <c r="E932" s="136"/>
      <c r="F932" s="137">
        <f>INSUMOS!$E$70</f>
        <v>456442</v>
      </c>
      <c r="G932" s="132">
        <f>TRUNC(D932 * (1 + E932 / 100) * F932,0)</f>
        <v>798773</v>
      </c>
    </row>
    <row r="933" spans="2:7" x14ac:dyDescent="0.3">
      <c r="B933" s="142"/>
      <c r="C933" s="157"/>
      <c r="D933" s="158"/>
      <c r="E933" s="159"/>
      <c r="F933" s="145"/>
      <c r="G933" s="141"/>
    </row>
    <row r="934" spans="2:7" x14ac:dyDescent="0.3">
      <c r="B934" s="122"/>
      <c r="C934" s="123"/>
      <c r="D934" s="123"/>
      <c r="E934" s="124"/>
      <c r="F934" s="125" t="s">
        <v>145</v>
      </c>
      <c r="G934" s="132">
        <f>SUM(G932:G932)</f>
        <v>798773</v>
      </c>
    </row>
    <row r="935" spans="2:7" x14ac:dyDescent="0.3">
      <c r="B935" s="127" t="s">
        <v>125</v>
      </c>
      <c r="C935" s="123"/>
      <c r="D935" s="123"/>
      <c r="E935" s="124"/>
      <c r="F935" s="125"/>
      <c r="G935" s="139"/>
    </row>
    <row r="936" spans="2:7" x14ac:dyDescent="0.3">
      <c r="B936" s="133" t="str">
        <f>INSUMOS!$B$83</f>
        <v>VOLQUETA 8 M3 CON BOTADERO CERTIFICADO</v>
      </c>
      <c r="C936" s="134" t="str">
        <f>INSUMOS!$C$83</f>
        <v>M3</v>
      </c>
      <c r="D936" s="123">
        <v>5</v>
      </c>
      <c r="E936" s="136"/>
      <c r="F936" s="137">
        <f>INSUMOS!$E$83</f>
        <v>24812</v>
      </c>
      <c r="G936" s="132">
        <f>TRUNC(D936 * (1 + E936 / 100) * F936,0)</f>
        <v>124060</v>
      </c>
    </row>
    <row r="937" spans="2:7" x14ac:dyDescent="0.3">
      <c r="B937" s="142"/>
      <c r="C937" s="157"/>
      <c r="D937" s="158"/>
      <c r="E937" s="159"/>
      <c r="F937" s="145"/>
      <c r="G937" s="141"/>
    </row>
    <row r="938" spans="2:7" x14ac:dyDescent="0.3">
      <c r="B938" s="122"/>
      <c r="C938" s="123"/>
      <c r="D938" s="123"/>
      <c r="E938" s="124"/>
      <c r="F938" s="125" t="s">
        <v>146</v>
      </c>
      <c r="G938" s="132">
        <f>SUM(G936:G936)</f>
        <v>124060</v>
      </c>
    </row>
    <row r="939" spans="2:7" x14ac:dyDescent="0.3">
      <c r="B939" s="127" t="s">
        <v>147</v>
      </c>
      <c r="C939" s="123"/>
      <c r="D939" s="123"/>
      <c r="E939" s="124"/>
      <c r="F939" s="125"/>
      <c r="G939" s="139"/>
    </row>
    <row r="940" spans="2:7" x14ac:dyDescent="0.3">
      <c r="B940" s="133" t="str">
        <f>INSUMOS!$B$84</f>
        <v>HERRAMIENTA MENOR</v>
      </c>
      <c r="C940" s="134" t="str">
        <f>INSUMOS!$C$84</f>
        <v>GLB</v>
      </c>
      <c r="D940" s="163">
        <v>4.4074999999999998</v>
      </c>
      <c r="E940" s="136"/>
      <c r="F940" s="137">
        <f>INSUMOS!$E$84</f>
        <v>2174</v>
      </c>
      <c r="G940" s="132">
        <f>TRUNC(D940 * (1 + E940 / 100) * F940,0)</f>
        <v>9581</v>
      </c>
    </row>
    <row r="941" spans="2:7" x14ac:dyDescent="0.3">
      <c r="B941" s="133"/>
      <c r="C941" s="134"/>
      <c r="D941" s="135"/>
      <c r="E941" s="136"/>
      <c r="F941" s="137"/>
      <c r="G941" s="141"/>
    </row>
    <row r="942" spans="2:7" x14ac:dyDescent="0.3">
      <c r="B942" s="122"/>
      <c r="C942" s="123"/>
      <c r="D942" s="123"/>
      <c r="E942" s="124"/>
      <c r="F942" s="125" t="str">
        <f>"SUBTOTAL " &amp;B939</f>
        <v>SUBTOTAL OTROS</v>
      </c>
      <c r="G942" s="132">
        <f>SUM(G940:G941)</f>
        <v>9581</v>
      </c>
    </row>
    <row r="943" spans="2:7" x14ac:dyDescent="0.3">
      <c r="B943" s="122"/>
      <c r="C943" s="123"/>
      <c r="D943" s="123"/>
      <c r="E943" s="124"/>
      <c r="F943" s="125"/>
      <c r="G943" s="126"/>
    </row>
    <row r="944" spans="2:7" ht="15" thickBot="1" x14ac:dyDescent="0.35">
      <c r="B944" s="146"/>
      <c r="C944" s="147"/>
      <c r="D944" s="166"/>
      <c r="E944" s="148" t="s">
        <v>148</v>
      </c>
      <c r="F944" s="149"/>
      <c r="G944" s="150">
        <f>ROUND(G930+G934+G938+G942,0)</f>
        <v>1045329</v>
      </c>
    </row>
    <row r="945" spans="2:7" ht="15" thickTop="1" x14ac:dyDescent="0.3"/>
    <row r="946" spans="2:7" ht="15" thickBot="1" x14ac:dyDescent="0.35"/>
    <row r="947" spans="2:7" ht="15" thickBot="1" x14ac:dyDescent="0.35">
      <c r="B947" s="114">
        <f>'FORMATO 13'!B59</f>
        <v>4</v>
      </c>
      <c r="C947" s="106"/>
      <c r="D947" s="106"/>
      <c r="E947" s="100"/>
      <c r="F947" s="113"/>
      <c r="G947" s="113"/>
    </row>
    <row r="948" spans="2:7" ht="15" thickBot="1" x14ac:dyDescent="0.35">
      <c r="B948" s="312" t="str">
        <f>'FORMATO 13'!C59</f>
        <v>MANTENIMIENTO GRAMA NATURAL DEL DIAMANTE DE BÉISBOL</v>
      </c>
      <c r="C948" s="313"/>
      <c r="D948" s="313"/>
      <c r="E948" s="313"/>
      <c r="F948" s="313"/>
      <c r="G948" s="314"/>
    </row>
    <row r="950" spans="2:7" ht="15" thickBot="1" x14ac:dyDescent="0.35"/>
    <row r="951" spans="2:7" ht="70.05" customHeight="1" thickTop="1" x14ac:dyDescent="0.3">
      <c r="B951" s="315" t="str">
        <f>'FORMATO 13'!C60</f>
        <v xml:space="preserve">CORTE: Mantener la altura adecuada del césped para favorecer un crecimiento saludable del gramado.  Se debe realizar un corte antes de cada partido o evento a toda la gramilla,  o de acuerdo con las indicaciones de la supervisión y/o interventoría y/o recomendación del contratista, debidamente aprobadas por el supervisor, con la finalidad de tener a la altura óptima el prado. Incluye:  La maquinaria especializada, el combustible, operarios, herramientas menores, recolección y disposición adecuada de los residuos. El corte debe ser permanente y ajustado para la perfecta conservación de las gramillas. Se debe utilizar una cortadora especializada tipo greenera.  Esto garantiza que el césped mantenga la altura óptima definida por la entidad. </v>
      </c>
      <c r="C951" s="316"/>
      <c r="D951" s="316"/>
      <c r="E951" s="317"/>
      <c r="F951" s="115" t="s">
        <v>140</v>
      </c>
      <c r="G951" s="116" t="str">
        <f>'FORMATO 13'!D60</f>
        <v>VECES</v>
      </c>
    </row>
    <row r="952" spans="2:7" ht="70.05" customHeight="1" x14ac:dyDescent="0.3">
      <c r="B952" s="318"/>
      <c r="C952" s="319"/>
      <c r="D952" s="319"/>
      <c r="E952" s="320"/>
      <c r="F952" s="117" t="s">
        <v>141</v>
      </c>
      <c r="G952" s="155">
        <f>'FORMATO 13'!B60</f>
        <v>4.01</v>
      </c>
    </row>
    <row r="953" spans="2:7" x14ac:dyDescent="0.3">
      <c r="B953" s="118" t="s">
        <v>5</v>
      </c>
      <c r="C953" s="119" t="s">
        <v>92</v>
      </c>
      <c r="D953" s="119" t="s">
        <v>93</v>
      </c>
      <c r="E953" s="119" t="s">
        <v>142</v>
      </c>
      <c r="F953" s="120" t="s">
        <v>143</v>
      </c>
      <c r="G953" s="121" t="s">
        <v>10</v>
      </c>
    </row>
    <row r="954" spans="2:7" x14ac:dyDescent="0.3">
      <c r="B954" s="122"/>
      <c r="C954" s="123"/>
      <c r="D954" s="123"/>
      <c r="E954" s="124"/>
      <c r="F954" s="125"/>
      <c r="G954" s="126"/>
    </row>
    <row r="955" spans="2:7" x14ac:dyDescent="0.3">
      <c r="B955" s="127" t="s">
        <v>91</v>
      </c>
      <c r="C955" s="123"/>
      <c r="D955" s="123"/>
      <c r="E955" s="124"/>
      <c r="F955" s="125"/>
      <c r="G955" s="126"/>
    </row>
    <row r="956" spans="2:7" x14ac:dyDescent="0.3">
      <c r="B956" s="128" t="str">
        <f>INSUMOS!$B$37</f>
        <v>RASTRILLO PLÁSTICO</v>
      </c>
      <c r="C956" s="129" t="str">
        <f>INSUMOS!$C$37</f>
        <v>UND</v>
      </c>
      <c r="D956" s="129">
        <v>1.5</v>
      </c>
      <c r="E956" s="130">
        <v>0</v>
      </c>
      <c r="F956" s="131">
        <f>INSUMOS!$E$37</f>
        <v>29179</v>
      </c>
      <c r="G956" s="132">
        <f t="shared" ref="G956:G961" si="40">TRUNC(D956 * (1 + E956 / 100) * F956,0)</f>
        <v>43768</v>
      </c>
    </row>
    <row r="957" spans="2:7" x14ac:dyDescent="0.3">
      <c r="B957" s="128" t="str">
        <f>INSUMOS!$B$13</f>
        <v>BOLSAS PARA BASURA</v>
      </c>
      <c r="C957" s="129" t="str">
        <f>INSUMOS!$C$13</f>
        <v>UND</v>
      </c>
      <c r="D957" s="129">
        <v>70</v>
      </c>
      <c r="E957" s="130">
        <v>0</v>
      </c>
      <c r="F957" s="131">
        <f>INSUMOS!$E$13</f>
        <v>2053</v>
      </c>
      <c r="G957" s="132">
        <f t="shared" si="40"/>
        <v>143710</v>
      </c>
    </row>
    <row r="958" spans="2:7" x14ac:dyDescent="0.3">
      <c r="B958" s="128" t="str">
        <f>INSUMOS!$B$38</f>
        <v>TELAR SINTETICO TIPO ALFOMBRA 1.50X3.00</v>
      </c>
      <c r="C958" s="129" t="str">
        <f>INSUMOS!$C$38</f>
        <v>UND</v>
      </c>
      <c r="D958" s="129">
        <v>0.05</v>
      </c>
      <c r="E958" s="130">
        <v>0</v>
      </c>
      <c r="F958" s="131">
        <f>INSUMOS!$E$38</f>
        <v>225321</v>
      </c>
      <c r="G958" s="132">
        <f t="shared" si="40"/>
        <v>11266</v>
      </c>
    </row>
    <row r="959" spans="2:7" x14ac:dyDescent="0.3">
      <c r="B959" s="128" t="str">
        <f>INSUMOS!$B$39</f>
        <v>CARRETA TIPO BUGUI</v>
      </c>
      <c r="C959" s="129" t="str">
        <f>INSUMOS!$C$39</f>
        <v>DIA</v>
      </c>
      <c r="D959" s="129">
        <v>5</v>
      </c>
      <c r="E959" s="130">
        <v>0</v>
      </c>
      <c r="F959" s="131">
        <f>INSUMOS!$E$39</f>
        <v>4665</v>
      </c>
      <c r="G959" s="132">
        <f t="shared" si="40"/>
        <v>23325</v>
      </c>
    </row>
    <row r="960" spans="2:7" x14ac:dyDescent="0.3">
      <c r="B960" s="128" t="str">
        <f>INSUMOS!$B$40</f>
        <v>ESCOBA PLASTICA DE CERDA FINA ANCHA</v>
      </c>
      <c r="C960" s="129" t="str">
        <f>INSUMOS!$C$40</f>
        <v>UND</v>
      </c>
      <c r="D960" s="129">
        <v>3</v>
      </c>
      <c r="E960" s="130">
        <v>0</v>
      </c>
      <c r="F960" s="131">
        <f>INSUMOS!$E$40</f>
        <v>7217</v>
      </c>
      <c r="G960" s="132">
        <f t="shared" si="40"/>
        <v>21651</v>
      </c>
    </row>
    <row r="961" spans="2:7" x14ac:dyDescent="0.3">
      <c r="B961" s="151" t="str">
        <f>INSUMOS!$B$11</f>
        <v>GASOLINA CORRIENTE</v>
      </c>
      <c r="C961" s="129" t="str">
        <f>INSUMOS!$C$11</f>
        <v>GLN</v>
      </c>
      <c r="D961" s="129">
        <v>0.5</v>
      </c>
      <c r="E961" s="130">
        <v>0</v>
      </c>
      <c r="F961" s="131">
        <f>INSUMOS!$E$11</f>
        <v>16423</v>
      </c>
      <c r="G961" s="132">
        <f t="shared" si="40"/>
        <v>8211</v>
      </c>
    </row>
    <row r="962" spans="2:7" x14ac:dyDescent="0.3">
      <c r="B962" s="128"/>
      <c r="C962" s="129"/>
      <c r="D962" s="129"/>
      <c r="E962" s="130"/>
      <c r="F962" s="131"/>
      <c r="G962" s="132"/>
    </row>
    <row r="963" spans="2:7" x14ac:dyDescent="0.3">
      <c r="B963" s="122"/>
      <c r="C963" s="123"/>
      <c r="D963" s="123"/>
      <c r="E963" s="124"/>
      <c r="F963" s="125" t="s">
        <v>144</v>
      </c>
      <c r="G963" s="132">
        <f>SUM(G954:G962)</f>
        <v>251931</v>
      </c>
    </row>
    <row r="964" spans="2:7" x14ac:dyDescent="0.3">
      <c r="B964" s="127" t="s">
        <v>114</v>
      </c>
      <c r="C964" s="123"/>
      <c r="D964" s="123"/>
      <c r="E964" s="124"/>
      <c r="F964" s="125"/>
      <c r="G964" s="139"/>
    </row>
    <row r="965" spans="2:7" x14ac:dyDescent="0.3">
      <c r="B965" s="151" t="str">
        <f>INSUMOS!$B$73</f>
        <v>M.O. 1 OFICIAL + 2 AYUDANTES</v>
      </c>
      <c r="C965" s="129" t="str">
        <f>INSUMOS!$C$73</f>
        <v>JORNAL</v>
      </c>
      <c r="D965" s="129">
        <v>0.5</v>
      </c>
      <c r="E965" s="130"/>
      <c r="F965" s="140">
        <f>INSUMOS!$E$73</f>
        <v>422209</v>
      </c>
      <c r="G965" s="132">
        <f>TRUNC(D965 * (1 + E965 / 100) * F965,0)</f>
        <v>211104</v>
      </c>
    </row>
    <row r="966" spans="2:7" x14ac:dyDescent="0.3">
      <c r="B966" s="142"/>
      <c r="C966" s="157"/>
      <c r="D966" s="158"/>
      <c r="E966" s="159"/>
      <c r="F966" s="145"/>
      <c r="G966" s="141"/>
    </row>
    <row r="967" spans="2:7" x14ac:dyDescent="0.3">
      <c r="B967" s="122"/>
      <c r="C967" s="123"/>
      <c r="D967" s="123"/>
      <c r="E967" s="124"/>
      <c r="F967" s="125" t="s">
        <v>145</v>
      </c>
      <c r="G967" s="132">
        <f>SUM(G965:G965)</f>
        <v>211104</v>
      </c>
    </row>
    <row r="968" spans="2:7" x14ac:dyDescent="0.3">
      <c r="B968" s="127" t="s">
        <v>125</v>
      </c>
      <c r="C968" s="123"/>
      <c r="D968" s="123"/>
      <c r="E968" s="124"/>
      <c r="F968" s="125"/>
      <c r="G968" s="139"/>
    </row>
    <row r="969" spans="2:7" x14ac:dyDescent="0.3">
      <c r="B969" s="133" t="str">
        <f>INSUMOS!$B$94</f>
        <v>CORTACESPED TIPO GREENERA A GASOLINA</v>
      </c>
      <c r="C969" s="134" t="str">
        <f>INSUMOS!$C$94</f>
        <v>GLB</v>
      </c>
      <c r="D969" s="123">
        <v>0.05</v>
      </c>
      <c r="E969" s="136"/>
      <c r="F969" s="137">
        <f>INSUMOS!$E$94</f>
        <v>931000</v>
      </c>
      <c r="G969" s="132">
        <f>TRUNC(D969 * (1 + E969 / 100) * F969,0)</f>
        <v>46550</v>
      </c>
    </row>
    <row r="970" spans="2:7" x14ac:dyDescent="0.3">
      <c r="B970" s="151"/>
      <c r="C970" s="129"/>
      <c r="D970" s="129"/>
      <c r="E970" s="130"/>
      <c r="F970" s="140"/>
      <c r="G970" s="132"/>
    </row>
    <row r="971" spans="2:7" x14ac:dyDescent="0.3">
      <c r="B971" s="142"/>
      <c r="C971" s="157"/>
      <c r="D971" s="158"/>
      <c r="E971" s="159"/>
      <c r="F971" s="145"/>
      <c r="G971" s="141"/>
    </row>
    <row r="972" spans="2:7" x14ac:dyDescent="0.3">
      <c r="B972" s="122"/>
      <c r="C972" s="123"/>
      <c r="D972" s="123"/>
      <c r="E972" s="124"/>
      <c r="F972" s="125" t="s">
        <v>146</v>
      </c>
      <c r="G972" s="132">
        <f>SUM(G969:G969)</f>
        <v>46550</v>
      </c>
    </row>
    <row r="973" spans="2:7" x14ac:dyDescent="0.3">
      <c r="B973" s="127" t="s">
        <v>147</v>
      </c>
      <c r="C973" s="123"/>
      <c r="D973" s="123"/>
      <c r="E973" s="124"/>
      <c r="F973" s="125"/>
      <c r="G973" s="139"/>
    </row>
    <row r="974" spans="2:7" x14ac:dyDescent="0.3">
      <c r="B974" s="133" t="str">
        <f>INSUMOS!$B$84</f>
        <v>HERRAMIENTA MENOR</v>
      </c>
      <c r="C974" s="134" t="str">
        <f>INSUMOS!$C$84</f>
        <v>GLB</v>
      </c>
      <c r="D974" s="163">
        <v>3.9119999999999999</v>
      </c>
      <c r="E974" s="136"/>
      <c r="F974" s="137">
        <f>INSUMOS!$E$84</f>
        <v>2174</v>
      </c>
      <c r="G974" s="132">
        <f>TRUNC(D974 * (1 + E974 / 100) * F974,0)</f>
        <v>8504</v>
      </c>
    </row>
    <row r="975" spans="2:7" x14ac:dyDescent="0.3">
      <c r="B975" s="133"/>
      <c r="C975" s="134"/>
      <c r="D975" s="135"/>
      <c r="E975" s="136"/>
      <c r="F975" s="137"/>
      <c r="G975" s="141"/>
    </row>
    <row r="976" spans="2:7" x14ac:dyDescent="0.3">
      <c r="B976" s="122"/>
      <c r="C976" s="123"/>
      <c r="D976" s="123"/>
      <c r="E976" s="124"/>
      <c r="F976" s="125" t="str">
        <f>"SUBTOTAL " &amp;B973</f>
        <v>SUBTOTAL OTROS</v>
      </c>
      <c r="G976" s="132">
        <f>SUM(G974:G975)</f>
        <v>8504</v>
      </c>
    </row>
    <row r="977" spans="2:7" x14ac:dyDescent="0.3">
      <c r="B977" s="122"/>
      <c r="C977" s="123"/>
      <c r="D977" s="123"/>
      <c r="E977" s="124"/>
      <c r="F977" s="125"/>
      <c r="G977" s="126"/>
    </row>
    <row r="978" spans="2:7" ht="15" thickBot="1" x14ac:dyDescent="0.35">
      <c r="B978" s="146"/>
      <c r="C978" s="147"/>
      <c r="D978" s="166"/>
      <c r="E978" s="148" t="s">
        <v>148</v>
      </c>
      <c r="F978" s="149"/>
      <c r="G978" s="150">
        <f>ROUND(G963+G967+G972+G976,0)</f>
        <v>518089</v>
      </c>
    </row>
    <row r="979" spans="2:7" ht="15" thickTop="1" x14ac:dyDescent="0.3"/>
    <row r="980" spans="2:7" ht="15" thickBot="1" x14ac:dyDescent="0.35"/>
    <row r="981" spans="2:7" ht="49.95" customHeight="1" thickTop="1" x14ac:dyDescent="0.3">
      <c r="B981" s="315" t="str">
        <f>'FORMATO 13'!C61</f>
        <v xml:space="preserve">RIEGO: Permanente dependiendo de las condiciones hidroclimátológicas y de la necesidad del campo. Siguiendo las indicaciones de la supervisión, interventoría o recomendaciones del contratista, debidamente aprobadas por el supervisor. Esta actividad incluye la operación del sistema de riego el cual debe ser continuo,  El contratista deberá responder por las condiciones operativas del sistema de riego. </v>
      </c>
      <c r="C981" s="316"/>
      <c r="D981" s="316"/>
      <c r="E981" s="317"/>
      <c r="F981" s="115" t="s">
        <v>140</v>
      </c>
      <c r="G981" s="116" t="str">
        <f>'FORMATO 13'!D61</f>
        <v>MESES</v>
      </c>
    </row>
    <row r="982" spans="2:7" ht="49.95" customHeight="1" x14ac:dyDescent="0.3">
      <c r="B982" s="318"/>
      <c r="C982" s="319"/>
      <c r="D982" s="319"/>
      <c r="E982" s="320"/>
      <c r="F982" s="117" t="s">
        <v>141</v>
      </c>
      <c r="G982" s="155">
        <f>'FORMATO 13'!B61</f>
        <v>4.0199999999999996</v>
      </c>
    </row>
    <row r="983" spans="2:7" x14ac:dyDescent="0.3">
      <c r="B983" s="118" t="s">
        <v>5</v>
      </c>
      <c r="C983" s="119" t="s">
        <v>92</v>
      </c>
      <c r="D983" s="119" t="s">
        <v>93</v>
      </c>
      <c r="E983" s="119" t="s">
        <v>142</v>
      </c>
      <c r="F983" s="120" t="s">
        <v>143</v>
      </c>
      <c r="G983" s="121" t="s">
        <v>10</v>
      </c>
    </row>
    <row r="984" spans="2:7" x14ac:dyDescent="0.3">
      <c r="B984" s="122"/>
      <c r="C984" s="123"/>
      <c r="D984" s="123"/>
      <c r="E984" s="124"/>
      <c r="F984" s="125"/>
      <c r="G984" s="126"/>
    </row>
    <row r="985" spans="2:7" x14ac:dyDescent="0.3">
      <c r="B985" s="127" t="s">
        <v>91</v>
      </c>
      <c r="C985" s="123"/>
      <c r="D985" s="123"/>
      <c r="E985" s="124"/>
      <c r="F985" s="125"/>
      <c r="G985" s="126"/>
    </row>
    <row r="986" spans="2:7" x14ac:dyDescent="0.3">
      <c r="B986" s="128" t="str">
        <f>INSUMOS!$B$41</f>
        <v>MANGUERA PARA RIEGO 2" TIPO BOMBERO DE 200ML</v>
      </c>
      <c r="C986" s="129" t="str">
        <f>INSUMOS!$C$41</f>
        <v>ML</v>
      </c>
      <c r="D986" s="129">
        <v>20</v>
      </c>
      <c r="E986" s="130">
        <v>0</v>
      </c>
      <c r="F986" s="131">
        <f>INSUMOS!$E$41</f>
        <v>6657</v>
      </c>
      <c r="G986" s="132">
        <f t="shared" ref="G986:G988" si="41">TRUNC(D986 * (1 + E986 / 100) * F986,0)</f>
        <v>133140</v>
      </c>
    </row>
    <row r="987" spans="2:7" x14ac:dyDescent="0.3">
      <c r="B987" s="128" t="str">
        <f>INSUMOS!$B$42</f>
        <v>CAÑON 50 (DIAMETRO DE RIEGO 50ML)</v>
      </c>
      <c r="C987" s="129" t="str">
        <f>INSUMOS!$C$42</f>
        <v>UND</v>
      </c>
      <c r="D987" s="129">
        <v>0.1</v>
      </c>
      <c r="E987" s="130">
        <v>0</v>
      </c>
      <c r="F987" s="131">
        <f>INSUMOS!$E$42</f>
        <v>1723748</v>
      </c>
      <c r="G987" s="132">
        <f t="shared" si="41"/>
        <v>172374</v>
      </c>
    </row>
    <row r="988" spans="2:7" x14ac:dyDescent="0.3">
      <c r="B988" s="128" t="str">
        <f>INSUMOS!$B$43</f>
        <v>TRIPODE</v>
      </c>
      <c r="C988" s="129" t="str">
        <f>INSUMOS!$C$43</f>
        <v>UND</v>
      </c>
      <c r="D988" s="129">
        <v>0.1</v>
      </c>
      <c r="E988" s="130">
        <v>0</v>
      </c>
      <c r="F988" s="131">
        <f>INSUMOS!$E$43</f>
        <v>383055</v>
      </c>
      <c r="G988" s="132">
        <f t="shared" si="41"/>
        <v>38305</v>
      </c>
    </row>
    <row r="989" spans="2:7" x14ac:dyDescent="0.3">
      <c r="B989" s="128"/>
      <c r="C989" s="129"/>
      <c r="D989" s="129"/>
      <c r="E989" s="130"/>
      <c r="F989" s="131"/>
      <c r="G989" s="132"/>
    </row>
    <row r="990" spans="2:7" x14ac:dyDescent="0.3">
      <c r="B990" s="122"/>
      <c r="C990" s="123"/>
      <c r="D990" s="123"/>
      <c r="E990" s="124"/>
      <c r="F990" s="125" t="s">
        <v>144</v>
      </c>
      <c r="G990" s="132">
        <f>SUM(G984:G989)</f>
        <v>343819</v>
      </c>
    </row>
    <row r="991" spans="2:7" x14ac:dyDescent="0.3">
      <c r="B991" s="127" t="s">
        <v>114</v>
      </c>
      <c r="C991" s="123"/>
      <c r="D991" s="123"/>
      <c r="E991" s="124"/>
      <c r="F991" s="125"/>
      <c r="G991" s="139"/>
    </row>
    <row r="992" spans="2:7" x14ac:dyDescent="0.3">
      <c r="B992" s="151" t="str">
        <f>INSUMOS!$B$68</f>
        <v>M.O. ALBAÑILERIA 2 AYUDANTES</v>
      </c>
      <c r="C992" s="129" t="str">
        <f>INSUMOS!$C$68</f>
        <v>JORNAL</v>
      </c>
      <c r="D992" s="129">
        <v>0.62503299999999995</v>
      </c>
      <c r="E992" s="130"/>
      <c r="F992" s="140">
        <f>INSUMOS!$E$68</f>
        <v>228221</v>
      </c>
      <c r="G992" s="132">
        <f>TRUNC(D992 * (1 + E992 / 100) * F992,0)</f>
        <v>142645</v>
      </c>
    </row>
    <row r="993" spans="2:7" x14ac:dyDescent="0.3">
      <c r="B993" s="142"/>
      <c r="C993" s="157"/>
      <c r="D993" s="158"/>
      <c r="E993" s="159"/>
      <c r="F993" s="145"/>
      <c r="G993" s="141"/>
    </row>
    <row r="994" spans="2:7" x14ac:dyDescent="0.3">
      <c r="B994" s="122"/>
      <c r="C994" s="123"/>
      <c r="D994" s="123"/>
      <c r="E994" s="124"/>
      <c r="F994" s="125" t="s">
        <v>145</v>
      </c>
      <c r="G994" s="132">
        <f>SUM(G992:G992)</f>
        <v>142645</v>
      </c>
    </row>
    <row r="995" spans="2:7" x14ac:dyDescent="0.3">
      <c r="B995" s="127" t="s">
        <v>125</v>
      </c>
      <c r="C995" s="123"/>
      <c r="D995" s="123"/>
      <c r="E995" s="124"/>
      <c r="F995" s="125"/>
      <c r="G995" s="139"/>
    </row>
    <row r="996" spans="2:7" x14ac:dyDescent="0.3">
      <c r="B996" s="151"/>
      <c r="C996" s="129"/>
      <c r="D996" s="129"/>
      <c r="E996" s="130"/>
      <c r="F996" s="140"/>
      <c r="G996" s="132"/>
    </row>
    <row r="997" spans="2:7" x14ac:dyDescent="0.3">
      <c r="B997" s="142"/>
      <c r="C997" s="157"/>
      <c r="D997" s="158"/>
      <c r="E997" s="159"/>
      <c r="F997" s="145"/>
      <c r="G997" s="141"/>
    </row>
    <row r="998" spans="2:7" x14ac:dyDescent="0.3">
      <c r="B998" s="122"/>
      <c r="C998" s="123"/>
      <c r="D998" s="123"/>
      <c r="E998" s="124"/>
      <c r="F998" s="125" t="s">
        <v>146</v>
      </c>
      <c r="G998" s="132">
        <f>SUM(G996:G997)</f>
        <v>0</v>
      </c>
    </row>
    <row r="999" spans="2:7" x14ac:dyDescent="0.3">
      <c r="B999" s="127" t="s">
        <v>147</v>
      </c>
      <c r="C999" s="123"/>
      <c r="D999" s="123"/>
      <c r="E999" s="124"/>
      <c r="F999" s="125"/>
      <c r="G999" s="139"/>
    </row>
    <row r="1000" spans="2:7" x14ac:dyDescent="0.3">
      <c r="B1000" s="133" t="str">
        <f>INSUMOS!$B$84</f>
        <v>HERRAMIENTA MENOR</v>
      </c>
      <c r="C1000" s="134" t="str">
        <f>INSUMOS!$C$84</f>
        <v>GLB</v>
      </c>
      <c r="D1000" s="123">
        <v>15</v>
      </c>
      <c r="E1000" s="136"/>
      <c r="F1000" s="137">
        <f>INSUMOS!$E$84</f>
        <v>2174</v>
      </c>
      <c r="G1000" s="132">
        <f>TRUNC(D1000 * (1 + E1000 / 100) * F1000,0)</f>
        <v>32610</v>
      </c>
    </row>
    <row r="1001" spans="2:7" x14ac:dyDescent="0.3">
      <c r="B1001" s="133"/>
      <c r="C1001" s="134"/>
      <c r="D1001" s="135"/>
      <c r="E1001" s="136"/>
      <c r="F1001" s="137"/>
      <c r="G1001" s="141"/>
    </row>
    <row r="1002" spans="2:7" x14ac:dyDescent="0.3">
      <c r="B1002" s="122"/>
      <c r="C1002" s="123"/>
      <c r="D1002" s="123"/>
      <c r="E1002" s="124"/>
      <c r="F1002" s="125" t="str">
        <f>"SUBTOTAL " &amp;B999</f>
        <v>SUBTOTAL OTROS</v>
      </c>
      <c r="G1002" s="132">
        <f>SUM(G1000:G1001)</f>
        <v>32610</v>
      </c>
    </row>
    <row r="1003" spans="2:7" x14ac:dyDescent="0.3">
      <c r="B1003" s="122"/>
      <c r="C1003" s="123"/>
      <c r="D1003" s="123"/>
      <c r="E1003" s="124"/>
      <c r="F1003" s="125"/>
      <c r="G1003" s="126"/>
    </row>
    <row r="1004" spans="2:7" ht="15" thickBot="1" x14ac:dyDescent="0.35">
      <c r="B1004" s="146"/>
      <c r="C1004" s="147"/>
      <c r="D1004" s="166"/>
      <c r="E1004" s="148" t="s">
        <v>148</v>
      </c>
      <c r="F1004" s="149"/>
      <c r="G1004" s="150">
        <f>ROUND(G990+G994+G998+G1002,0)</f>
        <v>519074</v>
      </c>
    </row>
    <row r="1005" spans="2:7" ht="15" thickTop="1" x14ac:dyDescent="0.3"/>
    <row r="1006" spans="2:7" ht="15" thickBot="1" x14ac:dyDescent="0.35"/>
    <row r="1007" spans="2:7" ht="60" customHeight="1" thickTop="1" x14ac:dyDescent="0.3">
      <c r="B1007" s="315" t="str">
        <f>'FORMATO 13'!C62</f>
        <v>DESHIERBE Y CONTROL DE MALEZAS: Eliminar las arvenses de hoja ancha y de hoja delgada que se presenten en el área de gramado, siguiendo las indicaciones de la supervisión, interventoría o recomendaciones del contratista, debidamente aprobadas por el supervisor.  Esta actividad debe ser de forma manual y permanente para evitar la presencia de malezas que puedan contaminar el césped, la frecuencia puede variar según el grado de infestación presente. Incluye insumos biológicos, mano de obra, equipos y herramientas necesarias. En caso de que se necesite usar un herbicida selectivo debe ser aprobado por el supervisor.</v>
      </c>
      <c r="C1007" s="316"/>
      <c r="D1007" s="316"/>
      <c r="E1007" s="317"/>
      <c r="F1007" s="115" t="s">
        <v>140</v>
      </c>
      <c r="G1007" s="116" t="str">
        <f>'FORMATO 13'!D62</f>
        <v>MES</v>
      </c>
    </row>
    <row r="1008" spans="2:7" ht="60" customHeight="1" x14ac:dyDescent="0.3">
      <c r="B1008" s="318"/>
      <c r="C1008" s="319"/>
      <c r="D1008" s="319"/>
      <c r="E1008" s="320"/>
      <c r="F1008" s="117" t="s">
        <v>141</v>
      </c>
      <c r="G1008" s="155">
        <f>'FORMATO 13'!B62</f>
        <v>4.0299999999999994</v>
      </c>
    </row>
    <row r="1009" spans="2:7" x14ac:dyDescent="0.3">
      <c r="B1009" s="118" t="s">
        <v>5</v>
      </c>
      <c r="C1009" s="119" t="s">
        <v>92</v>
      </c>
      <c r="D1009" s="119" t="s">
        <v>93</v>
      </c>
      <c r="E1009" s="119" t="s">
        <v>142</v>
      </c>
      <c r="F1009" s="120" t="s">
        <v>143</v>
      </c>
      <c r="G1009" s="121" t="s">
        <v>10</v>
      </c>
    </row>
    <row r="1010" spans="2:7" x14ac:dyDescent="0.3">
      <c r="B1010" s="122"/>
      <c r="C1010" s="123"/>
      <c r="D1010" s="123"/>
      <c r="E1010" s="124"/>
      <c r="F1010" s="125"/>
      <c r="G1010" s="126"/>
    </row>
    <row r="1011" spans="2:7" x14ac:dyDescent="0.3">
      <c r="B1011" s="127" t="s">
        <v>91</v>
      </c>
      <c r="C1011" s="123"/>
      <c r="D1011" s="123"/>
      <c r="E1011" s="124"/>
      <c r="F1011" s="125"/>
      <c r="G1011" s="126"/>
    </row>
    <row r="1012" spans="2:7" x14ac:dyDescent="0.3">
      <c r="B1012" s="128" t="str">
        <f>INSUMOS!$B$13</f>
        <v>BOLSAS PARA BASURA</v>
      </c>
      <c r="C1012" s="129" t="str">
        <f>INSUMOS!$C$13</f>
        <v>UND</v>
      </c>
      <c r="D1012" s="129">
        <v>50</v>
      </c>
      <c r="E1012" s="130">
        <v>0</v>
      </c>
      <c r="F1012" s="131">
        <f>INSUMOS!$E$13</f>
        <v>2053</v>
      </c>
      <c r="G1012" s="132">
        <f t="shared" ref="G1012" si="42">TRUNC(D1012 * (1 + E1012 / 100) * F1012,0)</f>
        <v>102650</v>
      </c>
    </row>
    <row r="1013" spans="2:7" x14ac:dyDescent="0.3">
      <c r="B1013" s="128"/>
      <c r="C1013" s="129"/>
      <c r="D1013" s="129"/>
      <c r="E1013" s="130"/>
      <c r="F1013" s="131"/>
      <c r="G1013" s="132"/>
    </row>
    <row r="1014" spans="2:7" x14ac:dyDescent="0.3">
      <c r="B1014" s="122"/>
      <c r="C1014" s="123"/>
      <c r="D1014" s="123"/>
      <c r="E1014" s="124"/>
      <c r="F1014" s="125" t="s">
        <v>144</v>
      </c>
      <c r="G1014" s="132">
        <f>SUM(G1010:G1013)</f>
        <v>102650</v>
      </c>
    </row>
    <row r="1015" spans="2:7" x14ac:dyDescent="0.3">
      <c r="B1015" s="127" t="s">
        <v>114</v>
      </c>
      <c r="C1015" s="123"/>
      <c r="D1015" s="123"/>
      <c r="E1015" s="124"/>
      <c r="F1015" s="125"/>
      <c r="G1015" s="139"/>
    </row>
    <row r="1016" spans="2:7" x14ac:dyDescent="0.3">
      <c r="B1016" s="151" t="str">
        <f>INSUMOS!$B$68</f>
        <v>M.O. ALBAÑILERIA 2 AYUDANTES</v>
      </c>
      <c r="C1016" s="129" t="str">
        <f>INSUMOS!$C$68</f>
        <v>JORNAL</v>
      </c>
      <c r="D1016" s="160">
        <v>2.88</v>
      </c>
      <c r="E1016" s="130"/>
      <c r="F1016" s="140">
        <f>INSUMOS!$E$68</f>
        <v>228221</v>
      </c>
      <c r="G1016" s="132">
        <f>TRUNC(D1016 * (1 + E1016 / 100) * F1016,0)</f>
        <v>657276</v>
      </c>
    </row>
    <row r="1017" spans="2:7" x14ac:dyDescent="0.3">
      <c r="B1017" s="142"/>
      <c r="C1017" s="157"/>
      <c r="D1017" s="158"/>
      <c r="E1017" s="159"/>
      <c r="F1017" s="145"/>
      <c r="G1017" s="141"/>
    </row>
    <row r="1018" spans="2:7" x14ac:dyDescent="0.3">
      <c r="B1018" s="122"/>
      <c r="C1018" s="123"/>
      <c r="D1018" s="123"/>
      <c r="E1018" s="124"/>
      <c r="F1018" s="125" t="s">
        <v>145</v>
      </c>
      <c r="G1018" s="132">
        <f>SUM(G1016:G1016)</f>
        <v>657276</v>
      </c>
    </row>
    <row r="1019" spans="2:7" x14ac:dyDescent="0.3">
      <c r="B1019" s="127" t="s">
        <v>125</v>
      </c>
      <c r="C1019" s="123"/>
      <c r="D1019" s="123"/>
      <c r="E1019" s="124"/>
      <c r="F1019" s="125"/>
      <c r="G1019" s="139"/>
    </row>
    <row r="1020" spans="2:7" x14ac:dyDescent="0.3">
      <c r="B1020" s="151"/>
      <c r="C1020" s="129"/>
      <c r="D1020" s="129"/>
      <c r="E1020" s="130"/>
      <c r="F1020" s="140"/>
      <c r="G1020" s="132"/>
    </row>
    <row r="1021" spans="2:7" x14ac:dyDescent="0.3">
      <c r="B1021" s="142"/>
      <c r="C1021" s="157"/>
      <c r="D1021" s="158"/>
      <c r="E1021" s="159"/>
      <c r="F1021" s="145"/>
      <c r="G1021" s="141"/>
    </row>
    <row r="1022" spans="2:7" x14ac:dyDescent="0.3">
      <c r="B1022" s="122"/>
      <c r="C1022" s="123"/>
      <c r="D1022" s="123"/>
      <c r="E1022" s="124"/>
      <c r="F1022" s="125" t="s">
        <v>146</v>
      </c>
      <c r="G1022" s="132">
        <f>SUM(G1020:G1021)</f>
        <v>0</v>
      </c>
    </row>
    <row r="1023" spans="2:7" x14ac:dyDescent="0.3">
      <c r="B1023" s="127" t="s">
        <v>147</v>
      </c>
      <c r="C1023" s="123"/>
      <c r="D1023" s="123"/>
      <c r="E1023" s="124"/>
      <c r="F1023" s="125"/>
      <c r="G1023" s="139"/>
    </row>
    <row r="1024" spans="2:7" x14ac:dyDescent="0.3">
      <c r="B1024" s="133" t="str">
        <f>INSUMOS!$B$84</f>
        <v>HERRAMIENTA MENOR</v>
      </c>
      <c r="C1024" s="134" t="str">
        <f>INSUMOS!$C$84</f>
        <v>GLB</v>
      </c>
      <c r="D1024" s="163">
        <v>2.0554999999999999</v>
      </c>
      <c r="E1024" s="136"/>
      <c r="F1024" s="137">
        <f>INSUMOS!$E$84</f>
        <v>2174</v>
      </c>
      <c r="G1024" s="132">
        <f>TRUNC(D1024 * (1 + E1024 / 100) * F1024,0)</f>
        <v>4468</v>
      </c>
    </row>
    <row r="1025" spans="2:7" x14ac:dyDescent="0.3">
      <c r="B1025" s="133"/>
      <c r="C1025" s="134"/>
      <c r="D1025" s="135"/>
      <c r="E1025" s="136"/>
      <c r="F1025" s="137"/>
      <c r="G1025" s="141"/>
    </row>
    <row r="1026" spans="2:7" x14ac:dyDescent="0.3">
      <c r="B1026" s="122"/>
      <c r="C1026" s="123"/>
      <c r="D1026" s="123"/>
      <c r="E1026" s="124"/>
      <c r="F1026" s="125" t="str">
        <f>"SUBTOTAL " &amp;B1023</f>
        <v>SUBTOTAL OTROS</v>
      </c>
      <c r="G1026" s="132">
        <f>SUM(G1024:G1025)</f>
        <v>4468</v>
      </c>
    </row>
    <row r="1027" spans="2:7" x14ac:dyDescent="0.3">
      <c r="B1027" s="122"/>
      <c r="C1027" s="123"/>
      <c r="D1027" s="123"/>
      <c r="E1027" s="124"/>
      <c r="F1027" s="125"/>
      <c r="G1027" s="126"/>
    </row>
    <row r="1028" spans="2:7" ht="15" thickBot="1" x14ac:dyDescent="0.35">
      <c r="B1028" s="146"/>
      <c r="C1028" s="147"/>
      <c r="D1028" s="166"/>
      <c r="E1028" s="148" t="s">
        <v>148</v>
      </c>
      <c r="F1028" s="149"/>
      <c r="G1028" s="150">
        <f>ROUND(G1014+G1018+G1022+G1026,0)</f>
        <v>764394</v>
      </c>
    </row>
    <row r="1029" spans="2:7" ht="15" thickTop="1" x14ac:dyDescent="0.3"/>
    <row r="1030" spans="2:7" ht="15" thickBot="1" x14ac:dyDescent="0.35"/>
    <row r="1031" spans="2:7" ht="60" customHeight="1" thickTop="1" x14ac:dyDescent="0.3">
      <c r="B1031" s="315" t="str">
        <f>'FORMATO 13'!C63</f>
        <v>FERTILIZACIÓN: Proporcionar los nutrientes necesarios para el crecimiento óptimo del césped.  Se debe hacer alternada, liquida y granular. Una vez cada quince (15) días a toda la gramilla. La frecuencia puede variar de acuerdo con el análisis de suelos o de acuerdo a las indicaciones de la supervisión y/o interventoría y/o recomendación del contratista, debidamente aprobadas por el supervisor. Incluye los insumos o abonos químicos o biológicos, mano de obra, equipos y herramientas necesarias para su correcta ejecución. La fertilización debe ser alternada en forma líquida y granular.</v>
      </c>
      <c r="C1031" s="316"/>
      <c r="D1031" s="316"/>
      <c r="E1031" s="317"/>
      <c r="F1031" s="115" t="s">
        <v>140</v>
      </c>
      <c r="G1031" s="116" t="str">
        <f>'FORMATO 13'!D63</f>
        <v>VECES</v>
      </c>
    </row>
    <row r="1032" spans="2:7" ht="60" customHeight="1" x14ac:dyDescent="0.3">
      <c r="B1032" s="318"/>
      <c r="C1032" s="319"/>
      <c r="D1032" s="319"/>
      <c r="E1032" s="320"/>
      <c r="F1032" s="117" t="s">
        <v>141</v>
      </c>
      <c r="G1032" s="155">
        <f>'FORMATO 13'!B63</f>
        <v>4.0399999999999991</v>
      </c>
    </row>
    <row r="1033" spans="2:7" x14ac:dyDescent="0.3">
      <c r="B1033" s="118" t="s">
        <v>5</v>
      </c>
      <c r="C1033" s="119" t="s">
        <v>92</v>
      </c>
      <c r="D1033" s="119" t="s">
        <v>93</v>
      </c>
      <c r="E1033" s="119" t="s">
        <v>142</v>
      </c>
      <c r="F1033" s="120" t="s">
        <v>143</v>
      </c>
      <c r="G1033" s="121" t="s">
        <v>10</v>
      </c>
    </row>
    <row r="1034" spans="2:7" x14ac:dyDescent="0.3">
      <c r="B1034" s="122"/>
      <c r="C1034" s="123"/>
      <c r="D1034" s="123"/>
      <c r="E1034" s="124"/>
      <c r="F1034" s="125"/>
      <c r="G1034" s="126"/>
    </row>
    <row r="1035" spans="2:7" x14ac:dyDescent="0.3">
      <c r="B1035" s="127" t="s">
        <v>91</v>
      </c>
      <c r="C1035" s="123"/>
      <c r="D1035" s="123"/>
      <c r="E1035" s="124"/>
      <c r="F1035" s="125"/>
      <c r="G1035" s="126"/>
    </row>
    <row r="1036" spans="2:7" x14ac:dyDescent="0.3">
      <c r="B1036" s="128" t="str">
        <f>INSUMOS!$B$44</f>
        <v>AGUA</v>
      </c>
      <c r="C1036" s="129" t="str">
        <f>INSUMOS!$C$44</f>
        <v>LTS</v>
      </c>
      <c r="D1036" s="129">
        <v>5</v>
      </c>
      <c r="E1036" s="130">
        <v>0</v>
      </c>
      <c r="F1036" s="131">
        <f>INSUMOS!$E$44</f>
        <v>40</v>
      </c>
      <c r="G1036" s="132">
        <f t="shared" ref="G1036:G1048" si="43">TRUNC(D1036 * (1 + E1036 / 100) * F1036,0)</f>
        <v>200</v>
      </c>
    </row>
    <row r="1037" spans="2:7" x14ac:dyDescent="0.3">
      <c r="B1037" s="128" t="str">
        <f>INSUMOS!$B$45</f>
        <v>BIOABONO "EL CEDRO" X 40 KILOS</v>
      </c>
      <c r="C1037" s="129" t="str">
        <f>INSUMOS!$C$45</f>
        <v>UND</v>
      </c>
      <c r="D1037" s="129">
        <v>1</v>
      </c>
      <c r="E1037" s="130">
        <v>0</v>
      </c>
      <c r="F1037" s="131">
        <f>INSUMOS!$E$45</f>
        <v>28420</v>
      </c>
      <c r="G1037" s="132">
        <f t="shared" si="43"/>
        <v>28420</v>
      </c>
    </row>
    <row r="1038" spans="2:7" x14ac:dyDescent="0.3">
      <c r="B1038" s="128" t="str">
        <f>INSUMOS!$B$46</f>
        <v>CAMPOFERY HUMUS X LITRO</v>
      </c>
      <c r="C1038" s="129" t="str">
        <f>INSUMOS!$C$46</f>
        <v>UND</v>
      </c>
      <c r="D1038" s="129">
        <v>1</v>
      </c>
      <c r="E1038" s="130">
        <v>0</v>
      </c>
      <c r="F1038" s="131">
        <f>INSUMOS!$E$46</f>
        <v>26250</v>
      </c>
      <c r="G1038" s="132">
        <f t="shared" si="43"/>
        <v>26250</v>
      </c>
    </row>
    <row r="1039" spans="2:7" x14ac:dyDescent="0.3">
      <c r="B1039" s="128" t="str">
        <f>INSUMOS!$B$47</f>
        <v>SOLUTEC INICIO X KILO</v>
      </c>
      <c r="C1039" s="129" t="str">
        <f>INSUMOS!$C$47</f>
        <v>UND</v>
      </c>
      <c r="D1039" s="129">
        <v>1</v>
      </c>
      <c r="E1039" s="130">
        <v>0</v>
      </c>
      <c r="F1039" s="131">
        <f>INSUMOS!$E$47</f>
        <v>17800</v>
      </c>
      <c r="G1039" s="132">
        <f t="shared" si="43"/>
        <v>17800</v>
      </c>
    </row>
    <row r="1040" spans="2:7" x14ac:dyDescent="0.3">
      <c r="B1040" s="128" t="str">
        <f>INSUMOS!$B$48</f>
        <v>DKP-500 X LITRO</v>
      </c>
      <c r="C1040" s="129" t="str">
        <f>INSUMOS!$C$48</f>
        <v>UND</v>
      </c>
      <c r="D1040" s="129">
        <v>1</v>
      </c>
      <c r="E1040" s="130">
        <v>0</v>
      </c>
      <c r="F1040" s="131">
        <f>INSUMOS!$E$48</f>
        <v>54847</v>
      </c>
      <c r="G1040" s="132">
        <f t="shared" si="43"/>
        <v>54847</v>
      </c>
    </row>
    <row r="1041" spans="2:7" x14ac:dyDescent="0.3">
      <c r="B1041" s="128" t="str">
        <f>INSUMOS!$B$49</f>
        <v>SULFEX HIERRO X KILO</v>
      </c>
      <c r="C1041" s="129" t="str">
        <f>INSUMOS!$C$49</f>
        <v>UND</v>
      </c>
      <c r="D1041" s="129">
        <v>1</v>
      </c>
      <c r="E1041" s="130">
        <v>0</v>
      </c>
      <c r="F1041" s="131">
        <f>INSUMOS!$E$49</f>
        <v>7098</v>
      </c>
      <c r="G1041" s="132">
        <f t="shared" si="43"/>
        <v>7098</v>
      </c>
    </row>
    <row r="1042" spans="2:7" x14ac:dyDescent="0.3">
      <c r="B1042" s="128" t="str">
        <f>INSUMOS!$B$54</f>
        <v>YOYO CON 3 ADAPTADORES X UNIDAD</v>
      </c>
      <c r="C1042" s="129" t="str">
        <f>INSUMOS!$C$54</f>
        <v>UND</v>
      </c>
      <c r="D1042" s="129">
        <v>1</v>
      </c>
      <c r="E1042" s="130">
        <v>0</v>
      </c>
      <c r="F1042" s="131">
        <f>INSUMOS!$E$54</f>
        <v>37516</v>
      </c>
      <c r="G1042" s="132">
        <f t="shared" si="43"/>
        <v>37516</v>
      </c>
    </row>
    <row r="1043" spans="2:7" x14ac:dyDescent="0.3">
      <c r="B1043" s="128" t="str">
        <f>INSUMOS!$B$55</f>
        <v>LUXOR MOTOS 4T SAE 20W50 MA-2 API SL X CUATRO</v>
      </c>
      <c r="C1043" s="129" t="str">
        <f>INSUMOS!$C$55</f>
        <v>UND</v>
      </c>
      <c r="D1043" s="129">
        <v>1</v>
      </c>
      <c r="E1043" s="130">
        <v>0</v>
      </c>
      <c r="F1043" s="131">
        <f>INSUMOS!$E$55</f>
        <v>36193</v>
      </c>
      <c r="G1043" s="132">
        <f t="shared" si="43"/>
        <v>36193</v>
      </c>
    </row>
    <row r="1044" spans="2:7" x14ac:dyDescent="0.3">
      <c r="B1044" s="128" t="str">
        <f>INSUMOS!$B$56</f>
        <v>COMBATE SL</v>
      </c>
      <c r="C1044" s="129" t="str">
        <f>INSUMOS!$C$56</f>
        <v>UND</v>
      </c>
      <c r="D1044" s="129">
        <v>1</v>
      </c>
      <c r="E1044" s="130">
        <v>0</v>
      </c>
      <c r="F1044" s="131">
        <f>INSUMOS!$E$56</f>
        <v>35812</v>
      </c>
      <c r="G1044" s="132">
        <f t="shared" si="43"/>
        <v>35812</v>
      </c>
    </row>
    <row r="1045" spans="2:7" x14ac:dyDescent="0.3">
      <c r="B1045" s="128" t="str">
        <f>INSUMOS!$B$57</f>
        <v>GLIFOSOL SL</v>
      </c>
      <c r="C1045" s="129" t="str">
        <f>INSUMOS!$C$57</f>
        <v>UND</v>
      </c>
      <c r="D1045" s="129">
        <v>1</v>
      </c>
      <c r="E1045" s="130">
        <v>0</v>
      </c>
      <c r="F1045" s="131">
        <f>INSUMOS!$E$57</f>
        <v>45403</v>
      </c>
      <c r="G1045" s="132">
        <f t="shared" ref="G1045:G1047" si="44">TRUNC(D1045 * (1 + E1045 / 100) * F1045,0)</f>
        <v>45403</v>
      </c>
    </row>
    <row r="1046" spans="2:7" x14ac:dyDescent="0.3">
      <c r="B1046" s="128" t="str">
        <f>INSUMOS!$B$58</f>
        <v>LIMA PAREJA NICHOLSON TR</v>
      </c>
      <c r="C1046" s="129" t="str">
        <f>INSUMOS!$C$58</f>
        <v>UND</v>
      </c>
      <c r="D1046" s="129">
        <v>1</v>
      </c>
      <c r="E1046" s="130">
        <v>0</v>
      </c>
      <c r="F1046" s="131">
        <f>INSUMOS!$E$58</f>
        <v>10703</v>
      </c>
      <c r="G1046" s="132">
        <f t="shared" si="44"/>
        <v>10703</v>
      </c>
    </row>
    <row r="1047" spans="2:7" x14ac:dyDescent="0.3">
      <c r="B1047" s="128" t="str">
        <f>INSUMOS!$B$59</f>
        <v>PLUVIOMETRO MEDIDOR DE LLUVIA X 140MM</v>
      </c>
      <c r="C1047" s="129" t="str">
        <f>INSUMOS!$C$59</f>
        <v>UND</v>
      </c>
      <c r="D1047" s="129">
        <v>1</v>
      </c>
      <c r="E1047" s="130">
        <v>0</v>
      </c>
      <c r="F1047" s="131">
        <f>INSUMOS!$E$59</f>
        <v>94186</v>
      </c>
      <c r="G1047" s="132">
        <f t="shared" si="44"/>
        <v>94186</v>
      </c>
    </row>
    <row r="1048" spans="2:7" x14ac:dyDescent="0.3">
      <c r="B1048" s="128" t="str">
        <f>INSUMOS!$B$60</f>
        <v>GUANTE INGENIERIA MANGA CORTA P15</v>
      </c>
      <c r="C1048" s="129" t="str">
        <f>INSUMOS!$C$60</f>
        <v>UND</v>
      </c>
      <c r="D1048" s="129">
        <v>20</v>
      </c>
      <c r="E1048" s="130">
        <v>0</v>
      </c>
      <c r="F1048" s="131">
        <f>INSUMOS!$E$60</f>
        <v>12731</v>
      </c>
      <c r="G1048" s="132">
        <f t="shared" si="43"/>
        <v>254620</v>
      </c>
    </row>
    <row r="1049" spans="2:7" x14ac:dyDescent="0.3">
      <c r="B1049" s="128"/>
      <c r="C1049" s="129"/>
      <c r="D1049" s="129"/>
      <c r="E1049" s="130"/>
      <c r="F1049" s="131"/>
      <c r="G1049" s="132"/>
    </row>
    <row r="1050" spans="2:7" x14ac:dyDescent="0.3">
      <c r="B1050" s="122"/>
      <c r="C1050" s="123"/>
      <c r="D1050" s="123"/>
      <c r="E1050" s="124"/>
      <c r="F1050" s="125" t="s">
        <v>144</v>
      </c>
      <c r="G1050" s="132">
        <f>SUM(G1034:G1049)</f>
        <v>649048</v>
      </c>
    </row>
    <row r="1051" spans="2:7" x14ac:dyDescent="0.3">
      <c r="B1051" s="127" t="s">
        <v>114</v>
      </c>
      <c r="C1051" s="123"/>
      <c r="D1051" s="123"/>
      <c r="E1051" s="124"/>
      <c r="F1051" s="125"/>
      <c r="G1051" s="139"/>
    </row>
    <row r="1052" spans="2:7" x14ac:dyDescent="0.3">
      <c r="B1052" s="151" t="str">
        <f>INSUMOS!$B$73</f>
        <v>M.O. 1 OFICIAL + 2 AYUDANTES</v>
      </c>
      <c r="C1052" s="129" t="str">
        <f>INSUMOS!$C$73</f>
        <v>JORNAL</v>
      </c>
      <c r="D1052" s="129">
        <f>7/8</f>
        <v>0.875</v>
      </c>
      <c r="E1052" s="130"/>
      <c r="F1052" s="140">
        <f>INSUMOS!$E$73</f>
        <v>422209</v>
      </c>
      <c r="G1052" s="132">
        <f>TRUNC(D1052 * (1 + E1052 / 100) * F1052,0)</f>
        <v>369432</v>
      </c>
    </row>
    <row r="1053" spans="2:7" x14ac:dyDescent="0.3">
      <c r="B1053" s="142"/>
      <c r="C1053" s="157"/>
      <c r="D1053" s="158"/>
      <c r="E1053" s="159"/>
      <c r="F1053" s="145"/>
      <c r="G1053" s="141"/>
    </row>
    <row r="1054" spans="2:7" x14ac:dyDescent="0.3">
      <c r="B1054" s="122"/>
      <c r="C1054" s="123"/>
      <c r="D1054" s="123"/>
      <c r="E1054" s="124"/>
      <c r="F1054" s="125" t="s">
        <v>145</v>
      </c>
      <c r="G1054" s="132">
        <f>SUM(G1052:G1052)</f>
        <v>369432</v>
      </c>
    </row>
    <row r="1055" spans="2:7" x14ac:dyDescent="0.3">
      <c r="B1055" s="127" t="s">
        <v>125</v>
      </c>
      <c r="C1055" s="123"/>
      <c r="D1055" s="123"/>
      <c r="E1055" s="124"/>
      <c r="F1055" s="125"/>
      <c r="G1055" s="139"/>
    </row>
    <row r="1056" spans="2:7" x14ac:dyDescent="0.3">
      <c r="B1056" s="151" t="str">
        <f>INSUMOS!$B$95</f>
        <v>SPRAYER</v>
      </c>
      <c r="C1056" s="129" t="str">
        <f>INSUMOS!$C$95</f>
        <v>DIA</v>
      </c>
      <c r="D1056" s="129">
        <v>1</v>
      </c>
      <c r="E1056" s="130"/>
      <c r="F1056" s="140">
        <f>INSUMOS!$E$95</f>
        <v>164719</v>
      </c>
      <c r="G1056" s="132">
        <f t="shared" ref="G1056" si="45">TRUNC(D1056 * (1 + E1056 / 100) * F1056,0)</f>
        <v>164719</v>
      </c>
    </row>
    <row r="1057" spans="2:7" x14ac:dyDescent="0.3">
      <c r="B1057" s="151"/>
      <c r="C1057" s="129"/>
      <c r="D1057" s="129"/>
      <c r="E1057" s="130"/>
      <c r="F1057" s="140"/>
      <c r="G1057" s="132"/>
    </row>
    <row r="1058" spans="2:7" x14ac:dyDescent="0.3">
      <c r="B1058" s="122"/>
      <c r="C1058" s="123"/>
      <c r="D1058" s="123"/>
      <c r="E1058" s="124"/>
      <c r="F1058" s="125" t="s">
        <v>146</v>
      </c>
      <c r="G1058" s="132">
        <f>SUM(G1056:G1057)</f>
        <v>164719</v>
      </c>
    </row>
    <row r="1059" spans="2:7" x14ac:dyDescent="0.3">
      <c r="B1059" s="127" t="s">
        <v>147</v>
      </c>
      <c r="C1059" s="123"/>
      <c r="D1059" s="123"/>
      <c r="E1059" s="124"/>
      <c r="F1059" s="125"/>
      <c r="G1059" s="139"/>
    </row>
    <row r="1060" spans="2:7" x14ac:dyDescent="0.3">
      <c r="B1060" s="133" t="str">
        <f>INSUMOS!$B$84</f>
        <v>HERRAMIENTA MENOR</v>
      </c>
      <c r="C1060" s="134" t="str">
        <f>INSUMOS!$C$84</f>
        <v>GLB</v>
      </c>
      <c r="D1060" s="163">
        <v>12.9162</v>
      </c>
      <c r="E1060" s="136"/>
      <c r="F1060" s="137">
        <f>INSUMOS!$E$84</f>
        <v>2174</v>
      </c>
      <c r="G1060" s="132">
        <f>TRUNC(D1060 * (1 + E1060 / 100) * F1060,0)</f>
        <v>28079</v>
      </c>
    </row>
    <row r="1061" spans="2:7" x14ac:dyDescent="0.3">
      <c r="B1061" s="133"/>
      <c r="C1061" s="134"/>
      <c r="D1061" s="135"/>
      <c r="E1061" s="136"/>
      <c r="F1061" s="137"/>
      <c r="G1061" s="141"/>
    </row>
    <row r="1062" spans="2:7" x14ac:dyDescent="0.3">
      <c r="B1062" s="122"/>
      <c r="C1062" s="123"/>
      <c r="D1062" s="123"/>
      <c r="E1062" s="124"/>
      <c r="F1062" s="125" t="str">
        <f>"SUBTOTAL " &amp;B1059</f>
        <v>SUBTOTAL OTROS</v>
      </c>
      <c r="G1062" s="132">
        <f>SUM(G1060:G1061)</f>
        <v>28079</v>
      </c>
    </row>
    <row r="1063" spans="2:7" x14ac:dyDescent="0.3">
      <c r="B1063" s="122"/>
      <c r="C1063" s="123"/>
      <c r="D1063" s="123"/>
      <c r="E1063" s="124"/>
      <c r="F1063" s="125"/>
      <c r="G1063" s="126"/>
    </row>
    <row r="1064" spans="2:7" ht="15" thickBot="1" x14ac:dyDescent="0.35">
      <c r="B1064" s="146"/>
      <c r="C1064" s="147"/>
      <c r="D1064" s="166"/>
      <c r="E1064" s="148" t="s">
        <v>148</v>
      </c>
      <c r="F1064" s="149"/>
      <c r="G1064" s="150">
        <f>ROUND(G1050+G1054+G1058+G1062,0)</f>
        <v>1211278</v>
      </c>
    </row>
    <row r="1065" spans="2:7" ht="15" thickTop="1" x14ac:dyDescent="0.3"/>
    <row r="1066" spans="2:7" ht="15" thickBot="1" x14ac:dyDescent="0.35"/>
    <row r="1067" spans="2:7" ht="40.049999999999997" customHeight="1" thickTop="1" x14ac:dyDescent="0.3">
      <c r="B1067" s="315" t="str">
        <f>'FORMATO 13'!C64</f>
        <v>CONTROL DE PLAGAS Y ENFERMEDADES: Monitorear y controlar las  plagas y enfermedades que puedan afectar elcampo de juego híbrido: Aplicación de micorrizas líquidas y entomopatógenos líquidos (trichoderma, beauveria baussiana, facelomicis v bacilus turigencis). Siguiendo las indicaciones de la supervisión, interventoría o recomendaciones del contratista, debidamente aprobadas por el supervisor.</v>
      </c>
      <c r="C1067" s="316"/>
      <c r="D1067" s="316"/>
      <c r="E1067" s="317"/>
      <c r="F1067" s="115" t="s">
        <v>140</v>
      </c>
      <c r="G1067" s="116" t="str">
        <f>'FORMATO 13'!D64</f>
        <v>VECES</v>
      </c>
    </row>
    <row r="1068" spans="2:7" ht="40.049999999999997" customHeight="1" x14ac:dyDescent="0.3">
      <c r="B1068" s="318"/>
      <c r="C1068" s="319"/>
      <c r="D1068" s="319"/>
      <c r="E1068" s="320"/>
      <c r="F1068" s="117" t="s">
        <v>141</v>
      </c>
      <c r="G1068" s="155">
        <f>'FORMATO 13'!B64</f>
        <v>4.0499999999999989</v>
      </c>
    </row>
    <row r="1069" spans="2:7" x14ac:dyDescent="0.3">
      <c r="B1069" s="118" t="s">
        <v>5</v>
      </c>
      <c r="C1069" s="119" t="s">
        <v>92</v>
      </c>
      <c r="D1069" s="119" t="s">
        <v>93</v>
      </c>
      <c r="E1069" s="119" t="s">
        <v>142</v>
      </c>
      <c r="F1069" s="120" t="s">
        <v>143</v>
      </c>
      <c r="G1069" s="121" t="s">
        <v>10</v>
      </c>
    </row>
    <row r="1070" spans="2:7" x14ac:dyDescent="0.3">
      <c r="B1070" s="122"/>
      <c r="C1070" s="123"/>
      <c r="D1070" s="123"/>
      <c r="E1070" s="124"/>
      <c r="F1070" s="125"/>
      <c r="G1070" s="126"/>
    </row>
    <row r="1071" spans="2:7" x14ac:dyDescent="0.3">
      <c r="B1071" s="127" t="s">
        <v>91</v>
      </c>
      <c r="C1071" s="123"/>
      <c r="D1071" s="123"/>
      <c r="E1071" s="124"/>
      <c r="F1071" s="125"/>
      <c r="G1071" s="126"/>
    </row>
    <row r="1072" spans="2:7" x14ac:dyDescent="0.3">
      <c r="B1072" s="128" t="str">
        <f>INSUMOS!$B$26</f>
        <v>MICORRIZAS</v>
      </c>
      <c r="C1072" s="129" t="str">
        <f>INSUMOS!$C$26</f>
        <v>LITRO</v>
      </c>
      <c r="D1072" s="129">
        <v>1</v>
      </c>
      <c r="E1072" s="130">
        <v>0</v>
      </c>
      <c r="F1072" s="131">
        <f>INSUMOS!$E$26</f>
        <v>59294</v>
      </c>
      <c r="G1072" s="132">
        <f t="shared" ref="G1072:G1076" si="46">TRUNC(D1072 * (1 + E1072 / 100) * F1072,0)</f>
        <v>59294</v>
      </c>
    </row>
    <row r="1073" spans="2:7" x14ac:dyDescent="0.3">
      <c r="B1073" s="128" t="str">
        <f>INSUMOS!$B$27</f>
        <v>TRICHODERMA</v>
      </c>
      <c r="C1073" s="129" t="str">
        <f>INSUMOS!$C$27</f>
        <v>LITRO</v>
      </c>
      <c r="D1073" s="129">
        <v>1</v>
      </c>
      <c r="E1073" s="130">
        <v>0</v>
      </c>
      <c r="F1073" s="131">
        <f>INSUMOS!$E$27</f>
        <v>70349</v>
      </c>
      <c r="G1073" s="132">
        <f t="shared" si="46"/>
        <v>70349</v>
      </c>
    </row>
    <row r="1074" spans="2:7" x14ac:dyDescent="0.3">
      <c r="B1074" s="128" t="str">
        <f>INSUMOS!$B$28</f>
        <v>BEAUVERIA BAUSSINIA</v>
      </c>
      <c r="C1074" s="129" t="str">
        <f>INSUMOS!$C$28</f>
        <v>LITRO</v>
      </c>
      <c r="D1074" s="129">
        <v>1</v>
      </c>
      <c r="E1074" s="130">
        <v>0</v>
      </c>
      <c r="F1074" s="131">
        <f>INSUMOS!$E$28</f>
        <v>48240</v>
      </c>
      <c r="G1074" s="132">
        <f t="shared" si="46"/>
        <v>48240</v>
      </c>
    </row>
    <row r="1075" spans="2:7" x14ac:dyDescent="0.3">
      <c r="B1075" s="128" t="str">
        <f>INSUMOS!$B$29</f>
        <v>FACELOMICIS</v>
      </c>
      <c r="C1075" s="129" t="str">
        <f>INSUMOS!$C$29</f>
        <v>LITRO</v>
      </c>
      <c r="D1075" s="129">
        <v>1</v>
      </c>
      <c r="E1075" s="130">
        <v>0</v>
      </c>
      <c r="F1075" s="131">
        <f>INSUMOS!$E$29</f>
        <v>45224</v>
      </c>
      <c r="G1075" s="132">
        <f t="shared" si="46"/>
        <v>45224</v>
      </c>
    </row>
    <row r="1076" spans="2:7" x14ac:dyDescent="0.3">
      <c r="B1076" s="128" t="str">
        <f>INSUMOS!$B$30</f>
        <v>VTACILUS TURIGENCIS</v>
      </c>
      <c r="C1076" s="129" t="str">
        <f>INSUMOS!$C$30</f>
        <v>LITRO</v>
      </c>
      <c r="D1076" s="129">
        <v>1</v>
      </c>
      <c r="E1076" s="130">
        <v>0</v>
      </c>
      <c r="F1076" s="131">
        <f>INSUMOS!$E$30</f>
        <v>32659</v>
      </c>
      <c r="G1076" s="132">
        <f t="shared" si="46"/>
        <v>32659</v>
      </c>
    </row>
    <row r="1077" spans="2:7" x14ac:dyDescent="0.3">
      <c r="B1077" s="128"/>
      <c r="C1077" s="129"/>
      <c r="D1077" s="129"/>
      <c r="E1077" s="130"/>
      <c r="F1077" s="131"/>
      <c r="G1077" s="132"/>
    </row>
    <row r="1078" spans="2:7" x14ac:dyDescent="0.3">
      <c r="B1078" s="122"/>
      <c r="C1078" s="123"/>
      <c r="D1078" s="123"/>
      <c r="E1078" s="124"/>
      <c r="F1078" s="125" t="s">
        <v>144</v>
      </c>
      <c r="G1078" s="132">
        <f>SUM(G1070:G1077)</f>
        <v>255766</v>
      </c>
    </row>
    <row r="1079" spans="2:7" x14ac:dyDescent="0.3">
      <c r="B1079" s="127" t="s">
        <v>114</v>
      </c>
      <c r="C1079" s="123"/>
      <c r="D1079" s="123"/>
      <c r="E1079" s="124"/>
      <c r="F1079" s="125"/>
      <c r="G1079" s="139"/>
    </row>
    <row r="1080" spans="2:7" x14ac:dyDescent="0.3">
      <c r="B1080" s="151" t="str">
        <f>INSUMOS!$B$73</f>
        <v>M.O. 1 OFICIAL + 2 AYUDANTES</v>
      </c>
      <c r="C1080" s="129" t="str">
        <f>INSUMOS!$C$73</f>
        <v>JORNAL</v>
      </c>
      <c r="D1080" s="129">
        <f>7/8</f>
        <v>0.875</v>
      </c>
      <c r="E1080" s="130"/>
      <c r="F1080" s="140">
        <f>INSUMOS!$E$73</f>
        <v>422209</v>
      </c>
      <c r="G1080" s="132">
        <f>TRUNC(D1080 * (1 + E1080 / 100) * F1080,0)</f>
        <v>369432</v>
      </c>
    </row>
    <row r="1081" spans="2:7" x14ac:dyDescent="0.3">
      <c r="B1081" s="142"/>
      <c r="C1081" s="157"/>
      <c r="D1081" s="158"/>
      <c r="E1081" s="159"/>
      <c r="F1081" s="145"/>
      <c r="G1081" s="141"/>
    </row>
    <row r="1082" spans="2:7" x14ac:dyDescent="0.3">
      <c r="B1082" s="122"/>
      <c r="C1082" s="123"/>
      <c r="D1082" s="123"/>
      <c r="E1082" s="124"/>
      <c r="F1082" s="125" t="s">
        <v>145</v>
      </c>
      <c r="G1082" s="132">
        <f>SUM(G1080:G1080)</f>
        <v>369432</v>
      </c>
    </row>
    <row r="1083" spans="2:7" x14ac:dyDescent="0.3">
      <c r="B1083" s="127" t="s">
        <v>125</v>
      </c>
      <c r="C1083" s="123"/>
      <c r="D1083" s="123"/>
      <c r="E1083" s="124"/>
      <c r="F1083" s="125"/>
      <c r="G1083" s="139"/>
    </row>
    <row r="1084" spans="2:7" x14ac:dyDescent="0.3">
      <c r="B1084" s="151" t="str">
        <f>INSUMOS!$B$96</f>
        <v>BOMBA ESTACIONARIA</v>
      </c>
      <c r="C1084" s="129" t="str">
        <f>INSUMOS!$C$96</f>
        <v>DIA</v>
      </c>
      <c r="D1084" s="129">
        <v>1</v>
      </c>
      <c r="E1084" s="130"/>
      <c r="F1084" s="140">
        <f>INSUMOS!$E$96</f>
        <v>64791</v>
      </c>
      <c r="G1084" s="132">
        <f t="shared" ref="G1084:G1085" si="47">TRUNC(D1084 * (1 + E1084 / 100) * F1084,0)</f>
        <v>64791</v>
      </c>
    </row>
    <row r="1085" spans="2:7" x14ac:dyDescent="0.3">
      <c r="B1085" s="151" t="str">
        <f>INSUMOS!$B$97</f>
        <v>CANECA 55 GALONES</v>
      </c>
      <c r="C1085" s="129" t="str">
        <f>INSUMOS!$C$97</f>
        <v>UND</v>
      </c>
      <c r="D1085" s="129">
        <v>1</v>
      </c>
      <c r="E1085" s="130"/>
      <c r="F1085" s="140">
        <f>INSUMOS!$E$97</f>
        <v>30917</v>
      </c>
      <c r="G1085" s="132">
        <f t="shared" si="47"/>
        <v>30917</v>
      </c>
    </row>
    <row r="1086" spans="2:7" x14ac:dyDescent="0.3">
      <c r="B1086" s="151"/>
      <c r="C1086" s="129"/>
      <c r="D1086" s="129"/>
      <c r="E1086" s="130"/>
      <c r="F1086" s="140"/>
      <c r="G1086" s="132"/>
    </row>
    <row r="1087" spans="2:7" x14ac:dyDescent="0.3">
      <c r="B1087" s="122"/>
      <c r="C1087" s="123"/>
      <c r="D1087" s="123"/>
      <c r="E1087" s="124"/>
      <c r="F1087" s="125" t="s">
        <v>146</v>
      </c>
      <c r="G1087" s="132">
        <f>SUM(G1084:G1086)</f>
        <v>95708</v>
      </c>
    </row>
    <row r="1088" spans="2:7" x14ac:dyDescent="0.3">
      <c r="B1088" s="127" t="s">
        <v>147</v>
      </c>
      <c r="C1088" s="123"/>
      <c r="D1088" s="123"/>
      <c r="E1088" s="124"/>
      <c r="F1088" s="125"/>
      <c r="G1088" s="139"/>
    </row>
    <row r="1089" spans="2:7" x14ac:dyDescent="0.3">
      <c r="B1089" s="133" t="str">
        <f>INSUMOS!$B$84</f>
        <v>HERRAMIENTA MENOR</v>
      </c>
      <c r="C1089" s="134" t="str">
        <f>INSUMOS!$C$84</f>
        <v>GLB</v>
      </c>
      <c r="D1089" s="162">
        <v>0.47220000000000001</v>
      </c>
      <c r="E1089" s="136"/>
      <c r="F1089" s="137">
        <f>INSUMOS!$E$84</f>
        <v>2174</v>
      </c>
      <c r="G1089" s="132">
        <f>TRUNC(D1089 * (1 + E1089 / 100) * F1089,0)</f>
        <v>1026</v>
      </c>
    </row>
    <row r="1090" spans="2:7" x14ac:dyDescent="0.3">
      <c r="B1090" s="133"/>
      <c r="C1090" s="134"/>
      <c r="D1090" s="135"/>
      <c r="E1090" s="136"/>
      <c r="F1090" s="137"/>
      <c r="G1090" s="141"/>
    </row>
    <row r="1091" spans="2:7" x14ac:dyDescent="0.3">
      <c r="B1091" s="122"/>
      <c r="C1091" s="123"/>
      <c r="D1091" s="123"/>
      <c r="E1091" s="124"/>
      <c r="F1091" s="125" t="str">
        <f>"SUBTOTAL " &amp;B1088</f>
        <v>SUBTOTAL OTROS</v>
      </c>
      <c r="G1091" s="132">
        <f>SUM(G1089:G1090)</f>
        <v>1026</v>
      </c>
    </row>
    <row r="1092" spans="2:7" x14ac:dyDescent="0.3">
      <c r="B1092" s="122"/>
      <c r="C1092" s="123"/>
      <c r="D1092" s="123"/>
      <c r="E1092" s="124"/>
      <c r="F1092" s="125"/>
      <c r="G1092" s="126"/>
    </row>
    <row r="1093" spans="2:7" ht="15" thickBot="1" x14ac:dyDescent="0.35">
      <c r="B1093" s="146"/>
      <c r="C1093" s="147"/>
      <c r="D1093" s="166"/>
      <c r="E1093" s="148" t="s">
        <v>148</v>
      </c>
      <c r="F1093" s="149"/>
      <c r="G1093" s="150">
        <f>ROUND(G1078+G1082+G1087+G1091,0)</f>
        <v>721932</v>
      </c>
    </row>
    <row r="1094" spans="2:7" ht="15" thickTop="1" x14ac:dyDescent="0.3"/>
    <row r="1095" spans="2:7" ht="15" thickBot="1" x14ac:dyDescent="0.35"/>
    <row r="1096" spans="2:7" ht="60" customHeight="1" thickTop="1" x14ac:dyDescent="0.3">
      <c r="B1096" s="315" t="str">
        <f>'FORMATO 13'!C65</f>
        <v>AIREACIÓN CON PINES SÓLIDOS: Mejorar la circulación de aire y la penetración de agua y nutrientes en el suelo. Se debe realizar la aireación con pines sólidos una (1) vez cada mes o de acuerdo con las indicaciones de la supervisión y/o interventoría y/o recomendación del contratista, debidamente aprobadas por el supervisor. Se debe realizar la aireación con pines sólidos de 20 cm.  Incluye toda la maquinaria necesaria, todos los materiales e insumos para su óptimo funcionamiento, operarios, herramienta menor y la recolección y disposición adecuada de los residuos. En algunos momentos, se debe medir la compactación del suelo, con el penetrometro antes de hacer la aireación del suelo.</v>
      </c>
      <c r="C1096" s="316"/>
      <c r="D1096" s="316"/>
      <c r="E1096" s="317"/>
      <c r="F1096" s="115" t="s">
        <v>140</v>
      </c>
      <c r="G1096" s="116" t="str">
        <f>'FORMATO 13'!D65</f>
        <v>VECES</v>
      </c>
    </row>
    <row r="1097" spans="2:7" ht="60" customHeight="1" x14ac:dyDescent="0.3">
      <c r="B1097" s="318"/>
      <c r="C1097" s="319"/>
      <c r="D1097" s="319"/>
      <c r="E1097" s="320"/>
      <c r="F1097" s="117" t="s">
        <v>141</v>
      </c>
      <c r="G1097" s="155">
        <f>'FORMATO 13'!B65</f>
        <v>4.0599999999999987</v>
      </c>
    </row>
    <row r="1098" spans="2:7" x14ac:dyDescent="0.3">
      <c r="B1098" s="118" t="s">
        <v>5</v>
      </c>
      <c r="C1098" s="119" t="s">
        <v>92</v>
      </c>
      <c r="D1098" s="119" t="s">
        <v>93</v>
      </c>
      <c r="E1098" s="119" t="s">
        <v>142</v>
      </c>
      <c r="F1098" s="120" t="s">
        <v>143</v>
      </c>
      <c r="G1098" s="121" t="s">
        <v>10</v>
      </c>
    </row>
    <row r="1099" spans="2:7" x14ac:dyDescent="0.3">
      <c r="B1099" s="122"/>
      <c r="C1099" s="123"/>
      <c r="D1099" s="123"/>
      <c r="E1099" s="124"/>
      <c r="F1099" s="125"/>
      <c r="G1099" s="126"/>
    </row>
    <row r="1100" spans="2:7" x14ac:dyDescent="0.3">
      <c r="B1100" s="127" t="s">
        <v>91</v>
      </c>
      <c r="C1100" s="123"/>
      <c r="D1100" s="123"/>
      <c r="E1100" s="124"/>
      <c r="F1100" s="125"/>
      <c r="G1100" s="126"/>
    </row>
    <row r="1101" spans="2:7" x14ac:dyDescent="0.3">
      <c r="B1101" s="128" t="str">
        <f>INSUMOS!$B$13</f>
        <v>BOLSAS PARA BASURA</v>
      </c>
      <c r="C1101" s="129" t="str">
        <f>INSUMOS!$C$13</f>
        <v>UND</v>
      </c>
      <c r="D1101" s="129">
        <v>50</v>
      </c>
      <c r="E1101" s="130">
        <v>0</v>
      </c>
      <c r="F1101" s="131">
        <f>INSUMOS!$E$13</f>
        <v>2053</v>
      </c>
      <c r="G1101" s="132">
        <f t="shared" ref="G1101" si="48">TRUNC(D1101 * (1 + E1101 / 100) * F1101,0)</f>
        <v>102650</v>
      </c>
    </row>
    <row r="1102" spans="2:7" x14ac:dyDescent="0.3">
      <c r="B1102" s="128"/>
      <c r="C1102" s="129"/>
      <c r="D1102" s="129"/>
      <c r="E1102" s="130"/>
      <c r="F1102" s="131"/>
      <c r="G1102" s="132"/>
    </row>
    <row r="1103" spans="2:7" x14ac:dyDescent="0.3">
      <c r="B1103" s="122"/>
      <c r="C1103" s="123"/>
      <c r="D1103" s="123"/>
      <c r="E1103" s="124"/>
      <c r="F1103" s="125" t="s">
        <v>144</v>
      </c>
      <c r="G1103" s="132">
        <f>SUM(G1099:G1102)</f>
        <v>102650</v>
      </c>
    </row>
    <row r="1104" spans="2:7" x14ac:dyDescent="0.3">
      <c r="B1104" s="127" t="s">
        <v>114</v>
      </c>
      <c r="C1104" s="123"/>
      <c r="D1104" s="123"/>
      <c r="E1104" s="124"/>
      <c r="F1104" s="125"/>
      <c r="G1104" s="139"/>
    </row>
    <row r="1105" spans="2:7" x14ac:dyDescent="0.3">
      <c r="B1105" s="151" t="str">
        <f>INSUMOS!$B$72</f>
        <v>M.O. 1 OFICIAL + 1 AYUDANTES</v>
      </c>
      <c r="C1105" s="129" t="str">
        <f>INSUMOS!$C$72</f>
        <v>JORNAL</v>
      </c>
      <c r="D1105" s="129">
        <v>1</v>
      </c>
      <c r="E1105" s="130"/>
      <c r="F1105" s="140">
        <f>INSUMOS!$E$72</f>
        <v>308098</v>
      </c>
      <c r="G1105" s="132">
        <f>TRUNC(D1105 * (1 + E1105 / 100) * F1105,0)</f>
        <v>308098</v>
      </c>
    </row>
    <row r="1106" spans="2:7" x14ac:dyDescent="0.3">
      <c r="B1106" s="142"/>
      <c r="C1106" s="157"/>
      <c r="D1106" s="158"/>
      <c r="E1106" s="159"/>
      <c r="F1106" s="145"/>
      <c r="G1106" s="141"/>
    </row>
    <row r="1107" spans="2:7" x14ac:dyDescent="0.3">
      <c r="B1107" s="122"/>
      <c r="C1107" s="123"/>
      <c r="D1107" s="123"/>
      <c r="E1107" s="124"/>
      <c r="F1107" s="125" t="s">
        <v>145</v>
      </c>
      <c r="G1107" s="132">
        <f>SUM(G1105:G1105)</f>
        <v>308098</v>
      </c>
    </row>
    <row r="1108" spans="2:7" x14ac:dyDescent="0.3">
      <c r="B1108" s="127" t="s">
        <v>125</v>
      </c>
      <c r="C1108" s="123"/>
      <c r="D1108" s="123"/>
      <c r="E1108" s="124"/>
      <c r="F1108" s="125"/>
      <c r="G1108" s="139"/>
    </row>
    <row r="1109" spans="2:7" x14ac:dyDescent="0.3">
      <c r="B1109" s="151" t="str">
        <f>INSUMOS!$B$98</f>
        <v>RODILLO CON CHUZOS</v>
      </c>
      <c r="C1109" s="129" t="str">
        <f>INSUMOS!$C$98</f>
        <v>DIA</v>
      </c>
      <c r="D1109" s="129">
        <v>1</v>
      </c>
      <c r="E1109" s="130"/>
      <c r="F1109" s="140">
        <f>INSUMOS!$E$98</f>
        <v>49000</v>
      </c>
      <c r="G1109" s="132">
        <f t="shared" ref="G1109" si="49">TRUNC(D1109 * (1 + E1109 / 100) * F1109,0)</f>
        <v>49000</v>
      </c>
    </row>
    <row r="1110" spans="2:7" x14ac:dyDescent="0.3">
      <c r="B1110" s="151"/>
      <c r="C1110" s="129"/>
      <c r="D1110" s="129"/>
      <c r="E1110" s="130"/>
      <c r="F1110" s="140"/>
      <c r="G1110" s="132"/>
    </row>
    <row r="1111" spans="2:7" x14ac:dyDescent="0.3">
      <c r="B1111" s="122"/>
      <c r="C1111" s="123"/>
      <c r="D1111" s="123"/>
      <c r="E1111" s="124"/>
      <c r="F1111" s="125" t="s">
        <v>146</v>
      </c>
      <c r="G1111" s="132">
        <f>SUM(G1109:G1110)</f>
        <v>49000</v>
      </c>
    </row>
    <row r="1112" spans="2:7" x14ac:dyDescent="0.3">
      <c r="B1112" s="127" t="s">
        <v>147</v>
      </c>
      <c r="C1112" s="123"/>
      <c r="D1112" s="123"/>
      <c r="E1112" s="124"/>
      <c r="F1112" s="125"/>
      <c r="G1112" s="139"/>
    </row>
    <row r="1113" spans="2:7" x14ac:dyDescent="0.3">
      <c r="B1113" s="133" t="str">
        <f>INSUMOS!$B$84</f>
        <v>HERRAMIENTA MENOR</v>
      </c>
      <c r="C1113" s="134" t="str">
        <f>INSUMOS!$C$84</f>
        <v>GLB</v>
      </c>
      <c r="D1113" s="123">
        <v>1.5915999999999999</v>
      </c>
      <c r="E1113" s="136"/>
      <c r="F1113" s="137">
        <f>INSUMOS!$E$84</f>
        <v>2174</v>
      </c>
      <c r="G1113" s="132">
        <f>TRUNC(D1113 * (1 + E1113 / 100) * F1113,0)</f>
        <v>3460</v>
      </c>
    </row>
    <row r="1114" spans="2:7" x14ac:dyDescent="0.3">
      <c r="B1114" s="133"/>
      <c r="C1114" s="134"/>
      <c r="D1114" s="135"/>
      <c r="E1114" s="136"/>
      <c r="F1114" s="137"/>
      <c r="G1114" s="141"/>
    </row>
    <row r="1115" spans="2:7" x14ac:dyDescent="0.3">
      <c r="B1115" s="122"/>
      <c r="C1115" s="123"/>
      <c r="D1115" s="123"/>
      <c r="E1115" s="124"/>
      <c r="F1115" s="125" t="str">
        <f>"SUBTOTAL " &amp;B1112</f>
        <v>SUBTOTAL OTROS</v>
      </c>
      <c r="G1115" s="132">
        <f>SUM(G1113:G1114)</f>
        <v>3460</v>
      </c>
    </row>
    <row r="1116" spans="2:7" x14ac:dyDescent="0.3">
      <c r="B1116" s="122"/>
      <c r="C1116" s="123"/>
      <c r="D1116" s="123"/>
      <c r="E1116" s="124"/>
      <c r="F1116" s="125"/>
      <c r="G1116" s="126"/>
    </row>
    <row r="1117" spans="2:7" ht="15" thickBot="1" x14ac:dyDescent="0.35">
      <c r="B1117" s="146"/>
      <c r="C1117" s="147"/>
      <c r="D1117" s="166"/>
      <c r="E1117" s="148" t="s">
        <v>148</v>
      </c>
      <c r="F1117" s="149"/>
      <c r="G1117" s="150">
        <f>ROUND(G1103+G1107+G1111+G1115,0)</f>
        <v>463208</v>
      </c>
    </row>
    <row r="1118" spans="2:7" ht="15" thickTop="1" x14ac:dyDescent="0.3"/>
    <row r="1119" spans="2:7" ht="15" thickBot="1" x14ac:dyDescent="0.35"/>
    <row r="1120" spans="2:7" ht="60" customHeight="1" thickTop="1" x14ac:dyDescent="0.3">
      <c r="B1120" s="315" t="str">
        <f>'FORMATO 13'!C66</f>
        <v xml:space="preserve">TOP DRESSING: Llenar los orificios realizados después de la aireación, en una proporción 80% arena de granulometría media lavada y pasada por zaranda en lo posible del Rio Frayle y 20% de tierra negra. Siguiendo las indicaciones de la supervisión, interventoría o recomendaciones del contratista, debidamente aprobadas por el supervisor. Se debe realizar con la aplicación de mínimo 2 kg por M2 de arena cernida a toda la gramilla. Una (1) vez durante la ejecución del contrato.   Incluye toda la maquinaria necesaria, todos los materiales e insumos para su óptimo funcionamiento, operarios, herramienta menor y la recolección y disposición adecuada de los residuos. </v>
      </c>
      <c r="C1120" s="316"/>
      <c r="D1120" s="316"/>
      <c r="E1120" s="317"/>
      <c r="F1120" s="115" t="s">
        <v>140</v>
      </c>
      <c r="G1120" s="116" t="str">
        <f>'FORMATO 13'!D66</f>
        <v>VECES</v>
      </c>
    </row>
    <row r="1121" spans="2:7" ht="60" customHeight="1" x14ac:dyDescent="0.3">
      <c r="B1121" s="318"/>
      <c r="C1121" s="319"/>
      <c r="D1121" s="319"/>
      <c r="E1121" s="320"/>
      <c r="F1121" s="117" t="s">
        <v>141</v>
      </c>
      <c r="G1121" s="156">
        <f>'FORMATO 13'!B66</f>
        <v>4.0699999999999985</v>
      </c>
    </row>
    <row r="1122" spans="2:7" x14ac:dyDescent="0.3">
      <c r="B1122" s="118" t="s">
        <v>5</v>
      </c>
      <c r="C1122" s="119" t="s">
        <v>92</v>
      </c>
      <c r="D1122" s="119" t="s">
        <v>93</v>
      </c>
      <c r="E1122" s="119" t="s">
        <v>142</v>
      </c>
      <c r="F1122" s="120" t="s">
        <v>143</v>
      </c>
      <c r="G1122" s="121" t="s">
        <v>10</v>
      </c>
    </row>
    <row r="1123" spans="2:7" x14ac:dyDescent="0.3">
      <c r="B1123" s="122"/>
      <c r="C1123" s="123"/>
      <c r="D1123" s="123"/>
      <c r="E1123" s="124"/>
      <c r="F1123" s="125"/>
      <c r="G1123" s="126"/>
    </row>
    <row r="1124" spans="2:7" x14ac:dyDescent="0.3">
      <c r="B1124" s="127" t="s">
        <v>91</v>
      </c>
      <c r="C1124" s="123"/>
      <c r="D1124" s="123"/>
      <c r="E1124" s="124"/>
      <c r="F1124" s="125"/>
      <c r="G1124" s="126"/>
    </row>
    <row r="1125" spans="2:7" x14ac:dyDescent="0.3">
      <c r="B1125" s="151" t="str">
        <f>INSUMOS!$B$11</f>
        <v>GASOLINA CORRIENTE</v>
      </c>
      <c r="C1125" s="129" t="str">
        <f>INSUMOS!$C$11</f>
        <v>GLN</v>
      </c>
      <c r="D1125" s="129">
        <v>5</v>
      </c>
      <c r="E1125" s="130">
        <v>0</v>
      </c>
      <c r="F1125" s="131">
        <f>INSUMOS!$E$11</f>
        <v>16423</v>
      </c>
      <c r="G1125" s="132">
        <f>TRUNC(D1125 * (1 + E1125 / 100) * F1125,0)</f>
        <v>82115</v>
      </c>
    </row>
    <row r="1126" spans="2:7" x14ac:dyDescent="0.3">
      <c r="B1126" s="128" t="str">
        <f>INSUMOS!$B$53</f>
        <v>TIERRA NEGRA</v>
      </c>
      <c r="C1126" s="129" t="str">
        <f>INSUMOS!$C$53</f>
        <v>M3</v>
      </c>
      <c r="D1126" s="129">
        <v>2.4</v>
      </c>
      <c r="E1126" s="130">
        <v>0</v>
      </c>
      <c r="F1126" s="131">
        <f>INSUMOS!$E$53</f>
        <v>58912</v>
      </c>
      <c r="G1126" s="132">
        <f t="shared" ref="G1126:G1127" si="50">TRUNC(D1126 * (1 + E1126 / 100) * F1126,0)</f>
        <v>141388</v>
      </c>
    </row>
    <row r="1127" spans="2:7" x14ac:dyDescent="0.3">
      <c r="B1127" s="128" t="str">
        <f>INSUMOS!$B$34</f>
        <v>ARENA MEDIANA LAVADA SELECCIONADA</v>
      </c>
      <c r="C1127" s="129" t="str">
        <f>INSUMOS!$C$34</f>
        <v>M3</v>
      </c>
      <c r="D1127" s="129">
        <v>9.6</v>
      </c>
      <c r="E1127" s="130">
        <v>0</v>
      </c>
      <c r="F1127" s="131">
        <f>INSUMOS!$E$34</f>
        <v>78400</v>
      </c>
      <c r="G1127" s="132">
        <f t="shared" si="50"/>
        <v>752640</v>
      </c>
    </row>
    <row r="1128" spans="2:7" x14ac:dyDescent="0.3">
      <c r="B1128" s="133"/>
      <c r="C1128" s="134"/>
      <c r="D1128" s="135"/>
      <c r="E1128" s="136"/>
      <c r="F1128" s="137"/>
      <c r="G1128" s="138"/>
    </row>
    <row r="1129" spans="2:7" x14ac:dyDescent="0.3">
      <c r="B1129" s="122"/>
      <c r="C1129" s="123"/>
      <c r="D1129" s="123"/>
      <c r="E1129" s="124"/>
      <c r="F1129" s="125" t="s">
        <v>144</v>
      </c>
      <c r="G1129" s="132">
        <f>SUM(G1125:G1128)</f>
        <v>976143</v>
      </c>
    </row>
    <row r="1130" spans="2:7" x14ac:dyDescent="0.3">
      <c r="B1130" s="127" t="s">
        <v>114</v>
      </c>
      <c r="C1130" s="123"/>
      <c r="D1130" s="123"/>
      <c r="E1130" s="124"/>
      <c r="F1130" s="125"/>
      <c r="G1130" s="139"/>
    </row>
    <row r="1131" spans="2:7" x14ac:dyDescent="0.3">
      <c r="B1131" s="151" t="str">
        <f>INSUMOS!$B$72</f>
        <v>M.O. 1 OFICIAL + 1 AYUDANTES</v>
      </c>
      <c r="C1131" s="129" t="str">
        <f>INSUMOS!$C$72</f>
        <v>JORNAL</v>
      </c>
      <c r="D1131" s="160">
        <v>1.5</v>
      </c>
      <c r="E1131" s="130"/>
      <c r="F1131" s="140">
        <f>INSUMOS!$E$72</f>
        <v>308098</v>
      </c>
      <c r="G1131" s="132">
        <f>TRUNC(D1131 * (1 + E1131 / 100) * F1131,0)</f>
        <v>462147</v>
      </c>
    </row>
    <row r="1132" spans="2:7" x14ac:dyDescent="0.3">
      <c r="B1132" s="133"/>
      <c r="C1132" s="134"/>
      <c r="D1132" s="135"/>
      <c r="E1132" s="136"/>
      <c r="F1132" s="137"/>
      <c r="G1132" s="141"/>
    </row>
    <row r="1133" spans="2:7" x14ac:dyDescent="0.3">
      <c r="B1133" s="122"/>
      <c r="C1133" s="123"/>
      <c r="D1133" s="123"/>
      <c r="E1133" s="124"/>
      <c r="F1133" s="125" t="s">
        <v>145</v>
      </c>
      <c r="G1133" s="132">
        <f>SUM(G1131:G1132)</f>
        <v>462147</v>
      </c>
    </row>
    <row r="1134" spans="2:7" x14ac:dyDescent="0.3">
      <c r="B1134" s="127" t="s">
        <v>125</v>
      </c>
      <c r="C1134" s="123"/>
      <c r="D1134" s="123"/>
      <c r="E1134" s="124"/>
      <c r="F1134" s="125"/>
      <c r="G1134" s="139"/>
    </row>
    <row r="1135" spans="2:7" x14ac:dyDescent="0.3">
      <c r="B1135" s="133" t="str">
        <f>INSUMOS!$B$100</f>
        <v>ARENADORA A GASOLINA</v>
      </c>
      <c r="C1135" s="134" t="str">
        <f>INSUMOS!$C$100</f>
        <v>DIA</v>
      </c>
      <c r="D1135" s="160">
        <v>2</v>
      </c>
      <c r="E1135" s="136"/>
      <c r="F1135" s="137">
        <f>INSUMOS!$E$100</f>
        <v>63499</v>
      </c>
      <c r="G1135" s="132">
        <f>TRUNC(D1135 * (1 + E1135 / 100) * F1135,0)</f>
        <v>126998</v>
      </c>
    </row>
    <row r="1136" spans="2:7" x14ac:dyDescent="0.3">
      <c r="B1136" s="142"/>
      <c r="C1136" s="157"/>
      <c r="D1136" s="158"/>
      <c r="E1136" s="159"/>
      <c r="F1136" s="145"/>
      <c r="G1136" s="141"/>
    </row>
    <row r="1137" spans="2:7" x14ac:dyDescent="0.3">
      <c r="B1137" s="122"/>
      <c r="C1137" s="123"/>
      <c r="D1137" s="123"/>
      <c r="E1137" s="124"/>
      <c r="F1137" s="125" t="s">
        <v>146</v>
      </c>
      <c r="G1137" s="132">
        <f>SUM(G1135:G1135)</f>
        <v>126998</v>
      </c>
    </row>
    <row r="1138" spans="2:7" x14ac:dyDescent="0.3">
      <c r="B1138" s="127" t="s">
        <v>147</v>
      </c>
      <c r="C1138" s="123"/>
      <c r="D1138" s="123"/>
      <c r="E1138" s="124"/>
      <c r="F1138" s="125"/>
      <c r="G1138" s="139"/>
    </row>
    <row r="1139" spans="2:7" x14ac:dyDescent="0.3">
      <c r="B1139" s="133" t="str">
        <f>INSUMOS!$B$84</f>
        <v>HERRAMIENTA MENOR</v>
      </c>
      <c r="C1139" s="134" t="str">
        <f>INSUMOS!$C$84</f>
        <v>GLB</v>
      </c>
      <c r="D1139" s="160">
        <v>2.7509999999999999</v>
      </c>
      <c r="E1139" s="136"/>
      <c r="F1139" s="137">
        <f>INSUMOS!$E$84</f>
        <v>2174</v>
      </c>
      <c r="G1139" s="132">
        <f>TRUNC(D1139 * (1 + E1139 / 100) * F1139,0)</f>
        <v>5980</v>
      </c>
    </row>
    <row r="1140" spans="2:7" x14ac:dyDescent="0.3">
      <c r="B1140" s="133"/>
      <c r="C1140" s="134"/>
      <c r="D1140" s="135"/>
      <c r="E1140" s="136"/>
      <c r="F1140" s="137"/>
      <c r="G1140" s="141"/>
    </row>
    <row r="1141" spans="2:7" x14ac:dyDescent="0.3">
      <c r="B1141" s="122"/>
      <c r="C1141" s="123"/>
      <c r="D1141" s="123"/>
      <c r="E1141" s="124"/>
      <c r="F1141" s="125" t="str">
        <f>"SUBTOTAL " &amp;B1138</f>
        <v>SUBTOTAL OTROS</v>
      </c>
      <c r="G1141" s="132">
        <f>SUM(G1139:G1140)</f>
        <v>5980</v>
      </c>
    </row>
    <row r="1142" spans="2:7" x14ac:dyDescent="0.3">
      <c r="B1142" s="122"/>
      <c r="C1142" s="123"/>
      <c r="D1142" s="123"/>
      <c r="E1142" s="124"/>
      <c r="F1142" s="125"/>
      <c r="G1142" s="126"/>
    </row>
    <row r="1143" spans="2:7" ht="15" thickBot="1" x14ac:dyDescent="0.35">
      <c r="B1143" s="146"/>
      <c r="C1143" s="147"/>
      <c r="D1143" s="166"/>
      <c r="E1143" s="148" t="s">
        <v>148</v>
      </c>
      <c r="F1143" s="149"/>
      <c r="G1143" s="150">
        <f>ROUND(G1129+G1133+G1137+G1141,0)</f>
        <v>1571268</v>
      </c>
    </row>
    <row r="1144" spans="2:7" ht="15" thickTop="1" x14ac:dyDescent="0.3"/>
    <row r="1145" spans="2:7" ht="15" thickBot="1" x14ac:dyDescent="0.35"/>
    <row r="1146" spans="2:7" ht="60" customHeight="1" thickTop="1" x14ac:dyDescent="0.3">
      <c r="B1146" s="315" t="str">
        <f>'FORMATO 13'!C67</f>
        <v>REPARACIÓN DE APIQUES O DIVOTS: Arreglar los baches generados después de cada partido, se realiza utilizando la herramienta especial para esta labor y en algunas ocasiones se debe realizar con la proporción 80% arena media y 20% tierra negra.  Se realiza después de cada partido, competencia o evento y después de uso del campo en eventos masivos. Siguiendo las indicaciones de la supervisión, interventoría o recomendaciones del contratista, debidamente aprobadas por el supervisor. Incluye materiales vegetales, orgánicos y minerales para el relleno; equipos y herramientas y mano de obra para su correcta ejecución.</v>
      </c>
      <c r="C1146" s="316"/>
      <c r="D1146" s="316"/>
      <c r="E1146" s="317"/>
      <c r="F1146" s="115" t="s">
        <v>140</v>
      </c>
      <c r="G1146" s="116" t="str">
        <f>'FORMATO 13'!D67</f>
        <v>MES</v>
      </c>
    </row>
    <row r="1147" spans="2:7" ht="60" customHeight="1" x14ac:dyDescent="0.3">
      <c r="B1147" s="318"/>
      <c r="C1147" s="319"/>
      <c r="D1147" s="319"/>
      <c r="E1147" s="320"/>
      <c r="F1147" s="117" t="s">
        <v>141</v>
      </c>
      <c r="G1147" s="155">
        <f>'FORMATO 13'!B67</f>
        <v>4.0799999999999983</v>
      </c>
    </row>
    <row r="1148" spans="2:7" x14ac:dyDescent="0.3">
      <c r="B1148" s="118" t="s">
        <v>5</v>
      </c>
      <c r="C1148" s="119" t="s">
        <v>92</v>
      </c>
      <c r="D1148" s="119" t="s">
        <v>93</v>
      </c>
      <c r="E1148" s="119" t="s">
        <v>142</v>
      </c>
      <c r="F1148" s="120" t="s">
        <v>143</v>
      </c>
      <c r="G1148" s="121" t="s">
        <v>10</v>
      </c>
    </row>
    <row r="1149" spans="2:7" x14ac:dyDescent="0.3">
      <c r="B1149" s="122"/>
      <c r="C1149" s="123"/>
      <c r="D1149" s="123"/>
      <c r="E1149" s="124"/>
      <c r="F1149" s="125"/>
      <c r="G1149" s="126"/>
    </row>
    <row r="1150" spans="2:7" x14ac:dyDescent="0.3">
      <c r="B1150" s="127" t="s">
        <v>91</v>
      </c>
      <c r="C1150" s="123"/>
      <c r="D1150" s="123"/>
      <c r="E1150" s="124"/>
      <c r="F1150" s="125"/>
      <c r="G1150" s="126"/>
    </row>
    <row r="1151" spans="2:7" x14ac:dyDescent="0.3">
      <c r="B1151" s="128" t="str">
        <f>INSUMOS!$B$34</f>
        <v>ARENA MEDIANA LAVADA SELECCIONADA</v>
      </c>
      <c r="C1151" s="129" t="str">
        <f>INSUMOS!$C$34</f>
        <v>M3</v>
      </c>
      <c r="D1151" s="129">
        <v>0.8</v>
      </c>
      <c r="E1151" s="130">
        <v>0</v>
      </c>
      <c r="F1151" s="131">
        <f>INSUMOS!$E$34</f>
        <v>78400</v>
      </c>
      <c r="G1151" s="132">
        <f t="shared" ref="G1151:G1152" si="51">TRUNC(D1151 * (1 + E1151 / 100) * F1151,0)</f>
        <v>62720</v>
      </c>
    </row>
    <row r="1152" spans="2:7" x14ac:dyDescent="0.3">
      <c r="B1152" s="128" t="str">
        <f>INSUMOS!$B$53</f>
        <v>TIERRA NEGRA</v>
      </c>
      <c r="C1152" s="129" t="str">
        <f>INSUMOS!$C$53</f>
        <v>M3</v>
      </c>
      <c r="D1152" s="129">
        <v>0.2</v>
      </c>
      <c r="E1152" s="130">
        <v>0</v>
      </c>
      <c r="F1152" s="131">
        <f>INSUMOS!$E$53</f>
        <v>58912</v>
      </c>
      <c r="G1152" s="132">
        <f t="shared" si="51"/>
        <v>11782</v>
      </c>
    </row>
    <row r="1153" spans="2:7" x14ac:dyDescent="0.3">
      <c r="B1153" s="128"/>
      <c r="C1153" s="129"/>
      <c r="D1153" s="129"/>
      <c r="E1153" s="130"/>
      <c r="F1153" s="131"/>
      <c r="G1153" s="132"/>
    </row>
    <row r="1154" spans="2:7" x14ac:dyDescent="0.3">
      <c r="B1154" s="122"/>
      <c r="C1154" s="123"/>
      <c r="D1154" s="123"/>
      <c r="E1154" s="124"/>
      <c r="F1154" s="125" t="s">
        <v>144</v>
      </c>
      <c r="G1154" s="132">
        <f>SUM(G1149:G1153)</f>
        <v>74502</v>
      </c>
    </row>
    <row r="1155" spans="2:7" x14ac:dyDescent="0.3">
      <c r="B1155" s="127" t="s">
        <v>114</v>
      </c>
      <c r="C1155" s="123"/>
      <c r="D1155" s="123"/>
      <c r="E1155" s="124"/>
      <c r="F1155" s="125"/>
      <c r="G1155" s="139"/>
    </row>
    <row r="1156" spans="2:7" x14ac:dyDescent="0.3">
      <c r="B1156" s="151" t="str">
        <f>INSUMOS!$B$73</f>
        <v>M.O. 1 OFICIAL + 2 AYUDANTES</v>
      </c>
      <c r="C1156" s="129" t="str">
        <f>INSUMOS!$C$73</f>
        <v>JORNAL</v>
      </c>
      <c r="D1156" s="129">
        <v>1</v>
      </c>
      <c r="E1156" s="130"/>
      <c r="F1156" s="140">
        <f>INSUMOS!$E$73</f>
        <v>422209</v>
      </c>
      <c r="G1156" s="132">
        <f>TRUNC(D1156 * (1 + E1156 / 100) * F1156,0)</f>
        <v>422209</v>
      </c>
    </row>
    <row r="1157" spans="2:7" x14ac:dyDescent="0.3">
      <c r="B1157" s="142"/>
      <c r="C1157" s="157"/>
      <c r="D1157" s="158"/>
      <c r="E1157" s="159"/>
      <c r="F1157" s="145"/>
      <c r="G1157" s="141"/>
    </row>
    <row r="1158" spans="2:7" x14ac:dyDescent="0.3">
      <c r="B1158" s="122"/>
      <c r="C1158" s="123"/>
      <c r="D1158" s="123"/>
      <c r="E1158" s="124"/>
      <c r="F1158" s="125" t="s">
        <v>145</v>
      </c>
      <c r="G1158" s="132">
        <f>SUM(G1156:G1156)</f>
        <v>422209</v>
      </c>
    </row>
    <row r="1159" spans="2:7" x14ac:dyDescent="0.3">
      <c r="B1159" s="127" t="s">
        <v>125</v>
      </c>
      <c r="C1159" s="123"/>
      <c r="D1159" s="123"/>
      <c r="E1159" s="124"/>
      <c r="F1159" s="125"/>
      <c r="G1159" s="139"/>
    </row>
    <row r="1160" spans="2:7" x14ac:dyDescent="0.3">
      <c r="B1160" s="151"/>
      <c r="C1160" s="129"/>
      <c r="D1160" s="129"/>
      <c r="E1160" s="130"/>
      <c r="F1160" s="140"/>
      <c r="G1160" s="132"/>
    </row>
    <row r="1161" spans="2:7" x14ac:dyDescent="0.3">
      <c r="B1161" s="122"/>
      <c r="C1161" s="123"/>
      <c r="D1161" s="123"/>
      <c r="E1161" s="124"/>
      <c r="F1161" s="125" t="s">
        <v>146</v>
      </c>
      <c r="G1161" s="132">
        <f>SUM(G1160:G1160)</f>
        <v>0</v>
      </c>
    </row>
    <row r="1162" spans="2:7" x14ac:dyDescent="0.3">
      <c r="B1162" s="127" t="s">
        <v>147</v>
      </c>
      <c r="C1162" s="123"/>
      <c r="D1162" s="123"/>
      <c r="E1162" s="124"/>
      <c r="F1162" s="125"/>
      <c r="G1162" s="139"/>
    </row>
    <row r="1163" spans="2:7" x14ac:dyDescent="0.3">
      <c r="B1163" s="133" t="str">
        <f>INSUMOS!$B$84</f>
        <v>HERRAMIENTA MENOR</v>
      </c>
      <c r="C1163" s="134" t="str">
        <f>INSUMOS!$C$84</f>
        <v>GLB</v>
      </c>
      <c r="D1163" s="123">
        <v>2.1724999999999999</v>
      </c>
      <c r="E1163" s="136"/>
      <c r="F1163" s="137">
        <f>INSUMOS!$E$84</f>
        <v>2174</v>
      </c>
      <c r="G1163" s="132">
        <f>TRUNC(D1163 * (1 + E1163 / 100) * F1163,0)</f>
        <v>4723</v>
      </c>
    </row>
    <row r="1164" spans="2:7" x14ac:dyDescent="0.3">
      <c r="B1164" s="133"/>
      <c r="C1164" s="134"/>
      <c r="D1164" s="135"/>
      <c r="E1164" s="136"/>
      <c r="F1164" s="137"/>
      <c r="G1164" s="141"/>
    </row>
    <row r="1165" spans="2:7" x14ac:dyDescent="0.3">
      <c r="B1165" s="122"/>
      <c r="C1165" s="123"/>
      <c r="D1165" s="123"/>
      <c r="E1165" s="124"/>
      <c r="F1165" s="125" t="str">
        <f>"SUBTOTAL " &amp;B1162</f>
        <v>SUBTOTAL OTROS</v>
      </c>
      <c r="G1165" s="132">
        <f>SUM(G1163:G1164)</f>
        <v>4723</v>
      </c>
    </row>
    <row r="1166" spans="2:7" x14ac:dyDescent="0.3">
      <c r="B1166" s="122"/>
      <c r="C1166" s="123"/>
      <c r="D1166" s="123"/>
      <c r="E1166" s="124"/>
      <c r="F1166" s="125"/>
      <c r="G1166" s="126"/>
    </row>
    <row r="1167" spans="2:7" ht="15" thickBot="1" x14ac:dyDescent="0.35">
      <c r="B1167" s="146"/>
      <c r="C1167" s="147"/>
      <c r="D1167" s="166"/>
      <c r="E1167" s="148" t="s">
        <v>148</v>
      </c>
      <c r="F1167" s="149"/>
      <c r="G1167" s="150">
        <f>ROUND(G1154+G1158+G1161+G1165,0)</f>
        <v>501434</v>
      </c>
    </row>
    <row r="1168" spans="2:7" ht="15" thickTop="1" x14ac:dyDescent="0.3"/>
    <row r="1169" spans="2:7" ht="15" thickBot="1" x14ac:dyDescent="0.35"/>
    <row r="1170" spans="2:7" ht="60" customHeight="1" thickTop="1" x14ac:dyDescent="0.3">
      <c r="B1170" s="315" t="str">
        <f>'FORMATO 13'!C68</f>
        <v>MANTENIMIENTO DEL INFIELD - ÁREAS EN POLVO DE LADRILLO:  Se debe hacer relleno con polvo de ladrillo, cuatro (4) veces al mes;  incluye cepillado, desmalezada y agregado de arena o polvo de ladrillo, un día por semana, o de acuerdo a las indicaciones de la interventoría y/o supervisor.  Incluye materiales minerales para el relleno; equipos y herramientas; y mano de obra para su correcta ejecución.</v>
      </c>
      <c r="C1170" s="316"/>
      <c r="D1170" s="316"/>
      <c r="E1170" s="317"/>
      <c r="F1170" s="115" t="s">
        <v>140</v>
      </c>
      <c r="G1170" s="116" t="str">
        <f>'FORMATO 13'!D68</f>
        <v>MES</v>
      </c>
    </row>
    <row r="1171" spans="2:7" ht="60" customHeight="1" x14ac:dyDescent="0.3">
      <c r="B1171" s="318"/>
      <c r="C1171" s="319"/>
      <c r="D1171" s="319"/>
      <c r="E1171" s="320"/>
      <c r="F1171" s="117" t="s">
        <v>141</v>
      </c>
      <c r="G1171" s="155">
        <f>'FORMATO 13'!B68</f>
        <v>4.0899999999999981</v>
      </c>
    </row>
    <row r="1172" spans="2:7" x14ac:dyDescent="0.3">
      <c r="B1172" s="118" t="s">
        <v>5</v>
      </c>
      <c r="C1172" s="119" t="s">
        <v>92</v>
      </c>
      <c r="D1172" s="119" t="s">
        <v>93</v>
      </c>
      <c r="E1172" s="119" t="s">
        <v>142</v>
      </c>
      <c r="F1172" s="120" t="s">
        <v>143</v>
      </c>
      <c r="G1172" s="121" t="s">
        <v>10</v>
      </c>
    </row>
    <row r="1173" spans="2:7" x14ac:dyDescent="0.3">
      <c r="B1173" s="122"/>
      <c r="C1173" s="123"/>
      <c r="D1173" s="123"/>
      <c r="E1173" s="124"/>
      <c r="F1173" s="125"/>
      <c r="G1173" s="126"/>
    </row>
    <row r="1174" spans="2:7" x14ac:dyDescent="0.3">
      <c r="B1174" s="127" t="s">
        <v>91</v>
      </c>
      <c r="C1174" s="123"/>
      <c r="D1174" s="123"/>
      <c r="E1174" s="124"/>
      <c r="F1174" s="125"/>
      <c r="G1174" s="126"/>
    </row>
    <row r="1175" spans="2:7" x14ac:dyDescent="0.3">
      <c r="B1175" s="128" t="str">
        <f>INSUMOS!$B$61</f>
        <v>POLVO DE LADRILLO 1/2 TONELADA PARA INFILD</v>
      </c>
      <c r="C1175" s="129" t="str">
        <f>INSUMOS!$C$61</f>
        <v>TON</v>
      </c>
      <c r="D1175" s="129">
        <v>0.5</v>
      </c>
      <c r="E1175" s="130">
        <v>0</v>
      </c>
      <c r="F1175" s="131">
        <f>INSUMOS!$E$61</f>
        <v>482940</v>
      </c>
      <c r="G1175" s="132">
        <f t="shared" ref="G1175:G1176" si="52">TRUNC(D1175 * (1 + E1175 / 100) * F1175,0)</f>
        <v>241470</v>
      </c>
    </row>
    <row r="1176" spans="2:7" x14ac:dyDescent="0.3">
      <c r="B1176" s="128" t="str">
        <f>INSUMOS!$B$62</f>
        <v>POLVO DE LADRILLO 1/2 TONELADA PARA TABLA BATEO</v>
      </c>
      <c r="C1176" s="129" t="str">
        <f>INSUMOS!$C$62</f>
        <v>TON</v>
      </c>
      <c r="D1176" s="129">
        <v>0.5</v>
      </c>
      <c r="E1176" s="130">
        <v>0</v>
      </c>
      <c r="F1176" s="131">
        <f>INSUMOS!$E$62</f>
        <v>482940</v>
      </c>
      <c r="G1176" s="132">
        <f t="shared" si="52"/>
        <v>241470</v>
      </c>
    </row>
    <row r="1177" spans="2:7" x14ac:dyDescent="0.3">
      <c r="B1177" s="128"/>
      <c r="C1177" s="129"/>
      <c r="D1177" s="129"/>
      <c r="E1177" s="130"/>
      <c r="F1177" s="131"/>
      <c r="G1177" s="132"/>
    </row>
    <row r="1178" spans="2:7" x14ac:dyDescent="0.3">
      <c r="B1178" s="122"/>
      <c r="C1178" s="123"/>
      <c r="D1178" s="123"/>
      <c r="E1178" s="124"/>
      <c r="F1178" s="125" t="s">
        <v>144</v>
      </c>
      <c r="G1178" s="132">
        <f>SUM(G1173:G1177)</f>
        <v>482940</v>
      </c>
    </row>
    <row r="1179" spans="2:7" x14ac:dyDescent="0.3">
      <c r="B1179" s="127" t="s">
        <v>114</v>
      </c>
      <c r="C1179" s="123"/>
      <c r="D1179" s="123"/>
      <c r="E1179" s="124"/>
      <c r="F1179" s="125"/>
      <c r="G1179" s="139"/>
    </row>
    <row r="1180" spans="2:7" x14ac:dyDescent="0.3">
      <c r="B1180" s="151" t="str">
        <f>INSUMOS!$B$73</f>
        <v>M.O. 1 OFICIAL + 2 AYUDANTES</v>
      </c>
      <c r="C1180" s="129" t="str">
        <f>INSUMOS!$C$73</f>
        <v>JORNAL</v>
      </c>
      <c r="D1180" s="129">
        <v>2</v>
      </c>
      <c r="E1180" s="130"/>
      <c r="F1180" s="140">
        <f>INSUMOS!$E$73</f>
        <v>422209</v>
      </c>
      <c r="G1180" s="132">
        <f>TRUNC(D1180 * (1 + E1180 / 100) * F1180,0)</f>
        <v>844418</v>
      </c>
    </row>
    <row r="1181" spans="2:7" x14ac:dyDescent="0.3">
      <c r="B1181" s="142"/>
      <c r="C1181" s="157"/>
      <c r="D1181" s="158"/>
      <c r="E1181" s="159"/>
      <c r="F1181" s="145"/>
      <c r="G1181" s="141"/>
    </row>
    <row r="1182" spans="2:7" x14ac:dyDescent="0.3">
      <c r="B1182" s="122"/>
      <c r="C1182" s="123"/>
      <c r="D1182" s="123"/>
      <c r="E1182" s="124"/>
      <c r="F1182" s="125" t="s">
        <v>145</v>
      </c>
      <c r="G1182" s="132">
        <f>SUM(G1180:G1180)</f>
        <v>844418</v>
      </c>
    </row>
    <row r="1183" spans="2:7" x14ac:dyDescent="0.3">
      <c r="B1183" s="127" t="s">
        <v>125</v>
      </c>
      <c r="C1183" s="123"/>
      <c r="D1183" s="123"/>
      <c r="E1183" s="124"/>
      <c r="F1183" s="125"/>
      <c r="G1183" s="139"/>
    </row>
    <row r="1184" spans="2:7" x14ac:dyDescent="0.3">
      <c r="B1184" s="151"/>
      <c r="C1184" s="129"/>
      <c r="D1184" s="129"/>
      <c r="E1184" s="130"/>
      <c r="F1184" s="140"/>
      <c r="G1184" s="132"/>
    </row>
    <row r="1185" spans="2:7" x14ac:dyDescent="0.3">
      <c r="B1185" s="122"/>
      <c r="C1185" s="123"/>
      <c r="D1185" s="123"/>
      <c r="E1185" s="124"/>
      <c r="F1185" s="125" t="s">
        <v>146</v>
      </c>
      <c r="G1185" s="132">
        <f>SUM(G1184:G1184)</f>
        <v>0</v>
      </c>
    </row>
    <row r="1186" spans="2:7" x14ac:dyDescent="0.3">
      <c r="B1186" s="127" t="s">
        <v>147</v>
      </c>
      <c r="C1186" s="123"/>
      <c r="D1186" s="123"/>
      <c r="E1186" s="124"/>
      <c r="F1186" s="125"/>
      <c r="G1186" s="139"/>
    </row>
    <row r="1187" spans="2:7" x14ac:dyDescent="0.3">
      <c r="B1187" s="133" t="str">
        <f>INSUMOS!$B$84</f>
        <v>HERRAMIENTA MENOR</v>
      </c>
      <c r="C1187" s="134" t="str">
        <f>INSUMOS!$C$84</f>
        <v>GLB</v>
      </c>
      <c r="D1187" s="123">
        <v>1</v>
      </c>
      <c r="E1187" s="136"/>
      <c r="F1187" s="137">
        <f>INSUMOS!$E$84</f>
        <v>2174</v>
      </c>
      <c r="G1187" s="132">
        <f>TRUNC(D1187 * (1 + E1187 / 100) * F1187,0)</f>
        <v>2174</v>
      </c>
    </row>
    <row r="1188" spans="2:7" x14ac:dyDescent="0.3">
      <c r="B1188" s="133"/>
      <c r="C1188" s="134"/>
      <c r="D1188" s="135"/>
      <c r="E1188" s="136"/>
      <c r="F1188" s="137"/>
      <c r="G1188" s="141"/>
    </row>
    <row r="1189" spans="2:7" x14ac:dyDescent="0.3">
      <c r="B1189" s="122"/>
      <c r="C1189" s="123"/>
      <c r="D1189" s="123"/>
      <c r="E1189" s="124"/>
      <c r="F1189" s="125" t="str">
        <f>"SUBTOTAL " &amp;B1186</f>
        <v>SUBTOTAL OTROS</v>
      </c>
      <c r="G1189" s="132">
        <f>SUM(G1187:G1188)</f>
        <v>2174</v>
      </c>
    </row>
    <row r="1190" spans="2:7" x14ac:dyDescent="0.3">
      <c r="B1190" s="122"/>
      <c r="C1190" s="123"/>
      <c r="D1190" s="123"/>
      <c r="E1190" s="124"/>
      <c r="F1190" s="125"/>
      <c r="G1190" s="126"/>
    </row>
    <row r="1191" spans="2:7" ht="15" thickBot="1" x14ac:dyDescent="0.35">
      <c r="B1191" s="146"/>
      <c r="C1191" s="147"/>
      <c r="D1191" s="166"/>
      <c r="E1191" s="148" t="s">
        <v>148</v>
      </c>
      <c r="F1191" s="149"/>
      <c r="G1191" s="150">
        <f>ROUND(G1178+G1182+G1185+G1189,0)</f>
        <v>1329532</v>
      </c>
    </row>
    <row r="1192" spans="2:7" ht="15" thickTop="1" x14ac:dyDescent="0.3"/>
    <row r="1193" spans="2:7" ht="15" thickBot="1" x14ac:dyDescent="0.35"/>
    <row r="1194" spans="2:7" ht="79.95" customHeight="1" thickTop="1" x14ac:dyDescent="0.3">
      <c r="B1194" s="315" t="str">
        <f>'FORMATO 13'!C69</f>
        <v>ANÁLISIS Y ESTUDIO DE SUELOS: Consiste en sacar muestras del suelo con el barreno y llevarlos al laboratorio para identificar los parámetros físicos y químicos para realizar el plan de fertilización de la grama. 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 Incluye los materiales, mano de obra, equipos y herramientas necesarias para su correcta ejecución. de acuerdo a las indicaciones de la supervisión y/o interventoría y/o recomendación del contratista, debidamente aprobadas por el supervisor.</v>
      </c>
      <c r="C1194" s="316"/>
      <c r="D1194" s="316"/>
      <c r="E1194" s="317"/>
      <c r="F1194" s="115" t="s">
        <v>140</v>
      </c>
      <c r="G1194" s="116" t="str">
        <f>'FORMATO 13'!D69</f>
        <v>VECES</v>
      </c>
    </row>
    <row r="1195" spans="2:7" ht="79.95" customHeight="1" x14ac:dyDescent="0.3">
      <c r="B1195" s="318"/>
      <c r="C1195" s="319"/>
      <c r="D1195" s="319"/>
      <c r="E1195" s="320"/>
      <c r="F1195" s="117" t="s">
        <v>141</v>
      </c>
      <c r="G1195" s="156">
        <f>'FORMATO 13'!B69</f>
        <v>4.0999999999999979</v>
      </c>
    </row>
    <row r="1196" spans="2:7" x14ac:dyDescent="0.3">
      <c r="B1196" s="118" t="s">
        <v>5</v>
      </c>
      <c r="C1196" s="119" t="s">
        <v>92</v>
      </c>
      <c r="D1196" s="119" t="s">
        <v>93</v>
      </c>
      <c r="E1196" s="119" t="s">
        <v>142</v>
      </c>
      <c r="F1196" s="120" t="s">
        <v>143</v>
      </c>
      <c r="G1196" s="121" t="s">
        <v>10</v>
      </c>
    </row>
    <row r="1197" spans="2:7" x14ac:dyDescent="0.3">
      <c r="B1197" s="122"/>
      <c r="C1197" s="123"/>
      <c r="D1197" s="123"/>
      <c r="E1197" s="124"/>
      <c r="F1197" s="125"/>
      <c r="G1197" s="126"/>
    </row>
    <row r="1198" spans="2:7" x14ac:dyDescent="0.3">
      <c r="B1198" s="127" t="s">
        <v>91</v>
      </c>
      <c r="C1198" s="123"/>
      <c r="D1198" s="123"/>
      <c r="E1198" s="124"/>
      <c r="F1198" s="125"/>
      <c r="G1198" s="126"/>
    </row>
    <row r="1199" spans="2:7" x14ac:dyDescent="0.3">
      <c r="B1199" s="133"/>
      <c r="C1199" s="134"/>
      <c r="D1199" s="135"/>
      <c r="E1199" s="136"/>
      <c r="F1199" s="137"/>
      <c r="G1199" s="138"/>
    </row>
    <row r="1200" spans="2:7" x14ac:dyDescent="0.3">
      <c r="B1200" s="122"/>
      <c r="C1200" s="123"/>
      <c r="D1200" s="123"/>
      <c r="E1200" s="124"/>
      <c r="F1200" s="125" t="s">
        <v>144</v>
      </c>
      <c r="G1200" s="132">
        <f>SUM(G1199:G1199)</f>
        <v>0</v>
      </c>
    </row>
    <row r="1201" spans="2:7" x14ac:dyDescent="0.3">
      <c r="B1201" s="127" t="s">
        <v>114</v>
      </c>
      <c r="C1201" s="123"/>
      <c r="D1201" s="123"/>
      <c r="E1201" s="124"/>
      <c r="F1201" s="125"/>
      <c r="G1201" s="139"/>
    </row>
    <row r="1202" spans="2:7" x14ac:dyDescent="0.3">
      <c r="B1202" s="133"/>
      <c r="C1202" s="134"/>
      <c r="D1202" s="135"/>
      <c r="E1202" s="136"/>
      <c r="F1202" s="137"/>
      <c r="G1202" s="141"/>
    </row>
    <row r="1203" spans="2:7" x14ac:dyDescent="0.3">
      <c r="B1203" s="122"/>
      <c r="C1203" s="123"/>
      <c r="D1203" s="123"/>
      <c r="E1203" s="124"/>
      <c r="F1203" s="125" t="s">
        <v>145</v>
      </c>
      <c r="G1203" s="132">
        <f>SUM(G1202:G1202)</f>
        <v>0</v>
      </c>
    </row>
    <row r="1204" spans="2:7" x14ac:dyDescent="0.3">
      <c r="B1204" s="127" t="s">
        <v>125</v>
      </c>
      <c r="C1204" s="123"/>
      <c r="D1204" s="123"/>
      <c r="E1204" s="124"/>
      <c r="F1204" s="125"/>
      <c r="G1204" s="139"/>
    </row>
    <row r="1205" spans="2:7" x14ac:dyDescent="0.3">
      <c r="B1205" s="133"/>
      <c r="C1205" s="134"/>
      <c r="D1205" s="135"/>
      <c r="E1205" s="136"/>
      <c r="F1205" s="137"/>
      <c r="G1205" s="141"/>
    </row>
    <row r="1206" spans="2:7" x14ac:dyDescent="0.3">
      <c r="B1206" s="122"/>
      <c r="C1206" s="123"/>
      <c r="D1206" s="123"/>
      <c r="E1206" s="124"/>
      <c r="F1206" s="125" t="s">
        <v>146</v>
      </c>
      <c r="G1206" s="132">
        <f>SUM(G1205:G1205)</f>
        <v>0</v>
      </c>
    </row>
    <row r="1207" spans="2:7" x14ac:dyDescent="0.3">
      <c r="B1207" s="127" t="s">
        <v>147</v>
      </c>
      <c r="C1207" s="123"/>
      <c r="D1207" s="123"/>
      <c r="E1207" s="124"/>
      <c r="F1207" s="125"/>
      <c r="G1207" s="139"/>
    </row>
    <row r="1208" spans="2:7" x14ac:dyDescent="0.3">
      <c r="B1208" s="133" t="str">
        <f>INSUMOS!$B$92</f>
        <v>ANALISIS FOLIAR DE LABORATORIO</v>
      </c>
      <c r="C1208" s="134" t="str">
        <f>INSUMOS!$C$92</f>
        <v>GBL</v>
      </c>
      <c r="D1208" s="123">
        <v>1</v>
      </c>
      <c r="E1208" s="136"/>
      <c r="F1208" s="137">
        <f>INSUMOS!$E$92</f>
        <v>966666</v>
      </c>
      <c r="G1208" s="132">
        <f>TRUNC(D1208 * (1 + E1208 / 100) * F1208,0)</f>
        <v>966666</v>
      </c>
    </row>
    <row r="1209" spans="2:7" x14ac:dyDescent="0.3">
      <c r="B1209" s="133"/>
      <c r="C1209" s="134"/>
      <c r="D1209" s="135"/>
      <c r="E1209" s="136"/>
      <c r="F1209" s="137"/>
      <c r="G1209" s="141"/>
    </row>
    <row r="1210" spans="2:7" x14ac:dyDescent="0.3">
      <c r="B1210" s="122"/>
      <c r="C1210" s="123"/>
      <c r="D1210" s="123"/>
      <c r="E1210" s="124"/>
      <c r="F1210" s="125" t="str">
        <f>"SUBTOTAL " &amp;B1207</f>
        <v>SUBTOTAL OTROS</v>
      </c>
      <c r="G1210" s="132">
        <f>SUM(G1208:G1209)</f>
        <v>966666</v>
      </c>
    </row>
    <row r="1211" spans="2:7" x14ac:dyDescent="0.3">
      <c r="B1211" s="122"/>
      <c r="C1211" s="123"/>
      <c r="D1211" s="123"/>
      <c r="E1211" s="124"/>
      <c r="F1211" s="125"/>
      <c r="G1211" s="126"/>
    </row>
    <row r="1212" spans="2:7" ht="15" thickBot="1" x14ac:dyDescent="0.35">
      <c r="B1212" s="146"/>
      <c r="C1212" s="147"/>
      <c r="D1212" s="166"/>
      <c r="E1212" s="148" t="s">
        <v>148</v>
      </c>
      <c r="F1212" s="149"/>
      <c r="G1212" s="150">
        <f>ROUND(G1200+G1203+G1206+G1210,0)</f>
        <v>966666</v>
      </c>
    </row>
    <row r="1213" spans="2:7" ht="15" thickTop="1" x14ac:dyDescent="0.3"/>
    <row r="1214" spans="2:7" ht="15" thickBot="1" x14ac:dyDescent="0.35"/>
    <row r="1215" spans="2:7" ht="49.95" customHeight="1" thickTop="1" x14ac:dyDescent="0.3">
      <c r="B1215" s="315" t="str">
        <f>'FORMATO 13'!C70</f>
        <v>LIMPIEZA Y RETIRO DE SOBRANTES:Se debe realizar permanentemente como su nombre lo indica en todo el tiempo de duración del contrato. Se debe realizar el aseo y limpieza permanente del área de trabajo y sus alrededores afectados; todos los sobrantes de este trabajo deberán ser depositados en los sitios autorizados por la autoridad ambiental municipal - Dagma. Incluye mano de obra, equipos y herramienta de cargue y descargue; maquinaria, equipo y herramienta para el transporte; trámite y costos de permisos para disposición de material de desecho.</v>
      </c>
      <c r="C1215" s="316"/>
      <c r="D1215" s="316"/>
      <c r="E1215" s="317"/>
      <c r="F1215" s="115" t="s">
        <v>140</v>
      </c>
      <c r="G1215" s="116" t="str">
        <f>'FORMATO 13'!D70</f>
        <v>MESES</v>
      </c>
    </row>
    <row r="1216" spans="2:7" ht="49.95" customHeight="1" x14ac:dyDescent="0.3">
      <c r="B1216" s="318"/>
      <c r="C1216" s="319"/>
      <c r="D1216" s="319"/>
      <c r="E1216" s="320"/>
      <c r="F1216" s="117" t="s">
        <v>141</v>
      </c>
      <c r="G1216" s="156">
        <f>'FORMATO 13'!B70</f>
        <v>4.1099999999999977</v>
      </c>
    </row>
    <row r="1217" spans="2:7" x14ac:dyDescent="0.3">
      <c r="B1217" s="118" t="s">
        <v>5</v>
      </c>
      <c r="C1217" s="119" t="s">
        <v>92</v>
      </c>
      <c r="D1217" s="119" t="s">
        <v>93</v>
      </c>
      <c r="E1217" s="119" t="s">
        <v>142</v>
      </c>
      <c r="F1217" s="120" t="s">
        <v>143</v>
      </c>
      <c r="G1217" s="121" t="s">
        <v>10</v>
      </c>
    </row>
    <row r="1218" spans="2:7" x14ac:dyDescent="0.3">
      <c r="B1218" s="122"/>
      <c r="C1218" s="123"/>
      <c r="D1218" s="123"/>
      <c r="E1218" s="124"/>
      <c r="F1218" s="125"/>
      <c r="G1218" s="126"/>
    </row>
    <row r="1219" spans="2:7" x14ac:dyDescent="0.3">
      <c r="B1219" s="127" t="s">
        <v>91</v>
      </c>
      <c r="C1219" s="123"/>
      <c r="D1219" s="123"/>
      <c r="E1219" s="124"/>
      <c r="F1219" s="125"/>
      <c r="G1219" s="126"/>
    </row>
    <row r="1220" spans="2:7" x14ac:dyDescent="0.3">
      <c r="B1220" s="128" t="str">
        <f>INSUMOS!$B$13</f>
        <v>BOLSAS PARA BASURA</v>
      </c>
      <c r="C1220" s="129" t="str">
        <f>INSUMOS!$C$13</f>
        <v>UND</v>
      </c>
      <c r="D1220" s="129">
        <v>55</v>
      </c>
      <c r="E1220" s="130">
        <v>0</v>
      </c>
      <c r="F1220" s="131">
        <f>INSUMOS!$E$13</f>
        <v>2053</v>
      </c>
      <c r="G1220" s="132">
        <f t="shared" ref="G1220" si="53">TRUNC(D1220 * (1 + E1220 / 100) * F1220,0)</f>
        <v>112915</v>
      </c>
    </row>
    <row r="1221" spans="2:7" x14ac:dyDescent="0.3">
      <c r="B1221" s="142"/>
      <c r="C1221" s="157"/>
      <c r="D1221" s="158"/>
      <c r="E1221" s="159"/>
      <c r="F1221" s="145"/>
      <c r="G1221" s="138"/>
    </row>
    <row r="1222" spans="2:7" x14ac:dyDescent="0.3">
      <c r="B1222" s="122"/>
      <c r="C1222" s="123"/>
      <c r="D1222" s="123"/>
      <c r="E1222" s="124"/>
      <c r="F1222" s="125" t="s">
        <v>144</v>
      </c>
      <c r="G1222" s="132">
        <f>SUM(G1220:G1220)</f>
        <v>112915</v>
      </c>
    </row>
    <row r="1223" spans="2:7" x14ac:dyDescent="0.3">
      <c r="B1223" s="127" t="s">
        <v>114</v>
      </c>
      <c r="C1223" s="123"/>
      <c r="D1223" s="123"/>
      <c r="E1223" s="124"/>
      <c r="F1223" s="125"/>
      <c r="G1223" s="139"/>
    </row>
    <row r="1224" spans="2:7" x14ac:dyDescent="0.3">
      <c r="B1224" s="133" t="str">
        <f>INSUMOS!$B$70</f>
        <v>M.O. ALBAÑILERIA 4 AYUDANTES</v>
      </c>
      <c r="C1224" s="134" t="str">
        <f>INSUMOS!$C$70</f>
        <v>JORNAL</v>
      </c>
      <c r="D1224" s="123">
        <v>1.75</v>
      </c>
      <c r="E1224" s="136"/>
      <c r="F1224" s="137">
        <f>INSUMOS!$E$70</f>
        <v>456442</v>
      </c>
      <c r="G1224" s="132">
        <f>TRUNC(D1224 * (1 + E1224 / 100) * F1224,0)</f>
        <v>798773</v>
      </c>
    </row>
    <row r="1225" spans="2:7" x14ac:dyDescent="0.3">
      <c r="B1225" s="142"/>
      <c r="C1225" s="157"/>
      <c r="D1225" s="158"/>
      <c r="E1225" s="159"/>
      <c r="F1225" s="145"/>
      <c r="G1225" s="141"/>
    </row>
    <row r="1226" spans="2:7" x14ac:dyDescent="0.3">
      <c r="B1226" s="122"/>
      <c r="C1226" s="123"/>
      <c r="D1226" s="123"/>
      <c r="E1226" s="124"/>
      <c r="F1226" s="125" t="s">
        <v>145</v>
      </c>
      <c r="G1226" s="132">
        <f>SUM(G1224:G1224)</f>
        <v>798773</v>
      </c>
    </row>
    <row r="1227" spans="2:7" x14ac:dyDescent="0.3">
      <c r="B1227" s="127" t="s">
        <v>125</v>
      </c>
      <c r="C1227" s="123"/>
      <c r="D1227" s="123"/>
      <c r="E1227" s="124"/>
      <c r="F1227" s="125"/>
      <c r="G1227" s="139"/>
    </row>
    <row r="1228" spans="2:7" x14ac:dyDescent="0.3">
      <c r="B1228" s="133" t="str">
        <f>INSUMOS!$B$83</f>
        <v>VOLQUETA 8 M3 CON BOTADERO CERTIFICADO</v>
      </c>
      <c r="C1228" s="134" t="str">
        <f>INSUMOS!$C$83</f>
        <v>M3</v>
      </c>
      <c r="D1228" s="123">
        <v>5</v>
      </c>
      <c r="E1228" s="136"/>
      <c r="F1228" s="137">
        <f>INSUMOS!$E$83</f>
        <v>24812</v>
      </c>
      <c r="G1228" s="132">
        <f>TRUNC(D1228 * (1 + E1228 / 100) * F1228,0)</f>
        <v>124060</v>
      </c>
    </row>
    <row r="1229" spans="2:7" x14ac:dyDescent="0.3">
      <c r="B1229" s="142"/>
      <c r="C1229" s="157"/>
      <c r="D1229" s="158"/>
      <c r="E1229" s="159"/>
      <c r="F1229" s="145"/>
      <c r="G1229" s="141"/>
    </row>
    <row r="1230" spans="2:7" x14ac:dyDescent="0.3">
      <c r="B1230" s="122"/>
      <c r="C1230" s="123"/>
      <c r="D1230" s="123"/>
      <c r="E1230" s="124"/>
      <c r="F1230" s="125" t="s">
        <v>146</v>
      </c>
      <c r="G1230" s="132">
        <f>SUM(G1228:G1228)</f>
        <v>124060</v>
      </c>
    </row>
    <row r="1231" spans="2:7" x14ac:dyDescent="0.3">
      <c r="B1231" s="127" t="s">
        <v>147</v>
      </c>
      <c r="C1231" s="123"/>
      <c r="D1231" s="123"/>
      <c r="E1231" s="124"/>
      <c r="F1231" s="125"/>
      <c r="G1231" s="139"/>
    </row>
    <row r="1232" spans="2:7" x14ac:dyDescent="0.3">
      <c r="B1232" s="133" t="str">
        <f>INSUMOS!$B$84</f>
        <v>HERRAMIENTA MENOR</v>
      </c>
      <c r="C1232" s="134" t="str">
        <f>INSUMOS!$C$84</f>
        <v>GLB</v>
      </c>
      <c r="D1232" s="163">
        <v>4.4074999999999998</v>
      </c>
      <c r="E1232" s="136"/>
      <c r="F1232" s="137">
        <f>INSUMOS!$E$84</f>
        <v>2174</v>
      </c>
      <c r="G1232" s="132">
        <f>TRUNC(D1232 * (1 + E1232 / 100) * F1232,0)</f>
        <v>9581</v>
      </c>
    </row>
    <row r="1233" spans="2:7" x14ac:dyDescent="0.3">
      <c r="B1233" s="133"/>
      <c r="C1233" s="134"/>
      <c r="D1233" s="135"/>
      <c r="E1233" s="136"/>
      <c r="F1233" s="137"/>
      <c r="G1233" s="141"/>
    </row>
    <row r="1234" spans="2:7" x14ac:dyDescent="0.3">
      <c r="B1234" s="122"/>
      <c r="C1234" s="123"/>
      <c r="D1234" s="123"/>
      <c r="E1234" s="124"/>
      <c r="F1234" s="125" t="str">
        <f>"SUBTOTAL " &amp;B1231</f>
        <v>SUBTOTAL OTROS</v>
      </c>
      <c r="G1234" s="132">
        <f>SUM(G1232:G1233)</f>
        <v>9581</v>
      </c>
    </row>
    <row r="1235" spans="2:7" x14ac:dyDescent="0.3">
      <c r="B1235" s="122"/>
      <c r="C1235" s="123"/>
      <c r="D1235" s="123"/>
      <c r="E1235" s="124"/>
      <c r="F1235" s="125"/>
      <c r="G1235" s="126"/>
    </row>
    <row r="1236" spans="2:7" ht="15" thickBot="1" x14ac:dyDescent="0.35">
      <c r="B1236" s="146"/>
      <c r="C1236" s="147"/>
      <c r="D1236" s="166"/>
      <c r="E1236" s="148" t="s">
        <v>148</v>
      </c>
      <c r="F1236" s="149"/>
      <c r="G1236" s="150">
        <f>ROUND(G1222+G1226+G1230+G1234,0)</f>
        <v>1045329</v>
      </c>
    </row>
    <row r="1237" spans="2:7" ht="15" thickTop="1" x14ac:dyDescent="0.3"/>
    <row r="1238" spans="2:7" ht="15" thickBot="1" x14ac:dyDescent="0.35"/>
    <row r="1239" spans="2:7" ht="15" thickBot="1" x14ac:dyDescent="0.35">
      <c r="B1239" s="114">
        <f>'FORMATO 13'!B72</f>
        <v>5</v>
      </c>
      <c r="C1239" s="106"/>
      <c r="D1239" s="106"/>
      <c r="E1239" s="100"/>
      <c r="F1239" s="113"/>
      <c r="G1239" s="113"/>
    </row>
    <row r="1240" spans="2:7" ht="15" thickBot="1" x14ac:dyDescent="0.35">
      <c r="B1240" s="312" t="str">
        <f>'FORMATO 13'!C72</f>
        <v>MANTENIMIENTO GRAMA NATURAL DEL DIAMANTE DE SOFTBOL</v>
      </c>
      <c r="C1240" s="313"/>
      <c r="D1240" s="313"/>
      <c r="E1240" s="313"/>
      <c r="F1240" s="313"/>
      <c r="G1240" s="314"/>
    </row>
    <row r="1242" spans="2:7" ht="15" thickBot="1" x14ac:dyDescent="0.35"/>
    <row r="1243" spans="2:7" ht="70.05" customHeight="1" thickTop="1" x14ac:dyDescent="0.3">
      <c r="B1243" s="315" t="str">
        <f>'FORMATO 13'!C73</f>
        <v xml:space="preserve">CORTE: Mantener la altura adecuada del césped para favorecer un crecimiento saludable del gramado.  Se debe realizar un corte antes de cada partido o evento a toda la gramilla,  o de acuerdo con las indicaciones de la supervisión y/o interventoría y/o recomendación del contratista, debidamente aprobadas por el supervisor, con la finalidad de tener a la altura óptima el prado. Incluye:  La maquinaria especializada, el combustible, operarios, herramientas menores, recolección y disposición adecuada de los residuos. El corte debe ser permanente y ajustado para la perfecta conservación de las gramillas. Se debe utilizar una cortadora especializada tipo greenera.  Esto garantiza que el césped mantenga la altura óptima definida por la entidad. </v>
      </c>
      <c r="C1243" s="316"/>
      <c r="D1243" s="316"/>
      <c r="E1243" s="317"/>
      <c r="F1243" s="115" t="s">
        <v>140</v>
      </c>
      <c r="G1243" s="116" t="str">
        <f>'FORMATO 13'!D73</f>
        <v>VECES</v>
      </c>
    </row>
    <row r="1244" spans="2:7" ht="70.05" customHeight="1" x14ac:dyDescent="0.3">
      <c r="B1244" s="318"/>
      <c r="C1244" s="319"/>
      <c r="D1244" s="319"/>
      <c r="E1244" s="320"/>
      <c r="F1244" s="117" t="s">
        <v>141</v>
      </c>
      <c r="G1244" s="155">
        <f>'FORMATO 13'!B73</f>
        <v>5.01</v>
      </c>
    </row>
    <row r="1245" spans="2:7" x14ac:dyDescent="0.3">
      <c r="B1245" s="118" t="s">
        <v>5</v>
      </c>
      <c r="C1245" s="119" t="s">
        <v>92</v>
      </c>
      <c r="D1245" s="119" t="s">
        <v>93</v>
      </c>
      <c r="E1245" s="119" t="s">
        <v>142</v>
      </c>
      <c r="F1245" s="120" t="s">
        <v>143</v>
      </c>
      <c r="G1245" s="121" t="s">
        <v>10</v>
      </c>
    </row>
    <row r="1246" spans="2:7" x14ac:dyDescent="0.3">
      <c r="B1246" s="122"/>
      <c r="C1246" s="123"/>
      <c r="D1246" s="123"/>
      <c r="E1246" s="124"/>
      <c r="F1246" s="125"/>
      <c r="G1246" s="126"/>
    </row>
    <row r="1247" spans="2:7" x14ac:dyDescent="0.3">
      <c r="B1247" s="127" t="s">
        <v>91</v>
      </c>
      <c r="C1247" s="123"/>
      <c r="D1247" s="123"/>
      <c r="E1247" s="124"/>
      <c r="F1247" s="125"/>
      <c r="G1247" s="126"/>
    </row>
    <row r="1248" spans="2:7" x14ac:dyDescent="0.3">
      <c r="B1248" s="128" t="str">
        <f>INSUMOS!$B$37</f>
        <v>RASTRILLO PLÁSTICO</v>
      </c>
      <c r="C1248" s="129" t="str">
        <f>INSUMOS!$C$37</f>
        <v>UND</v>
      </c>
      <c r="D1248" s="129">
        <v>1.5</v>
      </c>
      <c r="E1248" s="130">
        <v>0</v>
      </c>
      <c r="F1248" s="131">
        <f>INSUMOS!$E$37</f>
        <v>29179</v>
      </c>
      <c r="G1248" s="132">
        <f t="shared" ref="G1248:G1253" si="54">TRUNC(D1248 * (1 + E1248 / 100) * F1248,0)</f>
        <v>43768</v>
      </c>
    </row>
    <row r="1249" spans="2:7" x14ac:dyDescent="0.3">
      <c r="B1249" s="128" t="str">
        <f>INSUMOS!$B$13</f>
        <v>BOLSAS PARA BASURA</v>
      </c>
      <c r="C1249" s="129" t="str">
        <f>INSUMOS!$C$13</f>
        <v>UND</v>
      </c>
      <c r="D1249" s="129">
        <v>70</v>
      </c>
      <c r="E1249" s="130">
        <v>0</v>
      </c>
      <c r="F1249" s="131">
        <f>INSUMOS!$E$13</f>
        <v>2053</v>
      </c>
      <c r="G1249" s="132">
        <f t="shared" si="54"/>
        <v>143710</v>
      </c>
    </row>
    <row r="1250" spans="2:7" x14ac:dyDescent="0.3">
      <c r="B1250" s="128" t="str">
        <f>INSUMOS!$B$38</f>
        <v>TELAR SINTETICO TIPO ALFOMBRA 1.50X3.00</v>
      </c>
      <c r="C1250" s="129" t="str">
        <f>INSUMOS!$C$38</f>
        <v>UND</v>
      </c>
      <c r="D1250" s="129">
        <v>0.05</v>
      </c>
      <c r="E1250" s="130">
        <v>0</v>
      </c>
      <c r="F1250" s="131">
        <f>INSUMOS!$E$38</f>
        <v>225321</v>
      </c>
      <c r="G1250" s="132">
        <f t="shared" si="54"/>
        <v>11266</v>
      </c>
    </row>
    <row r="1251" spans="2:7" x14ac:dyDescent="0.3">
      <c r="B1251" s="128" t="str">
        <f>INSUMOS!$B$39</f>
        <v>CARRETA TIPO BUGUI</v>
      </c>
      <c r="C1251" s="129" t="str">
        <f>INSUMOS!$C$39</f>
        <v>DIA</v>
      </c>
      <c r="D1251" s="129">
        <v>5</v>
      </c>
      <c r="E1251" s="130">
        <v>0</v>
      </c>
      <c r="F1251" s="131">
        <f>INSUMOS!$E$39</f>
        <v>4665</v>
      </c>
      <c r="G1251" s="132">
        <f t="shared" si="54"/>
        <v>23325</v>
      </c>
    </row>
    <row r="1252" spans="2:7" x14ac:dyDescent="0.3">
      <c r="B1252" s="128" t="str">
        <f>INSUMOS!$B$40</f>
        <v>ESCOBA PLASTICA DE CERDA FINA ANCHA</v>
      </c>
      <c r="C1252" s="129" t="str">
        <f>INSUMOS!$C$40</f>
        <v>UND</v>
      </c>
      <c r="D1252" s="129">
        <v>3</v>
      </c>
      <c r="E1252" s="130">
        <v>0</v>
      </c>
      <c r="F1252" s="131">
        <f>INSUMOS!$E$40</f>
        <v>7217</v>
      </c>
      <c r="G1252" s="132">
        <f t="shared" si="54"/>
        <v>21651</v>
      </c>
    </row>
    <row r="1253" spans="2:7" x14ac:dyDescent="0.3">
      <c r="B1253" s="151" t="str">
        <f>INSUMOS!$B$11</f>
        <v>GASOLINA CORRIENTE</v>
      </c>
      <c r="C1253" s="129" t="str">
        <f>INSUMOS!$C$11</f>
        <v>GLN</v>
      </c>
      <c r="D1253" s="129">
        <v>0.5</v>
      </c>
      <c r="E1253" s="130">
        <v>0</v>
      </c>
      <c r="F1253" s="131">
        <f>INSUMOS!$E$11</f>
        <v>16423</v>
      </c>
      <c r="G1253" s="132">
        <f t="shared" si="54"/>
        <v>8211</v>
      </c>
    </row>
    <row r="1254" spans="2:7" x14ac:dyDescent="0.3">
      <c r="B1254" s="128"/>
      <c r="C1254" s="129"/>
      <c r="D1254" s="129"/>
      <c r="E1254" s="130"/>
      <c r="F1254" s="131"/>
      <c r="G1254" s="132"/>
    </row>
    <row r="1255" spans="2:7" x14ac:dyDescent="0.3">
      <c r="B1255" s="122"/>
      <c r="C1255" s="123"/>
      <c r="D1255" s="123"/>
      <c r="E1255" s="124"/>
      <c r="F1255" s="125" t="s">
        <v>144</v>
      </c>
      <c r="G1255" s="132">
        <f>SUM(G1246:G1254)</f>
        <v>251931</v>
      </c>
    </row>
    <row r="1256" spans="2:7" x14ac:dyDescent="0.3">
      <c r="B1256" s="127" t="s">
        <v>114</v>
      </c>
      <c r="C1256" s="123"/>
      <c r="D1256" s="123"/>
      <c r="E1256" s="124"/>
      <c r="F1256" s="125"/>
      <c r="G1256" s="139"/>
    </row>
    <row r="1257" spans="2:7" x14ac:dyDescent="0.3">
      <c r="B1257" s="151" t="str">
        <f>INSUMOS!$B$73</f>
        <v>M.O. 1 OFICIAL + 2 AYUDANTES</v>
      </c>
      <c r="C1257" s="129" t="str">
        <f>INSUMOS!$C$73</f>
        <v>JORNAL</v>
      </c>
      <c r="D1257" s="129">
        <v>0.5</v>
      </c>
      <c r="E1257" s="130"/>
      <c r="F1257" s="140">
        <f>INSUMOS!$E$73</f>
        <v>422209</v>
      </c>
      <c r="G1257" s="132">
        <f>TRUNC(D1257 * (1 + E1257 / 100) * F1257,0)</f>
        <v>211104</v>
      </c>
    </row>
    <row r="1258" spans="2:7" x14ac:dyDescent="0.3">
      <c r="B1258" s="142"/>
      <c r="C1258" s="157"/>
      <c r="D1258" s="158"/>
      <c r="E1258" s="159"/>
      <c r="F1258" s="145"/>
      <c r="G1258" s="141"/>
    </row>
    <row r="1259" spans="2:7" x14ac:dyDescent="0.3">
      <c r="B1259" s="122"/>
      <c r="C1259" s="123"/>
      <c r="D1259" s="123"/>
      <c r="E1259" s="124"/>
      <c r="F1259" s="125" t="s">
        <v>145</v>
      </c>
      <c r="G1259" s="132">
        <f>SUM(G1257:G1257)</f>
        <v>211104</v>
      </c>
    </row>
    <row r="1260" spans="2:7" x14ac:dyDescent="0.3">
      <c r="B1260" s="127" t="s">
        <v>125</v>
      </c>
      <c r="C1260" s="123"/>
      <c r="D1260" s="123"/>
      <c r="E1260" s="124"/>
      <c r="F1260" s="125"/>
      <c r="G1260" s="139"/>
    </row>
    <row r="1261" spans="2:7" x14ac:dyDescent="0.3">
      <c r="B1261" s="133" t="str">
        <f>INSUMOS!$B$94</f>
        <v>CORTACESPED TIPO GREENERA A GASOLINA</v>
      </c>
      <c r="C1261" s="134" t="str">
        <f>INSUMOS!$C$94</f>
        <v>GLB</v>
      </c>
      <c r="D1261" s="123">
        <v>0.05</v>
      </c>
      <c r="E1261" s="136"/>
      <c r="F1261" s="137">
        <f>INSUMOS!$E$94</f>
        <v>931000</v>
      </c>
      <c r="G1261" s="132">
        <f>TRUNC(D1261 * (1 + E1261 / 100) * F1261,0)</f>
        <v>46550</v>
      </c>
    </row>
    <row r="1262" spans="2:7" x14ac:dyDescent="0.3">
      <c r="B1262" s="151"/>
      <c r="C1262" s="129"/>
      <c r="D1262" s="129"/>
      <c r="E1262" s="130"/>
      <c r="F1262" s="140"/>
      <c r="G1262" s="132"/>
    </row>
    <row r="1263" spans="2:7" x14ac:dyDescent="0.3">
      <c r="B1263" s="142"/>
      <c r="C1263" s="157"/>
      <c r="D1263" s="158"/>
      <c r="E1263" s="159"/>
      <c r="F1263" s="145"/>
      <c r="G1263" s="141"/>
    </row>
    <row r="1264" spans="2:7" x14ac:dyDescent="0.3">
      <c r="B1264" s="122"/>
      <c r="C1264" s="123"/>
      <c r="D1264" s="123"/>
      <c r="E1264" s="124"/>
      <c r="F1264" s="125" t="s">
        <v>146</v>
      </c>
      <c r="G1264" s="132">
        <f>SUM(G1261:G1261)</f>
        <v>46550</v>
      </c>
    </row>
    <row r="1265" spans="2:7" x14ac:dyDescent="0.3">
      <c r="B1265" s="127" t="s">
        <v>147</v>
      </c>
      <c r="C1265" s="123"/>
      <c r="D1265" s="123"/>
      <c r="E1265" s="124"/>
      <c r="F1265" s="125"/>
      <c r="G1265" s="139"/>
    </row>
    <row r="1266" spans="2:7" x14ac:dyDescent="0.3">
      <c r="B1266" s="133" t="str">
        <f>INSUMOS!$B$84</f>
        <v>HERRAMIENTA MENOR</v>
      </c>
      <c r="C1266" s="134" t="str">
        <f>INSUMOS!$C$84</f>
        <v>GLB</v>
      </c>
      <c r="D1266" s="163">
        <v>3.9119999999999999</v>
      </c>
      <c r="E1266" s="136"/>
      <c r="F1266" s="137">
        <f>INSUMOS!$E$84</f>
        <v>2174</v>
      </c>
      <c r="G1266" s="132">
        <f>TRUNC(D1266 * (1 + E1266 / 100) * F1266,0)</f>
        <v>8504</v>
      </c>
    </row>
    <row r="1267" spans="2:7" x14ac:dyDescent="0.3">
      <c r="B1267" s="133"/>
      <c r="C1267" s="134"/>
      <c r="D1267" s="135"/>
      <c r="E1267" s="136"/>
      <c r="F1267" s="137"/>
      <c r="G1267" s="141"/>
    </row>
    <row r="1268" spans="2:7" x14ac:dyDescent="0.3">
      <c r="B1268" s="122"/>
      <c r="C1268" s="123"/>
      <c r="D1268" s="123"/>
      <c r="E1268" s="124"/>
      <c r="F1268" s="125" t="str">
        <f>"SUBTOTAL " &amp;B1265</f>
        <v>SUBTOTAL OTROS</v>
      </c>
      <c r="G1268" s="132">
        <f>SUM(G1266:G1267)</f>
        <v>8504</v>
      </c>
    </row>
    <row r="1269" spans="2:7" x14ac:dyDescent="0.3">
      <c r="B1269" s="122"/>
      <c r="C1269" s="123"/>
      <c r="D1269" s="123"/>
      <c r="E1269" s="124"/>
      <c r="F1269" s="125"/>
      <c r="G1269" s="126"/>
    </row>
    <row r="1270" spans="2:7" ht="15" thickBot="1" x14ac:dyDescent="0.35">
      <c r="B1270" s="146"/>
      <c r="C1270" s="147"/>
      <c r="D1270" s="166"/>
      <c r="E1270" s="148" t="s">
        <v>148</v>
      </c>
      <c r="F1270" s="149"/>
      <c r="G1270" s="150">
        <f>ROUND(G1255+G1259+G1264+G1268,0)</f>
        <v>518089</v>
      </c>
    </row>
    <row r="1271" spans="2:7" ht="15" thickTop="1" x14ac:dyDescent="0.3"/>
    <row r="1272" spans="2:7" ht="15" thickBot="1" x14ac:dyDescent="0.35"/>
    <row r="1273" spans="2:7" ht="49.95" customHeight="1" thickTop="1" x14ac:dyDescent="0.3">
      <c r="B1273" s="315" t="str">
        <f>'FORMATO 13'!C74</f>
        <v xml:space="preserve">RIEGO: Permanente dependiendo de las condiciones hidroclimátológicas y de la necesidad del campo. Siguiendo las indicaciones de la supervisión, interventoría o recomendaciones del contratista, debidamente aprobadas por el supervisor. Esta actividad incluye la operación del sistema de riego el cual debe ser continuo,  El contratista deberá responder por las condiciones operativas del sistema de riego. </v>
      </c>
      <c r="C1273" s="316"/>
      <c r="D1273" s="316"/>
      <c r="E1273" s="317"/>
      <c r="F1273" s="115" t="s">
        <v>140</v>
      </c>
      <c r="G1273" s="116" t="str">
        <f>'FORMATO 13'!D74</f>
        <v>MESES</v>
      </c>
    </row>
    <row r="1274" spans="2:7" ht="49.95" customHeight="1" x14ac:dyDescent="0.3">
      <c r="B1274" s="318"/>
      <c r="C1274" s="319"/>
      <c r="D1274" s="319"/>
      <c r="E1274" s="320"/>
      <c r="F1274" s="117" t="s">
        <v>141</v>
      </c>
      <c r="G1274" s="155">
        <f>'FORMATO 13'!B74</f>
        <v>5.0199999999999996</v>
      </c>
    </row>
    <row r="1275" spans="2:7" x14ac:dyDescent="0.3">
      <c r="B1275" s="118" t="s">
        <v>5</v>
      </c>
      <c r="C1275" s="119" t="s">
        <v>92</v>
      </c>
      <c r="D1275" s="119" t="s">
        <v>93</v>
      </c>
      <c r="E1275" s="119" t="s">
        <v>142</v>
      </c>
      <c r="F1275" s="120" t="s">
        <v>143</v>
      </c>
      <c r="G1275" s="121" t="s">
        <v>10</v>
      </c>
    </row>
    <row r="1276" spans="2:7" x14ac:dyDescent="0.3">
      <c r="B1276" s="122"/>
      <c r="C1276" s="123"/>
      <c r="D1276" s="123"/>
      <c r="E1276" s="124"/>
      <c r="F1276" s="125"/>
      <c r="G1276" s="126"/>
    </row>
    <row r="1277" spans="2:7" x14ac:dyDescent="0.3">
      <c r="B1277" s="127" t="s">
        <v>91</v>
      </c>
      <c r="C1277" s="123"/>
      <c r="D1277" s="123"/>
      <c r="E1277" s="124"/>
      <c r="F1277" s="125"/>
      <c r="G1277" s="126"/>
    </row>
    <row r="1278" spans="2:7" x14ac:dyDescent="0.3">
      <c r="B1278" s="128" t="str">
        <f>INSUMOS!$B$41</f>
        <v>MANGUERA PARA RIEGO 2" TIPO BOMBERO DE 200ML</v>
      </c>
      <c r="C1278" s="129" t="str">
        <f>INSUMOS!$C$41</f>
        <v>ML</v>
      </c>
      <c r="D1278" s="129">
        <v>20</v>
      </c>
      <c r="E1278" s="130">
        <v>0</v>
      </c>
      <c r="F1278" s="131">
        <f>INSUMOS!$E$41</f>
        <v>6657</v>
      </c>
      <c r="G1278" s="132">
        <f t="shared" ref="G1278:G1280" si="55">TRUNC(D1278 * (1 + E1278 / 100) * F1278,0)</f>
        <v>133140</v>
      </c>
    </row>
    <row r="1279" spans="2:7" x14ac:dyDescent="0.3">
      <c r="B1279" s="128" t="str">
        <f>INSUMOS!$B$42</f>
        <v>CAÑON 50 (DIAMETRO DE RIEGO 50ML)</v>
      </c>
      <c r="C1279" s="129" t="str">
        <f>INSUMOS!$C$42</f>
        <v>UND</v>
      </c>
      <c r="D1279" s="129">
        <v>0.1</v>
      </c>
      <c r="E1279" s="130">
        <v>0</v>
      </c>
      <c r="F1279" s="131">
        <f>INSUMOS!$E$42</f>
        <v>1723748</v>
      </c>
      <c r="G1279" s="132">
        <f t="shared" si="55"/>
        <v>172374</v>
      </c>
    </row>
    <row r="1280" spans="2:7" x14ac:dyDescent="0.3">
      <c r="B1280" s="128" t="str">
        <f>INSUMOS!$B$43</f>
        <v>TRIPODE</v>
      </c>
      <c r="C1280" s="129" t="str">
        <f>INSUMOS!$C$43</f>
        <v>UND</v>
      </c>
      <c r="D1280" s="129">
        <v>0.1</v>
      </c>
      <c r="E1280" s="130">
        <v>0</v>
      </c>
      <c r="F1280" s="131">
        <f>INSUMOS!$E$43</f>
        <v>383055</v>
      </c>
      <c r="G1280" s="132">
        <f t="shared" si="55"/>
        <v>38305</v>
      </c>
    </row>
    <row r="1281" spans="2:7" x14ac:dyDescent="0.3">
      <c r="B1281" s="128"/>
      <c r="C1281" s="129"/>
      <c r="D1281" s="129"/>
      <c r="E1281" s="130"/>
      <c r="F1281" s="131"/>
      <c r="G1281" s="132"/>
    </row>
    <row r="1282" spans="2:7" x14ac:dyDescent="0.3">
      <c r="B1282" s="122"/>
      <c r="C1282" s="123"/>
      <c r="D1282" s="123"/>
      <c r="E1282" s="124"/>
      <c r="F1282" s="125" t="s">
        <v>144</v>
      </c>
      <c r="G1282" s="132">
        <f>SUM(G1276:G1281)</f>
        <v>343819</v>
      </c>
    </row>
    <row r="1283" spans="2:7" x14ac:dyDescent="0.3">
      <c r="B1283" s="127" t="s">
        <v>114</v>
      </c>
      <c r="C1283" s="123"/>
      <c r="D1283" s="123"/>
      <c r="E1283" s="124"/>
      <c r="F1283" s="125"/>
      <c r="G1283" s="139"/>
    </row>
    <row r="1284" spans="2:7" x14ac:dyDescent="0.3">
      <c r="B1284" s="151" t="str">
        <f>INSUMOS!$B$68</f>
        <v>M.O. ALBAÑILERIA 2 AYUDANTES</v>
      </c>
      <c r="C1284" s="129" t="str">
        <f>INSUMOS!$C$68</f>
        <v>JORNAL</v>
      </c>
      <c r="D1284" s="129">
        <v>0.62503299999999995</v>
      </c>
      <c r="E1284" s="130"/>
      <c r="F1284" s="140">
        <f>INSUMOS!$E$68</f>
        <v>228221</v>
      </c>
      <c r="G1284" s="132">
        <f>TRUNC(D1284 * (1 + E1284 / 100) * F1284,0)</f>
        <v>142645</v>
      </c>
    </row>
    <row r="1285" spans="2:7" x14ac:dyDescent="0.3">
      <c r="B1285" s="142"/>
      <c r="C1285" s="157"/>
      <c r="D1285" s="158"/>
      <c r="E1285" s="159"/>
      <c r="F1285" s="145"/>
      <c r="G1285" s="141"/>
    </row>
    <row r="1286" spans="2:7" x14ac:dyDescent="0.3">
      <c r="B1286" s="122"/>
      <c r="C1286" s="123"/>
      <c r="D1286" s="123"/>
      <c r="E1286" s="124"/>
      <c r="F1286" s="125" t="s">
        <v>145</v>
      </c>
      <c r="G1286" s="132">
        <f>SUM(G1284:G1284)</f>
        <v>142645</v>
      </c>
    </row>
    <row r="1287" spans="2:7" x14ac:dyDescent="0.3">
      <c r="B1287" s="127" t="s">
        <v>125</v>
      </c>
      <c r="C1287" s="123"/>
      <c r="D1287" s="123"/>
      <c r="E1287" s="124"/>
      <c r="F1287" s="125"/>
      <c r="G1287" s="139"/>
    </row>
    <row r="1288" spans="2:7" x14ac:dyDescent="0.3">
      <c r="B1288" s="151"/>
      <c r="C1288" s="129"/>
      <c r="D1288" s="129"/>
      <c r="E1288" s="130"/>
      <c r="F1288" s="140"/>
      <c r="G1288" s="132"/>
    </row>
    <row r="1289" spans="2:7" x14ac:dyDescent="0.3">
      <c r="B1289" s="142"/>
      <c r="C1289" s="157"/>
      <c r="D1289" s="158"/>
      <c r="E1289" s="159"/>
      <c r="F1289" s="145"/>
      <c r="G1289" s="141"/>
    </row>
    <row r="1290" spans="2:7" x14ac:dyDescent="0.3">
      <c r="B1290" s="122"/>
      <c r="C1290" s="123"/>
      <c r="D1290" s="123"/>
      <c r="E1290" s="124"/>
      <c r="F1290" s="125" t="s">
        <v>146</v>
      </c>
      <c r="G1290" s="132">
        <f>SUM(G1288:G1289)</f>
        <v>0</v>
      </c>
    </row>
    <row r="1291" spans="2:7" x14ac:dyDescent="0.3">
      <c r="B1291" s="127" t="s">
        <v>147</v>
      </c>
      <c r="C1291" s="123"/>
      <c r="D1291" s="123"/>
      <c r="E1291" s="124"/>
      <c r="F1291" s="125"/>
      <c r="G1291" s="139"/>
    </row>
    <row r="1292" spans="2:7" x14ac:dyDescent="0.3">
      <c r="B1292" s="133" t="str">
        <f>INSUMOS!$B$84</f>
        <v>HERRAMIENTA MENOR</v>
      </c>
      <c r="C1292" s="134" t="str">
        <f>INSUMOS!$C$84</f>
        <v>GLB</v>
      </c>
      <c r="D1292" s="123">
        <v>15</v>
      </c>
      <c r="E1292" s="136"/>
      <c r="F1292" s="137">
        <f>INSUMOS!$E$84</f>
        <v>2174</v>
      </c>
      <c r="G1292" s="132">
        <f>TRUNC(D1292 * (1 + E1292 / 100) * F1292,0)</f>
        <v>32610</v>
      </c>
    </row>
    <row r="1293" spans="2:7" x14ac:dyDescent="0.3">
      <c r="B1293" s="133"/>
      <c r="C1293" s="134"/>
      <c r="D1293" s="135"/>
      <c r="E1293" s="136"/>
      <c r="F1293" s="137"/>
      <c r="G1293" s="141"/>
    </row>
    <row r="1294" spans="2:7" x14ac:dyDescent="0.3">
      <c r="B1294" s="122"/>
      <c r="C1294" s="123"/>
      <c r="D1294" s="123"/>
      <c r="E1294" s="124"/>
      <c r="F1294" s="125" t="str">
        <f>"SUBTOTAL " &amp;B1291</f>
        <v>SUBTOTAL OTROS</v>
      </c>
      <c r="G1294" s="132">
        <f>SUM(G1292:G1293)</f>
        <v>32610</v>
      </c>
    </row>
    <row r="1295" spans="2:7" x14ac:dyDescent="0.3">
      <c r="B1295" s="122"/>
      <c r="C1295" s="123"/>
      <c r="D1295" s="123"/>
      <c r="E1295" s="124"/>
      <c r="F1295" s="125"/>
      <c r="G1295" s="126"/>
    </row>
    <row r="1296" spans="2:7" ht="15" thickBot="1" x14ac:dyDescent="0.35">
      <c r="B1296" s="146"/>
      <c r="C1296" s="147"/>
      <c r="D1296" s="166"/>
      <c r="E1296" s="148" t="s">
        <v>148</v>
      </c>
      <c r="F1296" s="149"/>
      <c r="G1296" s="150">
        <f>ROUND(G1282+G1286+G1290+G1294,0)</f>
        <v>519074</v>
      </c>
    </row>
    <row r="1297" spans="2:7" ht="15" thickTop="1" x14ac:dyDescent="0.3"/>
    <row r="1298" spans="2:7" ht="15" thickBot="1" x14ac:dyDescent="0.35"/>
    <row r="1299" spans="2:7" ht="60" customHeight="1" thickTop="1" x14ac:dyDescent="0.3">
      <c r="B1299" s="315" t="str">
        <f>'FORMATO 13'!C75</f>
        <v>DESHIERBE Y CONTROL DE MALEZAS: Eliminar las arvenses de hoja ancha y de hoja delgada que se presenten en el área de gramado, siguiendo las indicaciones de la supervisión, interventoría o recomendaciones del contratista, debidamente aprobadas por el supervisor.  Esta actividad debe ser de forma manual y permanente para evitar la presencia de malezas que puedan contaminar el césped, la frecuencia puede variar según el grado de infestación presente. Incluye insumos biológicos, mano de obra, equipos y herramientas necesarias. En caso de que se necesite usar un herbicida selectivo debe ser aprobado por el supervisor.</v>
      </c>
      <c r="C1299" s="316"/>
      <c r="D1299" s="316"/>
      <c r="E1299" s="317"/>
      <c r="F1299" s="115" t="s">
        <v>140</v>
      </c>
      <c r="G1299" s="116" t="str">
        <f>'FORMATO 13'!D75</f>
        <v>MES</v>
      </c>
    </row>
    <row r="1300" spans="2:7" ht="60" customHeight="1" x14ac:dyDescent="0.3">
      <c r="B1300" s="318"/>
      <c r="C1300" s="319"/>
      <c r="D1300" s="319"/>
      <c r="E1300" s="320"/>
      <c r="F1300" s="117" t="s">
        <v>141</v>
      </c>
      <c r="G1300" s="155">
        <f>'FORMATO 13'!B75</f>
        <v>5.0299999999999994</v>
      </c>
    </row>
    <row r="1301" spans="2:7" x14ac:dyDescent="0.3">
      <c r="B1301" s="118" t="s">
        <v>5</v>
      </c>
      <c r="C1301" s="119" t="s">
        <v>92</v>
      </c>
      <c r="D1301" s="119" t="s">
        <v>93</v>
      </c>
      <c r="E1301" s="119" t="s">
        <v>142</v>
      </c>
      <c r="F1301" s="120" t="s">
        <v>143</v>
      </c>
      <c r="G1301" s="121" t="s">
        <v>10</v>
      </c>
    </row>
    <row r="1302" spans="2:7" x14ac:dyDescent="0.3">
      <c r="B1302" s="122"/>
      <c r="C1302" s="123"/>
      <c r="D1302" s="123"/>
      <c r="E1302" s="124"/>
      <c r="F1302" s="125"/>
      <c r="G1302" s="126"/>
    </row>
    <row r="1303" spans="2:7" x14ac:dyDescent="0.3">
      <c r="B1303" s="127" t="s">
        <v>91</v>
      </c>
      <c r="C1303" s="123"/>
      <c r="D1303" s="123"/>
      <c r="E1303" s="124"/>
      <c r="F1303" s="125"/>
      <c r="G1303" s="126"/>
    </row>
    <row r="1304" spans="2:7" x14ac:dyDescent="0.3">
      <c r="B1304" s="128" t="str">
        <f>INSUMOS!$B$13</f>
        <v>BOLSAS PARA BASURA</v>
      </c>
      <c r="C1304" s="129" t="str">
        <f>INSUMOS!$C$13</f>
        <v>UND</v>
      </c>
      <c r="D1304" s="129">
        <v>50</v>
      </c>
      <c r="E1304" s="130">
        <v>0</v>
      </c>
      <c r="F1304" s="131">
        <f>INSUMOS!$E$13</f>
        <v>2053</v>
      </c>
      <c r="G1304" s="132">
        <f t="shared" ref="G1304" si="56">TRUNC(D1304 * (1 + E1304 / 100) * F1304,0)</f>
        <v>102650</v>
      </c>
    </row>
    <row r="1305" spans="2:7" x14ac:dyDescent="0.3">
      <c r="B1305" s="128"/>
      <c r="C1305" s="129"/>
      <c r="D1305" s="129"/>
      <c r="E1305" s="130"/>
      <c r="F1305" s="131"/>
      <c r="G1305" s="132"/>
    </row>
    <row r="1306" spans="2:7" x14ac:dyDescent="0.3">
      <c r="B1306" s="122"/>
      <c r="C1306" s="123"/>
      <c r="D1306" s="123"/>
      <c r="E1306" s="124"/>
      <c r="F1306" s="125" t="s">
        <v>144</v>
      </c>
      <c r="G1306" s="132">
        <f>SUM(G1302:G1305)</f>
        <v>102650</v>
      </c>
    </row>
    <row r="1307" spans="2:7" x14ac:dyDescent="0.3">
      <c r="B1307" s="127" t="s">
        <v>114</v>
      </c>
      <c r="C1307" s="123"/>
      <c r="D1307" s="123"/>
      <c r="E1307" s="124"/>
      <c r="F1307" s="125"/>
      <c r="G1307" s="139"/>
    </row>
    <row r="1308" spans="2:7" x14ac:dyDescent="0.3">
      <c r="B1308" s="151" t="str">
        <f>INSUMOS!$B$68</f>
        <v>M.O. ALBAÑILERIA 2 AYUDANTES</v>
      </c>
      <c r="C1308" s="129" t="str">
        <f>INSUMOS!$C$68</f>
        <v>JORNAL</v>
      </c>
      <c r="D1308" s="160">
        <v>2.88</v>
      </c>
      <c r="E1308" s="130"/>
      <c r="F1308" s="140">
        <f>INSUMOS!$E$68</f>
        <v>228221</v>
      </c>
      <c r="G1308" s="132">
        <f>TRUNC(D1308 * (1 + E1308 / 100) * F1308,0)</f>
        <v>657276</v>
      </c>
    </row>
    <row r="1309" spans="2:7" x14ac:dyDescent="0.3">
      <c r="B1309" s="142"/>
      <c r="C1309" s="157"/>
      <c r="D1309" s="158"/>
      <c r="E1309" s="159"/>
      <c r="F1309" s="145"/>
      <c r="G1309" s="141"/>
    </row>
    <row r="1310" spans="2:7" x14ac:dyDescent="0.3">
      <c r="B1310" s="122"/>
      <c r="C1310" s="123"/>
      <c r="D1310" s="123"/>
      <c r="E1310" s="124"/>
      <c r="F1310" s="125" t="s">
        <v>145</v>
      </c>
      <c r="G1310" s="132">
        <f>SUM(G1308:G1308)</f>
        <v>657276</v>
      </c>
    </row>
    <row r="1311" spans="2:7" x14ac:dyDescent="0.3">
      <c r="B1311" s="127" t="s">
        <v>125</v>
      </c>
      <c r="C1311" s="123"/>
      <c r="D1311" s="123"/>
      <c r="E1311" s="124"/>
      <c r="F1311" s="125"/>
      <c r="G1311" s="139"/>
    </row>
    <row r="1312" spans="2:7" x14ac:dyDescent="0.3">
      <c r="B1312" s="151"/>
      <c r="C1312" s="129"/>
      <c r="D1312" s="129"/>
      <c r="E1312" s="130"/>
      <c r="F1312" s="140"/>
      <c r="G1312" s="132"/>
    </row>
    <row r="1313" spans="2:7" x14ac:dyDescent="0.3">
      <c r="B1313" s="142"/>
      <c r="C1313" s="157"/>
      <c r="D1313" s="158"/>
      <c r="E1313" s="159"/>
      <c r="F1313" s="145"/>
      <c r="G1313" s="141"/>
    </row>
    <row r="1314" spans="2:7" x14ac:dyDescent="0.3">
      <c r="B1314" s="122"/>
      <c r="C1314" s="123"/>
      <c r="D1314" s="123"/>
      <c r="E1314" s="124"/>
      <c r="F1314" s="125" t="s">
        <v>146</v>
      </c>
      <c r="G1314" s="132">
        <f>SUM(G1312:G1313)</f>
        <v>0</v>
      </c>
    </row>
    <row r="1315" spans="2:7" x14ac:dyDescent="0.3">
      <c r="B1315" s="127" t="s">
        <v>147</v>
      </c>
      <c r="C1315" s="123"/>
      <c r="D1315" s="123"/>
      <c r="E1315" s="124"/>
      <c r="F1315" s="125"/>
      <c r="G1315" s="139"/>
    </row>
    <row r="1316" spans="2:7" x14ac:dyDescent="0.3">
      <c r="B1316" s="133" t="str">
        <f>INSUMOS!$B$84</f>
        <v>HERRAMIENTA MENOR</v>
      </c>
      <c r="C1316" s="134" t="str">
        <f>INSUMOS!$C$84</f>
        <v>GLB</v>
      </c>
      <c r="D1316" s="163">
        <v>2.0554999999999999</v>
      </c>
      <c r="E1316" s="136"/>
      <c r="F1316" s="137">
        <f>INSUMOS!$E$84</f>
        <v>2174</v>
      </c>
      <c r="G1316" s="132">
        <f>TRUNC(D1316 * (1 + E1316 / 100) * F1316,0)</f>
        <v>4468</v>
      </c>
    </row>
    <row r="1317" spans="2:7" x14ac:dyDescent="0.3">
      <c r="B1317" s="133"/>
      <c r="C1317" s="134"/>
      <c r="D1317" s="135"/>
      <c r="E1317" s="136"/>
      <c r="F1317" s="137"/>
      <c r="G1317" s="141"/>
    </row>
    <row r="1318" spans="2:7" x14ac:dyDescent="0.3">
      <c r="B1318" s="122"/>
      <c r="C1318" s="123"/>
      <c r="D1318" s="123"/>
      <c r="E1318" s="124"/>
      <c r="F1318" s="125" t="str">
        <f>"SUBTOTAL " &amp;B1315</f>
        <v>SUBTOTAL OTROS</v>
      </c>
      <c r="G1318" s="132">
        <f>SUM(G1316:G1317)</f>
        <v>4468</v>
      </c>
    </row>
    <row r="1319" spans="2:7" x14ac:dyDescent="0.3">
      <c r="B1319" s="122"/>
      <c r="C1319" s="123"/>
      <c r="D1319" s="123"/>
      <c r="E1319" s="124"/>
      <c r="F1319" s="125"/>
      <c r="G1319" s="126"/>
    </row>
    <row r="1320" spans="2:7" ht="15" thickBot="1" x14ac:dyDescent="0.35">
      <c r="B1320" s="146"/>
      <c r="C1320" s="147"/>
      <c r="D1320" s="166"/>
      <c r="E1320" s="148" t="s">
        <v>148</v>
      </c>
      <c r="F1320" s="149"/>
      <c r="G1320" s="150">
        <f>ROUND(G1306+G1310+G1314+G1318,0)</f>
        <v>764394</v>
      </c>
    </row>
    <row r="1321" spans="2:7" ht="15" thickTop="1" x14ac:dyDescent="0.3"/>
    <row r="1322" spans="2:7" ht="15" thickBot="1" x14ac:dyDescent="0.35"/>
    <row r="1323" spans="2:7" ht="60" customHeight="1" thickTop="1" x14ac:dyDescent="0.3">
      <c r="B1323" s="315" t="str">
        <f>'FORMATO 13'!C76</f>
        <v>FERTILIZACIÓN: Proporcionar los nutrientes necesarios para el crecimiento óptimo del césped.  Se debe hacer alternada, liquida y granular. Una vez cada quince (15) días a toda la gramilla. La frecuencia puede variar de acuerdo con el análisis de suelos o de acuerdo a las indicaciones de la supervisión y/o interventoría y/o recomendación del contratista, debidamente aprobadas por el supervisor. Incluye los insumos o abonos químicos o biológicos, mano de obra, equipos y herramientas necesarias para su correcta ejecución. La fertilización debe ser alternada en forma líquida y granular.</v>
      </c>
      <c r="C1323" s="316"/>
      <c r="D1323" s="316"/>
      <c r="E1323" s="317"/>
      <c r="F1323" s="115" t="s">
        <v>140</v>
      </c>
      <c r="G1323" s="116" t="str">
        <f>'FORMATO 13'!D76</f>
        <v>VECES</v>
      </c>
    </row>
    <row r="1324" spans="2:7" ht="60" customHeight="1" x14ac:dyDescent="0.3">
      <c r="B1324" s="318"/>
      <c r="C1324" s="319"/>
      <c r="D1324" s="319"/>
      <c r="E1324" s="320"/>
      <c r="F1324" s="117" t="s">
        <v>141</v>
      </c>
      <c r="G1324" s="155">
        <f>'FORMATO 13'!B76</f>
        <v>5.0399999999999991</v>
      </c>
    </row>
    <row r="1325" spans="2:7" x14ac:dyDescent="0.3">
      <c r="B1325" s="118" t="s">
        <v>5</v>
      </c>
      <c r="C1325" s="119" t="s">
        <v>92</v>
      </c>
      <c r="D1325" s="119" t="s">
        <v>93</v>
      </c>
      <c r="E1325" s="119" t="s">
        <v>142</v>
      </c>
      <c r="F1325" s="120" t="s">
        <v>143</v>
      </c>
      <c r="G1325" s="121" t="s">
        <v>10</v>
      </c>
    </row>
    <row r="1326" spans="2:7" x14ac:dyDescent="0.3">
      <c r="B1326" s="122"/>
      <c r="C1326" s="123"/>
      <c r="D1326" s="123"/>
      <c r="E1326" s="124"/>
      <c r="F1326" s="125"/>
      <c r="G1326" s="126"/>
    </row>
    <row r="1327" spans="2:7" x14ac:dyDescent="0.3">
      <c r="B1327" s="127" t="s">
        <v>91</v>
      </c>
      <c r="C1327" s="123"/>
      <c r="D1327" s="123"/>
      <c r="E1327" s="124"/>
      <c r="F1327" s="125"/>
      <c r="G1327" s="126"/>
    </row>
    <row r="1328" spans="2:7" x14ac:dyDescent="0.3">
      <c r="B1328" s="128" t="str">
        <f>INSUMOS!$B$44</f>
        <v>AGUA</v>
      </c>
      <c r="C1328" s="129" t="str">
        <f>INSUMOS!$C$44</f>
        <v>LTS</v>
      </c>
      <c r="D1328" s="129">
        <v>5</v>
      </c>
      <c r="E1328" s="130">
        <v>0</v>
      </c>
      <c r="F1328" s="131">
        <f>INSUMOS!$E$44</f>
        <v>40</v>
      </c>
      <c r="G1328" s="132">
        <f t="shared" ref="G1328:G1340" si="57">TRUNC(D1328 * (1 + E1328 / 100) * F1328,0)</f>
        <v>200</v>
      </c>
    </row>
    <row r="1329" spans="2:7" x14ac:dyDescent="0.3">
      <c r="B1329" s="128" t="str">
        <f>INSUMOS!$B$45</f>
        <v>BIOABONO "EL CEDRO" X 40 KILOS</v>
      </c>
      <c r="C1329" s="129" t="str">
        <f>INSUMOS!$C$45</f>
        <v>UND</v>
      </c>
      <c r="D1329" s="129">
        <v>1</v>
      </c>
      <c r="E1329" s="130">
        <v>0</v>
      </c>
      <c r="F1329" s="131">
        <f>INSUMOS!$E$45</f>
        <v>28420</v>
      </c>
      <c r="G1329" s="132">
        <f t="shared" si="57"/>
        <v>28420</v>
      </c>
    </row>
    <row r="1330" spans="2:7" x14ac:dyDescent="0.3">
      <c r="B1330" s="128" t="str">
        <f>INSUMOS!$B$46</f>
        <v>CAMPOFERY HUMUS X LITRO</v>
      </c>
      <c r="C1330" s="129" t="str">
        <f>INSUMOS!$C$46</f>
        <v>UND</v>
      </c>
      <c r="D1330" s="129">
        <v>1</v>
      </c>
      <c r="E1330" s="130">
        <v>0</v>
      </c>
      <c r="F1330" s="131">
        <f>INSUMOS!$E$46</f>
        <v>26250</v>
      </c>
      <c r="G1330" s="132">
        <f t="shared" si="57"/>
        <v>26250</v>
      </c>
    </row>
    <row r="1331" spans="2:7" x14ac:dyDescent="0.3">
      <c r="B1331" s="128" t="str">
        <f>INSUMOS!$B$47</f>
        <v>SOLUTEC INICIO X KILO</v>
      </c>
      <c r="C1331" s="129" t="str">
        <f>INSUMOS!$C$47</f>
        <v>UND</v>
      </c>
      <c r="D1331" s="129">
        <v>1</v>
      </c>
      <c r="E1331" s="130">
        <v>0</v>
      </c>
      <c r="F1331" s="131">
        <f>INSUMOS!$E$47</f>
        <v>17800</v>
      </c>
      <c r="G1331" s="132">
        <f t="shared" si="57"/>
        <v>17800</v>
      </c>
    </row>
    <row r="1332" spans="2:7" x14ac:dyDescent="0.3">
      <c r="B1332" s="128" t="str">
        <f>INSUMOS!$B$48</f>
        <v>DKP-500 X LITRO</v>
      </c>
      <c r="C1332" s="129" t="str">
        <f>INSUMOS!$C$48</f>
        <v>UND</v>
      </c>
      <c r="D1332" s="129">
        <v>1</v>
      </c>
      <c r="E1332" s="130">
        <v>0</v>
      </c>
      <c r="F1332" s="131">
        <f>INSUMOS!$E$48</f>
        <v>54847</v>
      </c>
      <c r="G1332" s="132">
        <f t="shared" si="57"/>
        <v>54847</v>
      </c>
    </row>
    <row r="1333" spans="2:7" x14ac:dyDescent="0.3">
      <c r="B1333" s="128" t="str">
        <f>INSUMOS!$B$49</f>
        <v>SULFEX HIERRO X KILO</v>
      </c>
      <c r="C1333" s="129" t="str">
        <f>INSUMOS!$C$49</f>
        <v>UND</v>
      </c>
      <c r="D1333" s="129">
        <v>1</v>
      </c>
      <c r="E1333" s="130">
        <v>0</v>
      </c>
      <c r="F1333" s="131">
        <f>INSUMOS!$E$49</f>
        <v>7098</v>
      </c>
      <c r="G1333" s="132">
        <f t="shared" si="57"/>
        <v>7098</v>
      </c>
    </row>
    <row r="1334" spans="2:7" x14ac:dyDescent="0.3">
      <c r="B1334" s="128" t="str">
        <f>INSUMOS!$B$54</f>
        <v>YOYO CON 3 ADAPTADORES X UNIDAD</v>
      </c>
      <c r="C1334" s="129" t="str">
        <f>INSUMOS!$C$54</f>
        <v>UND</v>
      </c>
      <c r="D1334" s="129">
        <v>1</v>
      </c>
      <c r="E1334" s="130">
        <v>0</v>
      </c>
      <c r="F1334" s="131">
        <f>INSUMOS!$E$54</f>
        <v>37516</v>
      </c>
      <c r="G1334" s="132">
        <f t="shared" si="57"/>
        <v>37516</v>
      </c>
    </row>
    <row r="1335" spans="2:7" x14ac:dyDescent="0.3">
      <c r="B1335" s="128" t="str">
        <f>INSUMOS!$B$55</f>
        <v>LUXOR MOTOS 4T SAE 20W50 MA-2 API SL X CUATRO</v>
      </c>
      <c r="C1335" s="129" t="str">
        <f>INSUMOS!$C$55</f>
        <v>UND</v>
      </c>
      <c r="D1335" s="129">
        <v>1</v>
      </c>
      <c r="E1335" s="130">
        <v>0</v>
      </c>
      <c r="F1335" s="131">
        <f>INSUMOS!$E$55</f>
        <v>36193</v>
      </c>
      <c r="G1335" s="132">
        <f t="shared" si="57"/>
        <v>36193</v>
      </c>
    </row>
    <row r="1336" spans="2:7" x14ac:dyDescent="0.3">
      <c r="B1336" s="128" t="str">
        <f>INSUMOS!$B$56</f>
        <v>COMBATE SL</v>
      </c>
      <c r="C1336" s="129" t="str">
        <f>INSUMOS!$C$56</f>
        <v>UND</v>
      </c>
      <c r="D1336" s="129">
        <v>1</v>
      </c>
      <c r="E1336" s="130">
        <v>0</v>
      </c>
      <c r="F1336" s="131">
        <f>INSUMOS!$E$56</f>
        <v>35812</v>
      </c>
      <c r="G1336" s="132">
        <f t="shared" si="57"/>
        <v>35812</v>
      </c>
    </row>
    <row r="1337" spans="2:7" x14ac:dyDescent="0.3">
      <c r="B1337" s="128" t="str">
        <f>INSUMOS!$B$57</f>
        <v>GLIFOSOL SL</v>
      </c>
      <c r="C1337" s="129" t="str">
        <f>INSUMOS!$C$57</f>
        <v>UND</v>
      </c>
      <c r="D1337" s="129">
        <v>1</v>
      </c>
      <c r="E1337" s="130">
        <v>0</v>
      </c>
      <c r="F1337" s="131">
        <f>INSUMOS!$E$57</f>
        <v>45403</v>
      </c>
      <c r="G1337" s="132">
        <f t="shared" si="57"/>
        <v>45403</v>
      </c>
    </row>
    <row r="1338" spans="2:7" x14ac:dyDescent="0.3">
      <c r="B1338" s="128" t="str">
        <f>INSUMOS!$B$58</f>
        <v>LIMA PAREJA NICHOLSON TR</v>
      </c>
      <c r="C1338" s="129" t="str">
        <f>INSUMOS!$C$58</f>
        <v>UND</v>
      </c>
      <c r="D1338" s="129">
        <v>1</v>
      </c>
      <c r="E1338" s="130">
        <v>0</v>
      </c>
      <c r="F1338" s="131">
        <f>INSUMOS!$E$58</f>
        <v>10703</v>
      </c>
      <c r="G1338" s="132">
        <f t="shared" si="57"/>
        <v>10703</v>
      </c>
    </row>
    <row r="1339" spans="2:7" x14ac:dyDescent="0.3">
      <c r="B1339" s="128" t="str">
        <f>INSUMOS!$B$59</f>
        <v>PLUVIOMETRO MEDIDOR DE LLUVIA X 140MM</v>
      </c>
      <c r="C1339" s="129" t="str">
        <f>INSUMOS!$C$59</f>
        <v>UND</v>
      </c>
      <c r="D1339" s="129">
        <v>1</v>
      </c>
      <c r="E1339" s="130">
        <v>0</v>
      </c>
      <c r="F1339" s="131">
        <f>INSUMOS!$E$59</f>
        <v>94186</v>
      </c>
      <c r="G1339" s="132">
        <f t="shared" si="57"/>
        <v>94186</v>
      </c>
    </row>
    <row r="1340" spans="2:7" x14ac:dyDescent="0.3">
      <c r="B1340" s="128" t="str">
        <f>INSUMOS!$B$60</f>
        <v>GUANTE INGENIERIA MANGA CORTA P15</v>
      </c>
      <c r="C1340" s="129" t="str">
        <f>INSUMOS!$C$60</f>
        <v>UND</v>
      </c>
      <c r="D1340" s="129">
        <v>20</v>
      </c>
      <c r="E1340" s="130">
        <v>0</v>
      </c>
      <c r="F1340" s="131">
        <f>INSUMOS!$E$60</f>
        <v>12731</v>
      </c>
      <c r="G1340" s="132">
        <f t="shared" si="57"/>
        <v>254620</v>
      </c>
    </row>
    <row r="1341" spans="2:7" x14ac:dyDescent="0.3">
      <c r="B1341" s="128"/>
      <c r="C1341" s="129"/>
      <c r="D1341" s="129"/>
      <c r="E1341" s="130"/>
      <c r="F1341" s="131"/>
      <c r="G1341" s="132"/>
    </row>
    <row r="1342" spans="2:7" x14ac:dyDescent="0.3">
      <c r="B1342" s="122"/>
      <c r="C1342" s="123"/>
      <c r="D1342" s="123"/>
      <c r="E1342" s="124"/>
      <c r="F1342" s="125" t="s">
        <v>144</v>
      </c>
      <c r="G1342" s="132">
        <f>SUM(G1326:G1341)</f>
        <v>649048</v>
      </c>
    </row>
    <row r="1343" spans="2:7" x14ac:dyDescent="0.3">
      <c r="B1343" s="127" t="s">
        <v>114</v>
      </c>
      <c r="C1343" s="123"/>
      <c r="D1343" s="123"/>
      <c r="E1343" s="124"/>
      <c r="F1343" s="125"/>
      <c r="G1343" s="139"/>
    </row>
    <row r="1344" spans="2:7" x14ac:dyDescent="0.3">
      <c r="B1344" s="151" t="str">
        <f>INSUMOS!$B$73</f>
        <v>M.O. 1 OFICIAL + 2 AYUDANTES</v>
      </c>
      <c r="C1344" s="129" t="str">
        <f>INSUMOS!$C$73</f>
        <v>JORNAL</v>
      </c>
      <c r="D1344" s="129">
        <f>7/8</f>
        <v>0.875</v>
      </c>
      <c r="E1344" s="130"/>
      <c r="F1344" s="140">
        <f>INSUMOS!$E$73</f>
        <v>422209</v>
      </c>
      <c r="G1344" s="132">
        <f>TRUNC(D1344 * (1 + E1344 / 100) * F1344,0)</f>
        <v>369432</v>
      </c>
    </row>
    <row r="1345" spans="2:7" x14ac:dyDescent="0.3">
      <c r="B1345" s="142"/>
      <c r="C1345" s="157"/>
      <c r="D1345" s="158"/>
      <c r="E1345" s="159"/>
      <c r="F1345" s="145"/>
      <c r="G1345" s="141"/>
    </row>
    <row r="1346" spans="2:7" x14ac:dyDescent="0.3">
      <c r="B1346" s="122"/>
      <c r="C1346" s="123"/>
      <c r="D1346" s="123"/>
      <c r="E1346" s="124"/>
      <c r="F1346" s="125" t="s">
        <v>145</v>
      </c>
      <c r="G1346" s="132">
        <f>SUM(G1344:G1344)</f>
        <v>369432</v>
      </c>
    </row>
    <row r="1347" spans="2:7" x14ac:dyDescent="0.3">
      <c r="B1347" s="127" t="s">
        <v>125</v>
      </c>
      <c r="C1347" s="123"/>
      <c r="D1347" s="123"/>
      <c r="E1347" s="124"/>
      <c r="F1347" s="125"/>
      <c r="G1347" s="139"/>
    </row>
    <row r="1348" spans="2:7" x14ac:dyDescent="0.3">
      <c r="B1348" s="151" t="str">
        <f>INSUMOS!$B$95</f>
        <v>SPRAYER</v>
      </c>
      <c r="C1348" s="129" t="str">
        <f>INSUMOS!$C$95</f>
        <v>DIA</v>
      </c>
      <c r="D1348" s="129">
        <v>1</v>
      </c>
      <c r="E1348" s="130"/>
      <c r="F1348" s="140">
        <f>INSUMOS!$E$95</f>
        <v>164719</v>
      </c>
      <c r="G1348" s="132">
        <f t="shared" ref="G1348" si="58">TRUNC(D1348 * (1 + E1348 / 100) * F1348,0)</f>
        <v>164719</v>
      </c>
    </row>
    <row r="1349" spans="2:7" x14ac:dyDescent="0.3">
      <c r="B1349" s="151"/>
      <c r="C1349" s="129"/>
      <c r="D1349" s="129"/>
      <c r="E1349" s="130"/>
      <c r="F1349" s="140"/>
      <c r="G1349" s="132"/>
    </row>
    <row r="1350" spans="2:7" x14ac:dyDescent="0.3">
      <c r="B1350" s="122"/>
      <c r="C1350" s="123"/>
      <c r="D1350" s="123"/>
      <c r="E1350" s="124"/>
      <c r="F1350" s="125" t="s">
        <v>146</v>
      </c>
      <c r="G1350" s="132">
        <f>SUM(G1348:G1349)</f>
        <v>164719</v>
      </c>
    </row>
    <row r="1351" spans="2:7" x14ac:dyDescent="0.3">
      <c r="B1351" s="127" t="s">
        <v>147</v>
      </c>
      <c r="C1351" s="123"/>
      <c r="D1351" s="123"/>
      <c r="E1351" s="124"/>
      <c r="F1351" s="125"/>
      <c r="G1351" s="139"/>
    </row>
    <row r="1352" spans="2:7" x14ac:dyDescent="0.3">
      <c r="B1352" s="133" t="str">
        <f>INSUMOS!$B$84</f>
        <v>HERRAMIENTA MENOR</v>
      </c>
      <c r="C1352" s="134" t="str">
        <f>INSUMOS!$C$84</f>
        <v>GLB</v>
      </c>
      <c r="D1352" s="163">
        <v>12.9162</v>
      </c>
      <c r="E1352" s="136"/>
      <c r="F1352" s="137">
        <f>INSUMOS!$E$84</f>
        <v>2174</v>
      </c>
      <c r="G1352" s="132">
        <f>TRUNC(D1352 * (1 + E1352 / 100) * F1352,0)</f>
        <v>28079</v>
      </c>
    </row>
    <row r="1353" spans="2:7" x14ac:dyDescent="0.3">
      <c r="B1353" s="133"/>
      <c r="C1353" s="134"/>
      <c r="D1353" s="135"/>
      <c r="E1353" s="136"/>
      <c r="F1353" s="137"/>
      <c r="G1353" s="141"/>
    </row>
    <row r="1354" spans="2:7" x14ac:dyDescent="0.3">
      <c r="B1354" s="122"/>
      <c r="C1354" s="123"/>
      <c r="D1354" s="123"/>
      <c r="E1354" s="124"/>
      <c r="F1354" s="125" t="str">
        <f>"SUBTOTAL " &amp;B1351</f>
        <v>SUBTOTAL OTROS</v>
      </c>
      <c r="G1354" s="132">
        <f>SUM(G1352:G1353)</f>
        <v>28079</v>
      </c>
    </row>
    <row r="1355" spans="2:7" x14ac:dyDescent="0.3">
      <c r="B1355" s="122"/>
      <c r="C1355" s="123"/>
      <c r="D1355" s="123"/>
      <c r="E1355" s="124"/>
      <c r="F1355" s="125"/>
      <c r="G1355" s="126"/>
    </row>
    <row r="1356" spans="2:7" ht="15" thickBot="1" x14ac:dyDescent="0.35">
      <c r="B1356" s="146"/>
      <c r="C1356" s="147"/>
      <c r="D1356" s="166"/>
      <c r="E1356" s="148" t="s">
        <v>148</v>
      </c>
      <c r="F1356" s="149"/>
      <c r="G1356" s="150">
        <f>ROUND(G1342+G1346+G1350+G1354,0)</f>
        <v>1211278</v>
      </c>
    </row>
    <row r="1357" spans="2:7" ht="15" thickTop="1" x14ac:dyDescent="0.3"/>
    <row r="1358" spans="2:7" ht="15" thickBot="1" x14ac:dyDescent="0.35"/>
    <row r="1359" spans="2:7" ht="49.95" customHeight="1" thickTop="1" x14ac:dyDescent="0.3">
      <c r="B1359" s="315" t="str">
        <f>'FORMATO 13'!C77</f>
        <v>CONTROL DE PLAGAS Y ENFERMEDADES: Monitorear y controlar las  plagas y enfermedades que puedan afectar elcampo de juego híbrido: Aplicación de micorrizas líquidas y entomopatógenos líquidos (trichoderma, beauveria baussiana, facelomicis v bacilus turigencis). Siguiendo las indicaciones de la supervisión, interventoría o recomendaciones del contratista, debidamente aprobadas por el supervisor.</v>
      </c>
      <c r="C1359" s="316"/>
      <c r="D1359" s="316"/>
      <c r="E1359" s="317"/>
      <c r="F1359" s="115" t="s">
        <v>140</v>
      </c>
      <c r="G1359" s="116" t="str">
        <f>'FORMATO 13'!D77</f>
        <v>VECES</v>
      </c>
    </row>
    <row r="1360" spans="2:7" ht="49.95" customHeight="1" x14ac:dyDescent="0.3">
      <c r="B1360" s="318"/>
      <c r="C1360" s="319"/>
      <c r="D1360" s="319"/>
      <c r="E1360" s="320"/>
      <c r="F1360" s="117" t="s">
        <v>141</v>
      </c>
      <c r="G1360" s="155">
        <f>'FORMATO 13'!B77</f>
        <v>5.0499999999999989</v>
      </c>
    </row>
    <row r="1361" spans="2:7" x14ac:dyDescent="0.3">
      <c r="B1361" s="118" t="s">
        <v>5</v>
      </c>
      <c r="C1361" s="119" t="s">
        <v>92</v>
      </c>
      <c r="D1361" s="119" t="s">
        <v>93</v>
      </c>
      <c r="E1361" s="119" t="s">
        <v>142</v>
      </c>
      <c r="F1361" s="120" t="s">
        <v>143</v>
      </c>
      <c r="G1361" s="121" t="s">
        <v>10</v>
      </c>
    </row>
    <row r="1362" spans="2:7" x14ac:dyDescent="0.3">
      <c r="B1362" s="122"/>
      <c r="C1362" s="123"/>
      <c r="D1362" s="123"/>
      <c r="E1362" s="124"/>
      <c r="F1362" s="125"/>
      <c r="G1362" s="126"/>
    </row>
    <row r="1363" spans="2:7" x14ac:dyDescent="0.3">
      <c r="B1363" s="127" t="s">
        <v>91</v>
      </c>
      <c r="C1363" s="123"/>
      <c r="D1363" s="123"/>
      <c r="E1363" s="124"/>
      <c r="F1363" s="125"/>
      <c r="G1363" s="126"/>
    </row>
    <row r="1364" spans="2:7" x14ac:dyDescent="0.3">
      <c r="B1364" s="128" t="str">
        <f>INSUMOS!$B$26</f>
        <v>MICORRIZAS</v>
      </c>
      <c r="C1364" s="129" t="str">
        <f>INSUMOS!$C$26</f>
        <v>LITRO</v>
      </c>
      <c r="D1364" s="129">
        <v>1</v>
      </c>
      <c r="E1364" s="130">
        <v>0</v>
      </c>
      <c r="F1364" s="131">
        <f>INSUMOS!$E$26</f>
        <v>59294</v>
      </c>
      <c r="G1364" s="132">
        <f t="shared" ref="G1364:G1368" si="59">TRUNC(D1364 * (1 + E1364 / 100) * F1364,0)</f>
        <v>59294</v>
      </c>
    </row>
    <row r="1365" spans="2:7" x14ac:dyDescent="0.3">
      <c r="B1365" s="128" t="str">
        <f>INSUMOS!$B$27</f>
        <v>TRICHODERMA</v>
      </c>
      <c r="C1365" s="129" t="str">
        <f>INSUMOS!$C$27</f>
        <v>LITRO</v>
      </c>
      <c r="D1365" s="129">
        <v>1</v>
      </c>
      <c r="E1365" s="130">
        <v>0</v>
      </c>
      <c r="F1365" s="131">
        <f>INSUMOS!$E$27</f>
        <v>70349</v>
      </c>
      <c r="G1365" s="132">
        <f t="shared" si="59"/>
        <v>70349</v>
      </c>
    </row>
    <row r="1366" spans="2:7" x14ac:dyDescent="0.3">
      <c r="B1366" s="128" t="str">
        <f>INSUMOS!$B$28</f>
        <v>BEAUVERIA BAUSSINIA</v>
      </c>
      <c r="C1366" s="129" t="str">
        <f>INSUMOS!$C$28</f>
        <v>LITRO</v>
      </c>
      <c r="D1366" s="129">
        <v>1</v>
      </c>
      <c r="E1366" s="130">
        <v>0</v>
      </c>
      <c r="F1366" s="131">
        <f>INSUMOS!$E$28</f>
        <v>48240</v>
      </c>
      <c r="G1366" s="132">
        <f t="shared" si="59"/>
        <v>48240</v>
      </c>
    </row>
    <row r="1367" spans="2:7" x14ac:dyDescent="0.3">
      <c r="B1367" s="128" t="str">
        <f>INSUMOS!$B$29</f>
        <v>FACELOMICIS</v>
      </c>
      <c r="C1367" s="129" t="str">
        <f>INSUMOS!$C$29</f>
        <v>LITRO</v>
      </c>
      <c r="D1367" s="129">
        <v>1</v>
      </c>
      <c r="E1367" s="130">
        <v>0</v>
      </c>
      <c r="F1367" s="131">
        <f>INSUMOS!$E$29</f>
        <v>45224</v>
      </c>
      <c r="G1367" s="132">
        <f t="shared" si="59"/>
        <v>45224</v>
      </c>
    </row>
    <row r="1368" spans="2:7" x14ac:dyDescent="0.3">
      <c r="B1368" s="128" t="str">
        <f>INSUMOS!$B$30</f>
        <v>VTACILUS TURIGENCIS</v>
      </c>
      <c r="C1368" s="129" t="str">
        <f>INSUMOS!$C$30</f>
        <v>LITRO</v>
      </c>
      <c r="D1368" s="129">
        <v>1</v>
      </c>
      <c r="E1368" s="130">
        <v>0</v>
      </c>
      <c r="F1368" s="131">
        <f>INSUMOS!$E$30</f>
        <v>32659</v>
      </c>
      <c r="G1368" s="132">
        <f t="shared" si="59"/>
        <v>32659</v>
      </c>
    </row>
    <row r="1369" spans="2:7" x14ac:dyDescent="0.3">
      <c r="B1369" s="128"/>
      <c r="C1369" s="129"/>
      <c r="D1369" s="129"/>
      <c r="E1369" s="130"/>
      <c r="F1369" s="131"/>
      <c r="G1369" s="132"/>
    </row>
    <row r="1370" spans="2:7" x14ac:dyDescent="0.3">
      <c r="B1370" s="122"/>
      <c r="C1370" s="123"/>
      <c r="D1370" s="123"/>
      <c r="E1370" s="124"/>
      <c r="F1370" s="125" t="s">
        <v>144</v>
      </c>
      <c r="G1370" s="132">
        <f>SUM(G1362:G1369)</f>
        <v>255766</v>
      </c>
    </row>
    <row r="1371" spans="2:7" x14ac:dyDescent="0.3">
      <c r="B1371" s="127" t="s">
        <v>114</v>
      </c>
      <c r="C1371" s="123"/>
      <c r="D1371" s="123"/>
      <c r="E1371" s="124"/>
      <c r="F1371" s="125"/>
      <c r="G1371" s="139"/>
    </row>
    <row r="1372" spans="2:7" x14ac:dyDescent="0.3">
      <c r="B1372" s="151" t="str">
        <f>INSUMOS!$B$73</f>
        <v>M.O. 1 OFICIAL + 2 AYUDANTES</v>
      </c>
      <c r="C1372" s="129" t="str">
        <f>INSUMOS!$C$73</f>
        <v>JORNAL</v>
      </c>
      <c r="D1372" s="129">
        <f>7/8</f>
        <v>0.875</v>
      </c>
      <c r="E1372" s="130"/>
      <c r="F1372" s="140">
        <f>INSUMOS!$E$73</f>
        <v>422209</v>
      </c>
      <c r="G1372" s="132">
        <f>TRUNC(D1372 * (1 + E1372 / 100) * F1372,0)</f>
        <v>369432</v>
      </c>
    </row>
    <row r="1373" spans="2:7" x14ac:dyDescent="0.3">
      <c r="B1373" s="142"/>
      <c r="C1373" s="157"/>
      <c r="D1373" s="158"/>
      <c r="E1373" s="159"/>
      <c r="F1373" s="145"/>
      <c r="G1373" s="141"/>
    </row>
    <row r="1374" spans="2:7" x14ac:dyDescent="0.3">
      <c r="B1374" s="122"/>
      <c r="C1374" s="123"/>
      <c r="D1374" s="123"/>
      <c r="E1374" s="124"/>
      <c r="F1374" s="125" t="s">
        <v>145</v>
      </c>
      <c r="G1374" s="132">
        <f>SUM(G1372:G1372)</f>
        <v>369432</v>
      </c>
    </row>
    <row r="1375" spans="2:7" x14ac:dyDescent="0.3">
      <c r="B1375" s="127" t="s">
        <v>125</v>
      </c>
      <c r="C1375" s="123"/>
      <c r="D1375" s="123"/>
      <c r="E1375" s="124"/>
      <c r="F1375" s="125"/>
      <c r="G1375" s="139"/>
    </row>
    <row r="1376" spans="2:7" x14ac:dyDescent="0.3">
      <c r="B1376" s="151" t="str">
        <f>INSUMOS!$B$96</f>
        <v>BOMBA ESTACIONARIA</v>
      </c>
      <c r="C1376" s="129" t="str">
        <f>INSUMOS!$C$96</f>
        <v>DIA</v>
      </c>
      <c r="D1376" s="129">
        <v>1</v>
      </c>
      <c r="E1376" s="130"/>
      <c r="F1376" s="140">
        <f>INSUMOS!$E$96</f>
        <v>64791</v>
      </c>
      <c r="G1376" s="132">
        <f t="shared" ref="G1376:G1377" si="60">TRUNC(D1376 * (1 + E1376 / 100) * F1376,0)</f>
        <v>64791</v>
      </c>
    </row>
    <row r="1377" spans="2:7" x14ac:dyDescent="0.3">
      <c r="B1377" s="151" t="str">
        <f>INSUMOS!$B$97</f>
        <v>CANECA 55 GALONES</v>
      </c>
      <c r="C1377" s="129" t="str">
        <f>INSUMOS!$C$97</f>
        <v>UND</v>
      </c>
      <c r="D1377" s="129">
        <v>1</v>
      </c>
      <c r="E1377" s="130"/>
      <c r="F1377" s="140">
        <f>INSUMOS!$E$97</f>
        <v>30917</v>
      </c>
      <c r="G1377" s="132">
        <f t="shared" si="60"/>
        <v>30917</v>
      </c>
    </row>
    <row r="1378" spans="2:7" x14ac:dyDescent="0.3">
      <c r="B1378" s="151"/>
      <c r="C1378" s="129"/>
      <c r="D1378" s="129"/>
      <c r="E1378" s="130"/>
      <c r="F1378" s="140"/>
      <c r="G1378" s="132"/>
    </row>
    <row r="1379" spans="2:7" x14ac:dyDescent="0.3">
      <c r="B1379" s="122"/>
      <c r="C1379" s="123"/>
      <c r="D1379" s="123"/>
      <c r="E1379" s="124"/>
      <c r="F1379" s="125" t="s">
        <v>146</v>
      </c>
      <c r="G1379" s="132">
        <f>SUM(G1376:G1378)</f>
        <v>95708</v>
      </c>
    </row>
    <row r="1380" spans="2:7" x14ac:dyDescent="0.3">
      <c r="B1380" s="127" t="s">
        <v>147</v>
      </c>
      <c r="C1380" s="123"/>
      <c r="D1380" s="123"/>
      <c r="E1380" s="124"/>
      <c r="F1380" s="125"/>
      <c r="G1380" s="139"/>
    </row>
    <row r="1381" spans="2:7" x14ac:dyDescent="0.3">
      <c r="B1381" s="133" t="str">
        <f>INSUMOS!$B$84</f>
        <v>HERRAMIENTA MENOR</v>
      </c>
      <c r="C1381" s="134" t="str">
        <f>INSUMOS!$C$84</f>
        <v>GLB</v>
      </c>
      <c r="D1381" s="162">
        <v>0.47220000000000001</v>
      </c>
      <c r="E1381" s="136"/>
      <c r="F1381" s="137">
        <f>INSUMOS!$E$84</f>
        <v>2174</v>
      </c>
      <c r="G1381" s="132">
        <f>TRUNC(D1381 * (1 + E1381 / 100) * F1381,0)</f>
        <v>1026</v>
      </c>
    </row>
    <row r="1382" spans="2:7" x14ac:dyDescent="0.3">
      <c r="B1382" s="133"/>
      <c r="C1382" s="134"/>
      <c r="D1382" s="135"/>
      <c r="E1382" s="136"/>
      <c r="F1382" s="137"/>
      <c r="G1382" s="141"/>
    </row>
    <row r="1383" spans="2:7" x14ac:dyDescent="0.3">
      <c r="B1383" s="122"/>
      <c r="C1383" s="123"/>
      <c r="D1383" s="123"/>
      <c r="E1383" s="124"/>
      <c r="F1383" s="125" t="str">
        <f>"SUBTOTAL " &amp;B1380</f>
        <v>SUBTOTAL OTROS</v>
      </c>
      <c r="G1383" s="132">
        <f>SUM(G1381:G1382)</f>
        <v>1026</v>
      </c>
    </row>
    <row r="1384" spans="2:7" x14ac:dyDescent="0.3">
      <c r="B1384" s="122"/>
      <c r="C1384" s="123"/>
      <c r="D1384" s="123"/>
      <c r="E1384" s="124"/>
      <c r="F1384" s="125"/>
      <c r="G1384" s="126"/>
    </row>
    <row r="1385" spans="2:7" ht="15" thickBot="1" x14ac:dyDescent="0.35">
      <c r="B1385" s="146"/>
      <c r="C1385" s="147"/>
      <c r="D1385" s="166"/>
      <c r="E1385" s="148" t="s">
        <v>148</v>
      </c>
      <c r="F1385" s="149"/>
      <c r="G1385" s="150">
        <f>ROUND(G1370+G1374+G1379+G1383,0)</f>
        <v>721932</v>
      </c>
    </row>
    <row r="1386" spans="2:7" ht="15" thickTop="1" x14ac:dyDescent="0.3"/>
    <row r="1387" spans="2:7" ht="15" thickBot="1" x14ac:dyDescent="0.35"/>
    <row r="1388" spans="2:7" ht="70.05" customHeight="1" thickTop="1" x14ac:dyDescent="0.3">
      <c r="B1388" s="315" t="str">
        <f>'FORMATO 13'!C78</f>
        <v>AIREACIÓN CON PINES SÓLIDOS: Mejorar la circulación de aire y la penetración de agua y nutrientes en el suelo. Se debe realizar la aireación con pines sólidos una (1) vez cada mes o de acuerdo con las indicaciones de la supervisión y/o interventoría y/o recomendación del contratista, debidamente aprobadas por el supervisor. Se debe realizar la aireación con pines sólidos de 20 cm.  Incluye toda la maquinaria necesaria, todos los materiales e insumos para su óptimo funcionamiento, operarios, herramienta menor y la recolección y disposición adecuada de los residuos. En algunos momentos, se debe medir la compactación del suelo, con el penetrometro antes de hacer la aireación del suelo.</v>
      </c>
      <c r="C1388" s="316"/>
      <c r="D1388" s="316"/>
      <c r="E1388" s="317"/>
      <c r="F1388" s="115" t="s">
        <v>140</v>
      </c>
      <c r="G1388" s="116" t="str">
        <f>'FORMATO 13'!D78</f>
        <v>MES</v>
      </c>
    </row>
    <row r="1389" spans="2:7" ht="70.05" customHeight="1" x14ac:dyDescent="0.3">
      <c r="B1389" s="318"/>
      <c r="C1389" s="319"/>
      <c r="D1389" s="319"/>
      <c r="E1389" s="320"/>
      <c r="F1389" s="117" t="s">
        <v>141</v>
      </c>
      <c r="G1389" s="155">
        <f>'FORMATO 13'!B78</f>
        <v>5.0599999999999987</v>
      </c>
    </row>
    <row r="1390" spans="2:7" x14ac:dyDescent="0.3">
      <c r="B1390" s="118" t="s">
        <v>5</v>
      </c>
      <c r="C1390" s="119" t="s">
        <v>92</v>
      </c>
      <c r="D1390" s="119" t="s">
        <v>93</v>
      </c>
      <c r="E1390" s="119" t="s">
        <v>142</v>
      </c>
      <c r="F1390" s="120" t="s">
        <v>143</v>
      </c>
      <c r="G1390" s="121" t="s">
        <v>10</v>
      </c>
    </row>
    <row r="1391" spans="2:7" x14ac:dyDescent="0.3">
      <c r="B1391" s="122"/>
      <c r="C1391" s="123"/>
      <c r="D1391" s="123"/>
      <c r="E1391" s="124"/>
      <c r="F1391" s="125"/>
      <c r="G1391" s="126"/>
    </row>
    <row r="1392" spans="2:7" x14ac:dyDescent="0.3">
      <c r="B1392" s="127" t="s">
        <v>91</v>
      </c>
      <c r="C1392" s="123"/>
      <c r="D1392" s="123"/>
      <c r="E1392" s="124"/>
      <c r="F1392" s="125"/>
      <c r="G1392" s="126"/>
    </row>
    <row r="1393" spans="2:7" x14ac:dyDescent="0.3">
      <c r="B1393" s="128" t="str">
        <f>INSUMOS!$B$13</f>
        <v>BOLSAS PARA BASURA</v>
      </c>
      <c r="C1393" s="129" t="str">
        <f>INSUMOS!$C$13</f>
        <v>UND</v>
      </c>
      <c r="D1393" s="129">
        <v>50</v>
      </c>
      <c r="E1393" s="130">
        <v>0</v>
      </c>
      <c r="F1393" s="131">
        <f>INSUMOS!$E$13</f>
        <v>2053</v>
      </c>
      <c r="G1393" s="132">
        <f t="shared" ref="G1393" si="61">TRUNC(D1393 * (1 + E1393 / 100) * F1393,0)</f>
        <v>102650</v>
      </c>
    </row>
    <row r="1394" spans="2:7" x14ac:dyDescent="0.3">
      <c r="B1394" s="128"/>
      <c r="C1394" s="129"/>
      <c r="D1394" s="129"/>
      <c r="E1394" s="130"/>
      <c r="F1394" s="131"/>
      <c r="G1394" s="132"/>
    </row>
    <row r="1395" spans="2:7" x14ac:dyDescent="0.3">
      <c r="B1395" s="122"/>
      <c r="C1395" s="123"/>
      <c r="D1395" s="123"/>
      <c r="E1395" s="124"/>
      <c r="F1395" s="125" t="s">
        <v>144</v>
      </c>
      <c r="G1395" s="132">
        <f>SUM(G1391:G1394)</f>
        <v>102650</v>
      </c>
    </row>
    <row r="1396" spans="2:7" x14ac:dyDescent="0.3">
      <c r="B1396" s="127" t="s">
        <v>114</v>
      </c>
      <c r="C1396" s="123"/>
      <c r="D1396" s="123"/>
      <c r="E1396" s="124"/>
      <c r="F1396" s="125"/>
      <c r="G1396" s="139"/>
    </row>
    <row r="1397" spans="2:7" x14ac:dyDescent="0.3">
      <c r="B1397" s="151" t="str">
        <f>INSUMOS!$B$72</f>
        <v>M.O. 1 OFICIAL + 1 AYUDANTES</v>
      </c>
      <c r="C1397" s="129" t="str">
        <f>INSUMOS!$C$72</f>
        <v>JORNAL</v>
      </c>
      <c r="D1397" s="129">
        <v>1</v>
      </c>
      <c r="E1397" s="130"/>
      <c r="F1397" s="140">
        <f>INSUMOS!$E$72</f>
        <v>308098</v>
      </c>
      <c r="G1397" s="132">
        <f>TRUNC(D1397 * (1 + E1397 / 100) * F1397,0)</f>
        <v>308098</v>
      </c>
    </row>
    <row r="1398" spans="2:7" x14ac:dyDescent="0.3">
      <c r="B1398" s="142"/>
      <c r="C1398" s="157"/>
      <c r="D1398" s="158"/>
      <c r="E1398" s="159"/>
      <c r="F1398" s="145"/>
      <c r="G1398" s="141"/>
    </row>
    <row r="1399" spans="2:7" x14ac:dyDescent="0.3">
      <c r="B1399" s="122"/>
      <c r="C1399" s="123"/>
      <c r="D1399" s="123"/>
      <c r="E1399" s="124"/>
      <c r="F1399" s="125" t="s">
        <v>145</v>
      </c>
      <c r="G1399" s="132">
        <f>SUM(G1397:G1397)</f>
        <v>308098</v>
      </c>
    </row>
    <row r="1400" spans="2:7" x14ac:dyDescent="0.3">
      <c r="B1400" s="127" t="s">
        <v>125</v>
      </c>
      <c r="C1400" s="123"/>
      <c r="D1400" s="123"/>
      <c r="E1400" s="124"/>
      <c r="F1400" s="125"/>
      <c r="G1400" s="139"/>
    </row>
    <row r="1401" spans="2:7" x14ac:dyDescent="0.3">
      <c r="B1401" s="151" t="str">
        <f>INSUMOS!$B$98</f>
        <v>RODILLO CON CHUZOS</v>
      </c>
      <c r="C1401" s="129" t="str">
        <f>INSUMOS!$C$98</f>
        <v>DIA</v>
      </c>
      <c r="D1401" s="129">
        <v>1</v>
      </c>
      <c r="E1401" s="130"/>
      <c r="F1401" s="140">
        <f>INSUMOS!$E$98</f>
        <v>49000</v>
      </c>
      <c r="G1401" s="132">
        <f t="shared" ref="G1401" si="62">TRUNC(D1401 * (1 + E1401 / 100) * F1401,0)</f>
        <v>49000</v>
      </c>
    </row>
    <row r="1402" spans="2:7" x14ac:dyDescent="0.3">
      <c r="B1402" s="151"/>
      <c r="C1402" s="129"/>
      <c r="D1402" s="129"/>
      <c r="E1402" s="130"/>
      <c r="F1402" s="140"/>
      <c r="G1402" s="132"/>
    </row>
    <row r="1403" spans="2:7" x14ac:dyDescent="0.3">
      <c r="B1403" s="122"/>
      <c r="C1403" s="123"/>
      <c r="D1403" s="123"/>
      <c r="E1403" s="124"/>
      <c r="F1403" s="125" t="s">
        <v>146</v>
      </c>
      <c r="G1403" s="132">
        <f>SUM(G1401:G1402)</f>
        <v>49000</v>
      </c>
    </row>
    <row r="1404" spans="2:7" x14ac:dyDescent="0.3">
      <c r="B1404" s="127" t="s">
        <v>147</v>
      </c>
      <c r="C1404" s="123"/>
      <c r="D1404" s="123"/>
      <c r="E1404" s="124"/>
      <c r="F1404" s="125"/>
      <c r="G1404" s="139"/>
    </row>
    <row r="1405" spans="2:7" x14ac:dyDescent="0.3">
      <c r="B1405" s="133" t="str">
        <f>INSUMOS!$B$84</f>
        <v>HERRAMIENTA MENOR</v>
      </c>
      <c r="C1405" s="134" t="str">
        <f>INSUMOS!$C$84</f>
        <v>GLB</v>
      </c>
      <c r="D1405" s="123">
        <v>1.5915999999999999</v>
      </c>
      <c r="E1405" s="136"/>
      <c r="F1405" s="137">
        <f>INSUMOS!$E$84</f>
        <v>2174</v>
      </c>
      <c r="G1405" s="132">
        <f>TRUNC(D1405 * (1 + E1405 / 100) * F1405,0)</f>
        <v>3460</v>
      </c>
    </row>
    <row r="1406" spans="2:7" x14ac:dyDescent="0.3">
      <c r="B1406" s="133"/>
      <c r="C1406" s="134"/>
      <c r="D1406" s="135"/>
      <c r="E1406" s="136"/>
      <c r="F1406" s="137"/>
      <c r="G1406" s="141"/>
    </row>
    <row r="1407" spans="2:7" x14ac:dyDescent="0.3">
      <c r="B1407" s="122"/>
      <c r="C1407" s="123"/>
      <c r="D1407" s="123"/>
      <c r="E1407" s="124"/>
      <c r="F1407" s="125" t="str">
        <f>"SUBTOTAL " &amp;B1404</f>
        <v>SUBTOTAL OTROS</v>
      </c>
      <c r="G1407" s="132">
        <f>SUM(G1405:G1406)</f>
        <v>3460</v>
      </c>
    </row>
    <row r="1408" spans="2:7" x14ac:dyDescent="0.3">
      <c r="B1408" s="122"/>
      <c r="C1408" s="123"/>
      <c r="D1408" s="123"/>
      <c r="E1408" s="124"/>
      <c r="F1408" s="125"/>
      <c r="G1408" s="126"/>
    </row>
    <row r="1409" spans="2:7" ht="15" thickBot="1" x14ac:dyDescent="0.35">
      <c r="B1409" s="146"/>
      <c r="C1409" s="147"/>
      <c r="D1409" s="166"/>
      <c r="E1409" s="148" t="s">
        <v>148</v>
      </c>
      <c r="F1409" s="149"/>
      <c r="G1409" s="150">
        <f>ROUND(G1395+G1399+G1403+G1407,0)</f>
        <v>463208</v>
      </c>
    </row>
    <row r="1410" spans="2:7" ht="15" thickTop="1" x14ac:dyDescent="0.3"/>
    <row r="1411" spans="2:7" ht="15" thickBot="1" x14ac:dyDescent="0.35"/>
    <row r="1412" spans="2:7" ht="60" customHeight="1" thickTop="1" x14ac:dyDescent="0.3">
      <c r="B1412" s="315" t="str">
        <f>'FORMATO 13'!C79</f>
        <v xml:space="preserve">TOP DRESSING: Llenar los orificios realizados después de la aireación, en una proporción 80% arena de granulometría media lavada y pasada por zaranda en lo posible del Rio Frayle y 20% de tierra negra. Siguiendo las indicaciones de la supervisión, interventoría o recomendaciones del contratista, debidamente aprobadas por el supervisor. Se debe realizar con la aplicación de mínimo 2 kg por M2 de arena cernida a toda la gramilla. Una (1) vez durante la ejecución del contrato.   Incluye toda la maquinaria necesaria, todos los materiales e insumos para su óptimo funcionamiento, operarios, herramienta menor y la recolección y disposición adecuada de los residuos. </v>
      </c>
      <c r="C1412" s="316"/>
      <c r="D1412" s="316"/>
      <c r="E1412" s="317"/>
      <c r="F1412" s="115" t="s">
        <v>140</v>
      </c>
      <c r="G1412" s="116" t="str">
        <f>'FORMATO 13'!D79</f>
        <v>VECES</v>
      </c>
    </row>
    <row r="1413" spans="2:7" ht="60" customHeight="1" x14ac:dyDescent="0.3">
      <c r="B1413" s="318"/>
      <c r="C1413" s="319"/>
      <c r="D1413" s="319"/>
      <c r="E1413" s="320"/>
      <c r="F1413" s="117" t="s">
        <v>141</v>
      </c>
      <c r="G1413" s="156">
        <f>'FORMATO 13'!B79</f>
        <v>5.0699999999999985</v>
      </c>
    </row>
    <row r="1414" spans="2:7" x14ac:dyDescent="0.3">
      <c r="B1414" s="118" t="s">
        <v>5</v>
      </c>
      <c r="C1414" s="119" t="s">
        <v>92</v>
      </c>
      <c r="D1414" s="119" t="s">
        <v>93</v>
      </c>
      <c r="E1414" s="119" t="s">
        <v>142</v>
      </c>
      <c r="F1414" s="120" t="s">
        <v>143</v>
      </c>
      <c r="G1414" s="121" t="s">
        <v>10</v>
      </c>
    </row>
    <row r="1415" spans="2:7" x14ac:dyDescent="0.3">
      <c r="B1415" s="122"/>
      <c r="C1415" s="123"/>
      <c r="D1415" s="123"/>
      <c r="E1415" s="124"/>
      <c r="F1415" s="125"/>
      <c r="G1415" s="126"/>
    </row>
    <row r="1416" spans="2:7" x14ac:dyDescent="0.3">
      <c r="B1416" s="127" t="s">
        <v>91</v>
      </c>
      <c r="C1416" s="123"/>
      <c r="D1416" s="123"/>
      <c r="E1416" s="124"/>
      <c r="F1416" s="125"/>
      <c r="G1416" s="126"/>
    </row>
    <row r="1417" spans="2:7" x14ac:dyDescent="0.3">
      <c r="B1417" s="151" t="str">
        <f>INSUMOS!$B$11</f>
        <v>GASOLINA CORRIENTE</v>
      </c>
      <c r="C1417" s="129" t="str">
        <f>INSUMOS!$C$11</f>
        <v>GLN</v>
      </c>
      <c r="D1417" s="129">
        <v>5</v>
      </c>
      <c r="E1417" s="130">
        <v>0</v>
      </c>
      <c r="F1417" s="131">
        <f>INSUMOS!$E$11</f>
        <v>16423</v>
      </c>
      <c r="G1417" s="132">
        <f>TRUNC(D1417 * (1 + E1417 / 100) * F1417,0)</f>
        <v>82115</v>
      </c>
    </row>
    <row r="1418" spans="2:7" x14ac:dyDescent="0.3">
      <c r="B1418" s="128" t="str">
        <f>INSUMOS!$B$53</f>
        <v>TIERRA NEGRA</v>
      </c>
      <c r="C1418" s="129" t="str">
        <f>INSUMOS!$C$53</f>
        <v>M3</v>
      </c>
      <c r="D1418" s="129">
        <v>2.4</v>
      </c>
      <c r="E1418" s="130">
        <v>0</v>
      </c>
      <c r="F1418" s="131">
        <f>INSUMOS!$E$53</f>
        <v>58912</v>
      </c>
      <c r="G1418" s="132">
        <f t="shared" ref="G1418:G1419" si="63">TRUNC(D1418 * (1 + E1418 / 100) * F1418,0)</f>
        <v>141388</v>
      </c>
    </row>
    <row r="1419" spans="2:7" x14ac:dyDescent="0.3">
      <c r="B1419" s="128" t="str">
        <f>INSUMOS!$B$34</f>
        <v>ARENA MEDIANA LAVADA SELECCIONADA</v>
      </c>
      <c r="C1419" s="129" t="str">
        <f>INSUMOS!$C$34</f>
        <v>M3</v>
      </c>
      <c r="D1419" s="129">
        <v>9.6</v>
      </c>
      <c r="E1419" s="130">
        <v>0</v>
      </c>
      <c r="F1419" s="131">
        <f>INSUMOS!$E$34</f>
        <v>78400</v>
      </c>
      <c r="G1419" s="132">
        <f t="shared" si="63"/>
        <v>752640</v>
      </c>
    </row>
    <row r="1420" spans="2:7" x14ac:dyDescent="0.3">
      <c r="B1420" s="133"/>
      <c r="C1420" s="134"/>
      <c r="D1420" s="135"/>
      <c r="E1420" s="136"/>
      <c r="F1420" s="137"/>
      <c r="G1420" s="138"/>
    </row>
    <row r="1421" spans="2:7" x14ac:dyDescent="0.3">
      <c r="B1421" s="122"/>
      <c r="C1421" s="123"/>
      <c r="D1421" s="123"/>
      <c r="E1421" s="124"/>
      <c r="F1421" s="125" t="s">
        <v>144</v>
      </c>
      <c r="G1421" s="132">
        <f>SUM(G1417:G1420)</f>
        <v>976143</v>
      </c>
    </row>
    <row r="1422" spans="2:7" x14ac:dyDescent="0.3">
      <c r="B1422" s="127" t="s">
        <v>114</v>
      </c>
      <c r="C1422" s="123"/>
      <c r="D1422" s="123"/>
      <c r="E1422" s="124"/>
      <c r="F1422" s="125"/>
      <c r="G1422" s="139"/>
    </row>
    <row r="1423" spans="2:7" x14ac:dyDescent="0.3">
      <c r="B1423" s="151" t="str">
        <f>INSUMOS!$B$72</f>
        <v>M.O. 1 OFICIAL + 1 AYUDANTES</v>
      </c>
      <c r="C1423" s="129" t="str">
        <f>INSUMOS!$C$72</f>
        <v>JORNAL</v>
      </c>
      <c r="D1423" s="160">
        <v>1.5</v>
      </c>
      <c r="E1423" s="130"/>
      <c r="F1423" s="140">
        <f>INSUMOS!$E$72</f>
        <v>308098</v>
      </c>
      <c r="G1423" s="132">
        <f>TRUNC(D1423 * (1 + E1423 / 100) * F1423,0)</f>
        <v>462147</v>
      </c>
    </row>
    <row r="1424" spans="2:7" x14ac:dyDescent="0.3">
      <c r="B1424" s="133"/>
      <c r="C1424" s="134"/>
      <c r="D1424" s="135"/>
      <c r="E1424" s="136"/>
      <c r="F1424" s="137"/>
      <c r="G1424" s="141"/>
    </row>
    <row r="1425" spans="2:7" x14ac:dyDescent="0.3">
      <c r="B1425" s="122"/>
      <c r="C1425" s="123"/>
      <c r="D1425" s="123"/>
      <c r="E1425" s="124"/>
      <c r="F1425" s="125" t="s">
        <v>145</v>
      </c>
      <c r="G1425" s="132">
        <f>SUM(G1423:G1424)</f>
        <v>462147</v>
      </c>
    </row>
    <row r="1426" spans="2:7" x14ac:dyDescent="0.3">
      <c r="B1426" s="127" t="s">
        <v>125</v>
      </c>
      <c r="C1426" s="123"/>
      <c r="D1426" s="123"/>
      <c r="E1426" s="124"/>
      <c r="F1426" s="125"/>
      <c r="G1426" s="139"/>
    </row>
    <row r="1427" spans="2:7" x14ac:dyDescent="0.3">
      <c r="B1427" s="133" t="str">
        <f>INSUMOS!$B$100</f>
        <v>ARENADORA A GASOLINA</v>
      </c>
      <c r="C1427" s="134" t="str">
        <f>INSUMOS!$C$100</f>
        <v>DIA</v>
      </c>
      <c r="D1427" s="160">
        <v>2</v>
      </c>
      <c r="E1427" s="136"/>
      <c r="F1427" s="137">
        <f>INSUMOS!$E$100</f>
        <v>63499</v>
      </c>
      <c r="G1427" s="132">
        <f>TRUNC(D1427 * (1 + E1427 / 100) * F1427,0)</f>
        <v>126998</v>
      </c>
    </row>
    <row r="1428" spans="2:7" x14ac:dyDescent="0.3">
      <c r="B1428" s="142"/>
      <c r="C1428" s="157"/>
      <c r="D1428" s="158"/>
      <c r="E1428" s="159"/>
      <c r="F1428" s="145"/>
      <c r="G1428" s="141"/>
    </row>
    <row r="1429" spans="2:7" x14ac:dyDescent="0.3">
      <c r="B1429" s="122"/>
      <c r="C1429" s="123"/>
      <c r="D1429" s="123"/>
      <c r="E1429" s="124"/>
      <c r="F1429" s="125" t="s">
        <v>146</v>
      </c>
      <c r="G1429" s="132">
        <f>SUM(G1427:G1427)</f>
        <v>126998</v>
      </c>
    </row>
    <row r="1430" spans="2:7" x14ac:dyDescent="0.3">
      <c r="B1430" s="127" t="s">
        <v>147</v>
      </c>
      <c r="C1430" s="123"/>
      <c r="D1430" s="123"/>
      <c r="E1430" s="124"/>
      <c r="F1430" s="125"/>
      <c r="G1430" s="139"/>
    </row>
    <row r="1431" spans="2:7" x14ac:dyDescent="0.3">
      <c r="B1431" s="133" t="str">
        <f>INSUMOS!$B$84</f>
        <v>HERRAMIENTA MENOR</v>
      </c>
      <c r="C1431" s="134" t="str">
        <f>INSUMOS!$C$84</f>
        <v>GLB</v>
      </c>
      <c r="D1431" s="160">
        <v>2.7509999999999999</v>
      </c>
      <c r="E1431" s="136"/>
      <c r="F1431" s="137">
        <f>INSUMOS!$E$84</f>
        <v>2174</v>
      </c>
      <c r="G1431" s="132">
        <f>TRUNC(D1431 * (1 + E1431 / 100) * F1431,0)</f>
        <v>5980</v>
      </c>
    </row>
    <row r="1432" spans="2:7" x14ac:dyDescent="0.3">
      <c r="B1432" s="133"/>
      <c r="C1432" s="134"/>
      <c r="D1432" s="135"/>
      <c r="E1432" s="136"/>
      <c r="F1432" s="137"/>
      <c r="G1432" s="141"/>
    </row>
    <row r="1433" spans="2:7" x14ac:dyDescent="0.3">
      <c r="B1433" s="122"/>
      <c r="C1433" s="123"/>
      <c r="D1433" s="123"/>
      <c r="E1433" s="124"/>
      <c r="F1433" s="125" t="str">
        <f>"SUBTOTAL " &amp;B1430</f>
        <v>SUBTOTAL OTROS</v>
      </c>
      <c r="G1433" s="132">
        <f>SUM(G1431:G1432)</f>
        <v>5980</v>
      </c>
    </row>
    <row r="1434" spans="2:7" x14ac:dyDescent="0.3">
      <c r="B1434" s="122"/>
      <c r="C1434" s="123"/>
      <c r="D1434" s="123"/>
      <c r="E1434" s="124"/>
      <c r="F1434" s="125"/>
      <c r="G1434" s="126"/>
    </row>
    <row r="1435" spans="2:7" ht="15" thickBot="1" x14ac:dyDescent="0.35">
      <c r="B1435" s="146"/>
      <c r="C1435" s="147"/>
      <c r="D1435" s="166"/>
      <c r="E1435" s="148" t="s">
        <v>148</v>
      </c>
      <c r="F1435" s="149"/>
      <c r="G1435" s="150">
        <f>ROUND(G1421+G1425+G1429+G1433,0)</f>
        <v>1571268</v>
      </c>
    </row>
    <row r="1436" spans="2:7" ht="15" thickTop="1" x14ac:dyDescent="0.3"/>
    <row r="1437" spans="2:7" ht="15" thickBot="1" x14ac:dyDescent="0.35"/>
    <row r="1438" spans="2:7" ht="70.05" customHeight="1" thickTop="1" x14ac:dyDescent="0.3">
      <c r="B1438" s="315" t="str">
        <f>'FORMATO 13'!C80</f>
        <v>REPARACIÓN DE APIQUES O DIVOTS: Arreglar los baches generados después de cada partido, se realiza utilizando la herramienta especial para esta labor y en algunas ocasiones se debe realizar con la proporción 80% arena media y 20% tierra negra.  Se realiza después de cada partido, competencia o evento y después de uso del campo en eventos masivos. Siguiendo las indicaciones de la supervisión, interventoría o recomendaciones del contratista, debidamente aprobadas por el supervisor. Incluye materiales vegetales, orgánicos y minerales para el relleno; equipos y herramientas y mano de obra para su correcta ejecución.</v>
      </c>
      <c r="C1438" s="316"/>
      <c r="D1438" s="316"/>
      <c r="E1438" s="317"/>
      <c r="F1438" s="115" t="s">
        <v>140</v>
      </c>
      <c r="G1438" s="116" t="str">
        <f>'FORMATO 13'!D80</f>
        <v>MESES</v>
      </c>
    </row>
    <row r="1439" spans="2:7" ht="70.05" customHeight="1" x14ac:dyDescent="0.3">
      <c r="B1439" s="318"/>
      <c r="C1439" s="319"/>
      <c r="D1439" s="319"/>
      <c r="E1439" s="320"/>
      <c r="F1439" s="117" t="s">
        <v>141</v>
      </c>
      <c r="G1439" s="155">
        <f>'FORMATO 13'!B80</f>
        <v>5.0799999999999983</v>
      </c>
    </row>
    <row r="1440" spans="2:7" x14ac:dyDescent="0.3">
      <c r="B1440" s="118" t="s">
        <v>5</v>
      </c>
      <c r="C1440" s="119" t="s">
        <v>92</v>
      </c>
      <c r="D1440" s="119" t="s">
        <v>93</v>
      </c>
      <c r="E1440" s="119" t="s">
        <v>142</v>
      </c>
      <c r="F1440" s="120" t="s">
        <v>143</v>
      </c>
      <c r="G1440" s="121" t="s">
        <v>10</v>
      </c>
    </row>
    <row r="1441" spans="2:7" x14ac:dyDescent="0.3">
      <c r="B1441" s="122"/>
      <c r="C1441" s="123"/>
      <c r="D1441" s="123"/>
      <c r="E1441" s="124"/>
      <c r="F1441" s="125"/>
      <c r="G1441" s="126"/>
    </row>
    <row r="1442" spans="2:7" x14ac:dyDescent="0.3">
      <c r="B1442" s="127" t="s">
        <v>91</v>
      </c>
      <c r="C1442" s="123"/>
      <c r="D1442" s="123"/>
      <c r="E1442" s="124"/>
      <c r="F1442" s="125"/>
      <c r="G1442" s="126"/>
    </row>
    <row r="1443" spans="2:7" x14ac:dyDescent="0.3">
      <c r="B1443" s="128" t="str">
        <f>INSUMOS!$B$34</f>
        <v>ARENA MEDIANA LAVADA SELECCIONADA</v>
      </c>
      <c r="C1443" s="129" t="str">
        <f>INSUMOS!$C$34</f>
        <v>M3</v>
      </c>
      <c r="D1443" s="129">
        <v>0.8</v>
      </c>
      <c r="E1443" s="130">
        <v>0</v>
      </c>
      <c r="F1443" s="131">
        <f>INSUMOS!$E$34</f>
        <v>78400</v>
      </c>
      <c r="G1443" s="132">
        <f t="shared" ref="G1443:G1444" si="64">TRUNC(D1443 * (1 + E1443 / 100) * F1443,0)</f>
        <v>62720</v>
      </c>
    </row>
    <row r="1444" spans="2:7" x14ac:dyDescent="0.3">
      <c r="B1444" s="128" t="str">
        <f>INSUMOS!$B$53</f>
        <v>TIERRA NEGRA</v>
      </c>
      <c r="C1444" s="129" t="str">
        <f>INSUMOS!$C$53</f>
        <v>M3</v>
      </c>
      <c r="D1444" s="129">
        <v>0.2</v>
      </c>
      <c r="E1444" s="130">
        <v>0</v>
      </c>
      <c r="F1444" s="131">
        <f>INSUMOS!$E$53</f>
        <v>58912</v>
      </c>
      <c r="G1444" s="132">
        <f t="shared" si="64"/>
        <v>11782</v>
      </c>
    </row>
    <row r="1445" spans="2:7" x14ac:dyDescent="0.3">
      <c r="B1445" s="128"/>
      <c r="C1445" s="129"/>
      <c r="D1445" s="129"/>
      <c r="E1445" s="130"/>
      <c r="F1445" s="131"/>
      <c r="G1445" s="132"/>
    </row>
    <row r="1446" spans="2:7" x14ac:dyDescent="0.3">
      <c r="B1446" s="122"/>
      <c r="C1446" s="123"/>
      <c r="D1446" s="123"/>
      <c r="E1446" s="124"/>
      <c r="F1446" s="125" t="s">
        <v>144</v>
      </c>
      <c r="G1446" s="132">
        <f>SUM(G1441:G1445)</f>
        <v>74502</v>
      </c>
    </row>
    <row r="1447" spans="2:7" x14ac:dyDescent="0.3">
      <c r="B1447" s="127" t="s">
        <v>114</v>
      </c>
      <c r="C1447" s="123"/>
      <c r="D1447" s="123"/>
      <c r="E1447" s="124"/>
      <c r="F1447" s="125"/>
      <c r="G1447" s="139"/>
    </row>
    <row r="1448" spans="2:7" x14ac:dyDescent="0.3">
      <c r="B1448" s="151" t="str">
        <f>INSUMOS!$B$73</f>
        <v>M.O. 1 OFICIAL + 2 AYUDANTES</v>
      </c>
      <c r="C1448" s="129" t="str">
        <f>INSUMOS!$C$73</f>
        <v>JORNAL</v>
      </c>
      <c r="D1448" s="129">
        <v>1</v>
      </c>
      <c r="E1448" s="130"/>
      <c r="F1448" s="140">
        <f>INSUMOS!$E$73</f>
        <v>422209</v>
      </c>
      <c r="G1448" s="132">
        <f>TRUNC(D1448 * (1 + E1448 / 100) * F1448,0)</f>
        <v>422209</v>
      </c>
    </row>
    <row r="1449" spans="2:7" x14ac:dyDescent="0.3">
      <c r="B1449" s="142"/>
      <c r="C1449" s="157"/>
      <c r="D1449" s="158"/>
      <c r="E1449" s="159"/>
      <c r="F1449" s="145"/>
      <c r="G1449" s="141"/>
    </row>
    <row r="1450" spans="2:7" x14ac:dyDescent="0.3">
      <c r="B1450" s="122"/>
      <c r="C1450" s="123"/>
      <c r="D1450" s="123"/>
      <c r="E1450" s="124"/>
      <c r="F1450" s="125" t="s">
        <v>145</v>
      </c>
      <c r="G1450" s="132">
        <f>SUM(G1448:G1448)</f>
        <v>422209</v>
      </c>
    </row>
    <row r="1451" spans="2:7" x14ac:dyDescent="0.3">
      <c r="B1451" s="127" t="s">
        <v>125</v>
      </c>
      <c r="C1451" s="123"/>
      <c r="D1451" s="123"/>
      <c r="E1451" s="124"/>
      <c r="F1451" s="125"/>
      <c r="G1451" s="139"/>
    </row>
    <row r="1452" spans="2:7" x14ac:dyDescent="0.3">
      <c r="B1452" s="151"/>
      <c r="C1452" s="129"/>
      <c r="D1452" s="129"/>
      <c r="E1452" s="130"/>
      <c r="F1452" s="140"/>
      <c r="G1452" s="132"/>
    </row>
    <row r="1453" spans="2:7" x14ac:dyDescent="0.3">
      <c r="B1453" s="122"/>
      <c r="C1453" s="123"/>
      <c r="D1453" s="123"/>
      <c r="E1453" s="124"/>
      <c r="F1453" s="125" t="s">
        <v>146</v>
      </c>
      <c r="G1453" s="132">
        <f>SUM(G1452:G1452)</f>
        <v>0</v>
      </c>
    </row>
    <row r="1454" spans="2:7" x14ac:dyDescent="0.3">
      <c r="B1454" s="127" t="s">
        <v>147</v>
      </c>
      <c r="C1454" s="123"/>
      <c r="D1454" s="123"/>
      <c r="E1454" s="124"/>
      <c r="F1454" s="125"/>
      <c r="G1454" s="139"/>
    </row>
    <row r="1455" spans="2:7" x14ac:dyDescent="0.3">
      <c r="B1455" s="133" t="str">
        <f>INSUMOS!$B$84</f>
        <v>HERRAMIENTA MENOR</v>
      </c>
      <c r="C1455" s="134" t="str">
        <f>INSUMOS!$C$84</f>
        <v>GLB</v>
      </c>
      <c r="D1455" s="123">
        <v>2.1724999999999999</v>
      </c>
      <c r="E1455" s="136"/>
      <c r="F1455" s="137">
        <f>INSUMOS!$E$84</f>
        <v>2174</v>
      </c>
      <c r="G1455" s="132">
        <f>TRUNC(D1455 * (1 + E1455 / 100) * F1455,0)</f>
        <v>4723</v>
      </c>
    </row>
    <row r="1456" spans="2:7" x14ac:dyDescent="0.3">
      <c r="B1456" s="133"/>
      <c r="C1456" s="134"/>
      <c r="D1456" s="135"/>
      <c r="E1456" s="136"/>
      <c r="F1456" s="137"/>
      <c r="G1456" s="141"/>
    </row>
    <row r="1457" spans="2:7" x14ac:dyDescent="0.3">
      <c r="B1457" s="122"/>
      <c r="C1457" s="123"/>
      <c r="D1457" s="123"/>
      <c r="E1457" s="124"/>
      <c r="F1457" s="125" t="str">
        <f>"SUBTOTAL " &amp;B1454</f>
        <v>SUBTOTAL OTROS</v>
      </c>
      <c r="G1457" s="132">
        <f>SUM(G1455:G1456)</f>
        <v>4723</v>
      </c>
    </row>
    <row r="1458" spans="2:7" x14ac:dyDescent="0.3">
      <c r="B1458" s="122"/>
      <c r="C1458" s="123"/>
      <c r="D1458" s="123"/>
      <c r="E1458" s="124"/>
      <c r="F1458" s="125"/>
      <c r="G1458" s="126"/>
    </row>
    <row r="1459" spans="2:7" ht="15" thickBot="1" x14ac:dyDescent="0.35">
      <c r="B1459" s="146"/>
      <c r="C1459" s="147"/>
      <c r="D1459" s="166"/>
      <c r="E1459" s="148" t="s">
        <v>148</v>
      </c>
      <c r="F1459" s="149"/>
      <c r="G1459" s="150">
        <f>ROUND(G1446+G1450+G1453+G1457,0)</f>
        <v>501434</v>
      </c>
    </row>
    <row r="1460" spans="2:7" ht="15" thickTop="1" x14ac:dyDescent="0.3"/>
    <row r="1461" spans="2:7" ht="15" thickBot="1" x14ac:dyDescent="0.35"/>
    <row r="1462" spans="2:7" ht="49.95" customHeight="1" thickTop="1" x14ac:dyDescent="0.3">
      <c r="B1462" s="315" t="str">
        <f>'FORMATO 13'!C81</f>
        <v>MANTENIMIENTO DEL INFIELD - ÁREAS EN POLVO DE LADRILLO:  Se debe hacer relleno con polvo de ladrillo, cuatro (4) veces al mes;  incluye cepillado, desmalezada y agregado de arena o polvo de ladrillo, un día por semana, o de acuerdo a las indicaciones de la interventoría y/o supervisor.  Incluye materiales minerales para el relleno; equipos y herramientas; y mano de obra para su correcta ejecución.</v>
      </c>
      <c r="C1462" s="316"/>
      <c r="D1462" s="316"/>
      <c r="E1462" s="317"/>
      <c r="F1462" s="115" t="s">
        <v>140</v>
      </c>
      <c r="G1462" s="116" t="str">
        <f>'FORMATO 13'!D81</f>
        <v>MESES</v>
      </c>
    </row>
    <row r="1463" spans="2:7" ht="49.95" customHeight="1" x14ac:dyDescent="0.3">
      <c r="B1463" s="318"/>
      <c r="C1463" s="319"/>
      <c r="D1463" s="319"/>
      <c r="E1463" s="320"/>
      <c r="F1463" s="117" t="s">
        <v>141</v>
      </c>
      <c r="G1463" s="155">
        <f>'FORMATO 13'!B81</f>
        <v>5.0899999999999981</v>
      </c>
    </row>
    <row r="1464" spans="2:7" x14ac:dyDescent="0.3">
      <c r="B1464" s="118" t="s">
        <v>5</v>
      </c>
      <c r="C1464" s="119" t="s">
        <v>92</v>
      </c>
      <c r="D1464" s="119" t="s">
        <v>93</v>
      </c>
      <c r="E1464" s="119" t="s">
        <v>142</v>
      </c>
      <c r="F1464" s="120" t="s">
        <v>143</v>
      </c>
      <c r="G1464" s="121" t="s">
        <v>10</v>
      </c>
    </row>
    <row r="1465" spans="2:7" x14ac:dyDescent="0.3">
      <c r="B1465" s="122"/>
      <c r="C1465" s="123"/>
      <c r="D1465" s="123"/>
      <c r="E1465" s="124"/>
      <c r="F1465" s="125"/>
      <c r="G1465" s="126"/>
    </row>
    <row r="1466" spans="2:7" x14ac:dyDescent="0.3">
      <c r="B1466" s="127" t="s">
        <v>91</v>
      </c>
      <c r="C1466" s="123"/>
      <c r="D1466" s="123"/>
      <c r="E1466" s="124"/>
      <c r="F1466" s="125"/>
      <c r="G1466" s="126"/>
    </row>
    <row r="1467" spans="2:7" x14ac:dyDescent="0.3">
      <c r="B1467" s="128" t="str">
        <f>INSUMOS!$B$61</f>
        <v>POLVO DE LADRILLO 1/2 TONELADA PARA INFILD</v>
      </c>
      <c r="C1467" s="129" t="str">
        <f>INSUMOS!$C$61</f>
        <v>TON</v>
      </c>
      <c r="D1467" s="129">
        <v>0.5</v>
      </c>
      <c r="E1467" s="130">
        <v>0</v>
      </c>
      <c r="F1467" s="131">
        <f>INSUMOS!$E$61</f>
        <v>482940</v>
      </c>
      <c r="G1467" s="132">
        <f t="shared" ref="G1467:G1468" si="65">TRUNC(D1467 * (1 + E1467 / 100) * F1467,0)</f>
        <v>241470</v>
      </c>
    </row>
    <row r="1468" spans="2:7" x14ac:dyDescent="0.3">
      <c r="B1468" s="128" t="str">
        <f>INSUMOS!$B$62</f>
        <v>POLVO DE LADRILLO 1/2 TONELADA PARA TABLA BATEO</v>
      </c>
      <c r="C1468" s="129" t="str">
        <f>INSUMOS!$C$62</f>
        <v>TON</v>
      </c>
      <c r="D1468" s="129">
        <v>0.5</v>
      </c>
      <c r="E1468" s="130">
        <v>0</v>
      </c>
      <c r="F1468" s="131">
        <f>INSUMOS!$E$62</f>
        <v>482940</v>
      </c>
      <c r="G1468" s="132">
        <f t="shared" si="65"/>
        <v>241470</v>
      </c>
    </row>
    <row r="1469" spans="2:7" x14ac:dyDescent="0.3">
      <c r="B1469" s="128"/>
      <c r="C1469" s="129"/>
      <c r="D1469" s="129"/>
      <c r="E1469" s="130"/>
      <c r="F1469" s="131"/>
      <c r="G1469" s="132"/>
    </row>
    <row r="1470" spans="2:7" x14ac:dyDescent="0.3">
      <c r="B1470" s="122"/>
      <c r="C1470" s="123"/>
      <c r="D1470" s="123"/>
      <c r="E1470" s="124"/>
      <c r="F1470" s="125" t="s">
        <v>144</v>
      </c>
      <c r="G1470" s="132">
        <f>SUM(G1465:G1469)</f>
        <v>482940</v>
      </c>
    </row>
    <row r="1471" spans="2:7" x14ac:dyDescent="0.3">
      <c r="B1471" s="127" t="s">
        <v>114</v>
      </c>
      <c r="C1471" s="123"/>
      <c r="D1471" s="123"/>
      <c r="E1471" s="124"/>
      <c r="F1471" s="125"/>
      <c r="G1471" s="139"/>
    </row>
    <row r="1472" spans="2:7" x14ac:dyDescent="0.3">
      <c r="B1472" s="151" t="str">
        <f>INSUMOS!$B$73</f>
        <v>M.O. 1 OFICIAL + 2 AYUDANTES</v>
      </c>
      <c r="C1472" s="129" t="str">
        <f>INSUMOS!$C$73</f>
        <v>JORNAL</v>
      </c>
      <c r="D1472" s="129">
        <v>2</v>
      </c>
      <c r="E1472" s="130"/>
      <c r="F1472" s="140">
        <f>INSUMOS!$E$73</f>
        <v>422209</v>
      </c>
      <c r="G1472" s="132">
        <f>TRUNC(D1472 * (1 + E1472 / 100) * F1472,0)</f>
        <v>844418</v>
      </c>
    </row>
    <row r="1473" spans="2:7" x14ac:dyDescent="0.3">
      <c r="B1473" s="142"/>
      <c r="C1473" s="157"/>
      <c r="D1473" s="158"/>
      <c r="E1473" s="159"/>
      <c r="F1473" s="145"/>
      <c r="G1473" s="141"/>
    </row>
    <row r="1474" spans="2:7" x14ac:dyDescent="0.3">
      <c r="B1474" s="122"/>
      <c r="C1474" s="123"/>
      <c r="D1474" s="123"/>
      <c r="E1474" s="124"/>
      <c r="F1474" s="125" t="s">
        <v>145</v>
      </c>
      <c r="G1474" s="132">
        <f>SUM(G1472:G1472)</f>
        <v>844418</v>
      </c>
    </row>
    <row r="1475" spans="2:7" x14ac:dyDescent="0.3">
      <c r="B1475" s="127" t="s">
        <v>125</v>
      </c>
      <c r="C1475" s="123"/>
      <c r="D1475" s="123"/>
      <c r="E1475" s="124"/>
      <c r="F1475" s="125"/>
      <c r="G1475" s="139"/>
    </row>
    <row r="1476" spans="2:7" x14ac:dyDescent="0.3">
      <c r="B1476" s="151"/>
      <c r="C1476" s="129"/>
      <c r="D1476" s="129"/>
      <c r="E1476" s="130"/>
      <c r="F1476" s="140"/>
      <c r="G1476" s="132"/>
    </row>
    <row r="1477" spans="2:7" x14ac:dyDescent="0.3">
      <c r="B1477" s="122"/>
      <c r="C1477" s="123"/>
      <c r="D1477" s="123"/>
      <c r="E1477" s="124"/>
      <c r="F1477" s="125" t="s">
        <v>146</v>
      </c>
      <c r="G1477" s="132">
        <f>SUM(G1476:G1476)</f>
        <v>0</v>
      </c>
    </row>
    <row r="1478" spans="2:7" x14ac:dyDescent="0.3">
      <c r="B1478" s="127" t="s">
        <v>147</v>
      </c>
      <c r="C1478" s="123"/>
      <c r="D1478" s="123"/>
      <c r="E1478" s="124"/>
      <c r="F1478" s="125"/>
      <c r="G1478" s="139"/>
    </row>
    <row r="1479" spans="2:7" x14ac:dyDescent="0.3">
      <c r="B1479" s="133" t="str">
        <f>INSUMOS!$B$84</f>
        <v>HERRAMIENTA MENOR</v>
      </c>
      <c r="C1479" s="134" t="str">
        <f>INSUMOS!$C$84</f>
        <v>GLB</v>
      </c>
      <c r="D1479" s="123">
        <v>1</v>
      </c>
      <c r="E1479" s="136"/>
      <c r="F1479" s="137">
        <f>INSUMOS!$E$84</f>
        <v>2174</v>
      </c>
      <c r="G1479" s="132">
        <f>TRUNC(D1479 * (1 + E1479 / 100) * F1479,0)</f>
        <v>2174</v>
      </c>
    </row>
    <row r="1480" spans="2:7" x14ac:dyDescent="0.3">
      <c r="B1480" s="133"/>
      <c r="C1480" s="134"/>
      <c r="D1480" s="135"/>
      <c r="E1480" s="136"/>
      <c r="F1480" s="137"/>
      <c r="G1480" s="141"/>
    </row>
    <row r="1481" spans="2:7" x14ac:dyDescent="0.3">
      <c r="B1481" s="122"/>
      <c r="C1481" s="123"/>
      <c r="D1481" s="123"/>
      <c r="E1481" s="124"/>
      <c r="F1481" s="125" t="str">
        <f>"SUBTOTAL " &amp;B1478</f>
        <v>SUBTOTAL OTROS</v>
      </c>
      <c r="G1481" s="132">
        <f>SUM(G1479:G1480)</f>
        <v>2174</v>
      </c>
    </row>
    <row r="1482" spans="2:7" x14ac:dyDescent="0.3">
      <c r="B1482" s="122"/>
      <c r="C1482" s="123"/>
      <c r="D1482" s="123"/>
      <c r="E1482" s="124"/>
      <c r="F1482" s="125"/>
      <c r="G1482" s="126"/>
    </row>
    <row r="1483" spans="2:7" ht="15" thickBot="1" x14ac:dyDescent="0.35">
      <c r="B1483" s="146"/>
      <c r="C1483" s="147"/>
      <c r="D1483" s="166"/>
      <c r="E1483" s="148" t="s">
        <v>148</v>
      </c>
      <c r="F1483" s="149"/>
      <c r="G1483" s="150">
        <f>ROUND(G1470+G1474+G1477+G1481,0)</f>
        <v>1329532</v>
      </c>
    </row>
    <row r="1484" spans="2:7" ht="15" thickTop="1" x14ac:dyDescent="0.3"/>
    <row r="1485" spans="2:7" ht="15" thickBot="1" x14ac:dyDescent="0.35"/>
    <row r="1486" spans="2:7" ht="79.95" customHeight="1" thickTop="1" x14ac:dyDescent="0.3">
      <c r="B1486" s="315" t="str">
        <f>'FORMATO 13'!C82</f>
        <v>ANÁLISIS Y ESTUDIO DE SUELOS: Consiste en sacar muestras del suelo con el barreno y llevarlos al laboratorio para identificar los parámetros físicos y químicos para realizar el plan de fertilización de la grama. 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 Incluye los materiales, mano de obra, equipos y herramientas necesarias para su correcta ejecución. de acuerdo a las indicaciones de la supervisión y/o interventoría y/o recomendación del contratista, debidamente aprobadas por el supervisor.</v>
      </c>
      <c r="C1486" s="316"/>
      <c r="D1486" s="316"/>
      <c r="E1486" s="317"/>
      <c r="F1486" s="115" t="s">
        <v>140</v>
      </c>
      <c r="G1486" s="116" t="str">
        <f>'FORMATO 13'!D82</f>
        <v>VECES</v>
      </c>
    </row>
    <row r="1487" spans="2:7" ht="79.95" customHeight="1" x14ac:dyDescent="0.3">
      <c r="B1487" s="318"/>
      <c r="C1487" s="319"/>
      <c r="D1487" s="319"/>
      <c r="E1487" s="320"/>
      <c r="F1487" s="117" t="s">
        <v>141</v>
      </c>
      <c r="G1487" s="156">
        <f>'FORMATO 13'!B82</f>
        <v>5.0999999999999979</v>
      </c>
    </row>
    <row r="1488" spans="2:7" x14ac:dyDescent="0.3">
      <c r="B1488" s="118" t="s">
        <v>5</v>
      </c>
      <c r="C1488" s="119" t="s">
        <v>92</v>
      </c>
      <c r="D1488" s="119" t="s">
        <v>93</v>
      </c>
      <c r="E1488" s="119" t="s">
        <v>142</v>
      </c>
      <c r="F1488" s="120" t="s">
        <v>143</v>
      </c>
      <c r="G1488" s="121" t="s">
        <v>10</v>
      </c>
    </row>
    <row r="1489" spans="2:7" x14ac:dyDescent="0.3">
      <c r="B1489" s="122"/>
      <c r="C1489" s="123"/>
      <c r="D1489" s="123"/>
      <c r="E1489" s="124"/>
      <c r="F1489" s="125"/>
      <c r="G1489" s="126"/>
    </row>
    <row r="1490" spans="2:7" x14ac:dyDescent="0.3">
      <c r="B1490" s="127" t="s">
        <v>91</v>
      </c>
      <c r="C1490" s="123"/>
      <c r="D1490" s="123"/>
      <c r="E1490" s="124"/>
      <c r="F1490" s="125"/>
      <c r="G1490" s="126"/>
    </row>
    <row r="1491" spans="2:7" x14ac:dyDescent="0.3">
      <c r="B1491" s="133"/>
      <c r="C1491" s="134"/>
      <c r="D1491" s="135"/>
      <c r="E1491" s="136"/>
      <c r="F1491" s="137"/>
      <c r="G1491" s="138"/>
    </row>
    <row r="1492" spans="2:7" x14ac:dyDescent="0.3">
      <c r="B1492" s="122"/>
      <c r="C1492" s="123"/>
      <c r="D1492" s="123"/>
      <c r="E1492" s="124"/>
      <c r="F1492" s="125" t="s">
        <v>144</v>
      </c>
      <c r="G1492" s="132">
        <f>SUM(G1491:G1491)</f>
        <v>0</v>
      </c>
    </row>
    <row r="1493" spans="2:7" x14ac:dyDescent="0.3">
      <c r="B1493" s="127" t="s">
        <v>114</v>
      </c>
      <c r="C1493" s="123"/>
      <c r="D1493" s="123"/>
      <c r="E1493" s="124"/>
      <c r="F1493" s="125"/>
      <c r="G1493" s="139"/>
    </row>
    <row r="1494" spans="2:7" x14ac:dyDescent="0.3">
      <c r="B1494" s="133"/>
      <c r="C1494" s="134"/>
      <c r="D1494" s="135"/>
      <c r="E1494" s="136"/>
      <c r="F1494" s="137"/>
      <c r="G1494" s="141"/>
    </row>
    <row r="1495" spans="2:7" x14ac:dyDescent="0.3">
      <c r="B1495" s="122"/>
      <c r="C1495" s="123"/>
      <c r="D1495" s="123"/>
      <c r="E1495" s="124"/>
      <c r="F1495" s="125" t="s">
        <v>145</v>
      </c>
      <c r="G1495" s="132">
        <f>SUM(G1494:G1494)</f>
        <v>0</v>
      </c>
    </row>
    <row r="1496" spans="2:7" x14ac:dyDescent="0.3">
      <c r="B1496" s="127" t="s">
        <v>125</v>
      </c>
      <c r="C1496" s="123"/>
      <c r="D1496" s="123"/>
      <c r="E1496" s="124"/>
      <c r="F1496" s="125"/>
      <c r="G1496" s="139"/>
    </row>
    <row r="1497" spans="2:7" x14ac:dyDescent="0.3">
      <c r="B1497" s="133"/>
      <c r="C1497" s="134"/>
      <c r="D1497" s="135"/>
      <c r="E1497" s="136"/>
      <c r="F1497" s="137"/>
      <c r="G1497" s="141"/>
    </row>
    <row r="1498" spans="2:7" x14ac:dyDescent="0.3">
      <c r="B1498" s="122"/>
      <c r="C1498" s="123"/>
      <c r="D1498" s="123"/>
      <c r="E1498" s="124"/>
      <c r="F1498" s="125" t="s">
        <v>146</v>
      </c>
      <c r="G1498" s="132">
        <f>SUM(G1497:G1497)</f>
        <v>0</v>
      </c>
    </row>
    <row r="1499" spans="2:7" x14ac:dyDescent="0.3">
      <c r="B1499" s="127" t="s">
        <v>147</v>
      </c>
      <c r="C1499" s="123"/>
      <c r="D1499" s="123"/>
      <c r="E1499" s="124"/>
      <c r="F1499" s="125"/>
      <c r="G1499" s="139"/>
    </row>
    <row r="1500" spans="2:7" x14ac:dyDescent="0.3">
      <c r="B1500" s="133" t="str">
        <f>INSUMOS!$B$92</f>
        <v>ANALISIS FOLIAR DE LABORATORIO</v>
      </c>
      <c r="C1500" s="134" t="str">
        <f>INSUMOS!$C$92</f>
        <v>GBL</v>
      </c>
      <c r="D1500" s="123">
        <v>1</v>
      </c>
      <c r="E1500" s="136"/>
      <c r="F1500" s="137">
        <f>INSUMOS!$E$92</f>
        <v>966666</v>
      </c>
      <c r="G1500" s="132">
        <f>TRUNC(D1500 * (1 + E1500 / 100) * F1500,0)</f>
        <v>966666</v>
      </c>
    </row>
    <row r="1501" spans="2:7" x14ac:dyDescent="0.3">
      <c r="B1501" s="133"/>
      <c r="C1501" s="134"/>
      <c r="D1501" s="135"/>
      <c r="E1501" s="136"/>
      <c r="F1501" s="137"/>
      <c r="G1501" s="141"/>
    </row>
    <row r="1502" spans="2:7" x14ac:dyDescent="0.3">
      <c r="B1502" s="122"/>
      <c r="C1502" s="123"/>
      <c r="D1502" s="123"/>
      <c r="E1502" s="124"/>
      <c r="F1502" s="125" t="str">
        <f>"SUBTOTAL " &amp;B1499</f>
        <v>SUBTOTAL OTROS</v>
      </c>
      <c r="G1502" s="132">
        <f>SUM(G1500:G1501)</f>
        <v>966666</v>
      </c>
    </row>
    <row r="1503" spans="2:7" x14ac:dyDescent="0.3">
      <c r="B1503" s="122"/>
      <c r="C1503" s="123"/>
      <c r="D1503" s="123"/>
      <c r="E1503" s="124"/>
      <c r="F1503" s="125"/>
      <c r="G1503" s="126"/>
    </row>
    <row r="1504" spans="2:7" ht="15" thickBot="1" x14ac:dyDescent="0.35">
      <c r="B1504" s="146"/>
      <c r="C1504" s="147"/>
      <c r="D1504" s="166"/>
      <c r="E1504" s="148" t="s">
        <v>148</v>
      </c>
      <c r="F1504" s="149"/>
      <c r="G1504" s="150">
        <f>ROUND(G1492+G1495+G1498+G1502,0)</f>
        <v>966666</v>
      </c>
    </row>
    <row r="1505" spans="2:7" ht="15" thickTop="1" x14ac:dyDescent="0.3"/>
    <row r="1506" spans="2:7" ht="15" thickBot="1" x14ac:dyDescent="0.35"/>
    <row r="1507" spans="2:7" ht="60" customHeight="1" thickTop="1" x14ac:dyDescent="0.3">
      <c r="B1507" s="315" t="str">
        <f>'FORMATO 13'!C83</f>
        <v>LIMPIEZA Y RETIRO DE SOBRANTES:Se debe realizar permanentemente como su nombre lo indica en todo el tiempo de duración del contrato. Se debe realizar el aseo y limpieza permanente del área de trabajo y sus alrededores afectados; todos los sobrantes de este trabajo deberán ser depositados en los sitios autorizados por la autoridad ambiental municipal - Dagma. Incluye mano de obra, equipos y herramienta de cargue y descargue; maquinaria, equipo y herramienta para el transporte; trámite y costos de permisos para disposición de material de desecho.</v>
      </c>
      <c r="C1507" s="316"/>
      <c r="D1507" s="316"/>
      <c r="E1507" s="317"/>
      <c r="F1507" s="115" t="s">
        <v>140</v>
      </c>
      <c r="G1507" s="116" t="str">
        <f>'FORMATO 13'!D83</f>
        <v>MESES</v>
      </c>
    </row>
    <row r="1508" spans="2:7" ht="60" customHeight="1" x14ac:dyDescent="0.3">
      <c r="B1508" s="318"/>
      <c r="C1508" s="319"/>
      <c r="D1508" s="319"/>
      <c r="E1508" s="320"/>
      <c r="F1508" s="117" t="s">
        <v>141</v>
      </c>
      <c r="G1508" s="156">
        <f>'FORMATO 13'!B83</f>
        <v>5.1099999999999977</v>
      </c>
    </row>
    <row r="1509" spans="2:7" x14ac:dyDescent="0.3">
      <c r="B1509" s="118" t="s">
        <v>5</v>
      </c>
      <c r="C1509" s="119" t="s">
        <v>92</v>
      </c>
      <c r="D1509" s="119" t="s">
        <v>93</v>
      </c>
      <c r="E1509" s="119" t="s">
        <v>142</v>
      </c>
      <c r="F1509" s="120" t="s">
        <v>143</v>
      </c>
      <c r="G1509" s="121" t="s">
        <v>10</v>
      </c>
    </row>
    <row r="1510" spans="2:7" x14ac:dyDescent="0.3">
      <c r="B1510" s="122"/>
      <c r="C1510" s="123"/>
      <c r="D1510" s="123"/>
      <c r="E1510" s="124"/>
      <c r="F1510" s="125"/>
      <c r="G1510" s="126"/>
    </row>
    <row r="1511" spans="2:7" x14ac:dyDescent="0.3">
      <c r="B1511" s="127" t="s">
        <v>91</v>
      </c>
      <c r="C1511" s="123"/>
      <c r="D1511" s="123"/>
      <c r="E1511" s="124"/>
      <c r="F1511" s="125"/>
      <c r="G1511" s="126"/>
    </row>
    <row r="1512" spans="2:7" x14ac:dyDescent="0.3">
      <c r="B1512" s="128" t="str">
        <f>INSUMOS!$B$13</f>
        <v>BOLSAS PARA BASURA</v>
      </c>
      <c r="C1512" s="129" t="str">
        <f>INSUMOS!$C$13</f>
        <v>UND</v>
      </c>
      <c r="D1512" s="129">
        <v>55</v>
      </c>
      <c r="E1512" s="130">
        <v>0</v>
      </c>
      <c r="F1512" s="131">
        <f>INSUMOS!$E$13</f>
        <v>2053</v>
      </c>
      <c r="G1512" s="132">
        <f t="shared" ref="G1512" si="66">TRUNC(D1512 * (1 + E1512 / 100) * F1512,0)</f>
        <v>112915</v>
      </c>
    </row>
    <row r="1513" spans="2:7" x14ac:dyDescent="0.3">
      <c r="B1513" s="142"/>
      <c r="C1513" s="157"/>
      <c r="D1513" s="158"/>
      <c r="E1513" s="159"/>
      <c r="F1513" s="145"/>
      <c r="G1513" s="138"/>
    </row>
    <row r="1514" spans="2:7" x14ac:dyDescent="0.3">
      <c r="B1514" s="122"/>
      <c r="C1514" s="123"/>
      <c r="D1514" s="123"/>
      <c r="E1514" s="124"/>
      <c r="F1514" s="125" t="s">
        <v>144</v>
      </c>
      <c r="G1514" s="132">
        <f>SUM(G1512:G1512)</f>
        <v>112915</v>
      </c>
    </row>
    <row r="1515" spans="2:7" x14ac:dyDescent="0.3">
      <c r="B1515" s="127" t="s">
        <v>114</v>
      </c>
      <c r="C1515" s="123"/>
      <c r="D1515" s="123"/>
      <c r="E1515" s="124"/>
      <c r="F1515" s="125"/>
      <c r="G1515" s="139"/>
    </row>
    <row r="1516" spans="2:7" x14ac:dyDescent="0.3">
      <c r="B1516" s="133" t="str">
        <f>INSUMOS!$B$70</f>
        <v>M.O. ALBAÑILERIA 4 AYUDANTES</v>
      </c>
      <c r="C1516" s="134" t="str">
        <f>INSUMOS!$C$70</f>
        <v>JORNAL</v>
      </c>
      <c r="D1516" s="123">
        <v>1.75</v>
      </c>
      <c r="E1516" s="136"/>
      <c r="F1516" s="137">
        <f>INSUMOS!$E$70</f>
        <v>456442</v>
      </c>
      <c r="G1516" s="132">
        <f>TRUNC(D1516 * (1 + E1516 / 100) * F1516,0)</f>
        <v>798773</v>
      </c>
    </row>
    <row r="1517" spans="2:7" x14ac:dyDescent="0.3">
      <c r="B1517" s="142"/>
      <c r="C1517" s="157"/>
      <c r="D1517" s="158"/>
      <c r="E1517" s="159"/>
      <c r="F1517" s="145"/>
      <c r="G1517" s="141"/>
    </row>
    <row r="1518" spans="2:7" x14ac:dyDescent="0.3">
      <c r="B1518" s="122"/>
      <c r="C1518" s="123"/>
      <c r="D1518" s="123"/>
      <c r="E1518" s="124"/>
      <c r="F1518" s="125" t="s">
        <v>145</v>
      </c>
      <c r="G1518" s="132">
        <f>SUM(G1516:G1516)</f>
        <v>798773</v>
      </c>
    </row>
    <row r="1519" spans="2:7" x14ac:dyDescent="0.3">
      <c r="B1519" s="127" t="s">
        <v>125</v>
      </c>
      <c r="C1519" s="123"/>
      <c r="D1519" s="123"/>
      <c r="E1519" s="124"/>
      <c r="F1519" s="125"/>
      <c r="G1519" s="139"/>
    </row>
    <row r="1520" spans="2:7" x14ac:dyDescent="0.3">
      <c r="B1520" s="133" t="str">
        <f>INSUMOS!$B$83</f>
        <v>VOLQUETA 8 M3 CON BOTADERO CERTIFICADO</v>
      </c>
      <c r="C1520" s="134" t="str">
        <f>INSUMOS!$C$83</f>
        <v>M3</v>
      </c>
      <c r="D1520" s="123">
        <v>5</v>
      </c>
      <c r="E1520" s="136"/>
      <c r="F1520" s="137">
        <f>INSUMOS!$E$83</f>
        <v>24812</v>
      </c>
      <c r="G1520" s="132">
        <f>TRUNC(D1520 * (1 + E1520 / 100) * F1520,0)</f>
        <v>124060</v>
      </c>
    </row>
    <row r="1521" spans="2:7" x14ac:dyDescent="0.3">
      <c r="B1521" s="142"/>
      <c r="C1521" s="157"/>
      <c r="D1521" s="158"/>
      <c r="E1521" s="159"/>
      <c r="F1521" s="145"/>
      <c r="G1521" s="141"/>
    </row>
    <row r="1522" spans="2:7" x14ac:dyDescent="0.3">
      <c r="B1522" s="122"/>
      <c r="C1522" s="123"/>
      <c r="D1522" s="123"/>
      <c r="E1522" s="124"/>
      <c r="F1522" s="125" t="s">
        <v>146</v>
      </c>
      <c r="G1522" s="132">
        <f>SUM(G1520:G1520)</f>
        <v>124060</v>
      </c>
    </row>
    <row r="1523" spans="2:7" x14ac:dyDescent="0.3">
      <c r="B1523" s="127" t="s">
        <v>147</v>
      </c>
      <c r="C1523" s="123"/>
      <c r="D1523" s="123"/>
      <c r="E1523" s="124"/>
      <c r="F1523" s="125"/>
      <c r="G1523" s="139"/>
    </row>
    <row r="1524" spans="2:7" x14ac:dyDescent="0.3">
      <c r="B1524" s="133" t="str">
        <f>INSUMOS!$B$84</f>
        <v>HERRAMIENTA MENOR</v>
      </c>
      <c r="C1524" s="134" t="str">
        <f>INSUMOS!$C$84</f>
        <v>GLB</v>
      </c>
      <c r="D1524" s="163">
        <v>4.4074999999999998</v>
      </c>
      <c r="E1524" s="136"/>
      <c r="F1524" s="137">
        <f>INSUMOS!$E$84</f>
        <v>2174</v>
      </c>
      <c r="G1524" s="132">
        <f>TRUNC(D1524 * (1 + E1524 / 100) * F1524,0)</f>
        <v>9581</v>
      </c>
    </row>
    <row r="1525" spans="2:7" x14ac:dyDescent="0.3">
      <c r="B1525" s="133"/>
      <c r="C1525" s="134"/>
      <c r="D1525" s="135"/>
      <c r="E1525" s="136"/>
      <c r="F1525" s="137"/>
      <c r="G1525" s="141"/>
    </row>
    <row r="1526" spans="2:7" x14ac:dyDescent="0.3">
      <c r="B1526" s="122"/>
      <c r="C1526" s="123"/>
      <c r="D1526" s="123"/>
      <c r="E1526" s="124"/>
      <c r="F1526" s="125" t="str">
        <f>"SUBTOTAL " &amp;B1523</f>
        <v>SUBTOTAL OTROS</v>
      </c>
      <c r="G1526" s="132">
        <f>SUM(G1524:G1525)</f>
        <v>9581</v>
      </c>
    </row>
    <row r="1527" spans="2:7" x14ac:dyDescent="0.3">
      <c r="B1527" s="122"/>
      <c r="C1527" s="123"/>
      <c r="D1527" s="123"/>
      <c r="E1527" s="124"/>
      <c r="F1527" s="125"/>
      <c r="G1527" s="126"/>
    </row>
    <row r="1528" spans="2:7" ht="15" thickBot="1" x14ac:dyDescent="0.35">
      <c r="B1528" s="146"/>
      <c r="C1528" s="147"/>
      <c r="D1528" s="166"/>
      <c r="E1528" s="148" t="s">
        <v>148</v>
      </c>
      <c r="F1528" s="149"/>
      <c r="G1528" s="150">
        <f>ROUND(G1514+G1518+G1522+G1526,0)</f>
        <v>1045329</v>
      </c>
    </row>
    <row r="1529" spans="2:7" ht="15.6" thickTop="1" thickBot="1" x14ac:dyDescent="0.35"/>
    <row r="1530" spans="2:7" ht="15" thickBot="1" x14ac:dyDescent="0.35">
      <c r="B1530" s="114">
        <f>'FORMATO 13'!B85</f>
        <v>6</v>
      </c>
      <c r="C1530" s="106"/>
      <c r="D1530" s="106"/>
      <c r="E1530" s="100"/>
      <c r="F1530" s="113"/>
      <c r="G1530" s="113"/>
    </row>
    <row r="1531" spans="2:7" ht="15" thickBot="1" x14ac:dyDescent="0.35">
      <c r="B1531" s="312" t="str">
        <f>'FORMATO 13'!C85</f>
        <v>TIRO CON ARCO</v>
      </c>
      <c r="C1531" s="313"/>
      <c r="D1531" s="313"/>
      <c r="E1531" s="313"/>
      <c r="F1531" s="313"/>
      <c r="G1531" s="314"/>
    </row>
    <row r="1532" spans="2:7" ht="15" thickBot="1" x14ac:dyDescent="0.35"/>
    <row r="1533" spans="2:7" ht="60" customHeight="1" thickTop="1" x14ac:dyDescent="0.3">
      <c r="B1533" s="315" t="str">
        <f>'FORMATO 13'!C86</f>
        <v>CORTE: El corte debe ser permanente y ajustado para la perfecta conservación de las gramillas. Se realizará en sentido longitudinal y transversal utilizando una cortadora especializada tipo greenera. Es necesario realizar un corte antes de cada partido o evento en toda la gramilla, siguiendo las indicaciones de la supervisión, interventoría o recomendaciones del contratista, debidamente aprobadas por el supervisor. Esto garantiza que el césped mantenga la altura óptima definida por la entidad. Incluye, toda la maquinaria necesaria, todos los materiales e insumos para su óptimo funcionamiento, operarios, herramienta menor y la recolección y disposición adecuada de los residuos.</v>
      </c>
      <c r="C1533" s="316"/>
      <c r="D1533" s="316"/>
      <c r="E1533" s="317"/>
      <c r="F1533" s="115" t="s">
        <v>140</v>
      </c>
      <c r="G1533" s="116" t="str">
        <f>'FORMATO 13'!D86</f>
        <v>VECES</v>
      </c>
    </row>
    <row r="1534" spans="2:7" ht="60" customHeight="1" x14ac:dyDescent="0.3">
      <c r="B1534" s="318"/>
      <c r="C1534" s="319"/>
      <c r="D1534" s="319"/>
      <c r="E1534" s="320"/>
      <c r="F1534" s="117" t="s">
        <v>141</v>
      </c>
      <c r="G1534" s="155">
        <f>'FORMATO 13'!B86</f>
        <v>6.01</v>
      </c>
    </row>
    <row r="1535" spans="2:7" x14ac:dyDescent="0.3">
      <c r="B1535" s="118" t="s">
        <v>5</v>
      </c>
      <c r="C1535" s="119" t="s">
        <v>92</v>
      </c>
      <c r="D1535" s="119" t="s">
        <v>93</v>
      </c>
      <c r="E1535" s="119" t="s">
        <v>142</v>
      </c>
      <c r="F1535" s="120" t="s">
        <v>143</v>
      </c>
      <c r="G1535" s="121" t="s">
        <v>10</v>
      </c>
    </row>
    <row r="1536" spans="2:7" x14ac:dyDescent="0.3">
      <c r="B1536" s="122"/>
      <c r="C1536" s="123"/>
      <c r="D1536" s="123"/>
      <c r="E1536" s="124"/>
      <c r="F1536" s="125"/>
      <c r="G1536" s="126"/>
    </row>
    <row r="1537" spans="2:7" x14ac:dyDescent="0.3">
      <c r="B1537" s="127" t="s">
        <v>91</v>
      </c>
      <c r="C1537" s="123"/>
      <c r="D1537" s="123"/>
      <c r="E1537" s="124"/>
      <c r="F1537" s="125"/>
      <c r="G1537" s="126"/>
    </row>
    <row r="1538" spans="2:7" x14ac:dyDescent="0.3">
      <c r="B1538" s="128" t="str">
        <f>INSUMOS!$B$37</f>
        <v>RASTRILLO PLÁSTICO</v>
      </c>
      <c r="C1538" s="129" t="str">
        <f>INSUMOS!$C$37</f>
        <v>UND</v>
      </c>
      <c r="D1538" s="129">
        <v>1.5</v>
      </c>
      <c r="E1538" s="130">
        <v>0</v>
      </c>
      <c r="F1538" s="131">
        <f>INSUMOS!$E$37</f>
        <v>29179</v>
      </c>
      <c r="G1538" s="132">
        <f t="shared" ref="G1538:G1543" si="67">TRUNC(D1538 * (1 + E1538 / 100) * F1538,0)</f>
        <v>43768</v>
      </c>
    </row>
    <row r="1539" spans="2:7" x14ac:dyDescent="0.3">
      <c r="B1539" s="128" t="str">
        <f>INSUMOS!$B$13</f>
        <v>BOLSAS PARA BASURA</v>
      </c>
      <c r="C1539" s="129" t="str">
        <f>INSUMOS!$C$13</f>
        <v>UND</v>
      </c>
      <c r="D1539" s="129">
        <v>70</v>
      </c>
      <c r="E1539" s="130">
        <v>0</v>
      </c>
      <c r="F1539" s="131">
        <f>INSUMOS!$E$13</f>
        <v>2053</v>
      </c>
      <c r="G1539" s="132">
        <f t="shared" si="67"/>
        <v>143710</v>
      </c>
    </row>
    <row r="1540" spans="2:7" x14ac:dyDescent="0.3">
      <c r="B1540" s="128" t="str">
        <f>INSUMOS!$B$38</f>
        <v>TELAR SINTETICO TIPO ALFOMBRA 1.50X3.00</v>
      </c>
      <c r="C1540" s="129" t="str">
        <f>INSUMOS!$C$38</f>
        <v>UND</v>
      </c>
      <c r="D1540" s="129">
        <v>0.05</v>
      </c>
      <c r="E1540" s="130">
        <v>0</v>
      </c>
      <c r="F1540" s="131">
        <f>INSUMOS!$E$38</f>
        <v>225321</v>
      </c>
      <c r="G1540" s="132">
        <f t="shared" si="67"/>
        <v>11266</v>
      </c>
    </row>
    <row r="1541" spans="2:7" x14ac:dyDescent="0.3">
      <c r="B1541" s="128" t="str">
        <f>INSUMOS!$B$39</f>
        <v>CARRETA TIPO BUGUI</v>
      </c>
      <c r="C1541" s="129" t="str">
        <f>INSUMOS!$C$39</f>
        <v>DIA</v>
      </c>
      <c r="D1541" s="129">
        <v>5</v>
      </c>
      <c r="E1541" s="130">
        <v>0</v>
      </c>
      <c r="F1541" s="131">
        <f>INSUMOS!$E$39</f>
        <v>4665</v>
      </c>
      <c r="G1541" s="132">
        <f t="shared" si="67"/>
        <v>23325</v>
      </c>
    </row>
    <row r="1542" spans="2:7" x14ac:dyDescent="0.3">
      <c r="B1542" s="128" t="str">
        <f>INSUMOS!$B$40</f>
        <v>ESCOBA PLASTICA DE CERDA FINA ANCHA</v>
      </c>
      <c r="C1542" s="129" t="str">
        <f>INSUMOS!$C$40</f>
        <v>UND</v>
      </c>
      <c r="D1542" s="129">
        <v>3</v>
      </c>
      <c r="E1542" s="130">
        <v>0</v>
      </c>
      <c r="F1542" s="131">
        <f>INSUMOS!$E$40</f>
        <v>7217</v>
      </c>
      <c r="G1542" s="132">
        <f t="shared" si="67"/>
        <v>21651</v>
      </c>
    </row>
    <row r="1543" spans="2:7" x14ac:dyDescent="0.3">
      <c r="B1543" s="151" t="str">
        <f>INSUMOS!$B$11</f>
        <v>GASOLINA CORRIENTE</v>
      </c>
      <c r="C1543" s="129" t="str">
        <f>INSUMOS!$C$11</f>
        <v>GLN</v>
      </c>
      <c r="D1543" s="129">
        <v>0.5</v>
      </c>
      <c r="E1543" s="130">
        <v>0</v>
      </c>
      <c r="F1543" s="131">
        <f>INSUMOS!$E$11</f>
        <v>16423</v>
      </c>
      <c r="G1543" s="132">
        <f t="shared" si="67"/>
        <v>8211</v>
      </c>
    </row>
    <row r="1544" spans="2:7" x14ac:dyDescent="0.3">
      <c r="B1544" s="128"/>
      <c r="C1544" s="129"/>
      <c r="D1544" s="129"/>
      <c r="E1544" s="130"/>
      <c r="F1544" s="131"/>
      <c r="G1544" s="132"/>
    </row>
    <row r="1545" spans="2:7" x14ac:dyDescent="0.3">
      <c r="B1545" s="122"/>
      <c r="C1545" s="123"/>
      <c r="D1545" s="123"/>
      <c r="E1545" s="124"/>
      <c r="F1545" s="125" t="s">
        <v>144</v>
      </c>
      <c r="G1545" s="132">
        <f>SUM(G1536:G1544)</f>
        <v>251931</v>
      </c>
    </row>
    <row r="1546" spans="2:7" x14ac:dyDescent="0.3">
      <c r="B1546" s="127" t="s">
        <v>114</v>
      </c>
      <c r="C1546" s="123"/>
      <c r="D1546" s="123"/>
      <c r="E1546" s="124"/>
      <c r="F1546" s="125"/>
      <c r="G1546" s="139"/>
    </row>
    <row r="1547" spans="2:7" x14ac:dyDescent="0.3">
      <c r="B1547" s="151" t="str">
        <f>INSUMOS!$B$73</f>
        <v>M.O. 1 OFICIAL + 2 AYUDANTES</v>
      </c>
      <c r="C1547" s="129" t="str">
        <f>INSUMOS!$C$73</f>
        <v>JORNAL</v>
      </c>
      <c r="D1547" s="129">
        <v>0.5</v>
      </c>
      <c r="E1547" s="130"/>
      <c r="F1547" s="140">
        <f>INSUMOS!$E$73</f>
        <v>422209</v>
      </c>
      <c r="G1547" s="132">
        <f>TRUNC(D1547 * (1 + E1547 / 100) * F1547,0)</f>
        <v>211104</v>
      </c>
    </row>
    <row r="1548" spans="2:7" x14ac:dyDescent="0.3">
      <c r="B1548" s="142"/>
      <c r="C1548" s="157"/>
      <c r="D1548" s="158"/>
      <c r="E1548" s="159"/>
      <c r="F1548" s="145"/>
      <c r="G1548" s="141"/>
    </row>
    <row r="1549" spans="2:7" x14ac:dyDescent="0.3">
      <c r="B1549" s="122"/>
      <c r="C1549" s="123"/>
      <c r="D1549" s="123"/>
      <c r="E1549" s="124"/>
      <c r="F1549" s="125" t="s">
        <v>145</v>
      </c>
      <c r="G1549" s="132">
        <f>SUM(G1547:G1547)</f>
        <v>211104</v>
      </c>
    </row>
    <row r="1550" spans="2:7" x14ac:dyDescent="0.3">
      <c r="B1550" s="127" t="s">
        <v>125</v>
      </c>
      <c r="C1550" s="123"/>
      <c r="D1550" s="123"/>
      <c r="E1550" s="124"/>
      <c r="F1550" s="125"/>
      <c r="G1550" s="139"/>
    </row>
    <row r="1551" spans="2:7" x14ac:dyDescent="0.3">
      <c r="B1551" s="133" t="str">
        <f>INSUMOS!$B$94</f>
        <v>CORTACESPED TIPO GREENERA A GASOLINA</v>
      </c>
      <c r="C1551" s="134" t="str">
        <f>INSUMOS!$C$94</f>
        <v>GLB</v>
      </c>
      <c r="D1551" s="123">
        <v>0.05</v>
      </c>
      <c r="E1551" s="136"/>
      <c r="F1551" s="137">
        <f>INSUMOS!$E$94</f>
        <v>931000</v>
      </c>
      <c r="G1551" s="132">
        <f>TRUNC(D1551 * (1 + E1551 / 100) * F1551,0)</f>
        <v>46550</v>
      </c>
    </row>
    <row r="1552" spans="2:7" x14ac:dyDescent="0.3">
      <c r="B1552" s="151"/>
      <c r="C1552" s="129"/>
      <c r="D1552" s="129"/>
      <c r="E1552" s="130"/>
      <c r="F1552" s="140"/>
      <c r="G1552" s="132"/>
    </row>
    <row r="1553" spans="2:7" x14ac:dyDescent="0.3">
      <c r="B1553" s="142"/>
      <c r="C1553" s="157"/>
      <c r="D1553" s="158"/>
      <c r="E1553" s="159"/>
      <c r="F1553" s="145"/>
      <c r="G1553" s="141"/>
    </row>
    <row r="1554" spans="2:7" x14ac:dyDescent="0.3">
      <c r="B1554" s="122"/>
      <c r="C1554" s="123"/>
      <c r="D1554" s="123"/>
      <c r="E1554" s="124"/>
      <c r="F1554" s="125" t="s">
        <v>146</v>
      </c>
      <c r="G1554" s="132">
        <f>SUM(G1551:G1551)</f>
        <v>46550</v>
      </c>
    </row>
    <row r="1555" spans="2:7" x14ac:dyDescent="0.3">
      <c r="B1555" s="127" t="s">
        <v>147</v>
      </c>
      <c r="C1555" s="123"/>
      <c r="D1555" s="123"/>
      <c r="E1555" s="124"/>
      <c r="F1555" s="125"/>
      <c r="G1555" s="139"/>
    </row>
    <row r="1556" spans="2:7" x14ac:dyDescent="0.3">
      <c r="B1556" s="133" t="str">
        <f>INSUMOS!$B$84</f>
        <v>HERRAMIENTA MENOR</v>
      </c>
      <c r="C1556" s="134" t="str">
        <f>INSUMOS!$C$84</f>
        <v>GLB</v>
      </c>
      <c r="D1556" s="163">
        <v>3.9119999999999999</v>
      </c>
      <c r="E1556" s="136"/>
      <c r="F1556" s="137">
        <f>INSUMOS!$E$84</f>
        <v>2174</v>
      </c>
      <c r="G1556" s="132">
        <f>TRUNC(D1556 * (1 + E1556 / 100) * F1556,0)</f>
        <v>8504</v>
      </c>
    </row>
    <row r="1557" spans="2:7" x14ac:dyDescent="0.3">
      <c r="B1557" s="133"/>
      <c r="C1557" s="134"/>
      <c r="D1557" s="135"/>
      <c r="E1557" s="136"/>
      <c r="F1557" s="137"/>
      <c r="G1557" s="141"/>
    </row>
    <row r="1558" spans="2:7" x14ac:dyDescent="0.3">
      <c r="B1558" s="122"/>
      <c r="C1558" s="123"/>
      <c r="D1558" s="123"/>
      <c r="E1558" s="124"/>
      <c r="F1558" s="125" t="str">
        <f>"SUBTOTAL " &amp;B1555</f>
        <v>SUBTOTAL OTROS</v>
      </c>
      <c r="G1558" s="132">
        <f>SUM(G1556:G1557)</f>
        <v>8504</v>
      </c>
    </row>
    <row r="1559" spans="2:7" x14ac:dyDescent="0.3">
      <c r="B1559" s="122"/>
      <c r="C1559" s="123"/>
      <c r="D1559" s="123"/>
      <c r="E1559" s="124"/>
      <c r="F1559" s="125"/>
      <c r="G1559" s="126"/>
    </row>
    <row r="1560" spans="2:7" ht="15" thickBot="1" x14ac:dyDescent="0.35">
      <c r="B1560" s="146"/>
      <c r="C1560" s="147"/>
      <c r="D1560" s="166"/>
      <c r="E1560" s="148" t="s">
        <v>148</v>
      </c>
      <c r="F1560" s="149"/>
      <c r="G1560" s="150">
        <f>ROUND(G1545+G1549+G1554+G1558,0)</f>
        <v>518089</v>
      </c>
    </row>
    <row r="1561" spans="2:7" ht="15.6" thickTop="1" thickBot="1" x14ac:dyDescent="0.35"/>
    <row r="1562" spans="2:7" ht="60" customHeight="1" thickTop="1" x14ac:dyDescent="0.3">
      <c r="B1562" s="315" t="str">
        <f>'FORMATO 13'!C87</f>
        <v>LIMPIEZA Y RETIRO DE SOBRANTES:Se debe realizar permanentemente como su nombre lo indica en todo el tiempo de duración del contrato. Se debe realizar el aseo y limpieza permanente del área de trabajo y sus alrededores afectados; todos los sobrantes de este trabajo deberán ser depositados en los sitios autorizados por la autoridad ambiental municipal - Dagma. Incluye mano de obra, equipos y herramienta de cargue y descargue; maquinaria, equipo y herramienta para el transporte; trámite y costos de permisos para disposición de material de desecho.</v>
      </c>
      <c r="C1562" s="316"/>
      <c r="D1562" s="316"/>
      <c r="E1562" s="317"/>
      <c r="F1562" s="115" t="s">
        <v>140</v>
      </c>
      <c r="G1562" s="116" t="str">
        <f>'FORMATO 13'!D87</f>
        <v>MESES</v>
      </c>
    </row>
    <row r="1563" spans="2:7" ht="60" customHeight="1" x14ac:dyDescent="0.3">
      <c r="B1563" s="318"/>
      <c r="C1563" s="319"/>
      <c r="D1563" s="319"/>
      <c r="E1563" s="320"/>
      <c r="F1563" s="117" t="s">
        <v>141</v>
      </c>
      <c r="G1563" s="156">
        <f>'FORMATO 13'!B87</f>
        <v>6.02</v>
      </c>
    </row>
    <row r="1564" spans="2:7" x14ac:dyDescent="0.3">
      <c r="B1564" s="118" t="s">
        <v>5</v>
      </c>
      <c r="C1564" s="119" t="s">
        <v>92</v>
      </c>
      <c r="D1564" s="119" t="s">
        <v>93</v>
      </c>
      <c r="E1564" s="119" t="s">
        <v>142</v>
      </c>
      <c r="F1564" s="120" t="s">
        <v>143</v>
      </c>
      <c r="G1564" s="121" t="s">
        <v>10</v>
      </c>
    </row>
    <row r="1565" spans="2:7" x14ac:dyDescent="0.3">
      <c r="B1565" s="122"/>
      <c r="C1565" s="123"/>
      <c r="D1565" s="123"/>
      <c r="E1565" s="124"/>
      <c r="F1565" s="125"/>
      <c r="G1565" s="126"/>
    </row>
    <row r="1566" spans="2:7" x14ac:dyDescent="0.3">
      <c r="B1566" s="127" t="s">
        <v>91</v>
      </c>
      <c r="C1566" s="123"/>
      <c r="D1566" s="123"/>
      <c r="E1566" s="124"/>
      <c r="F1566" s="125"/>
      <c r="G1566" s="126"/>
    </row>
    <row r="1567" spans="2:7" x14ac:dyDescent="0.3">
      <c r="B1567" s="128" t="str">
        <f>INSUMOS!$B$13</f>
        <v>BOLSAS PARA BASURA</v>
      </c>
      <c r="C1567" s="129" t="str">
        <f>INSUMOS!$C$13</f>
        <v>UND</v>
      </c>
      <c r="D1567" s="129">
        <v>55</v>
      </c>
      <c r="E1567" s="130">
        <v>0</v>
      </c>
      <c r="F1567" s="131">
        <f>INSUMOS!$E$13</f>
        <v>2053</v>
      </c>
      <c r="G1567" s="132">
        <f t="shared" ref="G1567" si="68">TRUNC(D1567 * (1 + E1567 / 100) * F1567,0)</f>
        <v>112915</v>
      </c>
    </row>
    <row r="1568" spans="2:7" x14ac:dyDescent="0.3">
      <c r="B1568" s="142"/>
      <c r="C1568" s="157"/>
      <c r="D1568" s="158"/>
      <c r="E1568" s="159"/>
      <c r="F1568" s="145"/>
      <c r="G1568" s="138"/>
    </row>
    <row r="1569" spans="2:7" x14ac:dyDescent="0.3">
      <c r="B1569" s="122"/>
      <c r="C1569" s="123"/>
      <c r="D1569" s="123"/>
      <c r="E1569" s="124"/>
      <c r="F1569" s="125" t="s">
        <v>144</v>
      </c>
      <c r="G1569" s="132">
        <f>SUM(G1567:G1567)</f>
        <v>112915</v>
      </c>
    </row>
    <row r="1570" spans="2:7" x14ac:dyDescent="0.3">
      <c r="B1570" s="127" t="s">
        <v>114</v>
      </c>
      <c r="C1570" s="123"/>
      <c r="D1570" s="123"/>
      <c r="E1570" s="124"/>
      <c r="F1570" s="125"/>
      <c r="G1570" s="139"/>
    </row>
    <row r="1571" spans="2:7" x14ac:dyDescent="0.3">
      <c r="B1571" s="133" t="str">
        <f>INSUMOS!$B$70</f>
        <v>M.O. ALBAÑILERIA 4 AYUDANTES</v>
      </c>
      <c r="C1571" s="134" t="str">
        <f>INSUMOS!$C$70</f>
        <v>JORNAL</v>
      </c>
      <c r="D1571" s="123">
        <v>1.7</v>
      </c>
      <c r="E1571" s="136"/>
      <c r="F1571" s="137">
        <f>INSUMOS!$E$70</f>
        <v>456442</v>
      </c>
      <c r="G1571" s="132">
        <f>TRUNC(D1571 * (1 + E1571 / 100) * F1571,0)</f>
        <v>775951</v>
      </c>
    </row>
    <row r="1572" spans="2:7" x14ac:dyDescent="0.3">
      <c r="B1572" s="142"/>
      <c r="C1572" s="157"/>
      <c r="D1572" s="158"/>
      <c r="E1572" s="159"/>
      <c r="F1572" s="145"/>
      <c r="G1572" s="141"/>
    </row>
    <row r="1573" spans="2:7" x14ac:dyDescent="0.3">
      <c r="B1573" s="122"/>
      <c r="C1573" s="123"/>
      <c r="D1573" s="123"/>
      <c r="E1573" s="124"/>
      <c r="F1573" s="125" t="s">
        <v>145</v>
      </c>
      <c r="G1573" s="132">
        <f>SUM(G1571:G1571)</f>
        <v>775951</v>
      </c>
    </row>
    <row r="1574" spans="2:7" x14ac:dyDescent="0.3">
      <c r="B1574" s="127" t="s">
        <v>125</v>
      </c>
      <c r="C1574" s="123"/>
      <c r="D1574" s="123"/>
      <c r="E1574" s="124"/>
      <c r="F1574" s="125"/>
      <c r="G1574" s="139"/>
    </row>
    <row r="1575" spans="2:7" x14ac:dyDescent="0.3">
      <c r="B1575" s="133" t="str">
        <f>INSUMOS!$B$83</f>
        <v>VOLQUETA 8 M3 CON BOTADERO CERTIFICADO</v>
      </c>
      <c r="C1575" s="134" t="str">
        <f>INSUMOS!$C$83</f>
        <v>M3</v>
      </c>
      <c r="D1575" s="123">
        <v>5</v>
      </c>
      <c r="E1575" s="136"/>
      <c r="F1575" s="137">
        <f>INSUMOS!$E$83</f>
        <v>24812</v>
      </c>
      <c r="G1575" s="132">
        <f>TRUNC(D1575 * (1 + E1575 / 100) * F1575,0)</f>
        <v>124060</v>
      </c>
    </row>
    <row r="1576" spans="2:7" x14ac:dyDescent="0.3">
      <c r="B1576" s="142"/>
      <c r="C1576" s="157"/>
      <c r="D1576" s="158"/>
      <c r="E1576" s="159"/>
      <c r="F1576" s="145"/>
      <c r="G1576" s="141"/>
    </row>
    <row r="1577" spans="2:7" x14ac:dyDescent="0.3">
      <c r="B1577" s="122"/>
      <c r="C1577" s="123"/>
      <c r="D1577" s="123"/>
      <c r="E1577" s="124"/>
      <c r="F1577" s="125" t="s">
        <v>146</v>
      </c>
      <c r="G1577" s="132">
        <f>SUM(G1575:G1575)</f>
        <v>124060</v>
      </c>
    </row>
    <row r="1578" spans="2:7" x14ac:dyDescent="0.3">
      <c r="B1578" s="127" t="s">
        <v>147</v>
      </c>
      <c r="C1578" s="123"/>
      <c r="D1578" s="123"/>
      <c r="E1578" s="124"/>
      <c r="F1578" s="125"/>
      <c r="G1578" s="139"/>
    </row>
    <row r="1579" spans="2:7" x14ac:dyDescent="0.3">
      <c r="B1579" s="133" t="str">
        <f>INSUMOS!$B$84</f>
        <v>HERRAMIENTA MENOR</v>
      </c>
      <c r="C1579" s="134" t="str">
        <f>INSUMOS!$C$84</f>
        <v>GLB</v>
      </c>
      <c r="D1579" s="163">
        <v>2.8845000000000001</v>
      </c>
      <c r="E1579" s="136"/>
      <c r="F1579" s="137">
        <f>INSUMOS!$E$84</f>
        <v>2174</v>
      </c>
      <c r="G1579" s="132">
        <f>TRUNC(D1579 * (1 + E1579 / 100) * F1579,0)</f>
        <v>6270</v>
      </c>
    </row>
    <row r="1580" spans="2:7" x14ac:dyDescent="0.3">
      <c r="B1580" s="133"/>
      <c r="C1580" s="134"/>
      <c r="D1580" s="135"/>
      <c r="E1580" s="136"/>
      <c r="F1580" s="137"/>
      <c r="G1580" s="141"/>
    </row>
    <row r="1581" spans="2:7" x14ac:dyDescent="0.3">
      <c r="B1581" s="122"/>
      <c r="C1581" s="123"/>
      <c r="D1581" s="123"/>
      <c r="E1581" s="124"/>
      <c r="F1581" s="125" t="str">
        <f>"SUBTOTAL " &amp;B1578</f>
        <v>SUBTOTAL OTROS</v>
      </c>
      <c r="G1581" s="132">
        <f>SUM(G1579:G1580)</f>
        <v>6270</v>
      </c>
    </row>
    <row r="1582" spans="2:7" x14ac:dyDescent="0.3">
      <c r="B1582" s="122"/>
      <c r="C1582" s="123"/>
      <c r="D1582" s="123"/>
      <c r="E1582" s="124"/>
      <c r="F1582" s="125"/>
      <c r="G1582" s="126"/>
    </row>
    <row r="1583" spans="2:7" ht="15" thickBot="1" x14ac:dyDescent="0.35">
      <c r="B1583" s="146"/>
      <c r="C1583" s="147"/>
      <c r="D1583" s="166"/>
      <c r="E1583" s="148" t="s">
        <v>148</v>
      </c>
      <c r="F1583" s="149"/>
      <c r="G1583" s="150">
        <f>ROUND(G1569+G1573+G1577+G1581,0)</f>
        <v>1019196</v>
      </c>
    </row>
    <row r="1584" spans="2:7" ht="15.6" thickTop="1" thickBot="1" x14ac:dyDescent="0.35"/>
    <row r="1585" spans="2:7" ht="15" thickBot="1" x14ac:dyDescent="0.35">
      <c r="B1585" s="114">
        <f>'FORMATO 13'!B89</f>
        <v>7</v>
      </c>
      <c r="C1585" s="106"/>
      <c r="D1585" s="106"/>
      <c r="E1585" s="100"/>
      <c r="F1585" s="113"/>
      <c r="G1585" s="113"/>
    </row>
    <row r="1586" spans="2:7" ht="15" thickBot="1" x14ac:dyDescent="0.35">
      <c r="B1586" s="312" t="str">
        <f>'FORMATO 13'!C89</f>
        <v>LIMPIEZA DE AREAS</v>
      </c>
      <c r="C1586" s="313"/>
      <c r="D1586" s="313"/>
      <c r="E1586" s="313"/>
      <c r="F1586" s="313"/>
      <c r="G1586" s="314"/>
    </row>
    <row r="1587" spans="2:7" ht="15" thickBot="1" x14ac:dyDescent="0.35"/>
    <row r="1588" spans="2:7" ht="90" customHeight="1" thickTop="1" x14ac:dyDescent="0.3">
      <c r="B1588" s="315" t="str">
        <f>'FORMATO 13'!C90</f>
        <v xml:space="preserve">LIMPIEZA PERMANENTE DE ZONAS EXPUESTAS POR CONTAMINACIÓN: Incluye  Lavado de andenes peatonales, escaleras, vias vehiculares incluyendo el sardinel, parqueaderos, rampas, escaleras, muros menores de 1 metro de altura y otras zonas duras, esta labor consiste en el barrido, recolección, acopio, trasiego y disposición final de los residuos sólidos y orgánicos que se encuentren dentro del área en la unidades deportivas de alto rendimiento Jaime Aparicio, Alberto Galindo y Mariano Ramos; incluyendo el control manual o químico de malezas, aplicación de agua y detergentes a alta presión, con máquinas hidrolavadoras de ser requerido, Incluye los materiales, mano de obra, equipos y herramientas necesarias para su correcta ejecución.  todos los sobrantes de este trabajo deberán ser depositados en los sitios autorizados por la autoridad ambiental municipal incluyendo  trámite y costos de permisos para disposición de material de desecho.
</v>
      </c>
      <c r="C1588" s="316"/>
      <c r="D1588" s="316"/>
      <c r="E1588" s="317"/>
      <c r="F1588" s="115" t="s">
        <v>140</v>
      </c>
      <c r="G1588" s="116" t="str">
        <f>'FORMATO 13'!D90</f>
        <v>M2</v>
      </c>
    </row>
    <row r="1589" spans="2:7" ht="90" customHeight="1" x14ac:dyDescent="0.3">
      <c r="B1589" s="318"/>
      <c r="C1589" s="319"/>
      <c r="D1589" s="319"/>
      <c r="E1589" s="320"/>
      <c r="F1589" s="117" t="s">
        <v>141</v>
      </c>
      <c r="G1589" s="155">
        <f>'FORMATO 13'!B90</f>
        <v>7.01</v>
      </c>
    </row>
    <row r="1590" spans="2:7" x14ac:dyDescent="0.3">
      <c r="B1590" s="118" t="s">
        <v>5</v>
      </c>
      <c r="C1590" s="119" t="s">
        <v>92</v>
      </c>
      <c r="D1590" s="119" t="s">
        <v>93</v>
      </c>
      <c r="E1590" s="119" t="s">
        <v>142</v>
      </c>
      <c r="F1590" s="120" t="s">
        <v>143</v>
      </c>
      <c r="G1590" s="121" t="s">
        <v>10</v>
      </c>
    </row>
    <row r="1591" spans="2:7" x14ac:dyDescent="0.3">
      <c r="B1591" s="122"/>
      <c r="C1591" s="123"/>
      <c r="D1591" s="123"/>
      <c r="E1591" s="124"/>
      <c r="F1591" s="125"/>
      <c r="G1591" s="126"/>
    </row>
    <row r="1592" spans="2:7" x14ac:dyDescent="0.3">
      <c r="B1592" s="127" t="s">
        <v>91</v>
      </c>
      <c r="C1592" s="123"/>
      <c r="D1592" s="123"/>
      <c r="E1592" s="124"/>
      <c r="F1592" s="125"/>
      <c r="G1592" s="126"/>
    </row>
    <row r="1593" spans="2:7" x14ac:dyDescent="0.3">
      <c r="B1593" s="128" t="str">
        <f>INSUMOS!$B$13</f>
        <v>BOLSAS PARA BASURA</v>
      </c>
      <c r="C1593" s="129" t="str">
        <f>INSUMOS!$C$13</f>
        <v>UND</v>
      </c>
      <c r="D1593" s="129">
        <v>3.0000000000000001E-3</v>
      </c>
      <c r="E1593" s="130">
        <v>0</v>
      </c>
      <c r="F1593" s="131">
        <f>INSUMOS!$E$13</f>
        <v>2053</v>
      </c>
      <c r="G1593" s="132">
        <f t="shared" ref="G1593" si="69">TRUNC(D1593 * (1 + E1593 / 100) * F1593,0)</f>
        <v>6</v>
      </c>
    </row>
    <row r="1594" spans="2:7" x14ac:dyDescent="0.3">
      <c r="B1594" s="128" t="str">
        <f>INSUMOS!$B$36</f>
        <v>DETERGENTE EN POLVO</v>
      </c>
      <c r="C1594" s="129" t="str">
        <f>INSUMOS!$C$36</f>
        <v>KG</v>
      </c>
      <c r="D1594" s="129">
        <v>3.0000000000000001E-3</v>
      </c>
      <c r="E1594" s="130">
        <v>0</v>
      </c>
      <c r="F1594" s="131">
        <f>INSUMOS!$E$36</f>
        <v>13300</v>
      </c>
      <c r="G1594" s="132">
        <f t="shared" ref="G1594" si="70">TRUNC(D1594 * (1 + E1594 / 100) * F1594,0)</f>
        <v>39</v>
      </c>
    </row>
    <row r="1595" spans="2:7" x14ac:dyDescent="0.3">
      <c r="B1595" s="128" t="str">
        <f>INSUMOS!$B$40</f>
        <v>ESCOBA PLASTICA DE CERDA FINA ANCHA</v>
      </c>
      <c r="C1595" s="129" t="str">
        <f>INSUMOS!$C$40</f>
        <v>UND</v>
      </c>
      <c r="D1595" s="129">
        <v>1E-3</v>
      </c>
      <c r="E1595" s="130">
        <v>0</v>
      </c>
      <c r="F1595" s="131">
        <f>INSUMOS!$E$40</f>
        <v>7217</v>
      </c>
      <c r="G1595" s="132">
        <f t="shared" ref="G1595" si="71">TRUNC(D1595 * (1 + E1595 / 100) * F1595,0)</f>
        <v>7</v>
      </c>
    </row>
    <row r="1596" spans="2:7" x14ac:dyDescent="0.3">
      <c r="B1596" s="128"/>
      <c r="C1596" s="129"/>
      <c r="D1596" s="129"/>
      <c r="E1596" s="130"/>
      <c r="F1596" s="131"/>
      <c r="G1596" s="132"/>
    </row>
    <row r="1597" spans="2:7" x14ac:dyDescent="0.3">
      <c r="B1597" s="122"/>
      <c r="C1597" s="123"/>
      <c r="D1597" s="123"/>
      <c r="E1597" s="124"/>
      <c r="F1597" s="125" t="s">
        <v>144</v>
      </c>
      <c r="G1597" s="132">
        <f>SUM(G1591:G1596)</f>
        <v>52</v>
      </c>
    </row>
    <row r="1598" spans="2:7" x14ac:dyDescent="0.3">
      <c r="B1598" s="127" t="s">
        <v>114</v>
      </c>
      <c r="C1598" s="123"/>
      <c r="D1598" s="123"/>
      <c r="E1598" s="124"/>
      <c r="F1598" s="125"/>
      <c r="G1598" s="139"/>
    </row>
    <row r="1599" spans="2:7" x14ac:dyDescent="0.3">
      <c r="B1599" s="151" t="str">
        <f>INSUMOS!$B$73</f>
        <v>M.O. 1 OFICIAL + 2 AYUDANTES</v>
      </c>
      <c r="C1599" s="129" t="str">
        <f>INSUMOS!$C$73</f>
        <v>JORNAL</v>
      </c>
      <c r="D1599" s="129">
        <v>7.9199999999999995E-4</v>
      </c>
      <c r="E1599" s="130"/>
      <c r="F1599" s="140">
        <f>INSUMOS!$E$73</f>
        <v>422209</v>
      </c>
      <c r="G1599" s="132">
        <f>TRUNC(D1599 * (1 + E1599 / 100) * F1599,0)</f>
        <v>334</v>
      </c>
    </row>
    <row r="1600" spans="2:7" x14ac:dyDescent="0.3">
      <c r="B1600" s="142"/>
      <c r="C1600" s="157"/>
      <c r="D1600" s="158"/>
      <c r="E1600" s="159"/>
      <c r="F1600" s="145"/>
      <c r="G1600" s="141"/>
    </row>
    <row r="1601" spans="2:7" x14ac:dyDescent="0.3">
      <c r="B1601" s="122"/>
      <c r="C1601" s="123"/>
      <c r="D1601" s="123"/>
      <c r="E1601" s="124"/>
      <c r="F1601" s="125" t="s">
        <v>145</v>
      </c>
      <c r="G1601" s="132">
        <f>SUM(G1599:G1599)</f>
        <v>334</v>
      </c>
    </row>
    <row r="1602" spans="2:7" x14ac:dyDescent="0.3">
      <c r="B1602" s="127" t="s">
        <v>125</v>
      </c>
      <c r="C1602" s="123"/>
      <c r="D1602" s="123"/>
      <c r="E1602" s="124"/>
      <c r="F1602" s="125"/>
      <c r="G1602" s="139"/>
    </row>
    <row r="1603" spans="2:7" x14ac:dyDescent="0.3">
      <c r="B1603" s="151"/>
      <c r="C1603" s="129"/>
      <c r="D1603" s="129"/>
      <c r="E1603" s="130"/>
      <c r="F1603" s="140"/>
      <c r="G1603" s="132"/>
    </row>
    <row r="1604" spans="2:7" x14ac:dyDescent="0.3">
      <c r="B1604" s="142"/>
      <c r="C1604" s="157"/>
      <c r="D1604" s="158"/>
      <c r="E1604" s="159"/>
      <c r="F1604" s="145"/>
      <c r="G1604" s="141"/>
    </row>
    <row r="1605" spans="2:7" x14ac:dyDescent="0.3">
      <c r="B1605" s="122"/>
      <c r="C1605" s="123"/>
      <c r="D1605" s="123"/>
      <c r="E1605" s="124"/>
      <c r="F1605" s="125" t="s">
        <v>146</v>
      </c>
      <c r="G1605" s="132">
        <f>SUM(G1603:G1604)</f>
        <v>0</v>
      </c>
    </row>
    <row r="1606" spans="2:7" x14ac:dyDescent="0.3">
      <c r="B1606" s="127" t="s">
        <v>147</v>
      </c>
      <c r="C1606" s="123"/>
      <c r="D1606" s="123"/>
      <c r="E1606" s="124"/>
      <c r="F1606" s="125"/>
      <c r="G1606" s="139"/>
    </row>
    <row r="1607" spans="2:7" x14ac:dyDescent="0.3">
      <c r="B1607" s="133" t="str">
        <f>INSUMOS!$B$84</f>
        <v>HERRAMIENTA MENOR</v>
      </c>
      <c r="C1607" s="134" t="str">
        <f>INSUMOS!$C$84</f>
        <v>GLB</v>
      </c>
      <c r="D1607" s="169">
        <v>2E-3</v>
      </c>
      <c r="E1607" s="136"/>
      <c r="F1607" s="137">
        <f>INSUMOS!$E$84</f>
        <v>2174</v>
      </c>
      <c r="G1607" s="132">
        <f>TRUNC(D1607 * (1 + E1607 / 100) * F1607,0)</f>
        <v>4</v>
      </c>
    </row>
    <row r="1608" spans="2:7" x14ac:dyDescent="0.3">
      <c r="B1608" s="133"/>
      <c r="C1608" s="134"/>
      <c r="D1608" s="135"/>
      <c r="E1608" s="136"/>
      <c r="F1608" s="137"/>
      <c r="G1608" s="141"/>
    </row>
    <row r="1609" spans="2:7" x14ac:dyDescent="0.3">
      <c r="B1609" s="122"/>
      <c r="C1609" s="123"/>
      <c r="D1609" s="123"/>
      <c r="E1609" s="124"/>
      <c r="F1609" s="125" t="str">
        <f>"SUBTOTAL " &amp;B1606</f>
        <v>SUBTOTAL OTROS</v>
      </c>
      <c r="G1609" s="132">
        <f>SUM(G1607:G1608)</f>
        <v>4</v>
      </c>
    </row>
    <row r="1610" spans="2:7" x14ac:dyDescent="0.3">
      <c r="B1610" s="122"/>
      <c r="C1610" s="123"/>
      <c r="D1610" s="123"/>
      <c r="E1610" s="124"/>
      <c r="F1610" s="125"/>
      <c r="G1610" s="126"/>
    </row>
    <row r="1611" spans="2:7" ht="15" thickBot="1" x14ac:dyDescent="0.35">
      <c r="B1611" s="146"/>
      <c r="C1611" s="147"/>
      <c r="D1611" s="166"/>
      <c r="E1611" s="148" t="s">
        <v>148</v>
      </c>
      <c r="F1611" s="149"/>
      <c r="G1611" s="150">
        <f>ROUND(G1597+G1601+G1605+G1609,0)</f>
        <v>390</v>
      </c>
    </row>
    <row r="1612" spans="2:7" ht="15.6" thickTop="1" thickBot="1" x14ac:dyDescent="0.35"/>
    <row r="1613" spans="2:7" ht="15" thickBot="1" x14ac:dyDescent="0.35">
      <c r="B1613" s="114">
        <f>'FORMATO 13'!B95</f>
        <v>9</v>
      </c>
      <c r="C1613" s="106"/>
      <c r="D1613" s="106"/>
      <c r="E1613" s="100"/>
      <c r="F1613" s="113"/>
      <c r="G1613" s="113"/>
    </row>
    <row r="1614" spans="2:7" ht="15" thickBot="1" x14ac:dyDescent="0.35">
      <c r="B1614" s="312" t="str">
        <f>'FORMATO 13'!C95</f>
        <v>MANTENIMIENTO DE GRAMAS EXTERIORES</v>
      </c>
      <c r="C1614" s="313"/>
      <c r="D1614" s="313"/>
      <c r="E1614" s="313"/>
      <c r="F1614" s="313"/>
      <c r="G1614" s="314"/>
    </row>
    <row r="1616" spans="2:7" ht="15" thickBot="1" x14ac:dyDescent="0.35"/>
    <row r="1617" spans="2:7" ht="15" thickTop="1" x14ac:dyDescent="0.3">
      <c r="B1617" s="315" t="str">
        <f>'FORMATO 13'!C96</f>
        <v>UNIDAD DEPORTIVA ALBERTO GALINDO</v>
      </c>
      <c r="C1617" s="316"/>
      <c r="D1617" s="316"/>
      <c r="E1617" s="317"/>
      <c r="F1617" s="115" t="s">
        <v>140</v>
      </c>
      <c r="G1617" s="116" t="str">
        <f>'FORMATO 13'!D96</f>
        <v>M2</v>
      </c>
    </row>
    <row r="1618" spans="2:7" x14ac:dyDescent="0.3">
      <c r="B1618" s="318"/>
      <c r="C1618" s="319"/>
      <c r="D1618" s="319"/>
      <c r="E1618" s="320"/>
      <c r="F1618" s="117" t="s">
        <v>141</v>
      </c>
      <c r="G1618" s="155">
        <f>'FORMATO 13'!B96</f>
        <v>9.01</v>
      </c>
    </row>
    <row r="1619" spans="2:7" x14ac:dyDescent="0.3">
      <c r="B1619" s="118" t="s">
        <v>5</v>
      </c>
      <c r="C1619" s="119" t="s">
        <v>92</v>
      </c>
      <c r="D1619" s="119" t="s">
        <v>93</v>
      </c>
      <c r="E1619" s="119" t="s">
        <v>142</v>
      </c>
      <c r="F1619" s="120" t="s">
        <v>143</v>
      </c>
      <c r="G1619" s="121" t="s">
        <v>10</v>
      </c>
    </row>
    <row r="1620" spans="2:7" x14ac:dyDescent="0.3">
      <c r="B1620" s="122"/>
      <c r="C1620" s="123"/>
      <c r="D1620" s="123"/>
      <c r="E1620" s="124"/>
      <c r="F1620" s="125"/>
      <c r="G1620" s="126"/>
    </row>
    <row r="1621" spans="2:7" x14ac:dyDescent="0.3">
      <c r="B1621" s="127" t="s">
        <v>91</v>
      </c>
      <c r="C1621" s="123"/>
      <c r="D1621" s="123"/>
      <c r="E1621" s="124"/>
      <c r="F1621" s="125"/>
      <c r="G1621" s="126"/>
    </row>
    <row r="1622" spans="2:7" x14ac:dyDescent="0.3">
      <c r="B1622" s="128" t="str">
        <f>INSUMOS!$B$13</f>
        <v>BOLSAS PARA BASURA</v>
      </c>
      <c r="C1622" s="129" t="str">
        <f>INSUMOS!$C$13</f>
        <v>UND</v>
      </c>
      <c r="D1622" s="129">
        <v>3.0000000000000001E-3</v>
      </c>
      <c r="E1622" s="130">
        <v>0</v>
      </c>
      <c r="F1622" s="131">
        <f>INSUMOS!$E$13</f>
        <v>2053</v>
      </c>
      <c r="G1622" s="132">
        <f t="shared" ref="G1622" si="72">TRUNC(D1622 * (1 + E1622 / 100) * F1622,0)</f>
        <v>6</v>
      </c>
    </row>
    <row r="1623" spans="2:7" x14ac:dyDescent="0.3">
      <c r="B1623" s="151" t="str">
        <f>INSUMOS!$B$11</f>
        <v>GASOLINA CORRIENTE</v>
      </c>
      <c r="C1623" s="129" t="str">
        <f>INSUMOS!$C$11</f>
        <v>GLN</v>
      </c>
      <c r="D1623" s="129">
        <v>1E-3</v>
      </c>
      <c r="E1623" s="130">
        <v>0</v>
      </c>
      <c r="F1623" s="131">
        <f>INSUMOS!$E$11</f>
        <v>16423</v>
      </c>
      <c r="G1623" s="132">
        <f t="shared" ref="G1623" si="73">TRUNC(D1623 * (1 + E1623 / 100) * F1623,0)</f>
        <v>16</v>
      </c>
    </row>
    <row r="1624" spans="2:7" x14ac:dyDescent="0.3">
      <c r="B1624" s="128"/>
      <c r="C1624" s="129"/>
      <c r="D1624" s="129"/>
      <c r="E1624" s="130"/>
      <c r="F1624" s="131"/>
      <c r="G1624" s="132"/>
    </row>
    <row r="1625" spans="2:7" x14ac:dyDescent="0.3">
      <c r="B1625" s="122"/>
      <c r="C1625" s="123"/>
      <c r="D1625" s="123"/>
      <c r="E1625" s="124"/>
      <c r="F1625" s="125" t="s">
        <v>144</v>
      </c>
      <c r="G1625" s="132">
        <f>SUM(G1620:G1624)</f>
        <v>22</v>
      </c>
    </row>
    <row r="1626" spans="2:7" x14ac:dyDescent="0.3">
      <c r="B1626" s="127" t="s">
        <v>114</v>
      </c>
      <c r="C1626" s="123"/>
      <c r="D1626" s="123"/>
      <c r="E1626" s="124"/>
      <c r="F1626" s="125"/>
      <c r="G1626" s="139"/>
    </row>
    <row r="1627" spans="2:7" x14ac:dyDescent="0.3">
      <c r="B1627" s="151" t="str">
        <f>INSUMOS!$B$73</f>
        <v>M.O. 1 OFICIAL + 2 AYUDANTES</v>
      </c>
      <c r="C1627" s="129" t="str">
        <f>INSUMOS!$C$73</f>
        <v>JORNAL</v>
      </c>
      <c r="D1627" s="129">
        <v>4.4999999999999999E-4</v>
      </c>
      <c r="E1627" s="130"/>
      <c r="F1627" s="140">
        <f>INSUMOS!$E$73</f>
        <v>422209</v>
      </c>
      <c r="G1627" s="132">
        <f>TRUNC(D1627 * (1 + E1627 / 100) * F1627,0)</f>
        <v>189</v>
      </c>
    </row>
    <row r="1628" spans="2:7" x14ac:dyDescent="0.3">
      <c r="B1628" s="142"/>
      <c r="C1628" s="157"/>
      <c r="D1628" s="158"/>
      <c r="E1628" s="159"/>
      <c r="F1628" s="145"/>
      <c r="G1628" s="141"/>
    </row>
    <row r="1629" spans="2:7" x14ac:dyDescent="0.3">
      <c r="B1629" s="122"/>
      <c r="C1629" s="123"/>
      <c r="D1629" s="123"/>
      <c r="E1629" s="124"/>
      <c r="F1629" s="125" t="s">
        <v>145</v>
      </c>
      <c r="G1629" s="132">
        <f>SUM(G1627:G1627)</f>
        <v>189</v>
      </c>
    </row>
    <row r="1630" spans="2:7" x14ac:dyDescent="0.3">
      <c r="B1630" s="127" t="s">
        <v>125</v>
      </c>
      <c r="C1630" s="123"/>
      <c r="D1630" s="123"/>
      <c r="E1630" s="124"/>
      <c r="F1630" s="125"/>
      <c r="G1630" s="139"/>
    </row>
    <row r="1631" spans="2:7" x14ac:dyDescent="0.3">
      <c r="B1631" s="151" t="str">
        <f>INSUMOS!$B$101</f>
        <v>GUADAÑADORA</v>
      </c>
      <c r="C1631" s="129" t="str">
        <f>INSUMOS!$C$101</f>
        <v>DIA</v>
      </c>
      <c r="D1631" s="129">
        <v>2.0000000000000001E-4</v>
      </c>
      <c r="E1631" s="130"/>
      <c r="F1631" s="140">
        <f>INSUMOS!$E$101</f>
        <v>54643</v>
      </c>
      <c r="G1631" s="132">
        <f>TRUNC(D1631 * (1 + E1631 / 100) * F1631,0)</f>
        <v>10</v>
      </c>
    </row>
    <row r="1632" spans="2:7" x14ac:dyDescent="0.3">
      <c r="B1632" s="142"/>
      <c r="C1632" s="157"/>
      <c r="D1632" s="158"/>
      <c r="E1632" s="159"/>
      <c r="F1632" s="145"/>
      <c r="G1632" s="141"/>
    </row>
    <row r="1633" spans="2:7" x14ac:dyDescent="0.3">
      <c r="B1633" s="122"/>
      <c r="C1633" s="123"/>
      <c r="D1633" s="123"/>
      <c r="E1633" s="124"/>
      <c r="F1633" s="125" t="s">
        <v>146</v>
      </c>
      <c r="G1633" s="132">
        <f>SUM(G1631:G1632)</f>
        <v>10</v>
      </c>
    </row>
    <row r="1634" spans="2:7" x14ac:dyDescent="0.3">
      <c r="B1634" s="127" t="s">
        <v>147</v>
      </c>
      <c r="C1634" s="123"/>
      <c r="D1634" s="123"/>
      <c r="E1634" s="124"/>
      <c r="F1634" s="125"/>
      <c r="G1634" s="139"/>
    </row>
    <row r="1635" spans="2:7" x14ac:dyDescent="0.3">
      <c r="B1635" s="133" t="str">
        <f>INSUMOS!$B$84</f>
        <v>HERRAMIENTA MENOR</v>
      </c>
      <c r="C1635" s="134" t="str">
        <f>INSUMOS!$C$84</f>
        <v>GLB</v>
      </c>
      <c r="D1635" s="169">
        <v>4.5999999999999999E-3</v>
      </c>
      <c r="E1635" s="136"/>
      <c r="F1635" s="137">
        <f>INSUMOS!$E$84</f>
        <v>2174</v>
      </c>
      <c r="G1635" s="132">
        <f>TRUNC(D1635 * (1 + E1635 / 100) * F1635,0)</f>
        <v>10</v>
      </c>
    </row>
    <row r="1636" spans="2:7" x14ac:dyDescent="0.3">
      <c r="B1636" s="133"/>
      <c r="C1636" s="134"/>
      <c r="D1636" s="135"/>
      <c r="E1636" s="136"/>
      <c r="F1636" s="137"/>
      <c r="G1636" s="141"/>
    </row>
    <row r="1637" spans="2:7" x14ac:dyDescent="0.3">
      <c r="B1637" s="122"/>
      <c r="C1637" s="123"/>
      <c r="D1637" s="123"/>
      <c r="E1637" s="124"/>
      <c r="F1637" s="125" t="str">
        <f>"SUBTOTAL " &amp;B1634</f>
        <v>SUBTOTAL OTROS</v>
      </c>
      <c r="G1637" s="132">
        <f>SUM(G1635:G1636)</f>
        <v>10</v>
      </c>
    </row>
    <row r="1638" spans="2:7" x14ac:dyDescent="0.3">
      <c r="B1638" s="122"/>
      <c r="C1638" s="123"/>
      <c r="D1638" s="123"/>
      <c r="E1638" s="124"/>
      <c r="F1638" s="125"/>
      <c r="G1638" s="126"/>
    </row>
    <row r="1639" spans="2:7" ht="15" thickBot="1" x14ac:dyDescent="0.35">
      <c r="B1639" s="146"/>
      <c r="C1639" s="147"/>
      <c r="D1639" s="166"/>
      <c r="E1639" s="148" t="s">
        <v>148</v>
      </c>
      <c r="F1639" s="149"/>
      <c r="G1639" s="150">
        <f>ROUND(G1625+G1629+G1633+G1637,0)</f>
        <v>231</v>
      </c>
    </row>
    <row r="1640" spans="2:7" ht="15.6" thickTop="1" thickBot="1" x14ac:dyDescent="0.35"/>
    <row r="1641" spans="2:7" ht="15" thickTop="1" x14ac:dyDescent="0.3">
      <c r="B1641" s="315" t="str">
        <f>'FORMATO 13'!C97</f>
        <v>UNIDAD DEPORTIVA JAIME APARICIO</v>
      </c>
      <c r="C1641" s="316"/>
      <c r="D1641" s="316"/>
      <c r="E1641" s="317"/>
      <c r="F1641" s="115" t="s">
        <v>140</v>
      </c>
      <c r="G1641" s="116" t="str">
        <f>'FORMATO 13'!D97</f>
        <v>M2</v>
      </c>
    </row>
    <row r="1642" spans="2:7" x14ac:dyDescent="0.3">
      <c r="B1642" s="318"/>
      <c r="C1642" s="319"/>
      <c r="D1642" s="319"/>
      <c r="E1642" s="320"/>
      <c r="F1642" s="117" t="s">
        <v>141</v>
      </c>
      <c r="G1642" s="155">
        <f>'FORMATO 13'!B97</f>
        <v>9.02</v>
      </c>
    </row>
    <row r="1643" spans="2:7" x14ac:dyDescent="0.3">
      <c r="B1643" s="118" t="s">
        <v>5</v>
      </c>
      <c r="C1643" s="119" t="s">
        <v>92</v>
      </c>
      <c r="D1643" s="119" t="s">
        <v>93</v>
      </c>
      <c r="E1643" s="119" t="s">
        <v>142</v>
      </c>
      <c r="F1643" s="120" t="s">
        <v>143</v>
      </c>
      <c r="G1643" s="121" t="s">
        <v>10</v>
      </c>
    </row>
    <row r="1644" spans="2:7" x14ac:dyDescent="0.3">
      <c r="B1644" s="122"/>
      <c r="C1644" s="123"/>
      <c r="D1644" s="123"/>
      <c r="E1644" s="124"/>
      <c r="F1644" s="125"/>
      <c r="G1644" s="126"/>
    </row>
    <row r="1645" spans="2:7" x14ac:dyDescent="0.3">
      <c r="B1645" s="127" t="s">
        <v>91</v>
      </c>
      <c r="C1645" s="123"/>
      <c r="D1645" s="123"/>
      <c r="E1645" s="124"/>
      <c r="F1645" s="125"/>
      <c r="G1645" s="126"/>
    </row>
    <row r="1646" spans="2:7" x14ac:dyDescent="0.3">
      <c r="B1646" s="128" t="str">
        <f>INSUMOS!$B$13</f>
        <v>BOLSAS PARA BASURA</v>
      </c>
      <c r="C1646" s="129" t="str">
        <f>INSUMOS!$C$13</f>
        <v>UND</v>
      </c>
      <c r="D1646" s="129">
        <v>3.0000000000000001E-3</v>
      </c>
      <c r="E1646" s="130">
        <v>0</v>
      </c>
      <c r="F1646" s="131">
        <f>INSUMOS!$E$13</f>
        <v>2053</v>
      </c>
      <c r="G1646" s="132">
        <f t="shared" ref="G1646:G1647" si="74">TRUNC(D1646 * (1 + E1646 / 100) * F1646,0)</f>
        <v>6</v>
      </c>
    </row>
    <row r="1647" spans="2:7" x14ac:dyDescent="0.3">
      <c r="B1647" s="151" t="str">
        <f>INSUMOS!$B$11</f>
        <v>GASOLINA CORRIENTE</v>
      </c>
      <c r="C1647" s="129" t="str">
        <f>INSUMOS!$C$11</f>
        <v>GLN</v>
      </c>
      <c r="D1647" s="129">
        <v>1E-3</v>
      </c>
      <c r="E1647" s="130">
        <v>0</v>
      </c>
      <c r="F1647" s="131">
        <f>INSUMOS!$E$11</f>
        <v>16423</v>
      </c>
      <c r="G1647" s="132">
        <f t="shared" si="74"/>
        <v>16</v>
      </c>
    </row>
    <row r="1648" spans="2:7" x14ac:dyDescent="0.3">
      <c r="B1648" s="128"/>
      <c r="C1648" s="129"/>
      <c r="D1648" s="129"/>
      <c r="E1648" s="130"/>
      <c r="F1648" s="131"/>
      <c r="G1648" s="132"/>
    </row>
    <row r="1649" spans="2:7" x14ac:dyDescent="0.3">
      <c r="B1649" s="122"/>
      <c r="C1649" s="123"/>
      <c r="D1649" s="123"/>
      <c r="E1649" s="124"/>
      <c r="F1649" s="125" t="s">
        <v>144</v>
      </c>
      <c r="G1649" s="132">
        <f>SUM(G1644:G1648)</f>
        <v>22</v>
      </c>
    </row>
    <row r="1650" spans="2:7" x14ac:dyDescent="0.3">
      <c r="B1650" s="127" t="s">
        <v>114</v>
      </c>
      <c r="C1650" s="123"/>
      <c r="D1650" s="123"/>
      <c r="E1650" s="124"/>
      <c r="F1650" s="125"/>
      <c r="G1650" s="139"/>
    </row>
    <row r="1651" spans="2:7" x14ac:dyDescent="0.3">
      <c r="B1651" s="151" t="str">
        <f>INSUMOS!$B$73</f>
        <v>M.O. 1 OFICIAL + 2 AYUDANTES</v>
      </c>
      <c r="C1651" s="129" t="str">
        <f>INSUMOS!$C$73</f>
        <v>JORNAL</v>
      </c>
      <c r="D1651" s="129">
        <v>4.4999999999999999E-4</v>
      </c>
      <c r="E1651" s="130"/>
      <c r="F1651" s="140">
        <f>INSUMOS!$E$73</f>
        <v>422209</v>
      </c>
      <c r="G1651" s="132">
        <f>TRUNC(D1651 * (1 + E1651 / 100) * F1651,0)</f>
        <v>189</v>
      </c>
    </row>
    <row r="1652" spans="2:7" x14ac:dyDescent="0.3">
      <c r="B1652" s="142"/>
      <c r="C1652" s="157"/>
      <c r="D1652" s="158"/>
      <c r="E1652" s="159"/>
      <c r="F1652" s="145"/>
      <c r="G1652" s="141"/>
    </row>
    <row r="1653" spans="2:7" x14ac:dyDescent="0.3">
      <c r="B1653" s="122"/>
      <c r="C1653" s="123"/>
      <c r="D1653" s="123"/>
      <c r="E1653" s="124"/>
      <c r="F1653" s="125" t="s">
        <v>145</v>
      </c>
      <c r="G1653" s="132">
        <f>SUM(G1651:G1651)</f>
        <v>189</v>
      </c>
    </row>
    <row r="1654" spans="2:7" x14ac:dyDescent="0.3">
      <c r="B1654" s="127" t="s">
        <v>125</v>
      </c>
      <c r="C1654" s="123"/>
      <c r="D1654" s="123"/>
      <c r="E1654" s="124"/>
      <c r="F1654" s="125"/>
      <c r="G1654" s="139"/>
    </row>
    <row r="1655" spans="2:7" x14ac:dyDescent="0.3">
      <c r="B1655" s="151" t="str">
        <f>INSUMOS!$B$101</f>
        <v>GUADAÑADORA</v>
      </c>
      <c r="C1655" s="129" t="str">
        <f>INSUMOS!$C$101</f>
        <v>DIA</v>
      </c>
      <c r="D1655" s="129">
        <v>2.0000000000000001E-4</v>
      </c>
      <c r="E1655" s="130"/>
      <c r="F1655" s="140">
        <f>INSUMOS!$E$101</f>
        <v>54643</v>
      </c>
      <c r="G1655" s="132">
        <f>TRUNC(D1655 * (1 + E1655 / 100) * F1655,0)</f>
        <v>10</v>
      </c>
    </row>
    <row r="1656" spans="2:7" x14ac:dyDescent="0.3">
      <c r="B1656" s="142"/>
      <c r="C1656" s="157"/>
      <c r="D1656" s="158"/>
      <c r="E1656" s="159"/>
      <c r="F1656" s="145"/>
      <c r="G1656" s="141"/>
    </row>
    <row r="1657" spans="2:7" x14ac:dyDescent="0.3">
      <c r="B1657" s="122"/>
      <c r="C1657" s="123"/>
      <c r="D1657" s="123"/>
      <c r="E1657" s="124"/>
      <c r="F1657" s="125" t="s">
        <v>146</v>
      </c>
      <c r="G1657" s="132">
        <f>SUM(G1655:G1656)</f>
        <v>10</v>
      </c>
    </row>
    <row r="1658" spans="2:7" x14ac:dyDescent="0.3">
      <c r="B1658" s="127" t="s">
        <v>147</v>
      </c>
      <c r="C1658" s="123"/>
      <c r="D1658" s="123"/>
      <c r="E1658" s="124"/>
      <c r="F1658" s="125"/>
      <c r="G1658" s="139"/>
    </row>
    <row r="1659" spans="2:7" x14ac:dyDescent="0.3">
      <c r="B1659" s="133" t="str">
        <f>INSUMOS!$B$84</f>
        <v>HERRAMIENTA MENOR</v>
      </c>
      <c r="C1659" s="134" t="str">
        <f>INSUMOS!$C$84</f>
        <v>GLB</v>
      </c>
      <c r="D1659" s="169">
        <v>4.5999999999999999E-3</v>
      </c>
      <c r="E1659" s="136"/>
      <c r="F1659" s="137">
        <f>INSUMOS!$E$84</f>
        <v>2174</v>
      </c>
      <c r="G1659" s="132">
        <f>TRUNC(D1659 * (1 + E1659 / 100) * F1659,0)</f>
        <v>10</v>
      </c>
    </row>
    <row r="1660" spans="2:7" x14ac:dyDescent="0.3">
      <c r="B1660" s="133"/>
      <c r="C1660" s="134"/>
      <c r="D1660" s="135"/>
      <c r="E1660" s="136"/>
      <c r="F1660" s="137"/>
      <c r="G1660" s="141"/>
    </row>
    <row r="1661" spans="2:7" x14ac:dyDescent="0.3">
      <c r="B1661" s="122"/>
      <c r="C1661" s="123"/>
      <c r="D1661" s="123"/>
      <c r="E1661" s="124"/>
      <c r="F1661" s="125" t="str">
        <f>"SUBTOTAL " &amp;B1658</f>
        <v>SUBTOTAL OTROS</v>
      </c>
      <c r="G1661" s="132">
        <f>SUM(G1659:G1660)</f>
        <v>10</v>
      </c>
    </row>
    <row r="1662" spans="2:7" x14ac:dyDescent="0.3">
      <c r="B1662" s="122"/>
      <c r="C1662" s="123"/>
      <c r="D1662" s="123"/>
      <c r="E1662" s="124"/>
      <c r="F1662" s="125"/>
      <c r="G1662" s="126"/>
    </row>
    <row r="1663" spans="2:7" ht="15" thickBot="1" x14ac:dyDescent="0.35">
      <c r="B1663" s="146"/>
      <c r="C1663" s="147"/>
      <c r="D1663" s="166"/>
      <c r="E1663" s="148" t="s">
        <v>148</v>
      </c>
      <c r="F1663" s="149"/>
      <c r="G1663" s="150">
        <f>ROUND(G1649+G1653+G1657+G1661,0)</f>
        <v>231</v>
      </c>
    </row>
    <row r="1664" spans="2:7" ht="15.6" thickTop="1" thickBot="1" x14ac:dyDescent="0.35"/>
    <row r="1665" spans="2:7" ht="15" thickTop="1" x14ac:dyDescent="0.3">
      <c r="B1665" s="315" t="str">
        <f>'FORMATO 13'!C98</f>
        <v>UNIDAD DEPORTIVA MARIANO RAMOS</v>
      </c>
      <c r="C1665" s="316"/>
      <c r="D1665" s="316"/>
      <c r="E1665" s="317"/>
      <c r="F1665" s="115" t="s">
        <v>140</v>
      </c>
      <c r="G1665" s="116" t="str">
        <f>'FORMATO 13'!D98</f>
        <v>M2</v>
      </c>
    </row>
    <row r="1666" spans="2:7" x14ac:dyDescent="0.3">
      <c r="B1666" s="318"/>
      <c r="C1666" s="319"/>
      <c r="D1666" s="319"/>
      <c r="E1666" s="320"/>
      <c r="F1666" s="117" t="s">
        <v>141</v>
      </c>
      <c r="G1666" s="155">
        <f>'FORMATO 13'!B98</f>
        <v>9.0299999999999994</v>
      </c>
    </row>
    <row r="1667" spans="2:7" x14ac:dyDescent="0.3">
      <c r="B1667" s="118" t="s">
        <v>5</v>
      </c>
      <c r="C1667" s="119" t="s">
        <v>92</v>
      </c>
      <c r="D1667" s="119" t="s">
        <v>93</v>
      </c>
      <c r="E1667" s="119" t="s">
        <v>142</v>
      </c>
      <c r="F1667" s="120" t="s">
        <v>143</v>
      </c>
      <c r="G1667" s="121" t="s">
        <v>10</v>
      </c>
    </row>
    <row r="1668" spans="2:7" x14ac:dyDescent="0.3">
      <c r="B1668" s="122"/>
      <c r="C1668" s="123"/>
      <c r="D1668" s="123"/>
      <c r="E1668" s="124"/>
      <c r="F1668" s="125"/>
      <c r="G1668" s="126"/>
    </row>
    <row r="1669" spans="2:7" x14ac:dyDescent="0.3">
      <c r="B1669" s="127" t="s">
        <v>91</v>
      </c>
      <c r="C1669" s="123"/>
      <c r="D1669" s="123"/>
      <c r="E1669" s="124"/>
      <c r="F1669" s="125"/>
      <c r="G1669" s="126"/>
    </row>
    <row r="1670" spans="2:7" x14ac:dyDescent="0.3">
      <c r="B1670" s="128" t="str">
        <f>INSUMOS!$B$13</f>
        <v>BOLSAS PARA BASURA</v>
      </c>
      <c r="C1670" s="129" t="str">
        <f>INSUMOS!$C$13</f>
        <v>UND</v>
      </c>
      <c r="D1670" s="129">
        <v>3.0000000000000001E-3</v>
      </c>
      <c r="E1670" s="130">
        <v>0</v>
      </c>
      <c r="F1670" s="131">
        <f>INSUMOS!$E$13</f>
        <v>2053</v>
      </c>
      <c r="G1670" s="132">
        <f t="shared" ref="G1670:G1671" si="75">TRUNC(D1670 * (1 + E1670 / 100) * F1670,0)</f>
        <v>6</v>
      </c>
    </row>
    <row r="1671" spans="2:7" x14ac:dyDescent="0.3">
      <c r="B1671" s="151" t="str">
        <f>INSUMOS!$B$11</f>
        <v>GASOLINA CORRIENTE</v>
      </c>
      <c r="C1671" s="129" t="str">
        <f>INSUMOS!$C$11</f>
        <v>GLN</v>
      </c>
      <c r="D1671" s="129">
        <v>1E-3</v>
      </c>
      <c r="E1671" s="130">
        <v>0</v>
      </c>
      <c r="F1671" s="131">
        <f>INSUMOS!$E$11</f>
        <v>16423</v>
      </c>
      <c r="G1671" s="132">
        <f t="shared" si="75"/>
        <v>16</v>
      </c>
    </row>
    <row r="1672" spans="2:7" x14ac:dyDescent="0.3">
      <c r="B1672" s="128"/>
      <c r="C1672" s="129"/>
      <c r="D1672" s="129"/>
      <c r="E1672" s="130"/>
      <c r="F1672" s="131"/>
      <c r="G1672" s="132"/>
    </row>
    <row r="1673" spans="2:7" x14ac:dyDescent="0.3">
      <c r="B1673" s="122"/>
      <c r="C1673" s="123"/>
      <c r="D1673" s="123"/>
      <c r="E1673" s="124"/>
      <c r="F1673" s="125" t="s">
        <v>144</v>
      </c>
      <c r="G1673" s="132">
        <f>SUM(G1668:G1672)</f>
        <v>22</v>
      </c>
    </row>
    <row r="1674" spans="2:7" x14ac:dyDescent="0.3">
      <c r="B1674" s="127" t="s">
        <v>114</v>
      </c>
      <c r="C1674" s="123"/>
      <c r="D1674" s="123"/>
      <c r="E1674" s="124"/>
      <c r="F1674" s="125"/>
      <c r="G1674" s="139"/>
    </row>
    <row r="1675" spans="2:7" x14ac:dyDescent="0.3">
      <c r="B1675" s="151" t="str">
        <f>INSUMOS!$B$73</f>
        <v>M.O. 1 OFICIAL + 2 AYUDANTES</v>
      </c>
      <c r="C1675" s="129" t="str">
        <f>INSUMOS!$C$73</f>
        <v>JORNAL</v>
      </c>
      <c r="D1675" s="129">
        <v>4.4999999999999999E-4</v>
      </c>
      <c r="E1675" s="130"/>
      <c r="F1675" s="140">
        <f>INSUMOS!$E$73</f>
        <v>422209</v>
      </c>
      <c r="G1675" s="132">
        <f>TRUNC(D1675 * (1 + E1675 / 100) * F1675,0)</f>
        <v>189</v>
      </c>
    </row>
    <row r="1676" spans="2:7" x14ac:dyDescent="0.3">
      <c r="B1676" s="142"/>
      <c r="C1676" s="157"/>
      <c r="D1676" s="158"/>
      <c r="E1676" s="159"/>
      <c r="F1676" s="145"/>
      <c r="G1676" s="141"/>
    </row>
    <row r="1677" spans="2:7" x14ac:dyDescent="0.3">
      <c r="B1677" s="122"/>
      <c r="C1677" s="123"/>
      <c r="D1677" s="123"/>
      <c r="E1677" s="124"/>
      <c r="F1677" s="125" t="s">
        <v>145</v>
      </c>
      <c r="G1677" s="132">
        <f>SUM(G1675:G1675)</f>
        <v>189</v>
      </c>
    </row>
    <row r="1678" spans="2:7" x14ac:dyDescent="0.3">
      <c r="B1678" s="127" t="s">
        <v>125</v>
      </c>
      <c r="C1678" s="123"/>
      <c r="D1678" s="123"/>
      <c r="E1678" s="124"/>
      <c r="F1678" s="125"/>
      <c r="G1678" s="139"/>
    </row>
    <row r="1679" spans="2:7" x14ac:dyDescent="0.3">
      <c r="B1679" s="151" t="str">
        <f>INSUMOS!$B$101</f>
        <v>GUADAÑADORA</v>
      </c>
      <c r="C1679" s="129" t="str">
        <f>INSUMOS!$C$101</f>
        <v>DIA</v>
      </c>
      <c r="D1679" s="129">
        <v>2.0000000000000001E-4</v>
      </c>
      <c r="E1679" s="130"/>
      <c r="F1679" s="140">
        <f>INSUMOS!$E$101</f>
        <v>54643</v>
      </c>
      <c r="G1679" s="132">
        <f>TRUNC(D1679 * (1 + E1679 / 100) * F1679,0)</f>
        <v>10</v>
      </c>
    </row>
    <row r="1680" spans="2:7" x14ac:dyDescent="0.3">
      <c r="B1680" s="142"/>
      <c r="C1680" s="157"/>
      <c r="D1680" s="158"/>
      <c r="E1680" s="159"/>
      <c r="F1680" s="145"/>
      <c r="G1680" s="141"/>
    </row>
    <row r="1681" spans="2:7" x14ac:dyDescent="0.3">
      <c r="B1681" s="122"/>
      <c r="C1681" s="123"/>
      <c r="D1681" s="123"/>
      <c r="E1681" s="124"/>
      <c r="F1681" s="125" t="s">
        <v>146</v>
      </c>
      <c r="G1681" s="132">
        <f>SUM(G1679:G1680)</f>
        <v>10</v>
      </c>
    </row>
    <row r="1682" spans="2:7" x14ac:dyDescent="0.3">
      <c r="B1682" s="127" t="s">
        <v>147</v>
      </c>
      <c r="C1682" s="123"/>
      <c r="D1682" s="123"/>
      <c r="E1682" s="124"/>
      <c r="F1682" s="125"/>
      <c r="G1682" s="139"/>
    </row>
    <row r="1683" spans="2:7" x14ac:dyDescent="0.3">
      <c r="B1683" s="133" t="str">
        <f>INSUMOS!$B$84</f>
        <v>HERRAMIENTA MENOR</v>
      </c>
      <c r="C1683" s="134" t="str">
        <f>INSUMOS!$C$84</f>
        <v>GLB</v>
      </c>
      <c r="D1683" s="169">
        <v>4.5999999999999999E-3</v>
      </c>
      <c r="E1683" s="136"/>
      <c r="F1683" s="137">
        <f>INSUMOS!$E$84</f>
        <v>2174</v>
      </c>
      <c r="G1683" s="132">
        <f>TRUNC(D1683 * (1 + E1683 / 100) * F1683,0)</f>
        <v>10</v>
      </c>
    </row>
    <row r="1684" spans="2:7" x14ac:dyDescent="0.3">
      <c r="B1684" s="133"/>
      <c r="C1684" s="134"/>
      <c r="D1684" s="135"/>
      <c r="E1684" s="136"/>
      <c r="F1684" s="137"/>
      <c r="G1684" s="141"/>
    </row>
    <row r="1685" spans="2:7" x14ac:dyDescent="0.3">
      <c r="B1685" s="122"/>
      <c r="C1685" s="123"/>
      <c r="D1685" s="123"/>
      <c r="E1685" s="124"/>
      <c r="F1685" s="125" t="str">
        <f>"SUBTOTAL " &amp;B1682</f>
        <v>SUBTOTAL OTROS</v>
      </c>
      <c r="G1685" s="132">
        <f>SUM(G1683:G1684)</f>
        <v>10</v>
      </c>
    </row>
    <row r="1686" spans="2:7" x14ac:dyDescent="0.3">
      <c r="B1686" s="122"/>
      <c r="C1686" s="123"/>
      <c r="D1686" s="123"/>
      <c r="E1686" s="124"/>
      <c r="F1686" s="125"/>
      <c r="G1686" s="126"/>
    </row>
    <row r="1687" spans="2:7" ht="15" thickBot="1" x14ac:dyDescent="0.35">
      <c r="B1687" s="146"/>
      <c r="C1687" s="147"/>
      <c r="D1687" s="166"/>
      <c r="E1687" s="148" t="s">
        <v>148</v>
      </c>
      <c r="F1687" s="149"/>
      <c r="G1687" s="150">
        <f>ROUND(G1673+G1677+G1681+G1685,0)</f>
        <v>231</v>
      </c>
    </row>
    <row r="1688" spans="2:7" ht="15" thickTop="1" x14ac:dyDescent="0.3"/>
    <row r="1689" spans="2:7" x14ac:dyDescent="0.3">
      <c r="B1689" s="62"/>
      <c r="C1689" s="62"/>
      <c r="D1689" s="62"/>
      <c r="E1689" s="62"/>
      <c r="F1689" s="98"/>
      <c r="G1689" s="98"/>
    </row>
    <row r="1690" spans="2:7" ht="27.6" customHeight="1" x14ac:dyDescent="0.3">
      <c r="B1690" s="99"/>
      <c r="C1690" s="99"/>
      <c r="D1690" s="99"/>
      <c r="E1690" s="62"/>
      <c r="F1690" s="98"/>
      <c r="G1690" s="98"/>
    </row>
    <row r="1691" spans="2:7" ht="27.6" customHeight="1" x14ac:dyDescent="0.3">
      <c r="B1691" s="62"/>
      <c r="C1691" s="62"/>
      <c r="D1691" s="62"/>
      <c r="E1691" s="62"/>
      <c r="F1691" s="98"/>
      <c r="G1691" s="98"/>
    </row>
    <row r="1692" spans="2:7" ht="27.6" customHeight="1" x14ac:dyDescent="0.3">
      <c r="B1692" s="99"/>
      <c r="C1692" s="99"/>
      <c r="D1692" s="99"/>
      <c r="E1692" s="62"/>
      <c r="F1692" s="98"/>
      <c r="G1692" s="98"/>
    </row>
    <row r="1693" spans="2:7" ht="27.6" customHeight="1" x14ac:dyDescent="0.3">
      <c r="B1693" s="99"/>
      <c r="C1693" s="100"/>
      <c r="D1693" s="101"/>
      <c r="E1693" s="62"/>
      <c r="F1693" s="98"/>
      <c r="G1693" s="98"/>
    </row>
    <row r="1694" spans="2:7" ht="27.6" customHeight="1" x14ac:dyDescent="0.3">
      <c r="B1694" s="102"/>
      <c r="C1694" s="103"/>
      <c r="D1694" s="101"/>
      <c r="E1694" s="104"/>
      <c r="F1694" s="105"/>
      <c r="G1694" s="105"/>
    </row>
    <row r="1695" spans="2:7" ht="15.6" x14ac:dyDescent="0.3">
      <c r="B1695" s="286" t="s">
        <v>135</v>
      </c>
      <c r="C1695" s="286"/>
      <c r="D1695" s="106"/>
      <c r="E1695" s="287" t="s">
        <v>136</v>
      </c>
      <c r="F1695" s="287"/>
      <c r="G1695" s="287"/>
    </row>
    <row r="1696" spans="2:7" ht="15.6" x14ac:dyDescent="0.3">
      <c r="B1696" s="286" t="s">
        <v>137</v>
      </c>
      <c r="C1696" s="286"/>
      <c r="D1696" s="107"/>
      <c r="E1696" s="288" t="s">
        <v>207</v>
      </c>
      <c r="F1696" s="289"/>
      <c r="G1696" s="289"/>
    </row>
    <row r="1697" spans="2:7" ht="15.6" x14ac:dyDescent="0.3">
      <c r="B1697" s="99"/>
      <c r="C1697" s="290"/>
      <c r="D1697" s="290"/>
      <c r="E1697" s="62"/>
      <c r="F1697" s="98"/>
      <c r="G1697" s="98"/>
    </row>
    <row r="1698" spans="2:7" ht="57" customHeight="1" x14ac:dyDescent="0.3">
      <c r="B1698" s="342" t="s">
        <v>208</v>
      </c>
      <c r="C1698" s="342"/>
      <c r="D1698" s="342"/>
      <c r="E1698" s="342"/>
      <c r="F1698" s="342"/>
      <c r="G1698" s="342"/>
    </row>
    <row r="1699" spans="2:7" ht="15" x14ac:dyDescent="0.3">
      <c r="B1699" s="108"/>
      <c r="C1699" s="108"/>
      <c r="D1699" s="108"/>
      <c r="E1699" s="63"/>
      <c r="F1699" s="64"/>
    </row>
  </sheetData>
  <mergeCells count="83">
    <mergeCell ref="B7:G7"/>
    <mergeCell ref="B2:C2"/>
    <mergeCell ref="D2:G2"/>
    <mergeCell ref="B3:C3"/>
    <mergeCell ref="D3:G3"/>
    <mergeCell ref="B4:G4"/>
    <mergeCell ref="B293:E294"/>
    <mergeCell ref="B9:E10"/>
    <mergeCell ref="B35:E36"/>
    <mergeCell ref="B62:E63"/>
    <mergeCell ref="B88:E89"/>
    <mergeCell ref="B114:E115"/>
    <mergeCell ref="B139:E140"/>
    <mergeCell ref="B167:E168"/>
    <mergeCell ref="B195:E196"/>
    <mergeCell ref="B220:E221"/>
    <mergeCell ref="B245:E246"/>
    <mergeCell ref="B270:E271"/>
    <mergeCell ref="B586:E587"/>
    <mergeCell ref="B317:E318"/>
    <mergeCell ref="B342:E343"/>
    <mergeCell ref="B363:E364"/>
    <mergeCell ref="B387:E388"/>
    <mergeCell ref="B413:E414"/>
    <mergeCell ref="B437:G437"/>
    <mergeCell ref="B440:E441"/>
    <mergeCell ref="B470:E471"/>
    <mergeCell ref="B496:E497"/>
    <mergeCell ref="B522:E523"/>
    <mergeCell ref="B557:E558"/>
    <mergeCell ref="B902:E903"/>
    <mergeCell ref="B610:E611"/>
    <mergeCell ref="B634:E635"/>
    <mergeCell ref="B683:G683"/>
    <mergeCell ref="B686:E687"/>
    <mergeCell ref="B716:E717"/>
    <mergeCell ref="B742:E743"/>
    <mergeCell ref="B658:E659"/>
    <mergeCell ref="B766:E767"/>
    <mergeCell ref="B799:E800"/>
    <mergeCell ref="B828:E829"/>
    <mergeCell ref="B852:E853"/>
    <mergeCell ref="B878:E879"/>
    <mergeCell ref="B1273:E1274"/>
    <mergeCell ref="B923:E924"/>
    <mergeCell ref="B1215:E1216"/>
    <mergeCell ref="B1194:E1195"/>
    <mergeCell ref="B1146:E1147"/>
    <mergeCell ref="B1120:E1121"/>
    <mergeCell ref="B1096:E1097"/>
    <mergeCell ref="B1067:E1068"/>
    <mergeCell ref="B1031:E1032"/>
    <mergeCell ref="B1007:E1008"/>
    <mergeCell ref="B981:E982"/>
    <mergeCell ref="B951:E952"/>
    <mergeCell ref="B948:G948"/>
    <mergeCell ref="B1170:E1171"/>
    <mergeCell ref="B1240:G1240"/>
    <mergeCell ref="B1243:E1244"/>
    <mergeCell ref="B1562:E1563"/>
    <mergeCell ref="B1299:E1300"/>
    <mergeCell ref="B1323:E1324"/>
    <mergeCell ref="B1359:E1360"/>
    <mergeCell ref="B1388:E1389"/>
    <mergeCell ref="B1412:E1413"/>
    <mergeCell ref="B1438:E1439"/>
    <mergeCell ref="B1462:E1463"/>
    <mergeCell ref="B1486:E1487"/>
    <mergeCell ref="B1507:E1508"/>
    <mergeCell ref="B1531:G1531"/>
    <mergeCell ref="B1533:E1534"/>
    <mergeCell ref="B1698:G1698"/>
    <mergeCell ref="B1586:G1586"/>
    <mergeCell ref="B1588:E1589"/>
    <mergeCell ref="B1614:G1614"/>
    <mergeCell ref="B1617:E1618"/>
    <mergeCell ref="B1641:E1642"/>
    <mergeCell ref="B1665:E1666"/>
    <mergeCell ref="B1695:C1695"/>
    <mergeCell ref="E1695:G1695"/>
    <mergeCell ref="B1696:C1696"/>
    <mergeCell ref="E1696:G1696"/>
    <mergeCell ref="C1697:D1697"/>
  </mergeCells>
  <pageMargins left="0.7" right="0.7" top="0.75" bottom="0.75" header="0.3" footer="0.3"/>
  <pageSetup scale="6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8D255-B627-4B37-A345-43B757052F59}">
  <sheetPr>
    <pageSetUpPr fitToPage="1"/>
  </sheetPr>
  <dimension ref="B1:Z119"/>
  <sheetViews>
    <sheetView workbookViewId="0">
      <selection activeCell="B114" sqref="B5:F114"/>
    </sheetView>
  </sheetViews>
  <sheetFormatPr baseColWidth="10" defaultRowHeight="14.4" x14ac:dyDescent="0.3"/>
  <cols>
    <col min="2" max="2" width="60.77734375" customWidth="1"/>
    <col min="4" max="4" width="16.21875" customWidth="1"/>
    <col min="5" max="5" width="26.88671875" bestFit="1" customWidth="1"/>
    <col min="6" max="6" width="28.77734375" bestFit="1" customWidth="1"/>
    <col min="7" max="24" width="28.77734375" customWidth="1"/>
    <col min="25" max="25" width="14.21875" bestFit="1" customWidth="1"/>
    <col min="26" max="26" width="12.77734375" bestFit="1" customWidth="1"/>
  </cols>
  <sheetData>
    <row r="1" spans="2:25" x14ac:dyDescent="0.3">
      <c r="B1" s="62"/>
      <c r="C1" s="62"/>
      <c r="D1" s="62"/>
      <c r="E1" s="63"/>
      <c r="F1" s="64"/>
      <c r="G1" s="64"/>
      <c r="H1" s="64"/>
      <c r="I1" s="64"/>
      <c r="J1" s="64"/>
      <c r="K1" s="64"/>
      <c r="L1" s="64"/>
      <c r="M1" s="64"/>
      <c r="N1" s="64"/>
      <c r="O1" s="64"/>
      <c r="P1" s="64"/>
      <c r="Q1" s="64"/>
      <c r="R1" s="64"/>
      <c r="S1" s="64"/>
      <c r="T1" s="64"/>
      <c r="U1" s="64"/>
      <c r="V1" s="64"/>
      <c r="W1" s="64"/>
      <c r="X1" s="64"/>
    </row>
    <row r="2" spans="2:25" x14ac:dyDescent="0.3">
      <c r="B2" s="62"/>
      <c r="C2" s="62"/>
      <c r="D2" s="62"/>
      <c r="E2" s="63"/>
      <c r="F2" s="64"/>
      <c r="G2" s="64"/>
      <c r="H2" s="64"/>
      <c r="I2" s="64"/>
      <c r="J2" s="64"/>
      <c r="K2" s="64"/>
      <c r="L2" s="64"/>
      <c r="M2" s="64"/>
      <c r="N2" s="64"/>
      <c r="O2" s="64"/>
      <c r="P2" s="64"/>
      <c r="Q2" s="64"/>
      <c r="R2" s="64"/>
      <c r="S2" s="64"/>
      <c r="T2" s="64"/>
      <c r="U2" s="64"/>
      <c r="V2" s="64"/>
      <c r="W2" s="64"/>
      <c r="X2" s="64"/>
    </row>
    <row r="3" spans="2:25" x14ac:dyDescent="0.3">
      <c r="B3" s="62"/>
      <c r="C3" s="62"/>
      <c r="D3" s="62"/>
      <c r="E3" s="63"/>
      <c r="F3" s="64"/>
      <c r="G3" s="64"/>
      <c r="H3" s="64"/>
      <c r="I3" s="64"/>
      <c r="J3" s="64"/>
      <c r="K3" s="64"/>
      <c r="L3" s="64"/>
      <c r="M3" s="64"/>
      <c r="N3" s="64"/>
      <c r="O3" s="64"/>
      <c r="P3" s="64"/>
      <c r="Q3" s="64"/>
      <c r="R3" s="64"/>
      <c r="S3" s="64"/>
      <c r="T3" s="64"/>
      <c r="U3" s="64"/>
      <c r="V3" s="64"/>
      <c r="W3" s="64"/>
      <c r="X3" s="64"/>
    </row>
    <row r="4" spans="2:25" ht="15" thickBot="1" x14ac:dyDescent="0.35">
      <c r="B4" s="62"/>
      <c r="C4" s="62"/>
      <c r="D4" s="62"/>
      <c r="E4" s="63"/>
      <c r="F4" s="64"/>
      <c r="G4" s="64"/>
      <c r="H4" s="64"/>
      <c r="I4" s="64"/>
      <c r="J4" s="64"/>
      <c r="K4" s="64"/>
      <c r="L4" s="64"/>
      <c r="M4" s="64"/>
      <c r="N4" s="64"/>
      <c r="O4" s="64"/>
      <c r="P4" s="64"/>
      <c r="Q4" s="64"/>
      <c r="R4" s="64"/>
      <c r="S4" s="64"/>
      <c r="T4" s="64"/>
      <c r="U4" s="64"/>
      <c r="V4" s="64"/>
      <c r="W4" s="64"/>
      <c r="X4" s="64"/>
    </row>
    <row r="5" spans="2:25" ht="49.8" customHeight="1" thickBot="1" x14ac:dyDescent="0.35">
      <c r="B5" s="321" t="s">
        <v>88</v>
      </c>
      <c r="C5" s="322"/>
      <c r="D5" s="323" t="s">
        <v>89</v>
      </c>
      <c r="E5" s="324"/>
      <c r="F5" s="325"/>
      <c r="G5" s="334"/>
      <c r="H5" s="334"/>
      <c r="I5" s="334"/>
      <c r="J5" s="334"/>
      <c r="K5" s="334"/>
      <c r="L5" s="334"/>
      <c r="M5" s="334"/>
      <c r="N5" s="334"/>
      <c r="O5" s="334"/>
      <c r="P5" s="334"/>
      <c r="Q5" s="334"/>
      <c r="R5" s="334"/>
      <c r="S5" s="334"/>
      <c r="T5" s="334"/>
      <c r="U5" s="334"/>
      <c r="V5" s="334"/>
      <c r="W5" s="334"/>
      <c r="X5" s="334"/>
    </row>
    <row r="6" spans="2:25" ht="76.2" customHeight="1" thickBot="1" x14ac:dyDescent="0.35">
      <c r="B6" s="326" t="s">
        <v>138</v>
      </c>
      <c r="C6" s="327"/>
      <c r="D6" s="328" t="s">
        <v>139</v>
      </c>
      <c r="E6" s="329"/>
      <c r="F6" s="330"/>
      <c r="G6" s="335"/>
      <c r="H6" s="335"/>
      <c r="I6" s="335"/>
      <c r="J6" s="335"/>
      <c r="K6" s="335"/>
      <c r="L6" s="335"/>
      <c r="M6" s="335"/>
      <c r="N6" s="335"/>
      <c r="O6" s="335"/>
      <c r="P6" s="335"/>
      <c r="Q6" s="335"/>
      <c r="R6" s="335"/>
      <c r="S6" s="335"/>
      <c r="T6" s="335"/>
      <c r="U6" s="335"/>
      <c r="V6" s="335"/>
      <c r="W6" s="335"/>
      <c r="X6" s="335"/>
    </row>
    <row r="7" spans="2:25" ht="15" thickBot="1" x14ac:dyDescent="0.35">
      <c r="B7" s="331" t="s">
        <v>90</v>
      </c>
      <c r="C7" s="332"/>
      <c r="D7" s="332"/>
      <c r="E7" s="332"/>
      <c r="F7" s="333"/>
      <c r="G7" s="336"/>
      <c r="H7" s="336"/>
      <c r="I7" s="336"/>
      <c r="J7" s="336"/>
      <c r="K7" s="336"/>
      <c r="L7" s="336"/>
      <c r="M7" s="336"/>
      <c r="N7" s="336"/>
      <c r="O7" s="336"/>
      <c r="P7" s="336"/>
      <c r="Q7" s="336"/>
      <c r="R7" s="336"/>
      <c r="S7" s="336"/>
      <c r="T7" s="336"/>
      <c r="U7" s="336"/>
      <c r="V7" s="336"/>
      <c r="W7" s="336"/>
      <c r="X7" s="336"/>
    </row>
    <row r="8" spans="2:25" ht="15" thickBot="1" x14ac:dyDescent="0.35">
      <c r="B8" s="62"/>
      <c r="C8" s="65"/>
      <c r="D8" s="66"/>
      <c r="E8" s="67"/>
      <c r="F8" s="68"/>
      <c r="G8" s="68"/>
      <c r="H8" s="68"/>
      <c r="I8" s="68"/>
      <c r="J8" s="68"/>
      <c r="K8" s="68"/>
      <c r="L8" s="68"/>
      <c r="M8" s="68"/>
      <c r="N8" s="68"/>
      <c r="O8" s="68"/>
      <c r="P8" s="68"/>
      <c r="Q8" s="68"/>
      <c r="R8" s="68"/>
      <c r="S8" s="68"/>
      <c r="T8" s="68"/>
      <c r="U8" s="68"/>
      <c r="V8" s="68"/>
      <c r="W8" s="68"/>
      <c r="X8" s="68"/>
    </row>
    <row r="9" spans="2:25" ht="18" thickTop="1" thickBot="1" x14ac:dyDescent="0.35">
      <c r="B9" s="69" t="s">
        <v>91</v>
      </c>
      <c r="C9" s="62"/>
      <c r="D9" s="62"/>
      <c r="E9" s="70"/>
      <c r="F9" s="71">
        <f>SUM(F12:F63)</f>
        <v>0</v>
      </c>
      <c r="G9" s="337"/>
      <c r="H9" s="337"/>
      <c r="I9" s="337"/>
      <c r="J9" s="337"/>
      <c r="K9" s="337"/>
      <c r="L9" s="337"/>
      <c r="M9" s="337"/>
      <c r="N9" s="337"/>
      <c r="O9" s="337"/>
      <c r="P9" s="337"/>
      <c r="Q9" s="337"/>
      <c r="R9" s="337"/>
      <c r="S9" s="337"/>
      <c r="T9" s="337"/>
      <c r="U9" s="337"/>
      <c r="V9" s="337"/>
      <c r="W9" s="337"/>
      <c r="X9" s="337"/>
    </row>
    <row r="10" spans="2:25" ht="15.6" thickTop="1" thickBot="1" x14ac:dyDescent="0.35">
      <c r="B10" s="72" t="s">
        <v>5</v>
      </c>
      <c r="C10" s="73" t="s">
        <v>92</v>
      </c>
      <c r="D10" s="73" t="s">
        <v>93</v>
      </c>
      <c r="E10" s="74" t="s">
        <v>94</v>
      </c>
      <c r="F10" s="75" t="s">
        <v>95</v>
      </c>
      <c r="G10" s="338"/>
      <c r="H10" s="338"/>
      <c r="I10" s="338"/>
      <c r="J10" s="338"/>
      <c r="K10" s="338"/>
      <c r="L10" s="338"/>
      <c r="M10" s="338"/>
      <c r="N10" s="338"/>
      <c r="O10" s="338"/>
      <c r="P10" s="338"/>
      <c r="Q10" s="338"/>
      <c r="R10" s="338"/>
      <c r="S10" s="338"/>
      <c r="T10" s="338"/>
      <c r="U10" s="338"/>
      <c r="V10" s="338"/>
      <c r="W10" s="338"/>
      <c r="X10" s="338"/>
    </row>
    <row r="11" spans="2:25" ht="25.05" customHeight="1" thickTop="1" x14ac:dyDescent="0.3">
      <c r="B11" s="172" t="s">
        <v>105</v>
      </c>
      <c r="C11" s="173" t="s">
        <v>96</v>
      </c>
      <c r="D11" s="174"/>
      <c r="E11" s="78">
        <f>ROUND(16758*$Y$11,0)</f>
        <v>16423</v>
      </c>
      <c r="F11" s="79">
        <f>ROUND(D11*E11,0)</f>
        <v>0</v>
      </c>
      <c r="G11" s="338"/>
      <c r="H11" s="338"/>
      <c r="I11" s="338"/>
      <c r="J11" s="338"/>
      <c r="K11" s="338"/>
      <c r="L11" s="338"/>
      <c r="M11" s="338"/>
      <c r="N11" s="338"/>
      <c r="O11" s="338"/>
      <c r="P11" s="338"/>
      <c r="Q11" s="338"/>
      <c r="R11" s="338"/>
      <c r="S11" s="338"/>
      <c r="T11" s="338"/>
      <c r="U11" s="338"/>
      <c r="V11" s="338"/>
      <c r="W11" s="338"/>
      <c r="X11" s="338"/>
      <c r="Y11" s="340">
        <v>0.98</v>
      </c>
    </row>
    <row r="12" spans="2:25" ht="25.05" customHeight="1" x14ac:dyDescent="0.3">
      <c r="B12" s="175" t="s">
        <v>97</v>
      </c>
      <c r="C12" s="176" t="s">
        <v>96</v>
      </c>
      <c r="D12" s="174"/>
      <c r="E12" s="78">
        <f>ROUND(117290*$Y$11,0)</f>
        <v>114944</v>
      </c>
      <c r="F12" s="79">
        <f t="shared" ref="F12" si="0">ROUND(D12*E12,0)</f>
        <v>0</v>
      </c>
      <c r="G12" s="338"/>
      <c r="H12" s="338"/>
      <c r="I12" s="338"/>
      <c r="J12" s="338"/>
      <c r="K12" s="338"/>
      <c r="L12" s="338"/>
      <c r="M12" s="338"/>
      <c r="N12" s="338"/>
      <c r="O12" s="338"/>
      <c r="P12" s="338"/>
      <c r="Q12" s="338"/>
      <c r="R12" s="338"/>
      <c r="S12" s="338"/>
      <c r="T12" s="338"/>
      <c r="U12" s="338"/>
      <c r="V12" s="338"/>
      <c r="W12" s="338"/>
      <c r="X12" s="338"/>
    </row>
    <row r="13" spans="2:25" ht="25.05" customHeight="1" x14ac:dyDescent="0.3">
      <c r="B13" s="175" t="s">
        <v>99</v>
      </c>
      <c r="C13" s="176" t="s">
        <v>92</v>
      </c>
      <c r="D13" s="174"/>
      <c r="E13" s="78">
        <f>ROUND(2095*$Y$11,0)</f>
        <v>2053</v>
      </c>
      <c r="F13" s="79">
        <f t="shared" ref="F13:F19" si="1">ROUND(D13*E13,0)</f>
        <v>0</v>
      </c>
      <c r="G13" s="338"/>
      <c r="H13" s="338"/>
      <c r="I13" s="338"/>
      <c r="J13" s="338"/>
      <c r="K13" s="338"/>
      <c r="L13" s="338"/>
      <c r="M13" s="338"/>
      <c r="N13" s="338"/>
      <c r="O13" s="338"/>
      <c r="P13" s="338"/>
      <c r="Q13" s="338"/>
      <c r="R13" s="338"/>
      <c r="S13" s="338"/>
      <c r="T13" s="338"/>
      <c r="U13" s="338"/>
      <c r="V13" s="338"/>
      <c r="W13" s="338"/>
      <c r="X13" s="338"/>
    </row>
    <row r="14" spans="2:25" ht="25.05" customHeight="1" x14ac:dyDescent="0.3">
      <c r="B14" s="175" t="s">
        <v>100</v>
      </c>
      <c r="C14" s="176" t="s">
        <v>92</v>
      </c>
      <c r="D14" s="174"/>
      <c r="E14" s="78">
        <f>ROUND(369629*$Y$11,0)</f>
        <v>362236</v>
      </c>
      <c r="F14" s="79">
        <f t="shared" si="1"/>
        <v>0</v>
      </c>
      <c r="G14" s="338"/>
      <c r="H14" s="338"/>
      <c r="I14" s="338"/>
      <c r="J14" s="338"/>
      <c r="K14" s="338"/>
      <c r="L14" s="338"/>
      <c r="M14" s="338"/>
      <c r="N14" s="338"/>
      <c r="O14" s="338"/>
      <c r="P14" s="338"/>
      <c r="Q14" s="338"/>
      <c r="R14" s="338"/>
      <c r="S14" s="338"/>
      <c r="T14" s="338"/>
      <c r="U14" s="338"/>
      <c r="V14" s="338"/>
      <c r="W14" s="338"/>
      <c r="X14" s="338"/>
    </row>
    <row r="15" spans="2:25" ht="25.05" customHeight="1" x14ac:dyDescent="0.3">
      <c r="B15" s="175" t="s">
        <v>101</v>
      </c>
      <c r="C15" s="176" t="s">
        <v>92</v>
      </c>
      <c r="D15" s="174"/>
      <c r="E15" s="78">
        <f>ROUND(975094*$Y$11,0)</f>
        <v>955592</v>
      </c>
      <c r="F15" s="79">
        <f t="shared" si="1"/>
        <v>0</v>
      </c>
      <c r="G15" s="338"/>
      <c r="H15" s="338"/>
      <c r="I15" s="338"/>
      <c r="J15" s="338"/>
      <c r="K15" s="338"/>
      <c r="L15" s="338"/>
      <c r="M15" s="338"/>
      <c r="N15" s="338"/>
      <c r="O15" s="338"/>
      <c r="P15" s="338"/>
      <c r="Q15" s="338"/>
      <c r="R15" s="338"/>
      <c r="S15" s="338"/>
      <c r="T15" s="338"/>
      <c r="U15" s="338"/>
      <c r="V15" s="338"/>
      <c r="W15" s="338"/>
      <c r="X15" s="338"/>
    </row>
    <row r="16" spans="2:25" ht="25.05" customHeight="1" x14ac:dyDescent="0.3">
      <c r="B16" s="177" t="s">
        <v>102</v>
      </c>
      <c r="C16" s="173" t="s">
        <v>29</v>
      </c>
      <c r="D16" s="174"/>
      <c r="E16" s="78">
        <f>ROUND(108173*$Y$11,0)</f>
        <v>106010</v>
      </c>
      <c r="F16" s="79">
        <f t="shared" si="1"/>
        <v>0</v>
      </c>
      <c r="G16" s="338"/>
      <c r="H16" s="338"/>
      <c r="I16" s="338"/>
      <c r="J16" s="338"/>
      <c r="K16" s="338"/>
      <c r="L16" s="338"/>
      <c r="M16" s="338"/>
      <c r="N16" s="338"/>
      <c r="O16" s="338"/>
      <c r="P16" s="338"/>
      <c r="Q16" s="338"/>
      <c r="R16" s="338"/>
      <c r="S16" s="338"/>
      <c r="T16" s="338"/>
      <c r="U16" s="338"/>
      <c r="V16" s="338"/>
      <c r="W16" s="338"/>
      <c r="X16" s="338"/>
    </row>
    <row r="17" spans="2:24" ht="25.05" customHeight="1" x14ac:dyDescent="0.3">
      <c r="B17" s="177" t="s">
        <v>103</v>
      </c>
      <c r="C17" s="173" t="s">
        <v>29</v>
      </c>
      <c r="D17" s="174"/>
      <c r="E17" s="78">
        <f>ROUND(159131*$Y$11,0)</f>
        <v>155948</v>
      </c>
      <c r="F17" s="79">
        <f t="shared" si="1"/>
        <v>0</v>
      </c>
      <c r="G17" s="338"/>
      <c r="H17" s="338"/>
      <c r="I17" s="338"/>
      <c r="J17" s="338"/>
      <c r="K17" s="338"/>
      <c r="L17" s="338"/>
      <c r="M17" s="338"/>
      <c r="N17" s="338"/>
      <c r="O17" s="338"/>
      <c r="P17" s="338"/>
      <c r="Q17" s="338"/>
      <c r="R17" s="338"/>
      <c r="S17" s="338"/>
      <c r="T17" s="338"/>
      <c r="U17" s="338"/>
      <c r="V17" s="338"/>
      <c r="W17" s="338"/>
      <c r="X17" s="338"/>
    </row>
    <row r="18" spans="2:24" ht="25.05" customHeight="1" x14ac:dyDescent="0.3">
      <c r="B18" s="178" t="s">
        <v>153</v>
      </c>
      <c r="C18" s="179" t="s">
        <v>124</v>
      </c>
      <c r="D18" s="180"/>
      <c r="E18" s="76">
        <f>ROUND(30382*$Y$11,0)</f>
        <v>29774</v>
      </c>
      <c r="F18" s="77">
        <f t="shared" si="1"/>
        <v>0</v>
      </c>
      <c r="G18" s="339"/>
      <c r="H18" s="339"/>
      <c r="I18" s="339"/>
      <c r="J18" s="339"/>
      <c r="K18" s="339"/>
      <c r="L18" s="339"/>
      <c r="M18" s="339"/>
      <c r="N18" s="339"/>
      <c r="O18" s="339"/>
      <c r="P18" s="339"/>
      <c r="Q18" s="339"/>
      <c r="R18" s="339"/>
      <c r="S18" s="339"/>
      <c r="T18" s="339"/>
      <c r="U18" s="339"/>
      <c r="V18" s="339"/>
      <c r="W18" s="339"/>
      <c r="X18" s="339"/>
    </row>
    <row r="19" spans="2:24" ht="25.05" customHeight="1" x14ac:dyDescent="0.3">
      <c r="B19" s="175" t="s">
        <v>104</v>
      </c>
      <c r="C19" s="176" t="s">
        <v>29</v>
      </c>
      <c r="D19" s="180"/>
      <c r="E19" s="78">
        <f>ROUND(56403*$Y$11,0)</f>
        <v>55275</v>
      </c>
      <c r="F19" s="79">
        <f t="shared" si="1"/>
        <v>0</v>
      </c>
      <c r="G19" s="338"/>
      <c r="H19" s="338"/>
      <c r="I19" s="338"/>
      <c r="J19" s="338"/>
      <c r="K19" s="338"/>
      <c r="L19" s="338"/>
      <c r="M19" s="338"/>
      <c r="N19" s="338"/>
      <c r="O19" s="338"/>
      <c r="P19" s="338"/>
      <c r="Q19" s="338"/>
      <c r="R19" s="338"/>
      <c r="S19" s="338"/>
      <c r="T19" s="338"/>
      <c r="U19" s="338"/>
      <c r="V19" s="338"/>
      <c r="W19" s="338"/>
      <c r="X19" s="338"/>
    </row>
    <row r="20" spans="2:24" ht="25.05" customHeight="1" x14ac:dyDescent="0.3">
      <c r="B20" s="178" t="s">
        <v>154</v>
      </c>
      <c r="C20" s="179" t="s">
        <v>160</v>
      </c>
      <c r="D20" s="180"/>
      <c r="E20" s="152">
        <f>ROUND(79989*$Y$11,0)</f>
        <v>78389</v>
      </c>
      <c r="F20" s="153">
        <f t="shared" ref="F20:F25" si="2">ROUND(D20*E20,0)</f>
        <v>0</v>
      </c>
      <c r="G20" s="338"/>
      <c r="H20" s="338"/>
      <c r="I20" s="338"/>
      <c r="J20" s="338"/>
      <c r="K20" s="338"/>
      <c r="L20" s="338"/>
      <c r="M20" s="338"/>
      <c r="N20" s="338"/>
      <c r="O20" s="338"/>
      <c r="P20" s="338"/>
      <c r="Q20" s="338"/>
      <c r="R20" s="338"/>
      <c r="S20" s="338"/>
      <c r="T20" s="338"/>
      <c r="U20" s="338"/>
      <c r="V20" s="338"/>
      <c r="W20" s="338"/>
      <c r="X20" s="338"/>
    </row>
    <row r="21" spans="2:24" ht="25.05" customHeight="1" x14ac:dyDescent="0.3">
      <c r="B21" s="178" t="s">
        <v>155</v>
      </c>
      <c r="C21" s="179" t="s">
        <v>98</v>
      </c>
      <c r="D21" s="180"/>
      <c r="E21" s="152">
        <f>ROUND(9691*$Y$11,0)</f>
        <v>9497</v>
      </c>
      <c r="F21" s="153">
        <f t="shared" si="2"/>
        <v>0</v>
      </c>
      <c r="G21" s="338"/>
      <c r="H21" s="338"/>
      <c r="I21" s="338"/>
      <c r="J21" s="338"/>
      <c r="K21" s="338"/>
      <c r="L21" s="338"/>
      <c r="M21" s="338"/>
      <c r="N21" s="338"/>
      <c r="O21" s="338"/>
      <c r="P21" s="338"/>
      <c r="Q21" s="338"/>
      <c r="R21" s="338"/>
      <c r="S21" s="338"/>
      <c r="T21" s="338"/>
      <c r="U21" s="338"/>
      <c r="V21" s="338"/>
      <c r="W21" s="338"/>
      <c r="X21" s="338"/>
    </row>
    <row r="22" spans="2:24" ht="25.05" customHeight="1" x14ac:dyDescent="0.3">
      <c r="B22" s="178" t="s">
        <v>156</v>
      </c>
      <c r="C22" s="179" t="s">
        <v>98</v>
      </c>
      <c r="D22" s="180"/>
      <c r="E22" s="152">
        <f>ROUND(5995*$Y$11,0)</f>
        <v>5875</v>
      </c>
      <c r="F22" s="153">
        <f t="shared" si="2"/>
        <v>0</v>
      </c>
      <c r="G22" s="338"/>
      <c r="H22" s="338"/>
      <c r="I22" s="338"/>
      <c r="J22" s="338"/>
      <c r="K22" s="338"/>
      <c r="L22" s="338"/>
      <c r="M22" s="338"/>
      <c r="N22" s="338"/>
      <c r="O22" s="338"/>
      <c r="P22" s="338"/>
      <c r="Q22" s="338"/>
      <c r="R22" s="338"/>
      <c r="S22" s="338"/>
      <c r="T22" s="338"/>
      <c r="U22" s="338"/>
      <c r="V22" s="338"/>
      <c r="W22" s="338"/>
      <c r="X22" s="338"/>
    </row>
    <row r="23" spans="2:24" ht="25.05" customHeight="1" x14ac:dyDescent="0.3">
      <c r="B23" s="178" t="s">
        <v>157</v>
      </c>
      <c r="C23" s="179" t="s">
        <v>98</v>
      </c>
      <c r="D23" s="180"/>
      <c r="E23" s="152">
        <f>ROUND(64606*$Y$11,0)</f>
        <v>63314</v>
      </c>
      <c r="F23" s="153">
        <f t="shared" si="2"/>
        <v>0</v>
      </c>
      <c r="G23" s="338"/>
      <c r="H23" s="338"/>
      <c r="I23" s="338"/>
      <c r="J23" s="338"/>
      <c r="K23" s="338"/>
      <c r="L23" s="338"/>
      <c r="M23" s="338"/>
      <c r="N23" s="338"/>
      <c r="O23" s="338"/>
      <c r="P23" s="338"/>
      <c r="Q23" s="338"/>
      <c r="R23" s="338"/>
      <c r="S23" s="338"/>
      <c r="T23" s="338"/>
      <c r="U23" s="338"/>
      <c r="V23" s="338"/>
      <c r="W23" s="338"/>
      <c r="X23" s="338"/>
    </row>
    <row r="24" spans="2:24" ht="25.05" customHeight="1" x14ac:dyDescent="0.3">
      <c r="B24" s="178" t="s">
        <v>158</v>
      </c>
      <c r="C24" s="179" t="s">
        <v>98</v>
      </c>
      <c r="D24" s="180"/>
      <c r="E24" s="152">
        <f>ROUND(59223*$Y$11,0)</f>
        <v>58039</v>
      </c>
      <c r="F24" s="153">
        <f t="shared" si="2"/>
        <v>0</v>
      </c>
      <c r="G24" s="338"/>
      <c r="H24" s="338"/>
      <c r="I24" s="338"/>
      <c r="J24" s="338"/>
      <c r="K24" s="338"/>
      <c r="L24" s="338"/>
      <c r="M24" s="338"/>
      <c r="N24" s="338"/>
      <c r="O24" s="338"/>
      <c r="P24" s="338"/>
      <c r="Q24" s="338"/>
      <c r="R24" s="338"/>
      <c r="S24" s="338"/>
      <c r="T24" s="338"/>
      <c r="U24" s="338"/>
      <c r="V24" s="338"/>
      <c r="W24" s="338"/>
      <c r="X24" s="338"/>
    </row>
    <row r="25" spans="2:24" ht="25.05" customHeight="1" x14ac:dyDescent="0.3">
      <c r="B25" s="178" t="s">
        <v>159</v>
      </c>
      <c r="C25" s="179" t="s">
        <v>98</v>
      </c>
      <c r="D25" s="180"/>
      <c r="E25" s="152">
        <f>ROUND(257401*$Y$11,0)</f>
        <v>252253</v>
      </c>
      <c r="F25" s="153">
        <f t="shared" si="2"/>
        <v>0</v>
      </c>
      <c r="G25" s="338"/>
      <c r="H25" s="338"/>
      <c r="I25" s="338"/>
      <c r="J25" s="338"/>
      <c r="K25" s="338"/>
      <c r="L25" s="338"/>
      <c r="M25" s="338"/>
      <c r="N25" s="338"/>
      <c r="O25" s="338"/>
      <c r="P25" s="338"/>
      <c r="Q25" s="338"/>
      <c r="R25" s="338"/>
      <c r="S25" s="338"/>
      <c r="T25" s="338"/>
      <c r="U25" s="338"/>
      <c r="V25" s="338"/>
      <c r="W25" s="338"/>
      <c r="X25" s="338"/>
    </row>
    <row r="26" spans="2:24" ht="25.05" customHeight="1" x14ac:dyDescent="0.3">
      <c r="B26" s="175" t="s">
        <v>113</v>
      </c>
      <c r="C26" s="176" t="s">
        <v>160</v>
      </c>
      <c r="D26" s="174"/>
      <c r="E26" s="78">
        <f>ROUND(60504*$Y$11,0)</f>
        <v>59294</v>
      </c>
      <c r="F26" s="79">
        <f>ROUND(D26*E26,0)</f>
        <v>0</v>
      </c>
      <c r="G26" s="338"/>
      <c r="H26" s="338"/>
      <c r="I26" s="338"/>
      <c r="J26" s="338"/>
      <c r="K26" s="338"/>
      <c r="L26" s="338"/>
      <c r="M26" s="338"/>
      <c r="N26" s="338"/>
      <c r="O26" s="338"/>
      <c r="P26" s="338"/>
      <c r="Q26" s="338"/>
      <c r="R26" s="338"/>
      <c r="S26" s="338"/>
      <c r="T26" s="338"/>
      <c r="U26" s="338"/>
      <c r="V26" s="338"/>
      <c r="W26" s="338"/>
      <c r="X26" s="338"/>
    </row>
    <row r="27" spans="2:24" ht="25.05" customHeight="1" x14ac:dyDescent="0.3">
      <c r="B27" s="175" t="s">
        <v>161</v>
      </c>
      <c r="C27" s="176" t="s">
        <v>160</v>
      </c>
      <c r="D27" s="174"/>
      <c r="E27" s="78">
        <f>ROUND(71785*$Y$11,0)</f>
        <v>70349</v>
      </c>
      <c r="F27" s="79">
        <f t="shared" ref="F27:F60" si="3">ROUND(D27*E27,0)</f>
        <v>0</v>
      </c>
      <c r="G27" s="338"/>
      <c r="H27" s="338"/>
      <c r="I27" s="338"/>
      <c r="J27" s="338"/>
      <c r="K27" s="338"/>
      <c r="L27" s="338"/>
      <c r="M27" s="338"/>
      <c r="N27" s="338"/>
      <c r="O27" s="338"/>
      <c r="P27" s="338"/>
      <c r="Q27" s="338"/>
      <c r="R27" s="338"/>
      <c r="S27" s="338"/>
      <c r="T27" s="338"/>
      <c r="U27" s="338"/>
      <c r="V27" s="338"/>
      <c r="W27" s="338"/>
      <c r="X27" s="338"/>
    </row>
    <row r="28" spans="2:24" ht="25.05" customHeight="1" x14ac:dyDescent="0.3">
      <c r="B28" s="175" t="s">
        <v>162</v>
      </c>
      <c r="C28" s="176" t="s">
        <v>160</v>
      </c>
      <c r="D28" s="174"/>
      <c r="E28" s="78">
        <f>ROUND(49224*$Y$11,0)</f>
        <v>48240</v>
      </c>
      <c r="F28" s="79">
        <f t="shared" si="3"/>
        <v>0</v>
      </c>
      <c r="G28" s="338"/>
      <c r="H28" s="338"/>
      <c r="I28" s="338"/>
      <c r="J28" s="338"/>
      <c r="K28" s="338"/>
      <c r="L28" s="338"/>
      <c r="M28" s="338"/>
      <c r="N28" s="338"/>
      <c r="O28" s="338"/>
      <c r="P28" s="338"/>
      <c r="Q28" s="338"/>
      <c r="R28" s="338"/>
      <c r="S28" s="338"/>
      <c r="T28" s="338"/>
      <c r="U28" s="338"/>
      <c r="V28" s="338"/>
      <c r="W28" s="338"/>
      <c r="X28" s="338"/>
    </row>
    <row r="29" spans="2:24" ht="25.05" customHeight="1" x14ac:dyDescent="0.3">
      <c r="B29" s="175" t="s">
        <v>163</v>
      </c>
      <c r="C29" s="176" t="s">
        <v>160</v>
      </c>
      <c r="D29" s="174"/>
      <c r="E29" s="78">
        <f>ROUND(46147*$Y$11,0)</f>
        <v>45224</v>
      </c>
      <c r="F29" s="79">
        <f t="shared" si="3"/>
        <v>0</v>
      </c>
      <c r="G29" s="338"/>
      <c r="H29" s="338"/>
      <c r="I29" s="338"/>
      <c r="J29" s="338"/>
      <c r="K29" s="338"/>
      <c r="L29" s="338"/>
      <c r="M29" s="338"/>
      <c r="N29" s="338"/>
      <c r="O29" s="338"/>
      <c r="P29" s="338"/>
      <c r="Q29" s="338"/>
      <c r="R29" s="338"/>
      <c r="S29" s="338"/>
      <c r="T29" s="338"/>
      <c r="U29" s="338"/>
      <c r="V29" s="338"/>
      <c r="W29" s="338"/>
      <c r="X29" s="338"/>
    </row>
    <row r="30" spans="2:24" ht="25.05" customHeight="1" x14ac:dyDescent="0.3">
      <c r="B30" s="175" t="s">
        <v>164</v>
      </c>
      <c r="C30" s="176" t="s">
        <v>160</v>
      </c>
      <c r="D30" s="174"/>
      <c r="E30" s="78">
        <f>ROUND(33326*$Y$11,0)</f>
        <v>32659</v>
      </c>
      <c r="F30" s="79">
        <f t="shared" si="3"/>
        <v>0</v>
      </c>
      <c r="G30" s="338"/>
      <c r="H30" s="338"/>
      <c r="I30" s="338"/>
      <c r="J30" s="338"/>
      <c r="K30" s="338"/>
      <c r="L30" s="338"/>
      <c r="M30" s="338"/>
      <c r="N30" s="338"/>
      <c r="O30" s="338"/>
      <c r="P30" s="338"/>
      <c r="Q30" s="338"/>
      <c r="R30" s="338"/>
      <c r="S30" s="338"/>
      <c r="T30" s="338"/>
      <c r="U30" s="338"/>
      <c r="V30" s="338"/>
      <c r="W30" s="338"/>
      <c r="X30" s="338"/>
    </row>
    <row r="31" spans="2:24" ht="25.05" customHeight="1" x14ac:dyDescent="0.3">
      <c r="B31" s="175" t="s">
        <v>165</v>
      </c>
      <c r="C31" s="176" t="s">
        <v>160</v>
      </c>
      <c r="D31" s="174"/>
      <c r="E31" s="78">
        <f>ROUND(86001*$Y$11,0)</f>
        <v>84281</v>
      </c>
      <c r="F31" s="79">
        <f t="shared" si="3"/>
        <v>0</v>
      </c>
      <c r="G31" s="338"/>
      <c r="H31" s="338"/>
      <c r="I31" s="338"/>
      <c r="J31" s="338"/>
      <c r="K31" s="338"/>
      <c r="L31" s="338"/>
      <c r="M31" s="338"/>
      <c r="N31" s="338"/>
      <c r="O31" s="338"/>
      <c r="P31" s="338"/>
      <c r="Q31" s="338"/>
      <c r="R31" s="338"/>
      <c r="S31" s="338"/>
      <c r="T31" s="338"/>
      <c r="U31" s="338"/>
      <c r="V31" s="338"/>
      <c r="W31" s="338"/>
      <c r="X31" s="338"/>
    </row>
    <row r="32" spans="2:24" ht="25.05" customHeight="1" x14ac:dyDescent="0.3">
      <c r="B32" s="175" t="s">
        <v>110</v>
      </c>
      <c r="C32" s="176" t="s">
        <v>92</v>
      </c>
      <c r="D32" s="181"/>
      <c r="E32" s="78">
        <f>ROUND(328161*$Y$11,0)</f>
        <v>321598</v>
      </c>
      <c r="F32" s="79">
        <f t="shared" si="3"/>
        <v>0</v>
      </c>
      <c r="G32" s="338"/>
      <c r="H32" s="338"/>
      <c r="I32" s="338"/>
      <c r="J32" s="338"/>
      <c r="K32" s="338"/>
      <c r="L32" s="338"/>
      <c r="M32" s="338"/>
      <c r="N32" s="338"/>
      <c r="O32" s="338"/>
      <c r="P32" s="338"/>
      <c r="Q32" s="338"/>
      <c r="R32" s="338"/>
      <c r="S32" s="338"/>
      <c r="T32" s="338"/>
      <c r="U32" s="338"/>
      <c r="V32" s="338"/>
      <c r="W32" s="338"/>
      <c r="X32" s="338"/>
    </row>
    <row r="33" spans="2:24" ht="25.05" customHeight="1" x14ac:dyDescent="0.3">
      <c r="B33" s="175" t="s">
        <v>111</v>
      </c>
      <c r="C33" s="176" t="s">
        <v>92</v>
      </c>
      <c r="D33" s="181"/>
      <c r="E33" s="78">
        <f>ROUND(328161*$Y$11,0)</f>
        <v>321598</v>
      </c>
      <c r="F33" s="79">
        <f t="shared" si="3"/>
        <v>0</v>
      </c>
      <c r="G33" s="338"/>
      <c r="H33" s="338"/>
      <c r="I33" s="338"/>
      <c r="J33" s="338"/>
      <c r="K33" s="338"/>
      <c r="L33" s="338"/>
      <c r="M33" s="338"/>
      <c r="N33" s="338"/>
      <c r="O33" s="338"/>
      <c r="P33" s="338"/>
      <c r="Q33" s="338"/>
      <c r="R33" s="338"/>
      <c r="S33" s="338"/>
      <c r="T33" s="338"/>
      <c r="U33" s="338"/>
      <c r="V33" s="338"/>
      <c r="W33" s="338"/>
      <c r="X33" s="338"/>
    </row>
    <row r="34" spans="2:24" ht="25.05" customHeight="1" x14ac:dyDescent="0.3">
      <c r="B34" s="175" t="s">
        <v>106</v>
      </c>
      <c r="C34" s="176" t="s">
        <v>107</v>
      </c>
      <c r="D34" s="174"/>
      <c r="E34" s="78">
        <f>ROUND(80000*$Y$11,0)</f>
        <v>78400</v>
      </c>
      <c r="F34" s="79">
        <f t="shared" si="3"/>
        <v>0</v>
      </c>
      <c r="G34" s="338"/>
      <c r="H34" s="338"/>
      <c r="I34" s="338"/>
      <c r="J34" s="338"/>
      <c r="K34" s="338"/>
      <c r="L34" s="338"/>
      <c r="M34" s="338"/>
      <c r="N34" s="338"/>
      <c r="O34" s="338"/>
      <c r="P34" s="338"/>
      <c r="Q34" s="338"/>
      <c r="R34" s="338"/>
      <c r="S34" s="338"/>
      <c r="T34" s="338"/>
      <c r="U34" s="338"/>
      <c r="V34" s="338"/>
      <c r="W34" s="338"/>
      <c r="X34" s="338"/>
    </row>
    <row r="35" spans="2:24" ht="25.05" customHeight="1" x14ac:dyDescent="0.3">
      <c r="B35" s="175" t="s">
        <v>169</v>
      </c>
      <c r="C35" s="176" t="s">
        <v>96</v>
      </c>
      <c r="D35" s="174"/>
      <c r="E35" s="78">
        <f>ROUND(60000*$Y$11,0)</f>
        <v>58800</v>
      </c>
      <c r="F35" s="79">
        <f t="shared" si="3"/>
        <v>0</v>
      </c>
      <c r="G35" s="338"/>
      <c r="H35" s="338"/>
      <c r="I35" s="338"/>
      <c r="J35" s="338"/>
      <c r="K35" s="338"/>
      <c r="L35" s="338"/>
      <c r="M35" s="338"/>
      <c r="N35" s="338"/>
      <c r="O35" s="338"/>
      <c r="P35" s="338"/>
      <c r="Q35" s="338"/>
      <c r="R35" s="338"/>
      <c r="S35" s="338"/>
      <c r="T35" s="338"/>
      <c r="U35" s="338"/>
      <c r="V35" s="338"/>
      <c r="W35" s="338"/>
      <c r="X35" s="338"/>
    </row>
    <row r="36" spans="2:24" ht="25.05" customHeight="1" x14ac:dyDescent="0.3">
      <c r="B36" s="175" t="s">
        <v>108</v>
      </c>
      <c r="C36" s="176" t="s">
        <v>98</v>
      </c>
      <c r="D36" s="181"/>
      <c r="E36" s="78">
        <f>ROUND(13571*$Y$11,0)</f>
        <v>13300</v>
      </c>
      <c r="F36" s="79">
        <f t="shared" si="3"/>
        <v>0</v>
      </c>
      <c r="G36" s="338"/>
      <c r="H36" s="338"/>
      <c r="I36" s="338"/>
      <c r="J36" s="338"/>
      <c r="K36" s="338"/>
      <c r="L36" s="338"/>
      <c r="M36" s="338"/>
      <c r="N36" s="338"/>
      <c r="O36" s="338"/>
      <c r="P36" s="338"/>
      <c r="Q36" s="338"/>
      <c r="R36" s="338"/>
      <c r="S36" s="338"/>
      <c r="T36" s="338"/>
      <c r="U36" s="338"/>
      <c r="V36" s="338"/>
      <c r="W36" s="338"/>
      <c r="X36" s="338"/>
    </row>
    <row r="37" spans="2:24" ht="25.05" customHeight="1" x14ac:dyDescent="0.3">
      <c r="B37" s="175" t="s">
        <v>174</v>
      </c>
      <c r="C37" s="176" t="s">
        <v>92</v>
      </c>
      <c r="D37" s="181"/>
      <c r="E37" s="78">
        <f>ROUND(29774*$Y$11,0)</f>
        <v>29179</v>
      </c>
      <c r="F37" s="79">
        <f t="shared" si="3"/>
        <v>0</v>
      </c>
      <c r="G37" s="338"/>
      <c r="H37" s="338"/>
      <c r="I37" s="338"/>
      <c r="J37" s="338"/>
      <c r="K37" s="338"/>
      <c r="L37" s="338"/>
      <c r="M37" s="338"/>
      <c r="N37" s="338"/>
      <c r="O37" s="338"/>
      <c r="P37" s="338"/>
      <c r="Q37" s="338"/>
      <c r="R37" s="338"/>
      <c r="S37" s="338"/>
      <c r="T37" s="338"/>
      <c r="U37" s="338"/>
      <c r="V37" s="338"/>
      <c r="W37" s="338"/>
      <c r="X37" s="338"/>
    </row>
    <row r="38" spans="2:24" ht="25.05" customHeight="1" x14ac:dyDescent="0.3">
      <c r="B38" s="175" t="s">
        <v>175</v>
      </c>
      <c r="C38" s="176" t="s">
        <v>92</v>
      </c>
      <c r="D38" s="181"/>
      <c r="E38" s="78">
        <f>ROUND(229919*$Y$11,0)</f>
        <v>225321</v>
      </c>
      <c r="F38" s="79">
        <f t="shared" si="3"/>
        <v>0</v>
      </c>
      <c r="G38" s="338"/>
      <c r="H38" s="338"/>
      <c r="I38" s="338"/>
      <c r="J38" s="338"/>
      <c r="K38" s="338"/>
      <c r="L38" s="338"/>
      <c r="M38" s="338"/>
      <c r="N38" s="338"/>
      <c r="O38" s="338"/>
      <c r="P38" s="338"/>
      <c r="Q38" s="338"/>
      <c r="R38" s="338"/>
      <c r="S38" s="338"/>
      <c r="T38" s="338"/>
      <c r="U38" s="338"/>
      <c r="V38" s="338"/>
      <c r="W38" s="338"/>
      <c r="X38" s="338"/>
    </row>
    <row r="39" spans="2:24" ht="25.05" customHeight="1" x14ac:dyDescent="0.3">
      <c r="B39" s="175" t="s">
        <v>176</v>
      </c>
      <c r="C39" s="176" t="s">
        <v>124</v>
      </c>
      <c r="D39" s="181"/>
      <c r="E39" s="78">
        <f>ROUND(4760*$Y$11,0)</f>
        <v>4665</v>
      </c>
      <c r="F39" s="79">
        <f t="shared" si="3"/>
        <v>0</v>
      </c>
      <c r="G39" s="338"/>
      <c r="H39" s="338"/>
      <c r="I39" s="338"/>
      <c r="J39" s="338"/>
      <c r="K39" s="338"/>
      <c r="L39" s="338"/>
      <c r="M39" s="338"/>
      <c r="N39" s="338"/>
      <c r="O39" s="338"/>
      <c r="P39" s="338"/>
      <c r="Q39" s="338"/>
      <c r="R39" s="338"/>
      <c r="S39" s="338"/>
      <c r="T39" s="338"/>
      <c r="U39" s="338"/>
      <c r="V39" s="338"/>
      <c r="W39" s="338"/>
      <c r="X39" s="338"/>
    </row>
    <row r="40" spans="2:24" ht="25.05" customHeight="1" x14ac:dyDescent="0.3">
      <c r="B40" s="175" t="s">
        <v>177</v>
      </c>
      <c r="C40" s="176" t="s">
        <v>92</v>
      </c>
      <c r="D40" s="181"/>
      <c r="E40" s="78">
        <f>ROUND(7364*$Y$11,0)</f>
        <v>7217</v>
      </c>
      <c r="F40" s="79">
        <f t="shared" si="3"/>
        <v>0</v>
      </c>
      <c r="G40" s="338"/>
      <c r="H40" s="338"/>
      <c r="I40" s="338"/>
      <c r="J40" s="338"/>
      <c r="K40" s="338"/>
      <c r="L40" s="338"/>
      <c r="M40" s="338"/>
      <c r="N40" s="338"/>
      <c r="O40" s="338"/>
      <c r="P40" s="338"/>
      <c r="Q40" s="338"/>
      <c r="R40" s="338"/>
      <c r="S40" s="338"/>
      <c r="T40" s="338"/>
      <c r="U40" s="338"/>
      <c r="V40" s="338"/>
      <c r="W40" s="338"/>
      <c r="X40" s="338"/>
    </row>
    <row r="41" spans="2:24" ht="25.05" customHeight="1" x14ac:dyDescent="0.3">
      <c r="B41" s="175" t="s">
        <v>179</v>
      </c>
      <c r="C41" s="176" t="s">
        <v>109</v>
      </c>
      <c r="D41" s="181"/>
      <c r="E41" s="78">
        <f>ROUND(6793*$Y$11,0)</f>
        <v>6657</v>
      </c>
      <c r="F41" s="79">
        <f t="shared" si="3"/>
        <v>0</v>
      </c>
      <c r="G41" s="338"/>
      <c r="H41" s="338"/>
      <c r="I41" s="338"/>
      <c r="J41" s="338"/>
      <c r="K41" s="338"/>
      <c r="L41" s="338"/>
      <c r="M41" s="338"/>
      <c r="N41" s="338"/>
      <c r="O41" s="338"/>
      <c r="P41" s="338"/>
      <c r="Q41" s="338"/>
      <c r="R41" s="338"/>
      <c r="S41" s="338"/>
      <c r="T41" s="338"/>
      <c r="U41" s="338"/>
      <c r="V41" s="338"/>
      <c r="W41" s="338"/>
      <c r="X41" s="338"/>
    </row>
    <row r="42" spans="2:24" ht="25.05" customHeight="1" x14ac:dyDescent="0.3">
      <c r="B42" s="175" t="s">
        <v>180</v>
      </c>
      <c r="C42" s="176" t="s">
        <v>92</v>
      </c>
      <c r="D42" s="181"/>
      <c r="E42" s="78">
        <f>ROUND(1758927*$Y$11,0)</f>
        <v>1723748</v>
      </c>
      <c r="F42" s="79">
        <f t="shared" si="3"/>
        <v>0</v>
      </c>
      <c r="G42" s="338"/>
      <c r="H42" s="338"/>
      <c r="I42" s="338"/>
      <c r="J42" s="338"/>
      <c r="K42" s="338"/>
      <c r="L42" s="338"/>
      <c r="M42" s="338"/>
      <c r="N42" s="338"/>
      <c r="O42" s="338"/>
      <c r="P42" s="338"/>
      <c r="Q42" s="338"/>
      <c r="R42" s="338"/>
      <c r="S42" s="338"/>
      <c r="T42" s="338"/>
      <c r="U42" s="338"/>
      <c r="V42" s="338"/>
      <c r="W42" s="338"/>
      <c r="X42" s="338"/>
    </row>
    <row r="43" spans="2:24" ht="25.05" customHeight="1" x14ac:dyDescent="0.3">
      <c r="B43" s="175" t="s">
        <v>181</v>
      </c>
      <c r="C43" s="176" t="s">
        <v>92</v>
      </c>
      <c r="D43" s="181"/>
      <c r="E43" s="78">
        <f>ROUND(390872*$Y$11,0)</f>
        <v>383055</v>
      </c>
      <c r="F43" s="79">
        <f t="shared" si="3"/>
        <v>0</v>
      </c>
      <c r="G43" s="338"/>
      <c r="H43" s="338"/>
      <c r="I43" s="338"/>
      <c r="J43" s="338"/>
      <c r="K43" s="338"/>
      <c r="L43" s="338"/>
      <c r="M43" s="338"/>
      <c r="N43" s="338"/>
      <c r="O43" s="338"/>
      <c r="P43" s="338"/>
      <c r="Q43" s="338"/>
      <c r="R43" s="338"/>
      <c r="S43" s="338"/>
      <c r="T43" s="338"/>
      <c r="U43" s="338"/>
      <c r="V43" s="338"/>
      <c r="W43" s="338"/>
      <c r="X43" s="338"/>
    </row>
    <row r="44" spans="2:24" ht="25.05" customHeight="1" x14ac:dyDescent="0.3">
      <c r="B44" s="175" t="s">
        <v>182</v>
      </c>
      <c r="C44" s="176" t="s">
        <v>191</v>
      </c>
      <c r="D44" s="181"/>
      <c r="E44" s="78">
        <f>ROUND(41*$Y$11,0)</f>
        <v>40</v>
      </c>
      <c r="F44" s="79">
        <f t="shared" si="3"/>
        <v>0</v>
      </c>
      <c r="G44" s="338"/>
      <c r="H44" s="338"/>
      <c r="I44" s="338"/>
      <c r="J44" s="338"/>
      <c r="K44" s="338"/>
      <c r="L44" s="338"/>
      <c r="M44" s="338"/>
      <c r="N44" s="338"/>
      <c r="O44" s="338"/>
      <c r="P44" s="338"/>
      <c r="Q44" s="338"/>
      <c r="R44" s="338"/>
      <c r="S44" s="338"/>
      <c r="T44" s="338"/>
      <c r="U44" s="338"/>
      <c r="V44" s="338"/>
      <c r="W44" s="338"/>
      <c r="X44" s="338"/>
    </row>
    <row r="45" spans="2:24" ht="25.05" customHeight="1" x14ac:dyDescent="0.3">
      <c r="B45" s="175" t="s">
        <v>183</v>
      </c>
      <c r="C45" s="176" t="s">
        <v>92</v>
      </c>
      <c r="D45" s="181"/>
      <c r="E45" s="78">
        <f>ROUND(29000*$Y$11,0)</f>
        <v>28420</v>
      </c>
      <c r="F45" s="79">
        <f t="shared" si="3"/>
        <v>0</v>
      </c>
      <c r="G45" s="338"/>
      <c r="H45" s="338"/>
      <c r="I45" s="338"/>
      <c r="J45" s="338"/>
      <c r="K45" s="338"/>
      <c r="L45" s="338"/>
      <c r="M45" s="338"/>
      <c r="N45" s="338"/>
      <c r="O45" s="338"/>
      <c r="P45" s="338"/>
      <c r="Q45" s="338"/>
      <c r="R45" s="338"/>
      <c r="S45" s="338"/>
      <c r="T45" s="338"/>
      <c r="U45" s="338"/>
      <c r="V45" s="338"/>
      <c r="W45" s="338"/>
      <c r="X45" s="338"/>
    </row>
    <row r="46" spans="2:24" ht="25.05" customHeight="1" x14ac:dyDescent="0.3">
      <c r="B46" s="175" t="s">
        <v>184</v>
      </c>
      <c r="C46" s="176" t="s">
        <v>92</v>
      </c>
      <c r="D46" s="181"/>
      <c r="E46" s="78">
        <f>ROUND(26786*$Y$11,0)</f>
        <v>26250</v>
      </c>
      <c r="F46" s="79">
        <f t="shared" si="3"/>
        <v>0</v>
      </c>
      <c r="G46" s="338"/>
      <c r="H46" s="338"/>
      <c r="I46" s="338"/>
      <c r="J46" s="338"/>
      <c r="K46" s="338"/>
      <c r="L46" s="338"/>
      <c r="M46" s="338"/>
      <c r="N46" s="338"/>
      <c r="O46" s="338"/>
      <c r="P46" s="338"/>
      <c r="Q46" s="338"/>
      <c r="R46" s="338"/>
      <c r="S46" s="338"/>
      <c r="T46" s="338"/>
      <c r="U46" s="338"/>
      <c r="V46" s="338"/>
      <c r="W46" s="338"/>
      <c r="X46" s="338"/>
    </row>
    <row r="47" spans="2:24" ht="25.05" customHeight="1" x14ac:dyDescent="0.3">
      <c r="B47" s="175" t="s">
        <v>185</v>
      </c>
      <c r="C47" s="176" t="s">
        <v>92</v>
      </c>
      <c r="D47" s="181"/>
      <c r="E47" s="78">
        <f>ROUND(18163*$Y$11,0)</f>
        <v>17800</v>
      </c>
      <c r="F47" s="79">
        <f t="shared" si="3"/>
        <v>0</v>
      </c>
      <c r="G47" s="338"/>
      <c r="H47" s="338"/>
      <c r="I47" s="338"/>
      <c r="J47" s="338"/>
      <c r="K47" s="338"/>
      <c r="L47" s="338"/>
      <c r="M47" s="338"/>
      <c r="N47" s="338"/>
      <c r="O47" s="338"/>
      <c r="P47" s="338"/>
      <c r="Q47" s="338"/>
      <c r="R47" s="338"/>
      <c r="S47" s="338"/>
      <c r="T47" s="338"/>
      <c r="U47" s="338"/>
      <c r="V47" s="338"/>
      <c r="W47" s="338"/>
      <c r="X47" s="338"/>
    </row>
    <row r="48" spans="2:24" ht="25.05" customHeight="1" x14ac:dyDescent="0.3">
      <c r="B48" s="175" t="s">
        <v>186</v>
      </c>
      <c r="C48" s="176" t="s">
        <v>92</v>
      </c>
      <c r="D48" s="181"/>
      <c r="E48" s="78">
        <f>ROUND(55966*$Y$11,0)</f>
        <v>54847</v>
      </c>
      <c r="F48" s="79">
        <f t="shared" si="3"/>
        <v>0</v>
      </c>
      <c r="G48" s="338"/>
      <c r="H48" s="338"/>
      <c r="I48" s="338"/>
      <c r="J48" s="338"/>
      <c r="K48" s="338"/>
      <c r="L48" s="338"/>
      <c r="M48" s="338"/>
      <c r="N48" s="338"/>
      <c r="O48" s="338"/>
      <c r="P48" s="338"/>
      <c r="Q48" s="338"/>
      <c r="R48" s="338"/>
      <c r="S48" s="338"/>
      <c r="T48" s="338"/>
      <c r="U48" s="338"/>
      <c r="V48" s="338"/>
      <c r="W48" s="338"/>
      <c r="X48" s="338"/>
    </row>
    <row r="49" spans="2:24" ht="25.05" customHeight="1" x14ac:dyDescent="0.3">
      <c r="B49" s="175" t="s">
        <v>187</v>
      </c>
      <c r="C49" s="176" t="s">
        <v>92</v>
      </c>
      <c r="D49" s="181"/>
      <c r="E49" s="78">
        <f>ROUND(7243*$Y$11,0)</f>
        <v>7098</v>
      </c>
      <c r="F49" s="79">
        <f t="shared" si="3"/>
        <v>0</v>
      </c>
      <c r="G49" s="338"/>
      <c r="H49" s="338"/>
      <c r="I49" s="338"/>
      <c r="J49" s="338"/>
      <c r="K49" s="338"/>
      <c r="L49" s="338"/>
      <c r="M49" s="338"/>
      <c r="N49" s="338"/>
      <c r="O49" s="338"/>
      <c r="P49" s="338"/>
      <c r="Q49" s="338"/>
      <c r="R49" s="338"/>
      <c r="S49" s="338"/>
      <c r="T49" s="338"/>
      <c r="U49" s="338"/>
      <c r="V49" s="338"/>
      <c r="W49" s="338"/>
      <c r="X49" s="338"/>
    </row>
    <row r="50" spans="2:24" ht="25.05" customHeight="1" x14ac:dyDescent="0.3">
      <c r="B50" s="175" t="s">
        <v>188</v>
      </c>
      <c r="C50" s="176" t="s">
        <v>92</v>
      </c>
      <c r="D50" s="181"/>
      <c r="E50" s="78">
        <f>ROUND(231420*$Y$11,0)</f>
        <v>226792</v>
      </c>
      <c r="F50" s="79">
        <f t="shared" si="3"/>
        <v>0</v>
      </c>
      <c r="G50" s="338"/>
      <c r="H50" s="338"/>
      <c r="I50" s="338"/>
      <c r="J50" s="338"/>
      <c r="K50" s="338"/>
      <c r="L50" s="338"/>
      <c r="M50" s="338"/>
      <c r="N50" s="338"/>
      <c r="O50" s="338"/>
      <c r="P50" s="338"/>
      <c r="Q50" s="338"/>
      <c r="R50" s="338"/>
      <c r="S50" s="338"/>
      <c r="T50" s="338"/>
      <c r="U50" s="338"/>
      <c r="V50" s="338"/>
      <c r="W50" s="338"/>
      <c r="X50" s="338"/>
    </row>
    <row r="51" spans="2:24" ht="25.05" customHeight="1" x14ac:dyDescent="0.3">
      <c r="B51" s="175" t="s">
        <v>189</v>
      </c>
      <c r="C51" s="176" t="s">
        <v>92</v>
      </c>
      <c r="D51" s="181"/>
      <c r="E51" s="78">
        <f>ROUND(298902*$Y$11,0)</f>
        <v>292924</v>
      </c>
      <c r="F51" s="79">
        <f t="shared" si="3"/>
        <v>0</v>
      </c>
      <c r="G51" s="338"/>
      <c r="H51" s="338"/>
      <c r="I51" s="338"/>
      <c r="J51" s="338"/>
      <c r="K51" s="338"/>
      <c r="L51" s="338"/>
      <c r="M51" s="338"/>
      <c r="N51" s="338"/>
      <c r="O51" s="338"/>
      <c r="P51" s="338"/>
      <c r="Q51" s="338"/>
      <c r="R51" s="338"/>
      <c r="S51" s="338"/>
      <c r="T51" s="338"/>
      <c r="U51" s="338"/>
      <c r="V51" s="338"/>
      <c r="W51" s="338"/>
      <c r="X51" s="338"/>
    </row>
    <row r="52" spans="2:24" ht="25.05" customHeight="1" x14ac:dyDescent="0.3">
      <c r="B52" s="175" t="s">
        <v>190</v>
      </c>
      <c r="C52" s="176" t="s">
        <v>92</v>
      </c>
      <c r="D52" s="181"/>
      <c r="E52" s="78">
        <f>ROUND(94958*$Y$11,0)</f>
        <v>93059</v>
      </c>
      <c r="F52" s="79">
        <f t="shared" si="3"/>
        <v>0</v>
      </c>
      <c r="G52" s="338"/>
      <c r="H52" s="338"/>
      <c r="I52" s="338"/>
      <c r="J52" s="338"/>
      <c r="K52" s="338"/>
      <c r="L52" s="338"/>
      <c r="M52" s="338"/>
      <c r="N52" s="338"/>
      <c r="O52" s="338"/>
      <c r="P52" s="338"/>
      <c r="Q52" s="338"/>
      <c r="R52" s="338"/>
      <c r="S52" s="338"/>
      <c r="T52" s="338"/>
      <c r="U52" s="338"/>
      <c r="V52" s="338"/>
      <c r="W52" s="338"/>
      <c r="X52" s="338"/>
    </row>
    <row r="53" spans="2:24" ht="25.05" customHeight="1" x14ac:dyDescent="0.3">
      <c r="B53" s="175" t="s">
        <v>195</v>
      </c>
      <c r="C53" s="176" t="s">
        <v>107</v>
      </c>
      <c r="D53" s="174"/>
      <c r="E53" s="78">
        <f>ROUND(60114*$Y$11,0)</f>
        <v>58912</v>
      </c>
      <c r="F53" s="79">
        <f t="shared" si="3"/>
        <v>0</v>
      </c>
      <c r="G53" s="338"/>
      <c r="H53" s="338"/>
      <c r="I53" s="338"/>
      <c r="J53" s="338"/>
      <c r="K53" s="338"/>
      <c r="L53" s="338"/>
      <c r="M53" s="338"/>
      <c r="N53" s="338"/>
      <c r="O53" s="338"/>
      <c r="P53" s="338"/>
      <c r="Q53" s="338"/>
      <c r="R53" s="338"/>
      <c r="S53" s="338"/>
      <c r="T53" s="338"/>
      <c r="U53" s="338"/>
      <c r="V53" s="338"/>
      <c r="W53" s="338"/>
      <c r="X53" s="338"/>
    </row>
    <row r="54" spans="2:24" ht="25.05" customHeight="1" x14ac:dyDescent="0.3">
      <c r="B54" s="175" t="s">
        <v>198</v>
      </c>
      <c r="C54" s="176" t="s">
        <v>92</v>
      </c>
      <c r="D54" s="174"/>
      <c r="E54" s="78">
        <f>ROUND(38282*$Y$11,0)</f>
        <v>37516</v>
      </c>
      <c r="F54" s="79">
        <f t="shared" si="3"/>
        <v>0</v>
      </c>
      <c r="G54" s="338"/>
      <c r="H54" s="338"/>
      <c r="I54" s="338"/>
      <c r="J54" s="338"/>
      <c r="K54" s="338"/>
      <c r="L54" s="338"/>
      <c r="M54" s="338"/>
      <c r="N54" s="338"/>
      <c r="O54" s="338"/>
      <c r="P54" s="338"/>
      <c r="Q54" s="338"/>
      <c r="R54" s="338"/>
      <c r="S54" s="338"/>
      <c r="T54" s="338"/>
      <c r="U54" s="338"/>
      <c r="V54" s="338"/>
      <c r="W54" s="338"/>
      <c r="X54" s="338"/>
    </row>
    <row r="55" spans="2:24" ht="25.05" customHeight="1" x14ac:dyDescent="0.3">
      <c r="B55" s="175" t="s">
        <v>199</v>
      </c>
      <c r="C55" s="176" t="s">
        <v>92</v>
      </c>
      <c r="D55" s="174"/>
      <c r="E55" s="78">
        <f>ROUND(36932*$Y$11,0)</f>
        <v>36193</v>
      </c>
      <c r="F55" s="79">
        <f t="shared" si="3"/>
        <v>0</v>
      </c>
      <c r="G55" s="338"/>
      <c r="H55" s="338"/>
      <c r="I55" s="338"/>
      <c r="J55" s="338"/>
      <c r="K55" s="338"/>
      <c r="L55" s="338"/>
      <c r="M55" s="338"/>
      <c r="N55" s="338"/>
      <c r="O55" s="338"/>
      <c r="P55" s="338"/>
      <c r="Q55" s="338"/>
      <c r="R55" s="338"/>
      <c r="S55" s="338"/>
      <c r="T55" s="338"/>
      <c r="U55" s="338"/>
      <c r="V55" s="338"/>
      <c r="W55" s="338"/>
      <c r="X55" s="338"/>
    </row>
    <row r="56" spans="2:24" ht="25.05" customHeight="1" x14ac:dyDescent="0.3">
      <c r="B56" s="175" t="s">
        <v>200</v>
      </c>
      <c r="C56" s="176" t="s">
        <v>92</v>
      </c>
      <c r="D56" s="174"/>
      <c r="E56" s="78">
        <f>ROUND(36543*$Y$11,0)</f>
        <v>35812</v>
      </c>
      <c r="F56" s="79">
        <f t="shared" si="3"/>
        <v>0</v>
      </c>
      <c r="G56" s="338"/>
      <c r="H56" s="338"/>
      <c r="I56" s="338"/>
      <c r="J56" s="338"/>
      <c r="K56" s="338"/>
      <c r="L56" s="338"/>
      <c r="M56" s="338"/>
      <c r="N56" s="338"/>
      <c r="O56" s="338"/>
      <c r="P56" s="338"/>
      <c r="Q56" s="338"/>
      <c r="R56" s="338"/>
      <c r="S56" s="338"/>
      <c r="T56" s="338"/>
      <c r="U56" s="338"/>
      <c r="V56" s="338"/>
      <c r="W56" s="338"/>
      <c r="X56" s="338"/>
    </row>
    <row r="57" spans="2:24" ht="25.05" customHeight="1" x14ac:dyDescent="0.3">
      <c r="B57" s="175" t="s">
        <v>201</v>
      </c>
      <c r="C57" s="176" t="s">
        <v>92</v>
      </c>
      <c r="D57" s="174"/>
      <c r="E57" s="78">
        <f>ROUND(46330*$Y$11,0)</f>
        <v>45403</v>
      </c>
      <c r="F57" s="79">
        <f t="shared" si="3"/>
        <v>0</v>
      </c>
      <c r="G57" s="338"/>
      <c r="H57" s="338"/>
      <c r="I57" s="338"/>
      <c r="J57" s="338"/>
      <c r="K57" s="338"/>
      <c r="L57" s="338"/>
      <c r="M57" s="338"/>
      <c r="N57" s="338"/>
      <c r="O57" s="338"/>
      <c r="P57" s="338"/>
      <c r="Q57" s="338"/>
      <c r="R57" s="338"/>
      <c r="S57" s="338"/>
      <c r="T57" s="338"/>
      <c r="U57" s="338"/>
      <c r="V57" s="338"/>
      <c r="W57" s="338"/>
      <c r="X57" s="338"/>
    </row>
    <row r="58" spans="2:24" ht="25.05" customHeight="1" x14ac:dyDescent="0.3">
      <c r="B58" s="175" t="s">
        <v>202</v>
      </c>
      <c r="C58" s="176" t="s">
        <v>92</v>
      </c>
      <c r="D58" s="174"/>
      <c r="E58" s="78">
        <f>ROUND(10921*$Y$11,0)</f>
        <v>10703</v>
      </c>
      <c r="F58" s="79">
        <f t="shared" si="3"/>
        <v>0</v>
      </c>
      <c r="G58" s="338"/>
      <c r="H58" s="338"/>
      <c r="I58" s="338"/>
      <c r="J58" s="338"/>
      <c r="K58" s="338"/>
      <c r="L58" s="338"/>
      <c r="M58" s="338"/>
      <c r="N58" s="338"/>
      <c r="O58" s="338"/>
      <c r="P58" s="338"/>
      <c r="Q58" s="338"/>
      <c r="R58" s="338"/>
      <c r="S58" s="338"/>
      <c r="T58" s="338"/>
      <c r="U58" s="338"/>
      <c r="V58" s="338"/>
      <c r="W58" s="338"/>
      <c r="X58" s="338"/>
    </row>
    <row r="59" spans="2:24" ht="25.05" customHeight="1" x14ac:dyDescent="0.3">
      <c r="B59" s="175" t="s">
        <v>203</v>
      </c>
      <c r="C59" s="176" t="s">
        <v>92</v>
      </c>
      <c r="D59" s="174"/>
      <c r="E59" s="78">
        <f>ROUND(96108*$Y$11,0)</f>
        <v>94186</v>
      </c>
      <c r="F59" s="79">
        <f t="shared" si="3"/>
        <v>0</v>
      </c>
      <c r="G59" s="338"/>
      <c r="H59" s="338"/>
      <c r="I59" s="338"/>
      <c r="J59" s="338"/>
      <c r="K59" s="338"/>
      <c r="L59" s="338"/>
      <c r="M59" s="338"/>
      <c r="N59" s="338"/>
      <c r="O59" s="338"/>
      <c r="P59" s="338"/>
      <c r="Q59" s="338"/>
      <c r="R59" s="338"/>
      <c r="S59" s="338"/>
      <c r="T59" s="338"/>
      <c r="U59" s="338"/>
      <c r="V59" s="338"/>
      <c r="W59" s="338"/>
      <c r="X59" s="338"/>
    </row>
    <row r="60" spans="2:24" ht="25.05" customHeight="1" x14ac:dyDescent="0.3">
      <c r="B60" s="175" t="s">
        <v>204</v>
      </c>
      <c r="C60" s="176" t="s">
        <v>92</v>
      </c>
      <c r="D60" s="174"/>
      <c r="E60" s="78">
        <f>ROUND(12991*$Y$11,0)</f>
        <v>12731</v>
      </c>
      <c r="F60" s="79">
        <f t="shared" si="3"/>
        <v>0</v>
      </c>
      <c r="G60" s="338"/>
      <c r="H60" s="338"/>
      <c r="I60" s="338"/>
      <c r="J60" s="338"/>
      <c r="K60" s="338"/>
      <c r="L60" s="338"/>
      <c r="M60" s="338"/>
      <c r="N60" s="338"/>
      <c r="O60" s="338"/>
      <c r="P60" s="338"/>
      <c r="Q60" s="338"/>
      <c r="R60" s="338"/>
      <c r="S60" s="338"/>
      <c r="T60" s="338"/>
      <c r="U60" s="338"/>
      <c r="V60" s="338"/>
      <c r="W60" s="338"/>
      <c r="X60" s="338"/>
    </row>
    <row r="61" spans="2:24" ht="25.05" customHeight="1" x14ac:dyDescent="0.3">
      <c r="B61" s="175" t="s">
        <v>205</v>
      </c>
      <c r="C61" s="176" t="s">
        <v>112</v>
      </c>
      <c r="D61" s="181"/>
      <c r="E61" s="80">
        <f>ROUND((492796)*$Y$11,0)</f>
        <v>482940</v>
      </c>
      <c r="F61" s="79">
        <f t="shared" ref="F61" si="4">ROUND(D61*E61,0)</f>
        <v>0</v>
      </c>
      <c r="G61" s="338"/>
      <c r="H61" s="338"/>
      <c r="I61" s="338"/>
      <c r="J61" s="338"/>
      <c r="K61" s="338"/>
      <c r="L61" s="338"/>
      <c r="M61" s="338"/>
      <c r="N61" s="338"/>
      <c r="O61" s="338"/>
      <c r="P61" s="338"/>
      <c r="Q61" s="338"/>
      <c r="R61" s="338"/>
      <c r="S61" s="338"/>
      <c r="T61" s="338"/>
      <c r="U61" s="338"/>
      <c r="V61" s="338"/>
      <c r="W61" s="338"/>
      <c r="X61" s="338"/>
    </row>
    <row r="62" spans="2:24" ht="25.05" customHeight="1" x14ac:dyDescent="0.3">
      <c r="B62" s="175" t="s">
        <v>206</v>
      </c>
      <c r="C62" s="176" t="s">
        <v>112</v>
      </c>
      <c r="D62" s="181"/>
      <c r="E62" s="80">
        <f>ROUND((492796)*$Y$11,0)</f>
        <v>482940</v>
      </c>
      <c r="F62" s="79">
        <f t="shared" ref="F62" si="5">ROUND(D62*E62,0)</f>
        <v>0</v>
      </c>
      <c r="G62" s="338"/>
      <c r="H62" s="338"/>
      <c r="I62" s="338"/>
      <c r="J62" s="338"/>
      <c r="K62" s="338"/>
      <c r="L62" s="338"/>
      <c r="M62" s="338"/>
      <c r="N62" s="338"/>
      <c r="O62" s="338"/>
      <c r="P62" s="338"/>
      <c r="Q62" s="338"/>
      <c r="R62" s="338"/>
      <c r="S62" s="338"/>
      <c r="T62" s="338"/>
      <c r="U62" s="338"/>
      <c r="V62" s="338"/>
      <c r="W62" s="338"/>
      <c r="X62" s="338"/>
    </row>
    <row r="63" spans="2:24" ht="25.05" customHeight="1" thickBot="1" x14ac:dyDescent="0.35">
      <c r="B63" s="182"/>
      <c r="C63" s="183"/>
      <c r="D63" s="184"/>
      <c r="E63" s="81"/>
      <c r="F63" s="82"/>
      <c r="G63" s="338"/>
      <c r="H63" s="338"/>
      <c r="I63" s="338"/>
      <c r="J63" s="338"/>
      <c r="K63" s="338"/>
      <c r="L63" s="338"/>
      <c r="M63" s="338"/>
      <c r="N63" s="338"/>
      <c r="O63" s="338"/>
      <c r="P63" s="338"/>
      <c r="Q63" s="338"/>
      <c r="R63" s="338"/>
      <c r="S63" s="338"/>
      <c r="T63" s="338"/>
      <c r="U63" s="338"/>
      <c r="V63" s="338"/>
      <c r="W63" s="338"/>
      <c r="X63" s="338"/>
    </row>
    <row r="64" spans="2:24" ht="30" customHeight="1" thickTop="1" thickBot="1" x14ac:dyDescent="0.35">
      <c r="B64" s="62"/>
      <c r="C64" s="62"/>
      <c r="D64" s="62"/>
      <c r="E64" s="63"/>
      <c r="F64" s="64"/>
      <c r="G64" s="64"/>
      <c r="H64" s="64"/>
      <c r="I64" s="64"/>
      <c r="J64" s="64"/>
      <c r="K64" s="64"/>
      <c r="L64" s="64"/>
      <c r="M64" s="64"/>
      <c r="N64" s="64"/>
      <c r="O64" s="64"/>
      <c r="P64" s="64"/>
      <c r="Q64" s="64"/>
      <c r="R64" s="64"/>
      <c r="S64" s="64"/>
      <c r="T64" s="64"/>
      <c r="U64" s="64"/>
      <c r="V64" s="64"/>
      <c r="W64" s="64"/>
      <c r="X64" s="64"/>
    </row>
    <row r="65" spans="2:26" ht="30" customHeight="1" thickTop="1" thickBot="1" x14ac:dyDescent="0.35">
      <c r="B65" s="83" t="s">
        <v>114</v>
      </c>
      <c r="C65" s="62"/>
      <c r="D65" s="62"/>
      <c r="E65" s="63"/>
      <c r="F65" s="84">
        <f>SUM(F67:F79)</f>
        <v>0</v>
      </c>
      <c r="G65" s="338"/>
      <c r="H65" s="338"/>
      <c r="I65" s="338"/>
      <c r="J65" s="338"/>
      <c r="K65" s="338"/>
      <c r="L65" s="338"/>
      <c r="M65" s="338"/>
      <c r="N65" s="338"/>
      <c r="O65" s="338"/>
      <c r="P65" s="338"/>
      <c r="Q65" s="338"/>
      <c r="R65" s="338"/>
      <c r="S65" s="338"/>
      <c r="T65" s="338"/>
      <c r="U65" s="338"/>
      <c r="V65" s="338"/>
      <c r="W65" s="338"/>
      <c r="X65" s="338"/>
      <c r="Y65" s="338"/>
    </row>
    <row r="66" spans="2:26" ht="30" customHeight="1" thickTop="1" thickBot="1" x14ac:dyDescent="0.35">
      <c r="B66" s="72" t="s">
        <v>5</v>
      </c>
      <c r="C66" s="73" t="s">
        <v>92</v>
      </c>
      <c r="D66" s="73" t="s">
        <v>93</v>
      </c>
      <c r="E66" s="74" t="s">
        <v>94</v>
      </c>
      <c r="F66" s="75" t="s">
        <v>95</v>
      </c>
      <c r="G66" s="338"/>
      <c r="H66" s="338"/>
      <c r="I66" s="338"/>
      <c r="J66" s="338"/>
      <c r="K66" s="338"/>
      <c r="L66" s="338"/>
      <c r="M66" s="338"/>
      <c r="N66" s="338"/>
      <c r="O66" s="338"/>
      <c r="P66" s="338"/>
      <c r="Q66" s="338"/>
      <c r="R66" s="338"/>
      <c r="S66" s="338"/>
      <c r="T66" s="338"/>
      <c r="U66" s="338"/>
      <c r="V66" s="338"/>
      <c r="W66" s="338"/>
      <c r="X66" s="338"/>
      <c r="Y66" s="338"/>
    </row>
    <row r="67" spans="2:26" ht="25.05" customHeight="1" thickTop="1" x14ac:dyDescent="0.3">
      <c r="B67" s="85" t="s">
        <v>115</v>
      </c>
      <c r="C67" s="86" t="s">
        <v>150</v>
      </c>
      <c r="D67" s="87"/>
      <c r="E67" s="88">
        <f>E68/2</f>
        <v>114110.5</v>
      </c>
      <c r="F67" s="89">
        <f>ROUND(D67*E67,0)</f>
        <v>0</v>
      </c>
      <c r="G67" s="338"/>
      <c r="H67" s="338"/>
      <c r="I67" s="338"/>
      <c r="J67" s="338"/>
      <c r="K67" s="338"/>
      <c r="L67" s="338"/>
      <c r="M67" s="338"/>
      <c r="N67" s="338"/>
      <c r="O67" s="338"/>
      <c r="P67" s="338"/>
      <c r="Q67" s="338"/>
      <c r="R67" s="338"/>
      <c r="S67" s="338"/>
      <c r="T67" s="338"/>
      <c r="U67" s="338"/>
      <c r="V67" s="338"/>
      <c r="W67" s="338"/>
      <c r="X67" s="338"/>
      <c r="Y67" s="338"/>
      <c r="Z67" s="90"/>
    </row>
    <row r="68" spans="2:26" ht="25.05" customHeight="1" x14ac:dyDescent="0.3">
      <c r="B68" s="185" t="s">
        <v>171</v>
      </c>
      <c r="C68" s="186" t="s">
        <v>150</v>
      </c>
      <c r="D68" s="187"/>
      <c r="E68" s="78">
        <f t="shared" ref="E68" si="6">ROUND(232879*$Y$11,0)</f>
        <v>228221</v>
      </c>
      <c r="F68" s="79">
        <f>ROUND(D68*E68,0)</f>
        <v>0</v>
      </c>
      <c r="G68" s="338"/>
      <c r="H68" s="338"/>
      <c r="I68" s="338"/>
      <c r="J68" s="338"/>
      <c r="K68" s="338"/>
      <c r="L68" s="338"/>
      <c r="M68" s="338"/>
      <c r="N68" s="338"/>
      <c r="O68" s="338"/>
      <c r="P68" s="338"/>
      <c r="Q68" s="338"/>
      <c r="R68" s="338"/>
      <c r="S68" s="338"/>
      <c r="T68" s="338"/>
      <c r="U68" s="338"/>
      <c r="V68" s="338"/>
      <c r="W68" s="338"/>
      <c r="X68" s="338"/>
      <c r="Y68" s="338"/>
      <c r="Z68" s="90"/>
    </row>
    <row r="69" spans="2:26" ht="25.05" customHeight="1" x14ac:dyDescent="0.3">
      <c r="B69" s="185" t="s">
        <v>172</v>
      </c>
      <c r="C69" s="186" t="s">
        <v>150</v>
      </c>
      <c r="D69" s="187"/>
      <c r="E69" s="78">
        <f>E67*3</f>
        <v>342331.5</v>
      </c>
      <c r="F69" s="79"/>
      <c r="G69" s="338"/>
      <c r="H69" s="338"/>
      <c r="I69" s="338"/>
      <c r="J69" s="338"/>
      <c r="K69" s="338"/>
      <c r="L69" s="338"/>
      <c r="M69" s="338"/>
      <c r="N69" s="338"/>
      <c r="O69" s="338"/>
      <c r="P69" s="338"/>
      <c r="Q69" s="338"/>
      <c r="R69" s="338"/>
      <c r="S69" s="338"/>
      <c r="T69" s="338"/>
      <c r="U69" s="338"/>
      <c r="V69" s="338"/>
      <c r="W69" s="338"/>
      <c r="X69" s="338"/>
    </row>
    <row r="70" spans="2:26" ht="25.05" customHeight="1" x14ac:dyDescent="0.3">
      <c r="B70" s="185" t="s">
        <v>173</v>
      </c>
      <c r="C70" s="186" t="s">
        <v>150</v>
      </c>
      <c r="D70" s="187"/>
      <c r="E70" s="78">
        <f>E67*4</f>
        <v>456442</v>
      </c>
      <c r="F70" s="79"/>
      <c r="G70" s="338"/>
      <c r="H70" s="338"/>
      <c r="I70" s="338"/>
      <c r="J70" s="338"/>
      <c r="K70" s="338"/>
      <c r="L70" s="338"/>
      <c r="M70" s="338"/>
      <c r="N70" s="338"/>
      <c r="O70" s="338"/>
      <c r="P70" s="338"/>
      <c r="Q70" s="338"/>
      <c r="R70" s="338"/>
      <c r="S70" s="338"/>
      <c r="T70" s="338"/>
      <c r="U70" s="338"/>
      <c r="V70" s="338"/>
      <c r="W70" s="338"/>
      <c r="X70" s="338"/>
    </row>
    <row r="71" spans="2:26" ht="25.05" customHeight="1" x14ac:dyDescent="0.3">
      <c r="B71" s="175" t="s">
        <v>117</v>
      </c>
      <c r="C71" s="176" t="s">
        <v>150</v>
      </c>
      <c r="D71" s="174"/>
      <c r="E71" s="78">
        <f>ROUND(197946*$Y$11,0)</f>
        <v>193987</v>
      </c>
      <c r="F71" s="79">
        <f>ROUND(D71*E71,0)</f>
        <v>0</v>
      </c>
      <c r="G71" s="338"/>
      <c r="H71" s="338"/>
      <c r="I71" s="338"/>
      <c r="J71" s="338"/>
      <c r="K71" s="338"/>
      <c r="L71" s="338"/>
      <c r="M71" s="338"/>
      <c r="N71" s="338"/>
      <c r="O71" s="338"/>
      <c r="P71" s="338"/>
      <c r="Q71" s="338"/>
      <c r="R71" s="338"/>
      <c r="S71" s="338"/>
      <c r="T71" s="338"/>
      <c r="U71" s="338"/>
      <c r="V71" s="338"/>
      <c r="W71" s="338"/>
      <c r="X71" s="338"/>
    </row>
    <row r="72" spans="2:26" ht="25.05" customHeight="1" x14ac:dyDescent="0.3">
      <c r="B72" s="175" t="s">
        <v>118</v>
      </c>
      <c r="C72" s="176" t="s">
        <v>150</v>
      </c>
      <c r="D72" s="174"/>
      <c r="E72" s="78">
        <f>ROUND(314386*$Y$11,0)</f>
        <v>308098</v>
      </c>
      <c r="F72" s="79">
        <f>ROUND(D72*E72,0)</f>
        <v>0</v>
      </c>
      <c r="G72" s="338"/>
      <c r="H72" s="338"/>
      <c r="I72" s="338"/>
      <c r="J72" s="338"/>
      <c r="K72" s="338"/>
      <c r="L72" s="338"/>
      <c r="M72" s="338"/>
      <c r="N72" s="338"/>
      <c r="O72" s="338"/>
      <c r="P72" s="338"/>
      <c r="Q72" s="338"/>
      <c r="R72" s="338"/>
      <c r="S72" s="338"/>
      <c r="T72" s="338"/>
      <c r="U72" s="338"/>
      <c r="V72" s="338"/>
      <c r="W72" s="338"/>
      <c r="X72" s="338"/>
      <c r="Y72" s="90"/>
      <c r="Z72" s="154"/>
    </row>
    <row r="73" spans="2:26" ht="25.05" customHeight="1" x14ac:dyDescent="0.3">
      <c r="B73" s="172" t="s">
        <v>119</v>
      </c>
      <c r="C73" s="176" t="s">
        <v>150</v>
      </c>
      <c r="D73" s="174"/>
      <c r="E73" s="78">
        <f>ROUND(430826*$Y$11,0)</f>
        <v>422209</v>
      </c>
      <c r="F73" s="79">
        <f t="shared" ref="F73:F78" si="7">ROUND(D73*E73,0)</f>
        <v>0</v>
      </c>
      <c r="G73" s="338"/>
      <c r="H73" s="338"/>
      <c r="I73" s="338"/>
      <c r="J73" s="338"/>
      <c r="K73" s="338"/>
      <c r="L73" s="338"/>
      <c r="M73" s="338"/>
      <c r="N73" s="338"/>
      <c r="O73" s="338"/>
      <c r="P73" s="338"/>
      <c r="Q73" s="338"/>
      <c r="R73" s="338"/>
      <c r="S73" s="338"/>
      <c r="T73" s="338"/>
      <c r="U73" s="338"/>
      <c r="V73" s="338"/>
      <c r="W73" s="338"/>
      <c r="X73" s="338"/>
      <c r="Y73" s="90"/>
      <c r="Z73" s="90"/>
    </row>
    <row r="74" spans="2:26" ht="25.05" customHeight="1" x14ac:dyDescent="0.3">
      <c r="B74" s="172" t="s">
        <v>120</v>
      </c>
      <c r="C74" s="173" t="s">
        <v>116</v>
      </c>
      <c r="D74" s="174"/>
      <c r="E74" s="78">
        <f>E71+E69</f>
        <v>536318.5</v>
      </c>
      <c r="F74" s="79">
        <f>ROUND(D74*E74,0)</f>
        <v>0</v>
      </c>
      <c r="G74" s="338"/>
      <c r="H74" s="338"/>
      <c r="I74" s="338"/>
      <c r="J74" s="338"/>
      <c r="K74" s="338"/>
      <c r="L74" s="338"/>
      <c r="M74" s="338"/>
      <c r="N74" s="338"/>
      <c r="O74" s="338"/>
      <c r="P74" s="338"/>
      <c r="Q74" s="338"/>
      <c r="R74" s="338"/>
      <c r="S74" s="338"/>
      <c r="T74" s="338"/>
      <c r="U74" s="338"/>
      <c r="V74" s="338"/>
      <c r="W74" s="338"/>
      <c r="X74" s="338"/>
      <c r="Z74" s="90"/>
    </row>
    <row r="75" spans="2:26" ht="25.05" customHeight="1" x14ac:dyDescent="0.3">
      <c r="B75" s="172" t="s">
        <v>121</v>
      </c>
      <c r="C75" s="173" t="s">
        <v>116</v>
      </c>
      <c r="D75" s="174"/>
      <c r="E75" s="78">
        <f>E70+E71</f>
        <v>650429</v>
      </c>
      <c r="F75" s="79">
        <f>ROUND(D75*E75,0)</f>
        <v>0</v>
      </c>
      <c r="G75" s="338"/>
      <c r="H75" s="338"/>
      <c r="I75" s="338"/>
      <c r="J75" s="338"/>
      <c r="K75" s="338"/>
      <c r="L75" s="338"/>
      <c r="M75" s="338"/>
      <c r="N75" s="338"/>
      <c r="O75" s="338"/>
      <c r="P75" s="338"/>
      <c r="Q75" s="338"/>
      <c r="R75" s="338"/>
      <c r="S75" s="338"/>
      <c r="T75" s="338"/>
      <c r="U75" s="338"/>
      <c r="V75" s="338"/>
      <c r="W75" s="338"/>
      <c r="X75" s="338"/>
      <c r="Z75" s="154"/>
    </row>
    <row r="76" spans="2:26" ht="25.05" customHeight="1" x14ac:dyDescent="0.3">
      <c r="B76" s="172" t="s">
        <v>122</v>
      </c>
      <c r="C76" s="173" t="s">
        <v>116</v>
      </c>
      <c r="D76" s="174"/>
      <c r="E76" s="78">
        <f>(E67*5)+E71</f>
        <v>764539.5</v>
      </c>
      <c r="F76" s="79">
        <f t="shared" si="7"/>
        <v>0</v>
      </c>
      <c r="G76" s="338"/>
      <c r="H76" s="338"/>
      <c r="I76" s="338"/>
      <c r="J76" s="338"/>
      <c r="K76" s="338"/>
      <c r="L76" s="338"/>
      <c r="M76" s="338"/>
      <c r="N76" s="338"/>
      <c r="O76" s="338"/>
      <c r="P76" s="338"/>
      <c r="Q76" s="338"/>
      <c r="R76" s="338"/>
      <c r="S76" s="338"/>
      <c r="T76" s="338"/>
      <c r="U76" s="338"/>
      <c r="V76" s="338"/>
      <c r="W76" s="338"/>
      <c r="X76" s="338"/>
      <c r="Z76" s="154"/>
    </row>
    <row r="77" spans="2:26" ht="25.05" customHeight="1" x14ac:dyDescent="0.3">
      <c r="B77" s="172" t="s">
        <v>123</v>
      </c>
      <c r="C77" s="173" t="s">
        <v>150</v>
      </c>
      <c r="D77" s="174"/>
      <c r="E77" s="78">
        <f>ROUND((758564)*$Y$11,0)</f>
        <v>743393</v>
      </c>
      <c r="F77" s="79">
        <f t="shared" si="7"/>
        <v>0</v>
      </c>
      <c r="G77" s="338"/>
      <c r="H77" s="338"/>
      <c r="I77" s="338"/>
      <c r="J77" s="338"/>
      <c r="K77" s="338"/>
      <c r="L77" s="338"/>
      <c r="M77" s="338"/>
      <c r="N77" s="338"/>
      <c r="O77" s="338"/>
      <c r="P77" s="338"/>
      <c r="Q77" s="338"/>
      <c r="R77" s="338"/>
      <c r="S77" s="338"/>
      <c r="T77" s="338"/>
      <c r="U77" s="338"/>
      <c r="V77" s="338"/>
      <c r="W77" s="338"/>
      <c r="X77" s="338"/>
    </row>
    <row r="78" spans="2:26" ht="25.05" customHeight="1" x14ac:dyDescent="0.3">
      <c r="B78" s="188" t="s">
        <v>152</v>
      </c>
      <c r="C78" s="176" t="s">
        <v>150</v>
      </c>
      <c r="D78" s="189"/>
      <c r="E78" s="78">
        <f>ROUND(241113*$Y$11,0)</f>
        <v>236291</v>
      </c>
      <c r="F78" s="79">
        <f t="shared" si="7"/>
        <v>0</v>
      </c>
      <c r="G78" s="338"/>
      <c r="H78" s="338"/>
      <c r="I78" s="338"/>
      <c r="J78" s="338"/>
      <c r="K78" s="338"/>
      <c r="L78" s="338"/>
      <c r="M78" s="338"/>
      <c r="N78" s="338"/>
      <c r="O78" s="338"/>
      <c r="P78" s="338"/>
      <c r="Q78" s="338"/>
      <c r="R78" s="338"/>
      <c r="S78" s="338"/>
      <c r="T78" s="338"/>
      <c r="U78" s="338"/>
      <c r="V78" s="338"/>
      <c r="W78" s="338"/>
      <c r="X78" s="338"/>
    </row>
    <row r="79" spans="2:26" ht="25.05" customHeight="1" thickBot="1" x14ac:dyDescent="0.35">
      <c r="B79" s="182"/>
      <c r="C79" s="183"/>
      <c r="D79" s="190"/>
      <c r="E79" s="81"/>
      <c r="F79" s="82"/>
      <c r="G79" s="338"/>
      <c r="H79" s="338"/>
      <c r="I79" s="338"/>
      <c r="J79" s="338"/>
      <c r="K79" s="338"/>
      <c r="L79" s="338"/>
      <c r="M79" s="338"/>
      <c r="N79" s="338"/>
      <c r="O79" s="338"/>
      <c r="P79" s="338"/>
      <c r="Q79" s="338"/>
      <c r="R79" s="338"/>
      <c r="S79" s="338"/>
      <c r="T79" s="338"/>
      <c r="U79" s="338"/>
      <c r="V79" s="338"/>
      <c r="W79" s="338"/>
      <c r="X79" s="338"/>
    </row>
    <row r="80" spans="2:26" ht="30" customHeight="1" thickTop="1" thickBot="1" x14ac:dyDescent="0.35">
      <c r="B80" s="62"/>
      <c r="C80" s="62"/>
      <c r="D80" s="62"/>
      <c r="E80" s="63"/>
      <c r="F80" s="64"/>
      <c r="G80" s="64"/>
      <c r="H80" s="64"/>
      <c r="I80" s="64"/>
      <c r="J80" s="64"/>
      <c r="K80" s="64"/>
      <c r="L80" s="64"/>
      <c r="M80" s="64"/>
      <c r="N80" s="64"/>
      <c r="O80" s="64"/>
      <c r="P80" s="64"/>
      <c r="Q80" s="64"/>
      <c r="R80" s="64"/>
      <c r="S80" s="64"/>
      <c r="T80" s="64"/>
      <c r="U80" s="64"/>
      <c r="V80" s="64"/>
      <c r="W80" s="64"/>
      <c r="X80" s="64"/>
    </row>
    <row r="81" spans="2:25" ht="30" customHeight="1" thickTop="1" thickBot="1" x14ac:dyDescent="0.35">
      <c r="B81" s="83" t="s">
        <v>125</v>
      </c>
      <c r="C81" s="65"/>
      <c r="D81" s="65"/>
      <c r="E81" s="91"/>
      <c r="F81" s="84">
        <f>SUM(F83:F102)</f>
        <v>0</v>
      </c>
      <c r="G81" s="338"/>
      <c r="H81" s="338"/>
      <c r="I81" s="338"/>
      <c r="J81" s="338"/>
      <c r="K81" s="338"/>
      <c r="L81" s="338"/>
      <c r="M81" s="338"/>
      <c r="N81" s="338"/>
      <c r="O81" s="338"/>
      <c r="P81" s="338"/>
      <c r="Q81" s="338"/>
      <c r="R81" s="338"/>
      <c r="S81" s="338"/>
      <c r="T81" s="338"/>
      <c r="U81" s="338"/>
      <c r="V81" s="338"/>
      <c r="W81" s="338"/>
      <c r="X81" s="338"/>
      <c r="Y81" s="338"/>
    </row>
    <row r="82" spans="2:25" ht="30" customHeight="1" thickTop="1" thickBot="1" x14ac:dyDescent="0.35">
      <c r="B82" s="72" t="s">
        <v>5</v>
      </c>
      <c r="C82" s="73" t="s">
        <v>92</v>
      </c>
      <c r="D82" s="73" t="s">
        <v>93</v>
      </c>
      <c r="E82" s="74" t="s">
        <v>94</v>
      </c>
      <c r="F82" s="75" t="s">
        <v>95</v>
      </c>
      <c r="G82" s="338"/>
      <c r="H82" s="338"/>
      <c r="I82" s="338"/>
      <c r="J82" s="338"/>
      <c r="K82" s="338"/>
      <c r="L82" s="338"/>
      <c r="M82" s="338"/>
      <c r="N82" s="338"/>
      <c r="O82" s="338"/>
      <c r="P82" s="338"/>
      <c r="Q82" s="338"/>
      <c r="R82" s="338"/>
      <c r="S82" s="338"/>
      <c r="T82" s="338"/>
      <c r="U82" s="338"/>
      <c r="V82" s="338"/>
      <c r="W82" s="338"/>
      <c r="X82" s="338"/>
      <c r="Y82" s="338"/>
    </row>
    <row r="83" spans="2:25" ht="25.05" customHeight="1" thickTop="1" x14ac:dyDescent="0.3">
      <c r="B83" s="175" t="s">
        <v>126</v>
      </c>
      <c r="C83" s="176" t="s">
        <v>107</v>
      </c>
      <c r="D83" s="174"/>
      <c r="E83" s="78">
        <f>ROUND(25318*$Y$11,0)</f>
        <v>24812</v>
      </c>
      <c r="F83" s="79">
        <f t="shared" ref="F83:F90" si="8">ROUND(D83*E83,0)</f>
        <v>0</v>
      </c>
      <c r="G83" s="338"/>
      <c r="H83" s="338"/>
      <c r="I83" s="338"/>
      <c r="J83" s="338"/>
      <c r="K83" s="338"/>
      <c r="L83" s="338"/>
      <c r="M83" s="338"/>
      <c r="N83" s="338"/>
      <c r="O83" s="338"/>
      <c r="P83" s="338"/>
      <c r="Q83" s="338"/>
      <c r="R83" s="338"/>
      <c r="S83" s="338"/>
      <c r="T83" s="338"/>
      <c r="U83" s="338"/>
      <c r="V83" s="338"/>
      <c r="W83" s="338"/>
      <c r="X83" s="338"/>
      <c r="Y83" s="338"/>
    </row>
    <row r="84" spans="2:25" ht="25.05" customHeight="1" x14ac:dyDescent="0.3">
      <c r="B84" s="175" t="s">
        <v>132</v>
      </c>
      <c r="C84" s="176" t="s">
        <v>29</v>
      </c>
      <c r="D84" s="181"/>
      <c r="E84" s="78">
        <f>ROUND(2218*$Y$11,0)</f>
        <v>2174</v>
      </c>
      <c r="F84" s="79">
        <f>ROUND(D84*E84,0)</f>
        <v>0</v>
      </c>
      <c r="G84" s="338"/>
      <c r="H84" s="338"/>
      <c r="I84" s="338"/>
      <c r="J84" s="338"/>
      <c r="K84" s="338"/>
      <c r="L84" s="338"/>
      <c r="M84" s="338"/>
      <c r="N84" s="338"/>
      <c r="O84" s="338"/>
      <c r="P84" s="338"/>
      <c r="Q84" s="338"/>
      <c r="R84" s="338"/>
      <c r="S84" s="338"/>
      <c r="T84" s="338"/>
      <c r="U84" s="338"/>
      <c r="V84" s="338"/>
      <c r="W84" s="338"/>
      <c r="X84" s="338"/>
      <c r="Y84" s="338"/>
    </row>
    <row r="85" spans="2:25" ht="25.05" customHeight="1" x14ac:dyDescent="0.3">
      <c r="B85" s="175" t="s">
        <v>151</v>
      </c>
      <c r="C85" s="176" t="s">
        <v>29</v>
      </c>
      <c r="D85" s="181"/>
      <c r="E85" s="78">
        <f>ROUND(6409*$Y$11,0)</f>
        <v>6281</v>
      </c>
      <c r="F85" s="79">
        <f>ROUND(D85*E85,0)</f>
        <v>0</v>
      </c>
      <c r="G85" s="338"/>
      <c r="H85" s="338"/>
      <c r="I85" s="338"/>
      <c r="J85" s="338"/>
      <c r="K85" s="338"/>
      <c r="L85" s="338"/>
      <c r="M85" s="338"/>
      <c r="N85" s="338"/>
      <c r="O85" s="338"/>
      <c r="P85" s="338"/>
      <c r="Q85" s="338"/>
      <c r="R85" s="338"/>
      <c r="S85" s="338"/>
      <c r="T85" s="338"/>
      <c r="U85" s="338"/>
      <c r="V85" s="338"/>
      <c r="W85" s="338"/>
      <c r="X85" s="338"/>
      <c r="Y85" s="338"/>
    </row>
    <row r="86" spans="2:25" ht="25.05" customHeight="1" x14ac:dyDescent="0.3">
      <c r="B86" s="175" t="s">
        <v>127</v>
      </c>
      <c r="C86" s="176" t="s">
        <v>16</v>
      </c>
      <c r="D86" s="181"/>
      <c r="E86" s="78">
        <f>ROUND(358926*$Y$11,0)</f>
        <v>351747</v>
      </c>
      <c r="F86" s="79">
        <f t="shared" si="8"/>
        <v>0</v>
      </c>
      <c r="G86" s="338"/>
      <c r="H86" s="338"/>
      <c r="I86" s="338"/>
      <c r="J86" s="338"/>
      <c r="K86" s="338"/>
      <c r="L86" s="338"/>
      <c r="M86" s="338"/>
      <c r="N86" s="338"/>
      <c r="O86" s="338"/>
      <c r="P86" s="338"/>
      <c r="Q86" s="338"/>
      <c r="R86" s="338"/>
      <c r="S86" s="338"/>
      <c r="T86" s="338"/>
      <c r="U86" s="338"/>
      <c r="V86" s="338"/>
      <c r="W86" s="338"/>
      <c r="X86" s="338"/>
      <c r="Y86" s="338"/>
    </row>
    <row r="87" spans="2:25" ht="25.05" customHeight="1" x14ac:dyDescent="0.3">
      <c r="B87" s="175" t="s">
        <v>128</v>
      </c>
      <c r="C87" s="176" t="s">
        <v>150</v>
      </c>
      <c r="D87" s="174"/>
      <c r="E87" s="78">
        <f>ROUND(10579*$Y$11,0)</f>
        <v>10367</v>
      </c>
      <c r="F87" s="79">
        <f>ROUND(D87*E87,0)</f>
        <v>0</v>
      </c>
      <c r="G87" s="338"/>
      <c r="H87" s="338"/>
      <c r="I87" s="338"/>
      <c r="J87" s="338"/>
      <c r="K87" s="338"/>
      <c r="L87" s="338"/>
      <c r="M87" s="338"/>
      <c r="N87" s="338"/>
      <c r="O87" s="338"/>
      <c r="P87" s="338"/>
      <c r="Q87" s="338"/>
      <c r="R87" s="338"/>
      <c r="S87" s="338"/>
      <c r="T87" s="338"/>
      <c r="U87" s="338"/>
      <c r="V87" s="338"/>
      <c r="W87" s="338"/>
      <c r="X87" s="338"/>
      <c r="Y87" s="338"/>
    </row>
    <row r="88" spans="2:25" ht="25.05" customHeight="1" x14ac:dyDescent="0.3">
      <c r="B88" s="175" t="s">
        <v>166</v>
      </c>
      <c r="C88" s="176" t="s">
        <v>29</v>
      </c>
      <c r="D88" s="174"/>
      <c r="E88" s="78">
        <f>ROUND(5640*$Y$11,0)</f>
        <v>5527</v>
      </c>
      <c r="F88" s="79">
        <f>ROUND(D88*E88,0)</f>
        <v>0</v>
      </c>
      <c r="G88" s="338"/>
      <c r="H88" s="338"/>
      <c r="I88" s="338"/>
      <c r="J88" s="338"/>
      <c r="K88" s="338"/>
      <c r="L88" s="338"/>
      <c r="M88" s="338"/>
      <c r="N88" s="338"/>
      <c r="O88" s="338"/>
      <c r="P88" s="338"/>
      <c r="Q88" s="338"/>
      <c r="R88" s="338"/>
      <c r="S88" s="338"/>
      <c r="T88" s="338"/>
      <c r="U88" s="338"/>
      <c r="V88" s="338"/>
      <c r="W88" s="338"/>
      <c r="X88" s="338"/>
    </row>
    <row r="89" spans="2:25" ht="25.05" customHeight="1" x14ac:dyDescent="0.3">
      <c r="B89" s="175" t="s">
        <v>167</v>
      </c>
      <c r="C89" s="176" t="s">
        <v>29</v>
      </c>
      <c r="D89" s="174"/>
      <c r="E89" s="78">
        <f>ROUND(5859*$Y$11,0)</f>
        <v>5742</v>
      </c>
      <c r="F89" s="79">
        <f t="shared" si="8"/>
        <v>0</v>
      </c>
      <c r="G89" s="338"/>
      <c r="H89" s="338"/>
      <c r="I89" s="338"/>
      <c r="J89" s="338"/>
      <c r="K89" s="338"/>
      <c r="L89" s="338"/>
      <c r="M89" s="338"/>
      <c r="N89" s="338"/>
      <c r="O89" s="338"/>
      <c r="P89" s="338"/>
      <c r="Q89" s="338"/>
      <c r="R89" s="338"/>
      <c r="S89" s="338"/>
      <c r="T89" s="338"/>
      <c r="U89" s="338"/>
      <c r="V89" s="338"/>
      <c r="W89" s="338"/>
      <c r="X89" s="338"/>
    </row>
    <row r="90" spans="2:25" ht="25.05" customHeight="1" x14ac:dyDescent="0.3">
      <c r="B90" s="175" t="s">
        <v>168</v>
      </c>
      <c r="C90" s="176" t="s">
        <v>29</v>
      </c>
      <c r="D90" s="174"/>
      <c r="E90" s="78">
        <f>ROUND(51275*$Y$11,0)</f>
        <v>50250</v>
      </c>
      <c r="F90" s="79">
        <f t="shared" si="8"/>
        <v>0</v>
      </c>
      <c r="G90" s="338"/>
      <c r="H90" s="338"/>
      <c r="I90" s="338"/>
      <c r="J90" s="338"/>
      <c r="K90" s="338"/>
      <c r="L90" s="338"/>
      <c r="M90" s="338"/>
      <c r="N90" s="338"/>
      <c r="O90" s="338"/>
      <c r="P90" s="338"/>
      <c r="Q90" s="338"/>
      <c r="R90" s="338"/>
      <c r="S90" s="338"/>
      <c r="T90" s="338"/>
      <c r="U90" s="338"/>
      <c r="V90" s="338"/>
      <c r="W90" s="338"/>
      <c r="X90" s="338"/>
    </row>
    <row r="91" spans="2:25" ht="25.05" customHeight="1" x14ac:dyDescent="0.3">
      <c r="B91" s="175" t="s">
        <v>170</v>
      </c>
      <c r="C91" s="176" t="s">
        <v>29</v>
      </c>
      <c r="D91" s="174"/>
      <c r="E91" s="78">
        <f>ROUND(95000*$Y$11,0)</f>
        <v>93100</v>
      </c>
      <c r="F91" s="79"/>
      <c r="G91" s="338"/>
      <c r="H91" s="338"/>
      <c r="I91" s="338"/>
      <c r="J91" s="338"/>
      <c r="K91" s="338"/>
      <c r="L91" s="338"/>
      <c r="M91" s="338"/>
      <c r="N91" s="338"/>
      <c r="O91" s="338"/>
      <c r="P91" s="338"/>
      <c r="Q91" s="338"/>
      <c r="R91" s="338"/>
      <c r="S91" s="338"/>
      <c r="T91" s="338"/>
      <c r="U91" s="338"/>
      <c r="V91" s="338"/>
      <c r="W91" s="338"/>
      <c r="X91" s="338"/>
    </row>
    <row r="92" spans="2:25" ht="25.05" customHeight="1" x14ac:dyDescent="0.3">
      <c r="B92" s="175" t="s">
        <v>197</v>
      </c>
      <c r="C92" s="176" t="s">
        <v>133</v>
      </c>
      <c r="D92" s="181"/>
      <c r="E92" s="78">
        <v>966666</v>
      </c>
      <c r="F92" s="79">
        <f>ROUND(D92*E92,0)</f>
        <v>0</v>
      </c>
      <c r="G92" s="338"/>
      <c r="H92" s="338"/>
      <c r="I92" s="338"/>
      <c r="J92" s="338"/>
      <c r="K92" s="338"/>
      <c r="L92" s="338"/>
      <c r="M92" s="338"/>
      <c r="N92" s="338"/>
      <c r="O92" s="338"/>
      <c r="P92" s="338"/>
      <c r="Q92" s="338"/>
      <c r="R92" s="338"/>
      <c r="S92" s="338"/>
      <c r="T92" s="338"/>
      <c r="U92" s="338"/>
      <c r="V92" s="338"/>
      <c r="W92" s="338"/>
      <c r="X92" s="338"/>
    </row>
    <row r="93" spans="2:25" ht="25.05" customHeight="1" x14ac:dyDescent="0.3">
      <c r="B93" s="175" t="s">
        <v>130</v>
      </c>
      <c r="C93" s="176" t="s">
        <v>124</v>
      </c>
      <c r="D93" s="181"/>
      <c r="E93" s="78">
        <f>ROUND(264453*$Y$11,0)</f>
        <v>259164</v>
      </c>
      <c r="F93" s="79">
        <f>ROUND(D93*E93,0)</f>
        <v>0</v>
      </c>
      <c r="G93" s="338"/>
      <c r="H93" s="338"/>
      <c r="I93" s="338"/>
      <c r="J93" s="338"/>
      <c r="K93" s="338"/>
      <c r="L93" s="338"/>
      <c r="M93" s="338"/>
      <c r="N93" s="338"/>
      <c r="O93" s="338"/>
      <c r="P93" s="338"/>
      <c r="Q93" s="338"/>
      <c r="R93" s="338"/>
      <c r="S93" s="338"/>
      <c r="T93" s="338"/>
      <c r="U93" s="338"/>
      <c r="V93" s="338"/>
      <c r="W93" s="338"/>
      <c r="X93" s="338"/>
    </row>
    <row r="94" spans="2:25" ht="25.05" customHeight="1" x14ac:dyDescent="0.3">
      <c r="B94" s="175" t="s">
        <v>178</v>
      </c>
      <c r="C94" s="176" t="s">
        <v>29</v>
      </c>
      <c r="D94" s="181"/>
      <c r="E94" s="78">
        <f>ROUND(950000*$Y$11,0)</f>
        <v>931000</v>
      </c>
      <c r="F94" s="79"/>
      <c r="G94" s="338"/>
      <c r="H94" s="338"/>
      <c r="I94" s="338"/>
      <c r="J94" s="338"/>
      <c r="K94" s="338"/>
      <c r="L94" s="338"/>
      <c r="M94" s="338"/>
      <c r="N94" s="338"/>
      <c r="O94" s="338"/>
      <c r="P94" s="338"/>
      <c r="Q94" s="338"/>
      <c r="R94" s="338"/>
      <c r="S94" s="338"/>
      <c r="T94" s="338"/>
      <c r="U94" s="338"/>
      <c r="V94" s="338"/>
      <c r="W94" s="338"/>
      <c r="X94" s="338"/>
    </row>
    <row r="95" spans="2:25" ht="25.05" customHeight="1" x14ac:dyDescent="0.3">
      <c r="B95" s="175" t="s">
        <v>192</v>
      </c>
      <c r="C95" s="176" t="s">
        <v>124</v>
      </c>
      <c r="D95" s="181"/>
      <c r="E95" s="78">
        <f>ROUND(168081*$Y$11,0)</f>
        <v>164719</v>
      </c>
      <c r="F95" s="79">
        <f t="shared" ref="F95" si="9">ROUND(D95*E95,0)</f>
        <v>0</v>
      </c>
      <c r="G95" s="338"/>
      <c r="H95" s="338"/>
      <c r="I95" s="338"/>
      <c r="J95" s="338"/>
      <c r="K95" s="338"/>
      <c r="L95" s="338"/>
      <c r="M95" s="338"/>
      <c r="N95" s="338"/>
      <c r="O95" s="338"/>
      <c r="P95" s="338"/>
      <c r="Q95" s="338"/>
      <c r="R95" s="338"/>
      <c r="S95" s="338"/>
      <c r="T95" s="338"/>
      <c r="U95" s="338"/>
      <c r="V95" s="338"/>
      <c r="W95" s="338"/>
      <c r="X95" s="338"/>
    </row>
    <row r="96" spans="2:25" ht="25.05" customHeight="1" x14ac:dyDescent="0.3">
      <c r="B96" s="175" t="s">
        <v>129</v>
      </c>
      <c r="C96" s="176" t="s">
        <v>124</v>
      </c>
      <c r="D96" s="181"/>
      <c r="E96" s="78">
        <f>ROUND(66113*$Y$11,0)</f>
        <v>64791</v>
      </c>
      <c r="F96" s="79">
        <f>ROUND(D96*E96,0)</f>
        <v>0</v>
      </c>
      <c r="G96" s="338"/>
      <c r="H96" s="338"/>
      <c r="I96" s="338"/>
      <c r="J96" s="338"/>
      <c r="K96" s="338"/>
      <c r="L96" s="338"/>
      <c r="M96" s="338"/>
      <c r="N96" s="338"/>
      <c r="O96" s="338"/>
      <c r="P96" s="338"/>
      <c r="Q96" s="338"/>
      <c r="R96" s="338"/>
      <c r="S96" s="338"/>
      <c r="T96" s="338"/>
      <c r="U96" s="338"/>
      <c r="V96" s="338"/>
      <c r="W96" s="338"/>
      <c r="X96" s="338"/>
    </row>
    <row r="97" spans="2:26" ht="25.05" customHeight="1" x14ac:dyDescent="0.3">
      <c r="B97" s="175" t="s">
        <v>193</v>
      </c>
      <c r="C97" s="176" t="s">
        <v>92</v>
      </c>
      <c r="D97" s="181"/>
      <c r="E97" s="78">
        <f>ROUND(31548*$Y$11,0)</f>
        <v>30917</v>
      </c>
      <c r="F97" s="79">
        <f t="shared" ref="F97:F100" si="10">ROUND(D97*E97,0)</f>
        <v>0</v>
      </c>
      <c r="G97" s="338"/>
      <c r="H97" s="338"/>
      <c r="I97" s="338"/>
      <c r="J97" s="338"/>
      <c r="K97" s="338"/>
      <c r="L97" s="338"/>
      <c r="M97" s="338"/>
      <c r="N97" s="338"/>
      <c r="O97" s="338"/>
      <c r="P97" s="338"/>
      <c r="Q97" s="338"/>
      <c r="R97" s="338"/>
      <c r="S97" s="338"/>
      <c r="T97" s="338"/>
      <c r="U97" s="338"/>
      <c r="V97" s="338"/>
      <c r="W97" s="338"/>
      <c r="X97" s="338"/>
    </row>
    <row r="98" spans="2:26" ht="25.05" customHeight="1" x14ac:dyDescent="0.3">
      <c r="B98" s="175" t="s">
        <v>194</v>
      </c>
      <c r="C98" s="176" t="s">
        <v>124</v>
      </c>
      <c r="D98" s="181"/>
      <c r="E98" s="78">
        <f>ROUND(50000*$Y$11,0)</f>
        <v>49000</v>
      </c>
      <c r="F98" s="79">
        <f t="shared" si="10"/>
        <v>0</v>
      </c>
      <c r="G98" s="338"/>
      <c r="H98" s="338"/>
      <c r="I98" s="338"/>
      <c r="J98" s="338"/>
      <c r="K98" s="338"/>
      <c r="L98" s="338"/>
      <c r="M98" s="338"/>
      <c r="N98" s="338"/>
      <c r="O98" s="338"/>
      <c r="P98" s="338"/>
      <c r="Q98" s="338"/>
      <c r="R98" s="338"/>
      <c r="S98" s="338"/>
      <c r="T98" s="338"/>
      <c r="U98" s="338"/>
      <c r="V98" s="338"/>
      <c r="W98" s="338"/>
      <c r="X98" s="338"/>
    </row>
    <row r="99" spans="2:26" ht="25.05" customHeight="1" x14ac:dyDescent="0.3">
      <c r="B99" s="175" t="s">
        <v>176</v>
      </c>
      <c r="C99" s="176" t="s">
        <v>124</v>
      </c>
      <c r="D99" s="181"/>
      <c r="E99" s="78">
        <f>ROUND(4760*$Y$11,0)</f>
        <v>4665</v>
      </c>
      <c r="F99" s="79">
        <f t="shared" si="10"/>
        <v>0</v>
      </c>
      <c r="G99" s="338"/>
      <c r="H99" s="338"/>
      <c r="I99" s="338"/>
      <c r="J99" s="338"/>
      <c r="K99" s="338"/>
      <c r="L99" s="338"/>
      <c r="M99" s="338"/>
      <c r="N99" s="338"/>
      <c r="O99" s="338"/>
      <c r="P99" s="338"/>
      <c r="Q99" s="338"/>
      <c r="R99" s="338"/>
      <c r="S99" s="338"/>
      <c r="T99" s="338"/>
      <c r="U99" s="338"/>
      <c r="V99" s="338"/>
      <c r="W99" s="338"/>
      <c r="X99" s="338"/>
    </row>
    <row r="100" spans="2:26" ht="25.05" customHeight="1" x14ac:dyDescent="0.3">
      <c r="B100" s="175" t="s">
        <v>196</v>
      </c>
      <c r="C100" s="176" t="s">
        <v>124</v>
      </c>
      <c r="D100" s="181"/>
      <c r="E100" s="78">
        <f>ROUND(64795*$Y$11,0)</f>
        <v>63499</v>
      </c>
      <c r="F100" s="79">
        <f t="shared" si="10"/>
        <v>0</v>
      </c>
      <c r="G100" s="338"/>
      <c r="H100" s="338"/>
      <c r="I100" s="338"/>
      <c r="J100" s="338"/>
      <c r="K100" s="338"/>
      <c r="L100" s="338"/>
      <c r="M100" s="338"/>
      <c r="N100" s="338"/>
      <c r="O100" s="338"/>
      <c r="P100" s="338"/>
      <c r="Q100" s="338"/>
      <c r="R100" s="338"/>
      <c r="S100" s="338"/>
      <c r="T100" s="338"/>
      <c r="U100" s="338"/>
      <c r="V100" s="338"/>
      <c r="W100" s="338"/>
      <c r="X100" s="338"/>
    </row>
    <row r="101" spans="2:26" ht="25.05" customHeight="1" x14ac:dyDescent="0.3">
      <c r="B101" s="175" t="s">
        <v>131</v>
      </c>
      <c r="C101" s="176" t="s">
        <v>124</v>
      </c>
      <c r="D101" s="181"/>
      <c r="E101" s="78">
        <f>ROUND(55758*$Y$11,0)</f>
        <v>54643</v>
      </c>
      <c r="F101" s="79">
        <f>ROUND(D101*E101,0)</f>
        <v>0</v>
      </c>
      <c r="G101" s="338"/>
      <c r="H101" s="338"/>
      <c r="I101" s="338"/>
      <c r="J101" s="338"/>
      <c r="K101" s="338"/>
      <c r="L101" s="338"/>
      <c r="M101" s="338"/>
      <c r="N101" s="338"/>
      <c r="O101" s="338"/>
      <c r="P101" s="338"/>
      <c r="Q101" s="338"/>
      <c r="R101" s="338"/>
      <c r="S101" s="338"/>
      <c r="T101" s="338"/>
      <c r="U101" s="338"/>
      <c r="V101" s="338"/>
      <c r="W101" s="338"/>
      <c r="X101" s="338"/>
    </row>
    <row r="102" spans="2:26" ht="25.05" customHeight="1" thickBot="1" x14ac:dyDescent="0.35">
      <c r="B102" s="182"/>
      <c r="C102" s="183"/>
      <c r="D102" s="191"/>
      <c r="E102" s="92"/>
      <c r="F102" s="82"/>
      <c r="G102" s="338"/>
      <c r="H102" s="338"/>
      <c r="I102" s="338"/>
      <c r="J102" s="338"/>
      <c r="K102" s="338"/>
      <c r="L102" s="338"/>
      <c r="M102" s="338"/>
      <c r="N102" s="338"/>
      <c r="O102" s="338"/>
      <c r="P102" s="338"/>
      <c r="Q102" s="338"/>
      <c r="R102" s="338"/>
      <c r="S102" s="338"/>
      <c r="T102" s="338"/>
      <c r="U102" s="338"/>
      <c r="V102" s="338"/>
      <c r="W102" s="338"/>
      <c r="X102" s="338"/>
    </row>
    <row r="103" spans="2:26" ht="30" customHeight="1" thickTop="1" thickBot="1" x14ac:dyDescent="0.35">
      <c r="B103" s="62"/>
      <c r="C103" s="62"/>
      <c r="D103" s="62"/>
      <c r="E103" s="63"/>
      <c r="F103" s="64"/>
      <c r="G103" s="338"/>
      <c r="H103" s="338"/>
      <c r="I103" s="338"/>
      <c r="J103" s="338"/>
      <c r="K103" s="338"/>
      <c r="L103" s="338"/>
      <c r="M103" s="338"/>
      <c r="N103" s="338"/>
      <c r="O103" s="338"/>
      <c r="P103" s="338"/>
      <c r="Q103" s="338"/>
      <c r="R103" s="338"/>
      <c r="S103" s="338"/>
      <c r="T103" s="338"/>
      <c r="U103" s="338"/>
      <c r="V103" s="338"/>
      <c r="W103" s="338"/>
      <c r="X103" s="338"/>
      <c r="Y103" s="338"/>
      <c r="Z103" s="338"/>
    </row>
    <row r="104" spans="2:26" ht="30" customHeight="1" thickTop="1" thickBot="1" x14ac:dyDescent="0.35">
      <c r="B104" s="93"/>
      <c r="C104" s="94"/>
      <c r="D104" s="95"/>
      <c r="E104" s="96" t="s">
        <v>134</v>
      </c>
      <c r="F104" s="97">
        <f>F81+F65+F9</f>
        <v>0</v>
      </c>
      <c r="G104" s="338"/>
      <c r="H104" s="338"/>
      <c r="I104" s="338"/>
      <c r="J104" s="338"/>
      <c r="K104" s="338"/>
      <c r="L104" s="338"/>
      <c r="M104" s="338"/>
      <c r="N104" s="338"/>
      <c r="O104" s="338"/>
      <c r="P104" s="338"/>
      <c r="Q104" s="338"/>
      <c r="R104" s="338"/>
      <c r="S104" s="338"/>
      <c r="T104" s="338"/>
      <c r="U104" s="338"/>
      <c r="V104" s="338"/>
      <c r="W104" s="338"/>
      <c r="X104" s="338"/>
      <c r="Y104" s="338"/>
      <c r="Z104" s="338"/>
    </row>
    <row r="105" spans="2:26" ht="30" customHeight="1" thickTop="1" x14ac:dyDescent="0.3">
      <c r="B105" s="62"/>
      <c r="C105" s="62"/>
      <c r="D105" s="62"/>
      <c r="E105" s="62"/>
      <c r="F105" s="98"/>
      <c r="G105" s="338"/>
      <c r="H105" s="338"/>
      <c r="I105" s="338"/>
      <c r="J105" s="338"/>
      <c r="K105" s="338"/>
      <c r="L105" s="338"/>
      <c r="M105" s="338"/>
      <c r="N105" s="338"/>
      <c r="O105" s="338"/>
      <c r="P105" s="338"/>
      <c r="Q105" s="338"/>
      <c r="R105" s="338"/>
      <c r="S105" s="338"/>
      <c r="T105" s="338"/>
      <c r="U105" s="338"/>
      <c r="V105" s="338"/>
      <c r="W105" s="338"/>
      <c r="X105" s="338"/>
      <c r="Y105" s="338"/>
      <c r="Z105" s="338"/>
    </row>
    <row r="106" spans="2:26" ht="30" customHeight="1" x14ac:dyDescent="0.3">
      <c r="B106" s="99"/>
      <c r="C106" s="99"/>
      <c r="D106" s="99"/>
      <c r="E106" s="62"/>
      <c r="F106" s="98"/>
      <c r="G106" s="98"/>
      <c r="H106" s="98"/>
      <c r="I106" s="98"/>
      <c r="J106" s="98"/>
      <c r="K106" s="98"/>
      <c r="L106" s="98"/>
      <c r="M106" s="98"/>
      <c r="N106" s="98"/>
      <c r="O106" s="98"/>
      <c r="P106" s="98"/>
      <c r="Q106" s="98"/>
      <c r="R106" s="98"/>
      <c r="S106" s="98"/>
      <c r="T106" s="98"/>
      <c r="U106" s="98"/>
      <c r="V106" s="98"/>
      <c r="W106" s="98"/>
      <c r="X106" s="98"/>
      <c r="Y106" s="98"/>
    </row>
    <row r="107" spans="2:26" ht="30" customHeight="1" x14ac:dyDescent="0.3">
      <c r="B107" s="62"/>
      <c r="C107" s="62"/>
      <c r="D107" s="62"/>
      <c r="E107" s="62"/>
      <c r="F107" s="98"/>
      <c r="G107" s="98"/>
      <c r="H107" s="98"/>
      <c r="I107" s="98"/>
      <c r="J107" s="98"/>
      <c r="K107" s="98"/>
      <c r="L107" s="98"/>
      <c r="M107" s="98"/>
      <c r="N107" s="98"/>
      <c r="O107" s="98"/>
      <c r="P107" s="98"/>
      <c r="Q107" s="98"/>
      <c r="R107" s="98"/>
      <c r="S107" s="98"/>
      <c r="T107" s="98"/>
      <c r="U107" s="98"/>
      <c r="V107" s="98"/>
      <c r="W107" s="98"/>
      <c r="X107" s="98"/>
      <c r="Y107" s="98"/>
    </row>
    <row r="108" spans="2:26" ht="30" customHeight="1" x14ac:dyDescent="0.3">
      <c r="B108" s="99"/>
      <c r="C108" s="99"/>
      <c r="D108" s="99"/>
      <c r="E108" s="62"/>
      <c r="F108" s="98"/>
      <c r="G108" s="98"/>
      <c r="H108" s="98"/>
      <c r="I108" s="98"/>
      <c r="J108" s="98"/>
      <c r="K108" s="98"/>
      <c r="L108" s="98"/>
      <c r="M108" s="98"/>
      <c r="N108" s="98"/>
      <c r="O108" s="98"/>
      <c r="P108" s="98"/>
      <c r="Q108" s="98"/>
      <c r="R108" s="98"/>
      <c r="S108" s="98"/>
      <c r="T108" s="98"/>
      <c r="U108" s="98"/>
      <c r="V108" s="98"/>
      <c r="W108" s="98"/>
      <c r="X108" s="98"/>
      <c r="Y108" s="98"/>
    </row>
    <row r="109" spans="2:26" ht="30" customHeight="1" x14ac:dyDescent="0.3">
      <c r="B109" s="99"/>
      <c r="C109" s="100"/>
      <c r="D109" s="101"/>
      <c r="E109" s="62"/>
      <c r="F109" s="98"/>
      <c r="G109" s="98"/>
      <c r="H109" s="98"/>
      <c r="I109" s="98"/>
      <c r="J109" s="98"/>
      <c r="K109" s="98"/>
      <c r="L109" s="98"/>
      <c r="M109" s="98"/>
      <c r="N109" s="98"/>
      <c r="O109" s="98"/>
      <c r="P109" s="98"/>
      <c r="Q109" s="98"/>
      <c r="R109" s="98"/>
      <c r="S109" s="98"/>
      <c r="T109" s="98"/>
      <c r="U109" s="98"/>
      <c r="V109" s="98"/>
      <c r="W109" s="98"/>
      <c r="X109" s="98"/>
      <c r="Y109" s="98"/>
    </row>
    <row r="110" spans="2:26" ht="30" customHeight="1" x14ac:dyDescent="0.3">
      <c r="B110" s="102"/>
      <c r="C110" s="103"/>
      <c r="D110" s="101"/>
      <c r="E110" s="104"/>
      <c r="F110" s="105"/>
      <c r="G110" s="98"/>
      <c r="H110" s="98"/>
      <c r="I110" s="98"/>
      <c r="J110" s="98"/>
      <c r="K110" s="98"/>
      <c r="L110" s="98"/>
      <c r="M110" s="98"/>
      <c r="N110" s="98"/>
      <c r="O110" s="98"/>
      <c r="P110" s="98"/>
      <c r="Q110" s="98"/>
      <c r="R110" s="98"/>
      <c r="S110" s="98"/>
      <c r="T110" s="98"/>
      <c r="U110" s="98"/>
      <c r="V110" s="98"/>
      <c r="W110" s="98"/>
      <c r="X110" s="98"/>
      <c r="Y110" s="98"/>
    </row>
    <row r="111" spans="2:26" ht="30" customHeight="1" x14ac:dyDescent="0.3">
      <c r="B111" s="286" t="s">
        <v>135</v>
      </c>
      <c r="C111" s="286"/>
      <c r="D111" s="106"/>
      <c r="E111" s="287" t="s">
        <v>136</v>
      </c>
      <c r="F111" s="287"/>
      <c r="G111" s="98"/>
      <c r="H111" s="98"/>
      <c r="I111" s="98"/>
      <c r="J111" s="98"/>
      <c r="K111" s="98"/>
      <c r="L111" s="98"/>
      <c r="M111" s="98"/>
      <c r="N111" s="98"/>
      <c r="O111" s="98"/>
      <c r="P111" s="98"/>
      <c r="Q111" s="98"/>
      <c r="R111" s="98"/>
      <c r="S111" s="98"/>
      <c r="T111" s="98"/>
      <c r="U111" s="98"/>
      <c r="V111" s="98"/>
      <c r="W111" s="98"/>
      <c r="X111" s="98"/>
      <c r="Y111" s="98"/>
    </row>
    <row r="112" spans="2:26" ht="30" customHeight="1" x14ac:dyDescent="0.3">
      <c r="B112" s="286" t="s">
        <v>137</v>
      </c>
      <c r="C112" s="286"/>
      <c r="D112" s="107"/>
      <c r="E112" s="288" t="s">
        <v>207</v>
      </c>
      <c r="F112" s="288"/>
      <c r="G112" s="343"/>
      <c r="H112" s="343"/>
      <c r="I112" s="343"/>
      <c r="J112" s="343"/>
      <c r="K112" s="343"/>
      <c r="L112" s="343"/>
      <c r="M112" s="343"/>
      <c r="N112" s="343"/>
      <c r="O112" s="343"/>
      <c r="P112" s="343"/>
      <c r="Q112" s="343"/>
      <c r="R112" s="343"/>
      <c r="S112" s="343"/>
      <c r="T112" s="343"/>
      <c r="U112" s="343"/>
      <c r="V112" s="343"/>
      <c r="W112" s="343"/>
      <c r="X112" s="343"/>
      <c r="Y112" s="343"/>
    </row>
    <row r="113" spans="2:25" ht="30" customHeight="1" x14ac:dyDescent="0.3">
      <c r="B113" s="99"/>
      <c r="C113" s="290"/>
      <c r="D113" s="290"/>
      <c r="E113" s="62"/>
      <c r="F113" s="98"/>
      <c r="G113" s="98"/>
      <c r="H113" s="98"/>
      <c r="I113" s="98"/>
      <c r="J113" s="98"/>
      <c r="K113" s="98"/>
      <c r="L113" s="98"/>
      <c r="M113" s="98"/>
      <c r="N113" s="98"/>
      <c r="O113" s="98"/>
      <c r="P113" s="98"/>
      <c r="Q113" s="98"/>
      <c r="R113" s="98"/>
      <c r="S113" s="98"/>
      <c r="T113" s="98"/>
      <c r="U113" s="98"/>
      <c r="V113" s="98"/>
      <c r="W113" s="98"/>
      <c r="X113" s="98"/>
      <c r="Y113" s="98"/>
    </row>
    <row r="114" spans="2:25" ht="58.8" customHeight="1" x14ac:dyDescent="0.3">
      <c r="B114" s="342" t="s">
        <v>208</v>
      </c>
      <c r="C114" s="342"/>
      <c r="D114" s="342"/>
      <c r="E114" s="342"/>
      <c r="F114" s="342"/>
      <c r="G114" s="341"/>
      <c r="H114" s="341"/>
      <c r="I114" s="341"/>
      <c r="J114" s="341"/>
      <c r="K114" s="341"/>
      <c r="L114" s="341"/>
      <c r="M114" s="341"/>
      <c r="N114" s="341"/>
      <c r="O114" s="341"/>
      <c r="P114" s="341"/>
      <c r="Q114" s="341"/>
      <c r="R114" s="341"/>
      <c r="S114" s="341"/>
      <c r="T114" s="341"/>
      <c r="U114" s="341"/>
      <c r="V114" s="341"/>
      <c r="W114" s="341"/>
      <c r="X114" s="341"/>
      <c r="Y114" s="341"/>
    </row>
    <row r="115" spans="2:25" ht="30" customHeight="1" x14ac:dyDescent="0.3">
      <c r="B115" s="108"/>
      <c r="C115" s="108"/>
      <c r="D115" s="108"/>
      <c r="E115" s="63"/>
      <c r="F115" s="64"/>
      <c r="G115" s="64"/>
      <c r="H115" s="64"/>
      <c r="I115" s="64"/>
      <c r="J115" s="64"/>
      <c r="K115" s="64"/>
      <c r="L115" s="64"/>
      <c r="M115" s="64"/>
      <c r="N115" s="64"/>
      <c r="O115" s="64"/>
      <c r="P115" s="64"/>
      <c r="Q115" s="64"/>
      <c r="R115" s="64"/>
      <c r="S115" s="64"/>
      <c r="T115" s="64"/>
      <c r="U115" s="64"/>
      <c r="V115" s="64"/>
      <c r="W115" s="64"/>
      <c r="X115" s="64"/>
    </row>
    <row r="116" spans="2:25" x14ac:dyDescent="0.3">
      <c r="B116" s="109"/>
      <c r="C116" s="110"/>
      <c r="D116" s="111"/>
      <c r="E116" s="63"/>
      <c r="F116" s="64"/>
      <c r="G116" s="64"/>
      <c r="H116" s="64"/>
      <c r="I116" s="64"/>
      <c r="J116" s="64"/>
      <c r="K116" s="64"/>
      <c r="L116" s="64"/>
      <c r="M116" s="64"/>
      <c r="N116" s="64"/>
      <c r="O116" s="64"/>
      <c r="P116" s="64"/>
      <c r="Q116" s="64"/>
      <c r="R116" s="64"/>
      <c r="S116" s="64"/>
      <c r="T116" s="64"/>
      <c r="U116" s="64"/>
      <c r="V116" s="64"/>
      <c r="W116" s="64"/>
      <c r="X116" s="64"/>
    </row>
    <row r="117" spans="2:25" ht="15" x14ac:dyDescent="0.3">
      <c r="B117" s="109"/>
      <c r="C117" s="112"/>
      <c r="E117" s="63"/>
      <c r="F117" s="64"/>
      <c r="G117" s="64"/>
      <c r="H117" s="64"/>
      <c r="I117" s="64"/>
      <c r="J117" s="64"/>
      <c r="K117" s="64"/>
      <c r="L117" s="64"/>
      <c r="M117" s="64"/>
      <c r="N117" s="64"/>
      <c r="O117" s="64"/>
      <c r="P117" s="64"/>
      <c r="Q117" s="64"/>
      <c r="R117" s="64"/>
      <c r="S117" s="64"/>
      <c r="T117" s="64"/>
      <c r="U117" s="64"/>
      <c r="V117" s="64"/>
      <c r="W117" s="64"/>
      <c r="X117" s="64"/>
    </row>
    <row r="118" spans="2:25" ht="15" x14ac:dyDescent="0.3">
      <c r="B118" s="109"/>
      <c r="C118" s="112"/>
      <c r="E118" s="63"/>
      <c r="F118" s="64"/>
      <c r="G118" s="64"/>
      <c r="H118" s="64"/>
      <c r="I118" s="64"/>
      <c r="J118" s="64"/>
      <c r="K118" s="64"/>
      <c r="L118" s="64"/>
      <c r="M118" s="64"/>
      <c r="N118" s="64"/>
      <c r="O118" s="64"/>
      <c r="P118" s="64"/>
      <c r="Q118" s="64"/>
      <c r="R118" s="64"/>
      <c r="S118" s="64"/>
      <c r="T118" s="64"/>
      <c r="U118" s="64"/>
      <c r="V118" s="64"/>
      <c r="W118" s="64"/>
      <c r="X118" s="64"/>
    </row>
    <row r="119" spans="2:25" ht="15" x14ac:dyDescent="0.3">
      <c r="B119" s="109"/>
      <c r="C119" s="112"/>
      <c r="E119" s="63"/>
      <c r="F119" s="64"/>
      <c r="G119" s="64"/>
      <c r="H119" s="64"/>
      <c r="I119" s="64"/>
      <c r="J119" s="64"/>
      <c r="K119" s="64"/>
      <c r="L119" s="64"/>
      <c r="M119" s="64"/>
      <c r="N119" s="64"/>
      <c r="O119" s="64"/>
      <c r="P119" s="64"/>
      <c r="Q119" s="64"/>
      <c r="R119" s="64"/>
      <c r="S119" s="64"/>
      <c r="T119" s="64"/>
      <c r="U119" s="64"/>
      <c r="V119" s="64"/>
      <c r="W119" s="64"/>
      <c r="X119" s="64"/>
    </row>
  </sheetData>
  <mergeCells count="11">
    <mergeCell ref="B112:C112"/>
    <mergeCell ref="C113:D113"/>
    <mergeCell ref="B5:C5"/>
    <mergeCell ref="D5:F5"/>
    <mergeCell ref="B6:C6"/>
    <mergeCell ref="D6:F6"/>
    <mergeCell ref="B7:F7"/>
    <mergeCell ref="B111:C111"/>
    <mergeCell ref="B114:F114"/>
    <mergeCell ref="E111:F111"/>
    <mergeCell ref="E112:F112"/>
  </mergeCells>
  <pageMargins left="0.7" right="0.7" top="0.75" bottom="0.75" header="0.3" footer="0.3"/>
  <pageSetup scale="1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13</vt:lpstr>
      <vt:lpstr>A.U. COMPONENTE 1</vt:lpstr>
      <vt:lpstr>A.U. COMPONENTE 2</vt:lpstr>
      <vt:lpstr>APU</vt:lpstr>
      <vt:lpstr>INSUMOS</vt:lpstr>
      <vt:lpstr>APU!Área_de_impresión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Lesbi Alarcon</dc:creator>
  <cp:lastModifiedBy>James  Larranaga</cp:lastModifiedBy>
  <cp:lastPrinted>2025-06-27T19:21:07Z</cp:lastPrinted>
  <dcterms:created xsi:type="dcterms:W3CDTF">2022-11-03T13:04:34Z</dcterms:created>
  <dcterms:modified xsi:type="dcterms:W3CDTF">2025-06-27T19:21:51Z</dcterms:modified>
</cp:coreProperties>
</file>