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fileSharing readOnlyRecommended="1"/>
  <workbookPr/>
  <mc:AlternateContent xmlns:mc="http://schemas.openxmlformats.org/markup-compatibility/2006">
    <mc:Choice Requires="x15">
      <x15ac:absPath xmlns:x15ac="http://schemas.microsoft.com/office/spreadsheetml/2010/11/ac" url="https://mineducaciongovco-my.sharepoint.com/personal/macuervo_mineducacion_gov_co/Documents/Documentos/MEN/UNIPROPIA/"/>
    </mc:Choice>
  </mc:AlternateContent>
  <xr:revisionPtr revIDLastSave="0" documentId="8_{EA73E8FB-CB16-4408-B3DD-593DC94E58DF}" xr6:coauthVersionLast="47" xr6:coauthVersionMax="47" xr10:uidLastSave="{00000000-0000-0000-0000-000000000000}"/>
  <bookViews>
    <workbookView xWindow="-120" yWindow="-120" windowWidth="24240" windowHeight="13020" firstSheet="8" activeTab="7" xr2:uid="{00000000-000D-0000-FFFF-FFFF00000000}"/>
  </bookViews>
  <sheets>
    <sheet name="Presupuesto" sheetId="12" r:id="rId1"/>
    <sheet name="Analisis de Mercado-Salarios" sheetId="23" r:id="rId2"/>
    <sheet name="Analisis de Mercado-Actividades" sheetId="20" r:id="rId3"/>
    <sheet name="Contratos de Comparación" sheetId="22" r:id="rId4"/>
    <sheet name="CO1.PCCNTR.2808033 APCA U.T. LA" sheetId="14" r:id="rId5"/>
    <sheet name="CO1.PCCNTR.2713913 Comite Cafet" sheetId="15" r:id="rId6"/>
    <sheet name="CO1.PCCNTR.2559252 PROYECTAMOS " sheetId="16" r:id="rId7"/>
    <sheet name="CO1.PCCNTR.2473858 Salle 2021" sheetId="9" r:id="rId8"/>
    <sheet name="CO1.PCCNTR.2417016 FUND PLAN" sheetId="17" r:id="rId9"/>
    <sheet name="CO1.PCCNTR.2546507 INCAP BETA" sheetId="18" r:id="rId10"/>
    <sheet name="CO1.PCCNTR.2580977 CONSEJO NORU" sheetId="19" r:id="rId11"/>
    <sheet name="CO1.PCCNTR.2559557 Caldas 2021" sheetId="2" r:id="rId12"/>
    <sheet name="CO1.PCCNTR.1839020 Salle 2020" sheetId="13" r:id="rId13"/>
    <sheet name="CO1.PCCNTR.2386594 " sheetId="28" r:id="rId14"/>
    <sheet name="CO1.PCCNTR.3787396 2020" sheetId="29" r:id="rId15"/>
    <sheet name="CO1.PCCNTR.4017345" sheetId="31" r:id="rId16"/>
    <sheet name="CO1.PCCNTR.50110688" sheetId="33" r:id="rId17"/>
    <sheet name="CO1.PCCNTR.5335465" sheetId="34" r:id="rId18"/>
    <sheet name="CO1.PCCNTR.5338882" sheetId="35" r:id="rId19"/>
    <sheet name="CO1.PCCNTR.5337144" sheetId="36" r:id="rId20"/>
  </sheets>
  <externalReferences>
    <externalReference r:id="rId21"/>
    <externalReference r:id="rId22"/>
    <externalReference r:id="rId23"/>
    <externalReference r:id="rId24"/>
  </externalReferences>
  <definedNames>
    <definedName name="_xlnm._FilterDatabase" localSheetId="2" hidden="1">'Analisis de Mercado-Actividades'!$A$6:$E$6</definedName>
    <definedName name="_xlnm._FilterDatabase" localSheetId="1" hidden="1">'Analisis de Mercado-Salarios'!$A$6:$E$99</definedName>
    <definedName name="_xlnm._FilterDatabase" localSheetId="0" hidden="1">Presupuesto!$A$5:$K$29</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 i="12" l="1"/>
  <c r="G13" i="12"/>
  <c r="G12" i="12"/>
  <c r="G11" i="12"/>
  <c r="G10" i="12"/>
  <c r="G9" i="12"/>
  <c r="G8" i="12"/>
  <c r="J34" i="12"/>
  <c r="J33" i="12"/>
  <c r="H29" i="12"/>
  <c r="G28" i="12"/>
  <c r="G26" i="12"/>
  <c r="G25" i="12"/>
  <c r="G24" i="12"/>
  <c r="H31" i="12"/>
  <c r="K31" i="12"/>
  <c r="K32" i="12"/>
  <c r="H18" i="12"/>
  <c r="K18" i="12"/>
  <c r="H19" i="12"/>
  <c r="J19" i="12"/>
  <c r="H20" i="12"/>
  <c r="J20" i="12"/>
  <c r="H21" i="12"/>
  <c r="J21" i="12"/>
  <c r="H22" i="12"/>
  <c r="J22" i="12"/>
  <c r="H23" i="12"/>
  <c r="K23" i="12"/>
  <c r="H24" i="12"/>
  <c r="K24" i="12"/>
  <c r="H25" i="12"/>
  <c r="J25" i="12"/>
  <c r="H26" i="12"/>
  <c r="K26" i="12"/>
  <c r="H27" i="12"/>
  <c r="J27" i="12"/>
  <c r="H28" i="12"/>
  <c r="J28" i="12"/>
  <c r="H17" i="12"/>
  <c r="K17" i="12"/>
  <c r="G14" i="12"/>
  <c r="G7" i="12"/>
  <c r="H7" i="12"/>
  <c r="I7" i="12"/>
  <c r="K7" i="12"/>
  <c r="H8" i="12"/>
  <c r="I8" i="12"/>
  <c r="K8" i="12"/>
  <c r="H9" i="12"/>
  <c r="I9" i="12"/>
  <c r="K9" i="12"/>
  <c r="H10" i="12"/>
  <c r="I10" i="12"/>
  <c r="K10" i="12"/>
  <c r="H11" i="12"/>
  <c r="I11" i="12"/>
  <c r="K11" i="12"/>
  <c r="H12" i="12"/>
  <c r="I12" i="12"/>
  <c r="K12" i="12"/>
  <c r="H13" i="12"/>
  <c r="I13" i="12"/>
  <c r="K13" i="12"/>
  <c r="H14" i="12"/>
  <c r="I14" i="12"/>
  <c r="K14" i="12"/>
  <c r="G27" i="12"/>
  <c r="I31" i="12"/>
  <c r="I32" i="12"/>
  <c r="J26" i="12"/>
  <c r="J24" i="12"/>
  <c r="J18" i="12"/>
  <c r="K22" i="12"/>
  <c r="K21" i="12"/>
  <c r="K20" i="12"/>
  <c r="J23" i="12"/>
  <c r="K27" i="12"/>
  <c r="K19" i="12"/>
  <c r="J17" i="12"/>
  <c r="K25" i="12"/>
  <c r="K28" i="12"/>
  <c r="H15" i="12"/>
  <c r="E46" i="20"/>
  <c r="J29" i="12"/>
  <c r="J32" i="12"/>
  <c r="E32" i="20"/>
  <c r="E28" i="20"/>
  <c r="G17" i="12"/>
  <c r="G18" i="12"/>
  <c r="K29" i="12"/>
  <c r="E51" i="20"/>
  <c r="E40" i="20"/>
  <c r="E15" i="20"/>
  <c r="J26" i="36"/>
  <c r="J28" i="36"/>
  <c r="I26" i="36"/>
  <c r="I28" i="36"/>
  <c r="H26" i="36"/>
  <c r="H28" i="36"/>
  <c r="J18" i="36"/>
  <c r="H17" i="36"/>
  <c r="H16" i="36"/>
  <c r="H15" i="36"/>
  <c r="J13" i="36"/>
  <c r="C13" i="36"/>
  <c r="H12" i="36"/>
  <c r="H11" i="36"/>
  <c r="H10" i="36"/>
  <c r="G10" i="36"/>
  <c r="G12" i="36"/>
  <c r="H9" i="36"/>
  <c r="G9" i="36"/>
  <c r="H8" i="36"/>
  <c r="G8" i="36"/>
  <c r="H7" i="36"/>
  <c r="G7" i="36"/>
  <c r="G11" i="36"/>
  <c r="J27" i="36"/>
  <c r="H18" i="36"/>
  <c r="J29" i="36"/>
  <c r="H13" i="36"/>
  <c r="H27" i="36"/>
  <c r="I9" i="36"/>
  <c r="I11" i="36"/>
  <c r="I7" i="36"/>
  <c r="I8" i="36"/>
  <c r="I10" i="36"/>
  <c r="I12" i="36"/>
  <c r="I15" i="36"/>
  <c r="I18" i="36"/>
  <c r="G20" i="36"/>
  <c r="G15" i="36"/>
  <c r="G16" i="36"/>
  <c r="G17" i="36"/>
  <c r="I29" i="12"/>
  <c r="I13" i="36"/>
  <c r="I27" i="36"/>
  <c r="I29" i="36"/>
  <c r="H29" i="36"/>
  <c r="E60" i="20"/>
  <c r="I25" i="35"/>
  <c r="H24" i="35"/>
  <c r="J24" i="35"/>
  <c r="J25" i="35"/>
  <c r="G24" i="35"/>
  <c r="H23" i="35"/>
  <c r="H25" i="35"/>
  <c r="G23" i="35"/>
  <c r="J21" i="35"/>
  <c r="H20" i="35"/>
  <c r="H21" i="35"/>
  <c r="G20" i="35"/>
  <c r="H17" i="35"/>
  <c r="J17" i="35"/>
  <c r="H16" i="35"/>
  <c r="J16" i="35"/>
  <c r="H15" i="35"/>
  <c r="I15" i="35"/>
  <c r="I18" i="35"/>
  <c r="G15" i="35"/>
  <c r="G16" i="35"/>
  <c r="G17" i="35"/>
  <c r="J13" i="35"/>
  <c r="J26" i="35"/>
  <c r="C13" i="35"/>
  <c r="H12" i="35"/>
  <c r="I12" i="35"/>
  <c r="H11" i="35"/>
  <c r="I11" i="35"/>
  <c r="H10" i="35"/>
  <c r="I10" i="35"/>
  <c r="G10" i="35"/>
  <c r="H9" i="35"/>
  <c r="I9" i="35"/>
  <c r="G9" i="35"/>
  <c r="H8" i="35"/>
  <c r="I8" i="35"/>
  <c r="G8" i="35"/>
  <c r="G12" i="35"/>
  <c r="H7" i="35"/>
  <c r="I7" i="35"/>
  <c r="G7" i="35"/>
  <c r="G11" i="35"/>
  <c r="J18" i="35"/>
  <c r="J27" i="35"/>
  <c r="J28" i="35"/>
  <c r="I13" i="35"/>
  <c r="I26" i="35"/>
  <c r="H18" i="35"/>
  <c r="I20" i="35"/>
  <c r="I21" i="35"/>
  <c r="I27" i="35"/>
  <c r="I28" i="35"/>
  <c r="H28" i="35"/>
  <c r="K23" i="36"/>
  <c r="K22" i="36"/>
  <c r="K24" i="36"/>
  <c r="K15" i="36"/>
  <c r="K25" i="36"/>
  <c r="K21" i="36"/>
  <c r="K20" i="36"/>
  <c r="K16" i="36"/>
  <c r="K11" i="36"/>
  <c r="K18" i="36"/>
  <c r="K9" i="36"/>
  <c r="K12" i="36"/>
  <c r="K8" i="36"/>
  <c r="K7" i="36"/>
  <c r="K10" i="36"/>
  <c r="K17" i="36"/>
  <c r="H27" i="35"/>
  <c r="H13" i="35"/>
  <c r="H26" i="35"/>
  <c r="K26" i="36"/>
  <c r="K13" i="36"/>
  <c r="K27" i="36"/>
  <c r="K29" i="36"/>
  <c r="K10" i="35"/>
  <c r="K7" i="35"/>
  <c r="K12" i="35"/>
  <c r="K8" i="35"/>
  <c r="K24" i="35"/>
  <c r="K23" i="35"/>
  <c r="K11" i="35"/>
  <c r="K9" i="35"/>
  <c r="K17" i="35"/>
  <c r="K15" i="35"/>
  <c r="K16" i="35"/>
  <c r="K20" i="35"/>
  <c r="K21" i="35"/>
  <c r="K25" i="35"/>
  <c r="K18" i="35"/>
  <c r="K27" i="35"/>
  <c r="K13" i="35"/>
  <c r="K26" i="35"/>
  <c r="K28" i="35"/>
  <c r="K22" i="34"/>
  <c r="H19" i="34"/>
  <c r="H18" i="34"/>
  <c r="J18" i="34"/>
  <c r="G18" i="34"/>
  <c r="H17" i="34"/>
  <c r="I17" i="34"/>
  <c r="I20" i="34"/>
  <c r="I22" i="34"/>
  <c r="J16" i="34"/>
  <c r="H16" i="34"/>
  <c r="C14" i="34"/>
  <c r="H13" i="34"/>
  <c r="H12" i="34"/>
  <c r="I12" i="34"/>
  <c r="G12" i="34"/>
  <c r="H11" i="34"/>
  <c r="H10" i="34"/>
  <c r="H9" i="34"/>
  <c r="G9" i="34"/>
  <c r="G10" i="34"/>
  <c r="G11" i="34"/>
  <c r="H8" i="34"/>
  <c r="I8" i="34"/>
  <c r="H7" i="34"/>
  <c r="G7" i="34"/>
  <c r="H14" i="34"/>
  <c r="H21" i="34"/>
  <c r="H20" i="34"/>
  <c r="H22" i="34"/>
  <c r="I10" i="34"/>
  <c r="J13" i="34"/>
  <c r="J14" i="34"/>
  <c r="J21" i="34"/>
  <c r="I9" i="34"/>
  <c r="I11" i="34"/>
  <c r="I7" i="34"/>
  <c r="I14" i="34"/>
  <c r="I21" i="34"/>
  <c r="I23" i="34"/>
  <c r="J19" i="34"/>
  <c r="J20" i="34"/>
  <c r="J22" i="34"/>
  <c r="J23" i="34"/>
  <c r="H23" i="34"/>
  <c r="K7" i="34"/>
  <c r="K17" i="34"/>
  <c r="K20" i="34"/>
  <c r="K10" i="34"/>
  <c r="K18" i="34"/>
  <c r="K8" i="34"/>
  <c r="K16" i="34"/>
  <c r="K23" i="34"/>
  <c r="K13" i="34"/>
  <c r="K12" i="34"/>
  <c r="K19" i="34"/>
  <c r="K11" i="34"/>
  <c r="K9" i="34"/>
  <c r="K14" i="34"/>
  <c r="K21" i="34"/>
  <c r="H32" i="12"/>
  <c r="G19" i="12"/>
  <c r="G20" i="12"/>
  <c r="G22" i="12"/>
  <c r="G23" i="12"/>
  <c r="E67" i="23"/>
  <c r="E37" i="23"/>
  <c r="E82" i="23"/>
  <c r="H48" i="33"/>
  <c r="H47" i="33"/>
  <c r="H46" i="33"/>
  <c r="I46" i="33"/>
  <c r="H45" i="33"/>
  <c r="I45" i="33"/>
  <c r="H44" i="33"/>
  <c r="I44" i="33"/>
  <c r="H43" i="33"/>
  <c r="I43" i="33"/>
  <c r="H42" i="33"/>
  <c r="I42" i="33"/>
  <c r="H41" i="33"/>
  <c r="I41" i="33"/>
  <c r="H38" i="33"/>
  <c r="J38" i="33"/>
  <c r="J39" i="33"/>
  <c r="H37" i="33"/>
  <c r="I37" i="33"/>
  <c r="I39" i="33"/>
  <c r="J35" i="33"/>
  <c r="G35" i="33"/>
  <c r="F35" i="33"/>
  <c r="C35" i="33"/>
  <c r="I34" i="33"/>
  <c r="I35" i="33"/>
  <c r="H34" i="33"/>
  <c r="H35" i="33"/>
  <c r="H31" i="33"/>
  <c r="J31" i="33"/>
  <c r="P30" i="33"/>
  <c r="H30" i="33"/>
  <c r="J30" i="33"/>
  <c r="H29" i="33"/>
  <c r="H28" i="33"/>
  <c r="I28" i="33"/>
  <c r="H27" i="33"/>
  <c r="I27" i="33"/>
  <c r="H26" i="33"/>
  <c r="I26" i="33"/>
  <c r="H25" i="33"/>
  <c r="I25" i="33"/>
  <c r="H24" i="33"/>
  <c r="I24" i="33"/>
  <c r="H23" i="33"/>
  <c r="I23" i="33"/>
  <c r="H22" i="33"/>
  <c r="C20" i="33"/>
  <c r="H19" i="33"/>
  <c r="H18" i="33"/>
  <c r="J18" i="33"/>
  <c r="H17" i="33"/>
  <c r="I17" i="33"/>
  <c r="H16" i="33"/>
  <c r="I16" i="33"/>
  <c r="H15" i="33"/>
  <c r="I15" i="33"/>
  <c r="H14" i="33"/>
  <c r="I14" i="33"/>
  <c r="H13" i="33"/>
  <c r="I13" i="33"/>
  <c r="H12" i="33"/>
  <c r="I12" i="33"/>
  <c r="H11" i="33"/>
  <c r="I11" i="33"/>
  <c r="H10" i="33"/>
  <c r="I10" i="33"/>
  <c r="H9" i="33"/>
  <c r="I9" i="33"/>
  <c r="H8" i="33"/>
  <c r="I8" i="33"/>
  <c r="H7" i="33"/>
  <c r="I7" i="33"/>
  <c r="I22" i="33"/>
  <c r="J48" i="33"/>
  <c r="J47" i="33"/>
  <c r="E31" i="31"/>
  <c r="E30" i="31"/>
  <c r="E29" i="31"/>
  <c r="E28" i="31"/>
  <c r="E26" i="31"/>
  <c r="E27" i="31"/>
  <c r="E23" i="31"/>
  <c r="E22" i="31"/>
  <c r="E21" i="31"/>
  <c r="E20" i="31"/>
  <c r="E19" i="31"/>
  <c r="E16" i="31"/>
  <c r="E15" i="31"/>
  <c r="E14" i="31"/>
  <c r="E11" i="31"/>
  <c r="E10" i="31"/>
  <c r="E9" i="31"/>
  <c r="E8" i="31"/>
  <c r="E7" i="31"/>
  <c r="E6" i="31"/>
  <c r="E5" i="31"/>
  <c r="E4" i="31"/>
  <c r="C15" i="12"/>
  <c r="G17" i="29"/>
  <c r="H17" i="29"/>
  <c r="H27" i="29"/>
  <c r="H26" i="29"/>
  <c r="H24" i="29"/>
  <c r="H23" i="29"/>
  <c r="H22" i="29"/>
  <c r="H21" i="29"/>
  <c r="H20" i="29"/>
  <c r="H19" i="29"/>
  <c r="H18" i="29"/>
  <c r="H14" i="29"/>
  <c r="H13" i="29"/>
  <c r="H12" i="29"/>
  <c r="H11" i="29"/>
  <c r="H10" i="29"/>
  <c r="G15" i="29"/>
  <c r="I69" i="28"/>
  <c r="H68" i="28"/>
  <c r="H67" i="28"/>
  <c r="J67" i="28"/>
  <c r="G66" i="28"/>
  <c r="H66" i="28"/>
  <c r="J66" i="28"/>
  <c r="G65" i="28"/>
  <c r="H65" i="28"/>
  <c r="J65" i="28"/>
  <c r="G64" i="28"/>
  <c r="H64" i="28"/>
  <c r="H62" i="28"/>
  <c r="J62" i="28"/>
  <c r="H61" i="28"/>
  <c r="J61" i="28"/>
  <c r="H60" i="28"/>
  <c r="J60" i="28"/>
  <c r="H59" i="28"/>
  <c r="J59" i="28"/>
  <c r="H58" i="28"/>
  <c r="J58" i="28"/>
  <c r="H57" i="28"/>
  <c r="J57" i="28"/>
  <c r="H56" i="28"/>
  <c r="J56" i="28"/>
  <c r="H55" i="28"/>
  <c r="J55" i="28"/>
  <c r="H54" i="28"/>
  <c r="J54" i="28"/>
  <c r="H53" i="28"/>
  <c r="J53" i="28"/>
  <c r="H52" i="28"/>
  <c r="J52" i="28"/>
  <c r="G51" i="28"/>
  <c r="H51" i="28"/>
  <c r="J51" i="28"/>
  <c r="G50" i="28"/>
  <c r="H50" i="28"/>
  <c r="J50" i="28"/>
  <c r="G49" i="28"/>
  <c r="H49" i="28"/>
  <c r="J49" i="28"/>
  <c r="H48" i="28"/>
  <c r="J48" i="28"/>
  <c r="H47" i="28"/>
  <c r="J47" i="28"/>
  <c r="H46" i="28"/>
  <c r="J46" i="28"/>
  <c r="H45" i="28"/>
  <c r="J45" i="28"/>
  <c r="H44" i="28"/>
  <c r="J44" i="28"/>
  <c r="H43" i="28"/>
  <c r="J43" i="28"/>
  <c r="H42" i="28"/>
  <c r="J42" i="28"/>
  <c r="H41" i="28"/>
  <c r="J41" i="28"/>
  <c r="H40" i="28"/>
  <c r="J40" i="28"/>
  <c r="H39" i="28"/>
  <c r="J39" i="28"/>
  <c r="H38" i="28"/>
  <c r="J38" i="28"/>
  <c r="H37" i="28"/>
  <c r="J37" i="28"/>
  <c r="H36" i="28"/>
  <c r="J36" i="28"/>
  <c r="H35" i="28"/>
  <c r="J35" i="28"/>
  <c r="H34" i="28"/>
  <c r="J34" i="28"/>
  <c r="H33" i="28"/>
  <c r="J33" i="28"/>
  <c r="H32" i="28"/>
  <c r="J32" i="28"/>
  <c r="H31" i="28"/>
  <c r="J31" i="28"/>
  <c r="H30" i="28"/>
  <c r="J30" i="28"/>
  <c r="H29" i="28"/>
  <c r="J29" i="28"/>
  <c r="H28" i="28"/>
  <c r="J28" i="28"/>
  <c r="H27" i="28"/>
  <c r="J27" i="28"/>
  <c r="H26" i="28"/>
  <c r="J26" i="28"/>
  <c r="H25" i="28"/>
  <c r="J25" i="28"/>
  <c r="H24" i="28"/>
  <c r="J24" i="28"/>
  <c r="H23" i="28"/>
  <c r="J23" i="28"/>
  <c r="G22" i="28"/>
  <c r="H22" i="28"/>
  <c r="G21" i="28"/>
  <c r="H21" i="28"/>
  <c r="J21" i="28"/>
  <c r="H20" i="28"/>
  <c r="J20" i="28"/>
  <c r="G17" i="28"/>
  <c r="D17" i="28"/>
  <c r="H16" i="28"/>
  <c r="J16" i="28"/>
  <c r="H15" i="28"/>
  <c r="J15" i="28"/>
  <c r="H14" i="28"/>
  <c r="J14" i="28"/>
  <c r="H13" i="28"/>
  <c r="J13" i="28"/>
  <c r="H12" i="28"/>
  <c r="J12" i="28"/>
  <c r="H11" i="28"/>
  <c r="J11" i="28"/>
  <c r="H10" i="28"/>
  <c r="J10" i="28"/>
  <c r="H9" i="28"/>
  <c r="J9" i="28"/>
  <c r="H8" i="28"/>
  <c r="J8" i="28"/>
  <c r="H7" i="28"/>
  <c r="J7" i="28"/>
  <c r="H6" i="28"/>
  <c r="J6" i="28"/>
  <c r="H5" i="28"/>
  <c r="J5" i="28"/>
  <c r="H7" i="29"/>
  <c r="H15" i="29"/>
  <c r="H8" i="29"/>
  <c r="H9" i="29"/>
  <c r="J68" i="28"/>
  <c r="I63" i="28"/>
  <c r="I70" i="28"/>
  <c r="I74" i="28"/>
  <c r="D22" i="13"/>
  <c r="H22" i="13"/>
  <c r="D21" i="13"/>
  <c r="H21" i="13"/>
  <c r="G20" i="13"/>
  <c r="H20" i="13"/>
  <c r="H19" i="13"/>
  <c r="G17" i="13"/>
  <c r="H16" i="13"/>
  <c r="H15" i="13"/>
  <c r="H14" i="13"/>
  <c r="H13" i="13"/>
  <c r="H12" i="13"/>
  <c r="H11" i="13"/>
  <c r="H10" i="13"/>
  <c r="H9" i="13"/>
  <c r="H8" i="13"/>
  <c r="H7" i="13"/>
  <c r="H6" i="13"/>
  <c r="G44" i="2"/>
  <c r="G45" i="2"/>
  <c r="G41" i="2"/>
  <c r="G40" i="2"/>
  <c r="G39" i="2"/>
  <c r="G36" i="2"/>
  <c r="G35" i="2"/>
  <c r="G34" i="2"/>
  <c r="G33" i="2"/>
  <c r="G32" i="2"/>
  <c r="G31" i="2"/>
  <c r="G28" i="2"/>
  <c r="G27" i="2"/>
  <c r="G26" i="2"/>
  <c r="G25" i="2"/>
  <c r="F23" i="2"/>
  <c r="C23" i="2"/>
  <c r="G22" i="2"/>
  <c r="G21" i="2"/>
  <c r="G20" i="2"/>
  <c r="G19" i="2"/>
  <c r="G18" i="2"/>
  <c r="G17" i="2"/>
  <c r="G16" i="2"/>
  <c r="G15" i="2"/>
  <c r="G14" i="2"/>
  <c r="G13" i="2"/>
  <c r="G12" i="2"/>
  <c r="G11" i="2"/>
  <c r="G10" i="2"/>
  <c r="G9" i="2"/>
  <c r="G8" i="2"/>
  <c r="G7" i="2"/>
  <c r="G6" i="2"/>
  <c r="G39" i="19"/>
  <c r="G34" i="19"/>
  <c r="G33" i="19"/>
  <c r="G35" i="19"/>
  <c r="G31" i="19"/>
  <c r="G30" i="19"/>
  <c r="G29" i="19"/>
  <c r="G28" i="19"/>
  <c r="G27" i="19"/>
  <c r="G26" i="19"/>
  <c r="G25" i="19"/>
  <c r="G24" i="19"/>
  <c r="G23" i="19"/>
  <c r="F21" i="19"/>
  <c r="C21" i="19"/>
  <c r="G20" i="19"/>
  <c r="G19" i="19"/>
  <c r="G18" i="19"/>
  <c r="G17" i="19"/>
  <c r="G16" i="19"/>
  <c r="G15" i="19"/>
  <c r="G14" i="19"/>
  <c r="G13" i="19"/>
  <c r="G12" i="19"/>
  <c r="G10" i="19"/>
  <c r="G9" i="19"/>
  <c r="G8" i="19"/>
  <c r="G7" i="19"/>
  <c r="G6" i="19"/>
  <c r="H33" i="18"/>
  <c r="C25" i="18"/>
  <c r="G24" i="18"/>
  <c r="G23" i="18"/>
  <c r="G21" i="18"/>
  <c r="G20" i="18"/>
  <c r="G25" i="18"/>
  <c r="F17" i="18"/>
  <c r="C17" i="18"/>
  <c r="G16" i="18"/>
  <c r="G15" i="18"/>
  <c r="G14" i="18"/>
  <c r="G13" i="18"/>
  <c r="G12" i="18"/>
  <c r="G10" i="18"/>
  <c r="G9" i="18"/>
  <c r="G8" i="18"/>
  <c r="G7" i="18"/>
  <c r="G6" i="18"/>
  <c r="C25" i="17"/>
  <c r="F20" i="17"/>
  <c r="C20" i="17"/>
  <c r="G19" i="17"/>
  <c r="G18" i="17"/>
  <c r="G17" i="17"/>
  <c r="G16" i="17"/>
  <c r="G15" i="17"/>
  <c r="G14" i="17"/>
  <c r="G13" i="17"/>
  <c r="G12" i="17"/>
  <c r="G11" i="17"/>
  <c r="G10" i="17"/>
  <c r="G9" i="17"/>
  <c r="G8" i="17"/>
  <c r="G7" i="17"/>
  <c r="G6" i="17"/>
  <c r="G26" i="9"/>
  <c r="G25" i="9"/>
  <c r="G24" i="9"/>
  <c r="C23" i="9"/>
  <c r="G23" i="9"/>
  <c r="F22" i="9"/>
  <c r="G22" i="9"/>
  <c r="G21" i="9"/>
  <c r="F19" i="9"/>
  <c r="G18" i="9"/>
  <c r="G17" i="9"/>
  <c r="G16" i="9"/>
  <c r="G15" i="9"/>
  <c r="G14" i="9"/>
  <c r="G13" i="9"/>
  <c r="G12" i="9"/>
  <c r="G11" i="9"/>
  <c r="G10" i="9"/>
  <c r="G9" i="9"/>
  <c r="G8" i="9"/>
  <c r="G7" i="9"/>
  <c r="G19" i="9"/>
  <c r="G6" i="9"/>
  <c r="G37" i="16"/>
  <c r="G30" i="16"/>
  <c r="G32" i="16"/>
  <c r="G31" i="16"/>
  <c r="C32" i="16"/>
  <c r="C28" i="16"/>
  <c r="G27" i="16"/>
  <c r="G26" i="16"/>
  <c r="G25" i="16"/>
  <c r="F23" i="16"/>
  <c r="C23" i="16"/>
  <c r="G22" i="16"/>
  <c r="G21" i="16"/>
  <c r="G20" i="16"/>
  <c r="G19" i="16"/>
  <c r="G18" i="16"/>
  <c r="G17" i="16"/>
  <c r="G16" i="16"/>
  <c r="G15" i="16"/>
  <c r="G14" i="16"/>
  <c r="G13" i="16"/>
  <c r="G12" i="16"/>
  <c r="G11" i="16"/>
  <c r="G10" i="16"/>
  <c r="G9" i="16"/>
  <c r="G8" i="16"/>
  <c r="G7" i="16"/>
  <c r="G6" i="16"/>
  <c r="G26" i="15"/>
  <c r="C21" i="15"/>
  <c r="G21" i="15"/>
  <c r="C20" i="15"/>
  <c r="G20" i="15"/>
  <c r="C19" i="15"/>
  <c r="G19" i="15"/>
  <c r="C18" i="15"/>
  <c r="G18" i="15"/>
  <c r="C15" i="15"/>
  <c r="G15" i="15"/>
  <c r="C14" i="15"/>
  <c r="G14" i="15"/>
  <c r="C13" i="15"/>
  <c r="F11" i="15"/>
  <c r="C11" i="15"/>
  <c r="G10" i="15"/>
  <c r="G9" i="15"/>
  <c r="G8" i="15"/>
  <c r="E7" i="15"/>
  <c r="G7" i="15"/>
  <c r="G6" i="15"/>
  <c r="K76" i="14"/>
  <c r="I64" i="14"/>
  <c r="G40" i="14"/>
  <c r="J20" i="14"/>
  <c r="J77" i="14"/>
  <c r="H20" i="14"/>
  <c r="H77" i="14"/>
  <c r="F20" i="14"/>
  <c r="F77" i="14"/>
  <c r="L19" i="14"/>
  <c r="K19" i="14"/>
  <c r="I19" i="14"/>
  <c r="G19" i="14"/>
  <c r="M19" i="14"/>
  <c r="L18" i="14"/>
  <c r="K18" i="14"/>
  <c r="I18" i="14"/>
  <c r="G18" i="14"/>
  <c r="L17" i="14"/>
  <c r="K17" i="14"/>
  <c r="I17" i="14"/>
  <c r="G17" i="14"/>
  <c r="L16" i="14"/>
  <c r="K16" i="14"/>
  <c r="I16" i="14"/>
  <c r="G16" i="14"/>
  <c r="L15" i="14"/>
  <c r="K15" i="14"/>
  <c r="I15" i="14"/>
  <c r="G15" i="14"/>
  <c r="L14" i="14"/>
  <c r="K14" i="14"/>
  <c r="I14" i="14"/>
  <c r="G14" i="14"/>
  <c r="L13" i="14"/>
  <c r="K13" i="14"/>
  <c r="I13" i="14"/>
  <c r="G13" i="14"/>
  <c r="L12" i="14"/>
  <c r="K12" i="14"/>
  <c r="I12" i="14"/>
  <c r="G12" i="14"/>
  <c r="L11" i="14"/>
  <c r="K11" i="14"/>
  <c r="I11" i="14"/>
  <c r="G11" i="14"/>
  <c r="L10" i="14"/>
  <c r="K10" i="14"/>
  <c r="I10" i="14"/>
  <c r="G10" i="14"/>
  <c r="L9" i="14"/>
  <c r="K9" i="14"/>
  <c r="I9" i="14"/>
  <c r="G9" i="14"/>
  <c r="L8" i="14"/>
  <c r="K8" i="14"/>
  <c r="I8" i="14"/>
  <c r="G8" i="14"/>
  <c r="L7" i="14"/>
  <c r="K7" i="14"/>
  <c r="I7" i="14"/>
  <c r="G7" i="14"/>
  <c r="L6" i="14"/>
  <c r="K6" i="14"/>
  <c r="I6" i="14"/>
  <c r="G6" i="14"/>
  <c r="G29" i="2"/>
  <c r="G13" i="15"/>
  <c r="H33" i="12"/>
  <c r="H34" i="12"/>
  <c r="E24" i="31"/>
  <c r="M6" i="14"/>
  <c r="M8" i="14"/>
  <c r="E32" i="31"/>
  <c r="M12" i="14"/>
  <c r="M16" i="14"/>
  <c r="M18" i="14"/>
  <c r="J32" i="33"/>
  <c r="H39" i="33"/>
  <c r="C22" i="15"/>
  <c r="M13" i="14"/>
  <c r="M17" i="14"/>
  <c r="K20" i="14"/>
  <c r="K77" i="14"/>
  <c r="E17" i="31"/>
  <c r="M9" i="14"/>
  <c r="M11" i="14"/>
  <c r="H28" i="29"/>
  <c r="H29" i="29"/>
  <c r="H33" i="29"/>
  <c r="H34" i="29"/>
  <c r="H35" i="29"/>
  <c r="I20" i="14"/>
  <c r="I77" i="14"/>
  <c r="G28" i="16"/>
  <c r="J49" i="33"/>
  <c r="J51" i="33"/>
  <c r="E12" i="31"/>
  <c r="E33" i="31"/>
  <c r="M15" i="14"/>
  <c r="G20" i="14"/>
  <c r="G77" i="14"/>
  <c r="L20" i="14"/>
  <c r="C16" i="15"/>
  <c r="G42" i="2"/>
  <c r="I49" i="33"/>
  <c r="M14" i="14"/>
  <c r="H17" i="13"/>
  <c r="H49" i="33"/>
  <c r="G20" i="17"/>
  <c r="G26" i="17"/>
  <c r="G28" i="17"/>
  <c r="G29" i="17"/>
  <c r="G17" i="18"/>
  <c r="G26" i="18"/>
  <c r="H12" i="18"/>
  <c r="G21" i="19"/>
  <c r="G32" i="19"/>
  <c r="G37" i="2"/>
  <c r="G28" i="29"/>
  <c r="G29" i="29"/>
  <c r="G27" i="9"/>
  <c r="G28" i="9"/>
  <c r="J64" i="28"/>
  <c r="J69" i="28"/>
  <c r="H69" i="28"/>
  <c r="G16" i="15"/>
  <c r="H23" i="13"/>
  <c r="H24" i="13"/>
  <c r="J22" i="28"/>
  <c r="J63" i="28"/>
  <c r="H63" i="28"/>
  <c r="L77" i="14"/>
  <c r="G11" i="15"/>
  <c r="I20" i="33"/>
  <c r="I50" i="33"/>
  <c r="H8" i="17"/>
  <c r="H18" i="17"/>
  <c r="H25" i="17"/>
  <c r="H11" i="17"/>
  <c r="G22" i="15"/>
  <c r="J17" i="28"/>
  <c r="M7" i="14"/>
  <c r="M10" i="14"/>
  <c r="H17" i="28"/>
  <c r="I29" i="33"/>
  <c r="I32" i="33"/>
  <c r="H20" i="33"/>
  <c r="H50" i="33"/>
  <c r="H32" i="33"/>
  <c r="G23" i="16"/>
  <c r="G23" i="2"/>
  <c r="J19" i="33"/>
  <c r="J20" i="33"/>
  <c r="J50" i="33"/>
  <c r="E61" i="20"/>
  <c r="E83" i="23"/>
  <c r="H15" i="17"/>
  <c r="H12" i="17"/>
  <c r="H13" i="17"/>
  <c r="H9" i="17"/>
  <c r="H7" i="17"/>
  <c r="H6" i="17"/>
  <c r="M20" i="14"/>
  <c r="H51" i="33"/>
  <c r="H20" i="18"/>
  <c r="H17" i="17"/>
  <c r="I15" i="12"/>
  <c r="I33" i="12"/>
  <c r="I34" i="12"/>
  <c r="H23" i="18"/>
  <c r="H6" i="18"/>
  <c r="H16" i="18"/>
  <c r="H14" i="18"/>
  <c r="G36" i="19"/>
  <c r="H15" i="18"/>
  <c r="H8" i="18"/>
  <c r="J52" i="33"/>
  <c r="H9" i="18"/>
  <c r="H10" i="18"/>
  <c r="G30" i="17"/>
  <c r="H10" i="17"/>
  <c r="I51" i="33"/>
  <c r="I52" i="33"/>
  <c r="G29" i="18"/>
  <c r="H13" i="18"/>
  <c r="M77" i="14"/>
  <c r="G46" i="2"/>
  <c r="G48" i="2"/>
  <c r="G49" i="2"/>
  <c r="G50" i="2"/>
  <c r="H34" i="2"/>
  <c r="G38" i="16"/>
  <c r="H32" i="16"/>
  <c r="G28" i="18"/>
  <c r="G30" i="18"/>
  <c r="G31" i="18"/>
  <c r="H24" i="18"/>
  <c r="H19" i="17"/>
  <c r="H16" i="17"/>
  <c r="H7" i="18"/>
  <c r="H21" i="18"/>
  <c r="H14" i="17"/>
  <c r="H32" i="2"/>
  <c r="H31" i="2"/>
  <c r="H36" i="2"/>
  <c r="H11" i="2"/>
  <c r="H26" i="13"/>
  <c r="G33" i="16"/>
  <c r="G23" i="15"/>
  <c r="H52" i="33"/>
  <c r="G30" i="9"/>
  <c r="H70" i="28"/>
  <c r="J70" i="28"/>
  <c r="G15" i="12"/>
  <c r="H25" i="16"/>
  <c r="H31" i="16"/>
  <c r="H13" i="16"/>
  <c r="H45" i="2"/>
  <c r="H36" i="16"/>
  <c r="H19" i="2"/>
  <c r="H17" i="16"/>
  <c r="H20" i="16"/>
  <c r="H11" i="16"/>
  <c r="H35" i="2"/>
  <c r="H14" i="2"/>
  <c r="H40" i="2"/>
  <c r="H44" i="2"/>
  <c r="H19" i="16"/>
  <c r="H15" i="16"/>
  <c r="H42" i="2"/>
  <c r="H20" i="2"/>
  <c r="H25" i="2"/>
  <c r="H39" i="2"/>
  <c r="H12" i="16"/>
  <c r="H33" i="2"/>
  <c r="H21" i="2"/>
  <c r="H9" i="16"/>
  <c r="G39" i="16"/>
  <c r="G40" i="16"/>
  <c r="G41" i="16"/>
  <c r="H6" i="16"/>
  <c r="H21" i="16"/>
  <c r="H15" i="2"/>
  <c r="H16" i="2"/>
  <c r="H28" i="2"/>
  <c r="H26" i="2"/>
  <c r="H10" i="16"/>
  <c r="H16" i="16"/>
  <c r="H10" i="2"/>
  <c r="H18" i="16"/>
  <c r="H30" i="16"/>
  <c r="H35" i="16"/>
  <c r="H7" i="2"/>
  <c r="H13" i="2"/>
  <c r="H8" i="2"/>
  <c r="H6" i="2"/>
  <c r="H20" i="17"/>
  <c r="H26" i="17"/>
  <c r="H17" i="18"/>
  <c r="H8" i="16"/>
  <c r="H22" i="16"/>
  <c r="H7" i="16"/>
  <c r="H22" i="2"/>
  <c r="H17" i="2"/>
  <c r="H9" i="2"/>
  <c r="H41" i="2"/>
  <c r="H27" i="16"/>
  <c r="H26" i="16"/>
  <c r="H14" i="16"/>
  <c r="H12" i="2"/>
  <c r="H27" i="2"/>
  <c r="H18" i="2"/>
  <c r="H37" i="19"/>
  <c r="H38" i="19"/>
  <c r="G40" i="19"/>
  <c r="G41" i="19"/>
  <c r="H25" i="18"/>
  <c r="H26" i="18"/>
  <c r="H31" i="18"/>
  <c r="H34" i="18"/>
  <c r="K15" i="12"/>
  <c r="G31" i="9"/>
  <c r="G32" i="9"/>
  <c r="H30" i="9"/>
  <c r="K47" i="33"/>
  <c r="K16" i="33"/>
  <c r="K10" i="33"/>
  <c r="K41" i="33"/>
  <c r="K7" i="33"/>
  <c r="K12" i="33"/>
  <c r="K46" i="33"/>
  <c r="K24" i="33"/>
  <c r="K8" i="33"/>
  <c r="K13" i="33"/>
  <c r="K42" i="33"/>
  <c r="K9" i="33"/>
  <c r="K11" i="33"/>
  <c r="K31" i="33"/>
  <c r="K44" i="33"/>
  <c r="K26" i="33"/>
  <c r="K18" i="33"/>
  <c r="K43" i="33"/>
  <c r="K27" i="33"/>
  <c r="K37" i="33"/>
  <c r="K25" i="33"/>
  <c r="K17" i="33"/>
  <c r="K22" i="33"/>
  <c r="K45" i="33"/>
  <c r="K48" i="33"/>
  <c r="K30" i="33"/>
  <c r="K38" i="33"/>
  <c r="K34" i="33"/>
  <c r="K35" i="33"/>
  <c r="K28" i="33"/>
  <c r="K14" i="33"/>
  <c r="K23" i="33"/>
  <c r="K19" i="33"/>
  <c r="K29" i="33"/>
  <c r="K15" i="33"/>
  <c r="H37" i="2"/>
  <c r="H73" i="28"/>
  <c r="J73" i="28"/>
  <c r="J74" i="28"/>
  <c r="G27" i="15"/>
  <c r="H23" i="15"/>
  <c r="G32" i="18"/>
  <c r="G33" i="18"/>
  <c r="G34" i="18"/>
  <c r="H27" i="13"/>
  <c r="H28" i="13"/>
  <c r="I26" i="13"/>
  <c r="H28" i="16"/>
  <c r="H29" i="2"/>
  <c r="H37" i="16"/>
  <c r="H23" i="2"/>
  <c r="H23" i="16"/>
  <c r="K39" i="33"/>
  <c r="H33" i="16"/>
  <c r="H38" i="16"/>
  <c r="H41" i="16"/>
  <c r="H46" i="2"/>
  <c r="H50" i="2"/>
  <c r="K33" i="12"/>
  <c r="K34" i="12"/>
  <c r="G42" i="19"/>
  <c r="G43" i="19"/>
  <c r="H41" i="19"/>
  <c r="H42" i="19"/>
  <c r="H39" i="19"/>
  <c r="K49" i="33"/>
  <c r="H74" i="28"/>
  <c r="H9" i="15"/>
  <c r="H8" i="15"/>
  <c r="H25" i="15"/>
  <c r="H26" i="15"/>
  <c r="H27" i="15"/>
  <c r="H10" i="15"/>
  <c r="H20" i="15"/>
  <c r="H13" i="15"/>
  <c r="H6" i="15"/>
  <c r="H14" i="15"/>
  <c r="H21" i="15"/>
  <c r="H19" i="15"/>
  <c r="H15" i="15"/>
  <c r="H7" i="15"/>
  <c r="H18" i="15"/>
  <c r="H22" i="15"/>
  <c r="I14" i="13"/>
  <c r="I16" i="13"/>
  <c r="I11" i="13"/>
  <c r="I9" i="13"/>
  <c r="I13" i="13"/>
  <c r="I8" i="13"/>
  <c r="I6" i="13"/>
  <c r="I10" i="13"/>
  <c r="I21" i="13"/>
  <c r="I19" i="13"/>
  <c r="I22" i="13"/>
  <c r="I7" i="13"/>
  <c r="I15" i="13"/>
  <c r="I20" i="13"/>
  <c r="I12" i="13"/>
  <c r="I24" i="13"/>
  <c r="I28" i="13"/>
  <c r="H12" i="9"/>
  <c r="H10" i="9"/>
  <c r="H8" i="9"/>
  <c r="H14" i="9"/>
  <c r="H18" i="9"/>
  <c r="H11" i="9"/>
  <c r="H6" i="9"/>
  <c r="H15" i="9"/>
  <c r="H7" i="9"/>
  <c r="H25" i="9"/>
  <c r="H17" i="9"/>
  <c r="H9" i="9"/>
  <c r="H26" i="9"/>
  <c r="H21" i="9"/>
  <c r="H16" i="9"/>
  <c r="H24" i="9"/>
  <c r="H23" i="9"/>
  <c r="H13" i="9"/>
  <c r="H22" i="9"/>
  <c r="H28" i="9"/>
  <c r="H32" i="9"/>
  <c r="K32" i="33"/>
  <c r="K20" i="33"/>
  <c r="K50" i="33"/>
  <c r="K51" i="33"/>
  <c r="I23" i="13"/>
  <c r="H16" i="15"/>
  <c r="H12" i="19"/>
  <c r="H26" i="19"/>
  <c r="H7" i="19"/>
  <c r="H25" i="19"/>
  <c r="H9" i="19"/>
  <c r="H10" i="19"/>
  <c r="H30" i="19"/>
  <c r="H8" i="19"/>
  <c r="H28" i="19"/>
  <c r="H24" i="19"/>
  <c r="H20" i="19"/>
  <c r="H14" i="19"/>
  <c r="H17" i="19"/>
  <c r="H6" i="19"/>
  <c r="H19" i="19"/>
  <c r="H15" i="19"/>
  <c r="H18" i="19"/>
  <c r="H34" i="19"/>
  <c r="H31" i="19"/>
  <c r="H29" i="19"/>
  <c r="H27" i="19"/>
  <c r="H23" i="19"/>
  <c r="H13" i="19"/>
  <c r="H33" i="19"/>
  <c r="H16" i="19"/>
  <c r="K52" i="33"/>
  <c r="H27" i="9"/>
  <c r="I17" i="13"/>
  <c r="H11" i="15"/>
  <c r="H19" i="9"/>
  <c r="H32" i="19"/>
  <c r="H21" i="19"/>
  <c r="H35" i="19"/>
  <c r="H36" i="19"/>
  <c r="H40" i="19"/>
  <c r="H43" i="19"/>
</calcChain>
</file>

<file path=xl/sharedStrings.xml><?xml version="1.0" encoding="utf-8"?>
<sst xmlns="http://schemas.openxmlformats.org/spreadsheetml/2006/main" count="2258" uniqueCount="821">
  <si>
    <t>RELACIONE EL NOMBRE DEL PROCESO</t>
  </si>
  <si>
    <t>OBJETO</t>
  </si>
  <si>
    <t>ITEM</t>
  </si>
  <si>
    <t>RUBRO</t>
  </si>
  <si>
    <t>CANTIDAD</t>
  </si>
  <si>
    <t>% DE DEDICACIÓN</t>
  </si>
  <si>
    <t>MESES</t>
  </si>
  <si>
    <t>VALOR MENSUAL Y/O UNITARIO</t>
  </si>
  <si>
    <t>VALOR PROMEDIO
MERCADO</t>
  </si>
  <si>
    <t>VALOR TOTAL</t>
  </si>
  <si>
    <t>APORTE MEN</t>
  </si>
  <si>
    <t>%</t>
  </si>
  <si>
    <t xml:space="preserve">TALENTO HUMANO MINIMO REQUERIDO </t>
  </si>
  <si>
    <t>1.1</t>
  </si>
  <si>
    <t>Coordinador General</t>
  </si>
  <si>
    <t>1.2</t>
  </si>
  <si>
    <t xml:space="preserve">Asesor Pedagógico </t>
  </si>
  <si>
    <t>1.3</t>
  </si>
  <si>
    <t>1.4</t>
  </si>
  <si>
    <t>1.5</t>
  </si>
  <si>
    <t>1.6</t>
  </si>
  <si>
    <t>1.7</t>
  </si>
  <si>
    <t>1.8</t>
  </si>
  <si>
    <t>SUBTOTAL</t>
  </si>
  <si>
    <t>VALOR UNITARIO</t>
  </si>
  <si>
    <t>2.1</t>
  </si>
  <si>
    <t>N/A</t>
  </si>
  <si>
    <t>2.2</t>
  </si>
  <si>
    <t>2.4</t>
  </si>
  <si>
    <t>3.1</t>
  </si>
  <si>
    <t>3.2</t>
  </si>
  <si>
    <t>2.5</t>
  </si>
  <si>
    <t>2.6</t>
  </si>
  <si>
    <t>2.7</t>
  </si>
  <si>
    <t>4.1</t>
  </si>
  <si>
    <t>4.2</t>
  </si>
  <si>
    <t>4.3</t>
  </si>
  <si>
    <t>4.4</t>
  </si>
  <si>
    <t>5.1</t>
  </si>
  <si>
    <t>TOTAL COSTOS DIRECTOS DE OPERACIÓN</t>
  </si>
  <si>
    <t>COSTOS INDIRECTOS DE OPERACIÓN</t>
  </si>
  <si>
    <t>VALOR TOTAL DEL PROYECTO</t>
  </si>
  <si>
    <t>Ocaña</t>
  </si>
  <si>
    <t>Convención</t>
  </si>
  <si>
    <t>Análisis de Mercado</t>
  </si>
  <si>
    <t>METODOLOGÍA</t>
  </si>
  <si>
    <t>Cotejo de valor mensual de salarios y actividades, para identificar precios de mercado</t>
  </si>
  <si>
    <t>Rubro</t>
  </si>
  <si>
    <t>Contratista</t>
  </si>
  <si>
    <t xml:space="preserve">Nombre Genérico </t>
  </si>
  <si>
    <t>Valor Unitario</t>
  </si>
  <si>
    <t>Contrato</t>
  </si>
  <si>
    <t>Costos Indirectos</t>
  </si>
  <si>
    <t>Proyectamos Colombia SAS</t>
  </si>
  <si>
    <t>CO1.PCCNTR.2559252</t>
  </si>
  <si>
    <t>Gastos de transporte</t>
  </si>
  <si>
    <t>Gastos de viáticos (alimentación y hospedaje)</t>
  </si>
  <si>
    <t>Universidad de Caldas</t>
  </si>
  <si>
    <t>CO1.PCCNTR.2559557</t>
  </si>
  <si>
    <t>Tiquetes</t>
  </si>
  <si>
    <t>Gastos de desplazamiento</t>
  </si>
  <si>
    <t>Desplazamiento terrestre</t>
  </si>
  <si>
    <t>Consejo Noruego para Refugiados</t>
  </si>
  <si>
    <t>CO1.PCCNTR.2580977</t>
  </si>
  <si>
    <t>Gastos de Viaje y desplazamientos</t>
  </si>
  <si>
    <t>Consorcio Comite Cafeteros de Caldas - CRECE</t>
  </si>
  <si>
    <t>CO1.PCCNTR.2713913</t>
  </si>
  <si>
    <t>Viáticos. Alojamiento y cenas 1 profesional/9 días por cada 4 sedes acompañadas: 4 días de desplazamiento ida y regreso y 5 días de ejecución)</t>
  </si>
  <si>
    <t>Vuelos nacionales. Manizales - Puerto Asis</t>
  </si>
  <si>
    <t>Otros gastos de viaje (Transporte terrestre en el Putumayo: 5 trayectos por cada 4 escuelas; 40 trayectos para las 32 escuelas)</t>
  </si>
  <si>
    <t>Otros gastos de viaje (Transporte en desplazamientos Manizales a Putumayo)</t>
  </si>
  <si>
    <t>CO1.PCCNTR.2546507</t>
  </si>
  <si>
    <t>Gastos de desplazamiento tiquetes terrestres -Tiquete ida y regreso para el gerente
Realizar 2 viajes por cada uno de los 4 ecosistemas nuevos)</t>
  </si>
  <si>
    <t>Gastos de desplazamiento viáticos para el gerente
Realizar 2 viajes por cada uno de los 4 ecosistemas nuevos)</t>
  </si>
  <si>
    <t>Talento Humano Requerido</t>
  </si>
  <si>
    <t>Valor Mensual</t>
  </si>
  <si>
    <t>CO1.PCCNTR.1839115</t>
  </si>
  <si>
    <t>Coordinador</t>
  </si>
  <si>
    <t>Director</t>
  </si>
  <si>
    <t>Investigadora Crece</t>
  </si>
  <si>
    <t>Profesional Orientador Tipo 1</t>
  </si>
  <si>
    <t>Profesional Orientador Tipo 2</t>
  </si>
  <si>
    <t>Asesor Técnico</t>
  </si>
  <si>
    <t>Asesor en metdología de la investigación cualitativa</t>
  </si>
  <si>
    <t>Expertos en primera infancia</t>
  </si>
  <si>
    <t>Fundación Plan</t>
  </si>
  <si>
    <t>CO1.PCCNTR.2417016</t>
  </si>
  <si>
    <t>Coordinador Nacional - Gerente de proyecto</t>
  </si>
  <si>
    <t xml:space="preserve">Consorcio INCAP - BETA </t>
  </si>
  <si>
    <t xml:space="preserve">Gerente </t>
  </si>
  <si>
    <t>APCA U.T. Lazos Sociales por la Educación Inicial Rural</t>
  </si>
  <si>
    <t>CO1.PCCNTR.2808033</t>
  </si>
  <si>
    <t>Asesor de Alianzas</t>
  </si>
  <si>
    <t>Asesor en permanencia</t>
  </si>
  <si>
    <t>Profesional en diseño</t>
  </si>
  <si>
    <t>Profesional experto en análisis de datos</t>
  </si>
  <si>
    <t>Profesional con experiencia en transcripción de información cualitativa</t>
  </si>
  <si>
    <t>Coordinador de Ecosistemas</t>
  </si>
  <si>
    <t>Investigador Principal</t>
  </si>
  <si>
    <t>Universidad de la Salle</t>
  </si>
  <si>
    <t>CO1.PCCNTR.2473858</t>
  </si>
  <si>
    <t>CO1.PCCNTR.1839020</t>
  </si>
  <si>
    <t>Expertos  en  los temas énfasis</t>
  </si>
  <si>
    <t>Oficial Técnico Educación Bogotá</t>
  </si>
  <si>
    <t>Expertos en campos de conocimiento</t>
  </si>
  <si>
    <t>Expertos en los ejes procesuales</t>
  </si>
  <si>
    <t>Expertos en liderazgo directivo y educación rural</t>
  </si>
  <si>
    <t xml:space="preserve">Expertos  en educación rural y liderazgo educativo </t>
  </si>
  <si>
    <t>Oficial Técnico Educación occidente</t>
  </si>
  <si>
    <t>Coordinador trabajo de campo</t>
  </si>
  <si>
    <t>Lider Técnico - Subgerente Técnico</t>
  </si>
  <si>
    <t>Profesional</t>
  </si>
  <si>
    <t>Profesional experto en diversificación curricular (4 talleres * Ecosistema)</t>
  </si>
  <si>
    <t>Profesional de sistema de seguimiento y monitoreo</t>
  </si>
  <si>
    <t>Coordinador Administrativo</t>
  </si>
  <si>
    <t>Expertos en sistematización de datos</t>
  </si>
  <si>
    <t>Desarrollador</t>
  </si>
  <si>
    <t>Experto asesor Educación Superior</t>
  </si>
  <si>
    <t xml:space="preserve">Profesional de sistematización </t>
  </si>
  <si>
    <t>Profesionales especializados en estadística</t>
  </si>
  <si>
    <t>Profesional especializado salas de lectura</t>
  </si>
  <si>
    <t>Facilitadores regionales</t>
  </si>
  <si>
    <t>Expertos pedagogos y didácticos (Facilitadores)</t>
  </si>
  <si>
    <t>Personal Administrativo y financiero</t>
  </si>
  <si>
    <t>Consultor en planes de gestión del riesgo</t>
  </si>
  <si>
    <t>Profesional en producción audiovisual</t>
  </si>
  <si>
    <t>Coordinador de consolidación de programa de entretenimiento</t>
  </si>
  <si>
    <t>Profesional para diseño de herramientas asociadas al programa de entrenamiento</t>
  </si>
  <si>
    <t>Profesional para edición y corrección de estilo</t>
  </si>
  <si>
    <t>Profesional de comunicaciones</t>
  </si>
  <si>
    <t>Diseñador</t>
  </si>
  <si>
    <t>Diseñador Editorial</t>
  </si>
  <si>
    <t>Asistente técnico educación occidente</t>
  </si>
  <si>
    <t>Lider Operativo - Subgerente Operativo</t>
  </si>
  <si>
    <t>Profesional para la implementación del componente salud y nutrición, protocolo de bioseguridad y protocolo de bioseguridad y protocolo de limpieza y desinfección</t>
  </si>
  <si>
    <t>Profesional para la implementación del componente administración y gestión financiera, planes y proyectos de inversión para la mejora de las residencias escolares</t>
  </si>
  <si>
    <t>Profesional en tema de género</t>
  </si>
  <si>
    <t>Profesional de apoyo en la implementación plan de comunicaciones para el fortalecimiento pedagógico de las instituciones educativas con residencia escolar</t>
  </si>
  <si>
    <t>Profesional de acompañamiento</t>
  </si>
  <si>
    <t>Tutores</t>
  </si>
  <si>
    <t>Coinvestigadores</t>
  </si>
  <si>
    <t>Asesoría tecno-pedagógica</t>
  </si>
  <si>
    <t>Profesional Administrativo</t>
  </si>
  <si>
    <t>Asesoría tecno-pedagógica, seguimiento y apoyo académico</t>
  </si>
  <si>
    <t>Ingenieros (Red de Alta Calidad)</t>
  </si>
  <si>
    <t>Diseñador instruccional</t>
  </si>
  <si>
    <t>Asistente técnico logistico</t>
  </si>
  <si>
    <t>Personal de Apoyo Administrativo</t>
  </si>
  <si>
    <t>Asistente General</t>
  </si>
  <si>
    <t>Profesional de apoyo salas de lectura</t>
  </si>
  <si>
    <t>Coordinadores regionales para la aplicación de instrumentos del modelo de medición</t>
  </si>
  <si>
    <t>Asistente técnico financiero</t>
  </si>
  <si>
    <t>Profesional especializado en Monitoreo y Evaluación</t>
  </si>
  <si>
    <t>Profesionales de campo</t>
  </si>
  <si>
    <t>Aplicadores de instrumentos de medición de calidad</t>
  </si>
  <si>
    <t>Auxiliar administrativo y logístico</t>
  </si>
  <si>
    <t>Profesionales para la implementación del proyecto en campo</t>
  </si>
  <si>
    <t>Analista de proyecto</t>
  </si>
  <si>
    <t>Analista Financiero</t>
  </si>
  <si>
    <t>Asistente Administrativo</t>
  </si>
  <si>
    <t>Coordinador equipo educacion</t>
  </si>
  <si>
    <t>Liquider equipo finanzas</t>
  </si>
  <si>
    <t>Líder equipo logística</t>
  </si>
  <si>
    <t>Lider equipo</t>
  </si>
  <si>
    <t>Auxliar en gestión documental</t>
  </si>
  <si>
    <t>Asistencial</t>
  </si>
  <si>
    <t>Asistente técnico educación</t>
  </si>
  <si>
    <t>Asistente técnico monitoreo y evaluación</t>
  </si>
  <si>
    <t>Promedio general</t>
  </si>
  <si>
    <t>Espacios de entrenamiento</t>
  </si>
  <si>
    <t>Proceso de formación docente-tutor implementación y transferencia del modelo a docentes- tutores y equipos SE</t>
  </si>
  <si>
    <t>Revisión y validación con expertos internacionales</t>
  </si>
  <si>
    <t>Encuentro niñas y niños</t>
  </si>
  <si>
    <t>Evento</t>
  </si>
  <si>
    <t>Iniciativas simbolicas del rescate de la memoria y la reconciliacion apoyadas</t>
  </si>
  <si>
    <t>Gastos gestion del riesgo y gastos de materiales y refrigerio</t>
  </si>
  <si>
    <t>Validación con pares</t>
  </si>
  <si>
    <t>Validación con usuarios</t>
  </si>
  <si>
    <t>Socialización de experiencias y trabajo de campo</t>
  </si>
  <si>
    <t>Promedio Evento</t>
  </si>
  <si>
    <t>Manuales y otros materiales usados en el desarrollo</t>
  </si>
  <si>
    <t>Gastos Administrativos</t>
  </si>
  <si>
    <t>Preparación y reproducción de informes</t>
  </si>
  <si>
    <t>Papelería y miscelanea</t>
  </si>
  <si>
    <t>Promedio Gastos Administrativos</t>
  </si>
  <si>
    <t>Paquetes de Datos</t>
  </si>
  <si>
    <t>Internet</t>
  </si>
  <si>
    <t>USB</t>
  </si>
  <si>
    <t>Promedio Internet</t>
  </si>
  <si>
    <t>Estrategia de acceso-Apoyos Educativos</t>
  </si>
  <si>
    <t>Estrategia de permanencia</t>
  </si>
  <si>
    <t>Material</t>
  </si>
  <si>
    <t>Edición, diseño, ilustración y diagramación de guías</t>
  </si>
  <si>
    <t>Infografías</t>
  </si>
  <si>
    <t>Gastos de comunicación</t>
  </si>
  <si>
    <t>Publicidad</t>
  </si>
  <si>
    <t>Encuentro padres de familia</t>
  </si>
  <si>
    <t>Plataforma Tecnológica</t>
  </si>
  <si>
    <t>Plataforma Tecnologica de Gesión del Aprendizaje</t>
  </si>
  <si>
    <t>Licencia Uso de Plataforma</t>
  </si>
  <si>
    <t>Estrategia comunicativa</t>
  </si>
  <si>
    <t>Censo, identificación de población para el acompañamiento a la escolarización</t>
  </si>
  <si>
    <t>Alquiler DMC (recolección de información)</t>
  </si>
  <si>
    <t>Nivel Entidad</t>
  </si>
  <si>
    <t>Nombre de la Entidad</t>
  </si>
  <si>
    <t>NIT de la Entidad</t>
  </si>
  <si>
    <t>Estado del Proceso</t>
  </si>
  <si>
    <t>Modalidad de Contratación</t>
  </si>
  <si>
    <t>Objeto a Contratar</t>
  </si>
  <si>
    <t>Tipo de Contrato</t>
  </si>
  <si>
    <t>Fecha de Firma del Contrato</t>
  </si>
  <si>
    <t>Numero del Contrato</t>
  </si>
  <si>
    <t>Numero de Proceso</t>
  </si>
  <si>
    <t>Valor Contrato</t>
  </si>
  <si>
    <t>Nom Raz Social Contratista</t>
  </si>
  <si>
    <t>URL Contrato</t>
  </si>
  <si>
    <t>Columna1</t>
  </si>
  <si>
    <t>Nacional</t>
  </si>
  <si>
    <t>MINISTERIO DE EDUCACION NACIONAL (MEN)</t>
  </si>
  <si>
    <t>En ejecución</t>
  </si>
  <si>
    <t>Contratación régimen especial</t>
  </si>
  <si>
    <t>Implementar el Modelo de Educación Inicial en Ruralidad</t>
  </si>
  <si>
    <t>Prestación de servicios</t>
  </si>
  <si>
    <t>09/03/2021 07:09:25 PM</t>
  </si>
  <si>
    <t>CO1.BDOS.2208389</t>
  </si>
  <si>
    <t>APCA U.T. LAZOS SOCIALES POR LA EDUCACIÓN INICIAL RURAL</t>
  </si>
  <si>
    <t>https://community.secop.gov.co/Public/Tendering/OpportunityDetail/Index?noticeUID=CO1.NTC.2211541&amp;isFromPublicArea=True&amp;isModal=true&amp;asPopupView=true</t>
  </si>
  <si>
    <t>CONSULTORÍA PARA DISEÑAR Y APOYAR LA IMPLEMENTACIÓN DE UN MODELO DE ACUERDO BINACIONAL PARA ASEGURAR LA TRAYECTORIA EDUCATIVA DE ESTUDIANTES EN ZONA RURAL Y DE FRONTERA ENTRE ECUADOR Y COLOMBIA EN EL DEPARTAMENTO DEL PUTUMAYO.</t>
  </si>
  <si>
    <t>08/10/2021 09:08:21 AM</t>
  </si>
  <si>
    <t>CO1.BDOS.2106649</t>
  </si>
  <si>
    <t>CONSORCIO COMITE CAFETEROS DE CALDAS - CRECE</t>
  </si>
  <si>
    <t>https://community.secop.gov.co/Public/Tendering/OpportunityDetail/Index?noticeUID=CO1.NTC.2133413&amp;isFromPublicArea=True&amp;isModal=true&amp;asPopupView=true</t>
  </si>
  <si>
    <t>Licitación pública</t>
  </si>
  <si>
    <t>Realizar la medición de la calidad de la educación inicial en el grado transición  en una muestra representativa nacional de establecimientos educativos oficiales ubicados en zonas urbanas y rurales del país  el desarrollo de un estudio cualitativo centrado en el reconocimiento de las particularidad</t>
  </si>
  <si>
    <t>06/04/2021 09:06:11 AM</t>
  </si>
  <si>
    <t>CO1.BDOS.1871740</t>
  </si>
  <si>
    <t>PROYECTAMOS COLOMBIA SAS</t>
  </si>
  <si>
    <t>https://community.secop.gov.co/Public/Tendering/OpportunityDetail/Index?noticeUID=CO1.NTC.1915070&amp;isFromPublicArea=True&amp;isModal=true&amp;asPopupView=true</t>
  </si>
  <si>
    <t>Consultoría para el desarrollo de planes de formación complementaria en las escuelas normales superiores  actualizados para estrategias educativas rurales</t>
  </si>
  <si>
    <t>Otro</t>
  </si>
  <si>
    <t>04/29/2021 06:04:06 PM</t>
  </si>
  <si>
    <t>CO1.BDOS.1945815</t>
  </si>
  <si>
    <t>https://community.secop.gov.co/Public/Tendering/OpportunityDetail/Index?noticeUID=CO1.NTC.1944251&amp;isFromPublicArea=True&amp;isModal=true&amp;asPopupView=true</t>
  </si>
  <si>
    <t>Acompañar la implementación de las estrategias educativas en establecimientos educativos focalizados que implementan la estrategia de permanencia residencia escolar en zonas rurales  con el fin de cualificar la atención educativa desde un uso significativo del tiempo escolar  promover y acompañar</t>
  </si>
  <si>
    <t>04/10/2021 05:04:18 AM</t>
  </si>
  <si>
    <t>CO1.BDOS.1903431</t>
  </si>
  <si>
    <t>https://community.secop.gov.co/Public/Tendering/OpportunityDetail/Index?noticeUID=CO1.NTC.1900170&amp;isFromPublicArea=True&amp;isModal=true&amp;asPopupView=true</t>
  </si>
  <si>
    <t>Modificado</t>
  </si>
  <si>
    <t>IMPLEMENTAR ESTRATEGIAS EDUCATIVAS RURALES A TRAVÉS DE LA DINAMIZACIÓN DE ECOSISTEMAS DE INNOVACIÓN PARA LA EDUCACIÓN MEDIA CON EL FIN DE FORTALECER LA ARTICULACIÓN DE ACTORES  ESTRATEGIAS Y RECURSOS EN PRO DE GENERAR POLÍTICAS EDUCATIVAS INTEGRALES DIRIGIDAS A LOS ADOLESCENTES Y JÓVENES FAVORECIEND</t>
  </si>
  <si>
    <t>06/04/2021 07:06:56 AM</t>
  </si>
  <si>
    <t>CO1.BDOS.1872636</t>
  </si>
  <si>
    <t>CONSORCIO INCAP - BETA</t>
  </si>
  <si>
    <t>https://community.secop.gov.co/Public/Tendering/OpportunityDetail/Index?noticeUID=CO1.NTC.1915006&amp;isFromPublicArea=True&amp;isModal=true&amp;asPopupView=true</t>
  </si>
  <si>
    <t>Asistir y acompañar técnicamente Entidades Territoriales Certificadas e instituciones educativas focalizadas en la implementación de estrategias educativas rurales  para contribuir al cierre de brechas en el acceso  la acogida  el bienestar y la permanencia de niños  niñas y adolescentes en condicio</t>
  </si>
  <si>
    <t>06/23/2021 05:06:18 PM</t>
  </si>
  <si>
    <t>CO1.BDOS.2027308</t>
  </si>
  <si>
    <t>https://community.secop.gov.co/Public/Tendering/OpportunityDetail/Index?noticeUID=CO1.NTC.2027717&amp;isFromPublicArea=True&amp;isModal=true&amp;asPopupView=true</t>
  </si>
  <si>
    <t>Consultoría para la validación  ajuste  socialización y fortalecimiento de capacidades para la implementación de los lineamientos y los recursos pedagógicos de la educación inicial  básica y media para las ruralidades</t>
  </si>
  <si>
    <t>06/02/2021 12:06:22 AM</t>
  </si>
  <si>
    <t>CO1.BDOS.2009693</t>
  </si>
  <si>
    <t>UNIVERSIDAD DE CALDAS</t>
  </si>
  <si>
    <t>https://community.secop.gov.co/Public/Tendering/OpportunityDetail/Index?noticeUID=CO1.NTC.2010638&amp;isFromPublicArea=True&amp;isModal=true&amp;asPopupView=true</t>
  </si>
  <si>
    <t>FORMAR Y ACOMPAÑAR EN LIDERAZGO Y GESTIÓN A DIRECTIVOS DOCENTES RURALES DEL PAÍS ASÍ COMO  EL DESARROLLO DE PLANES DE FORMACIÓN COMPLEMENTARIOS EN LAS ENS  ACTUALIZADOS PARA ESTRATEGIAS EDUCATIVAS RURALES</t>
  </si>
  <si>
    <t>09/15/2020 11:09:50 AM</t>
  </si>
  <si>
    <t>CO1.BDOS.1448012</t>
  </si>
  <si>
    <t>https://community.secop.gov.co/Public/Tendering/OpportunityDetail/Index?noticeUID=CO1.NTC.1446514&amp;isFromPublicArea=True&amp;isModal=true&amp;asPopupView=true</t>
  </si>
  <si>
    <t>VALOR MENSUAL</t>
  </si>
  <si>
    <t>VALOR FASE 1</t>
  </si>
  <si>
    <t>VALOR FASE 2</t>
  </si>
  <si>
    <t>VALOR FASE 3</t>
  </si>
  <si>
    <t>TOTAL FASE 1+2+3</t>
  </si>
  <si>
    <t xml:space="preserve">Sede </t>
  </si>
  <si>
    <t>Campo</t>
  </si>
  <si>
    <t>FASE ALISTAMIENTO Y DEFINICIÓN DE CONTENIDOS TÉCNICOS</t>
  </si>
  <si>
    <t xml:space="preserve">VALOR TOTAL </t>
  </si>
  <si>
    <t>Selección y contratación del equipo de trabajo</t>
  </si>
  <si>
    <t>2.1.1</t>
  </si>
  <si>
    <t>Proceso de selección y contratación de profesionales</t>
  </si>
  <si>
    <t>2.1.2</t>
  </si>
  <si>
    <t>Inducción en cascada (equipo central y maestras y maestros)</t>
  </si>
  <si>
    <t>Elaboración y validación de plan de trabajo, cronograma, metodologías e instrumentos</t>
  </si>
  <si>
    <t>2.2.1</t>
  </si>
  <si>
    <t>Revisión y análisis de directrices técnicas, insumos y formatos suministrados por el MEN</t>
  </si>
  <si>
    <t>2.2.2</t>
  </si>
  <si>
    <t>Proyección de acompañamiento de las niñas y niños</t>
  </si>
  <si>
    <t>2.2.3</t>
  </si>
  <si>
    <t>Proyección de los acompañamientos a maestras y maestros en la implementación del modelo</t>
  </si>
  <si>
    <t>2.2.4</t>
  </si>
  <si>
    <t>Proyección de la ruta metodológica para el seguimiento y documentación del modelo</t>
  </si>
  <si>
    <t>2.2.5</t>
  </si>
  <si>
    <t>Gestión proceso de Salas de Lectura</t>
  </si>
  <si>
    <t>2.3</t>
  </si>
  <si>
    <t xml:space="preserve">Adquisición y despliegue de dotaciones y recursos </t>
  </si>
  <si>
    <t>2.3.1</t>
  </si>
  <si>
    <t xml:space="preserve">Revisión y análisis de insumos suministrados por el MEN y los Establecimientos Educativos </t>
  </si>
  <si>
    <t>2.3.2</t>
  </si>
  <si>
    <t>Articulación y gestión con establecimientos educativos</t>
  </si>
  <si>
    <t>2.4.1</t>
  </si>
  <si>
    <t>Presentación y socialización del modelo con los establecimientos educativos</t>
  </si>
  <si>
    <t>2.4.2</t>
  </si>
  <si>
    <t xml:space="preserve">Adecuación de los espacios, experiencias y recursos pedagógicos </t>
  </si>
  <si>
    <t>Seguimiento y documentación del modelo</t>
  </si>
  <si>
    <t>2.5.1</t>
  </si>
  <si>
    <t xml:space="preserve">Construcción participativa del objeto de sistematización </t>
  </si>
  <si>
    <t>2.5.2</t>
  </si>
  <si>
    <t>Diseño de la estrategia de Ssitematización</t>
  </si>
  <si>
    <t>IMPLEMENTACIÓN DEL MODELO</t>
  </si>
  <si>
    <t>Actividades para desarrollar con niñas y niños y sus familias</t>
  </si>
  <si>
    <t>3.1.1</t>
  </si>
  <si>
    <t>Exploración del entorno y caracterización de los niños y niñas</t>
  </si>
  <si>
    <t>3.1.2</t>
  </si>
  <si>
    <t xml:space="preserve">Reconocimiento del Territorio </t>
  </si>
  <si>
    <t>3.1.3</t>
  </si>
  <si>
    <t>Realización de cartografía social</t>
  </si>
  <si>
    <t>3.1.4</t>
  </si>
  <si>
    <t>Movlización social y comunicación en el territorio</t>
  </si>
  <si>
    <t>3.1.5</t>
  </si>
  <si>
    <t>Aplicación y análisis de instrumnentos o recolección de información</t>
  </si>
  <si>
    <t>3.1.6</t>
  </si>
  <si>
    <t xml:space="preserve">Implementación de acompañamiento </t>
  </si>
  <si>
    <t>3.1.7</t>
  </si>
  <si>
    <t>Momentos de acompañamiento individual</t>
  </si>
  <si>
    <t>3.1.8</t>
  </si>
  <si>
    <t>Momentos de intercambio y aprendizaje entre familias</t>
  </si>
  <si>
    <t>3.1.9</t>
  </si>
  <si>
    <t>Momentos para jugar, explorar, cantar, narrar, crear y aprender entre pares</t>
  </si>
  <si>
    <t>Actividades para desarrollar con maestras y maestros</t>
  </si>
  <si>
    <t>3.2.1</t>
  </si>
  <si>
    <t>Acompañamiento a maestros y maestras en la implementación del modelo</t>
  </si>
  <si>
    <t>3.2.1.1</t>
  </si>
  <si>
    <t>Comunidades de aprendizaje (1 al mes, 2 horas)</t>
  </si>
  <si>
    <t>3.2.1.2</t>
  </si>
  <si>
    <t>Acompañmiento en campo (1 al mes, 4 horas)</t>
  </si>
  <si>
    <t>3.2.1.3</t>
  </si>
  <si>
    <t>Acompañamiento permanente (presencial y multimedial)</t>
  </si>
  <si>
    <t>3.2.1.4</t>
  </si>
  <si>
    <t>Taller de profundización (1 al mes, 2 horas)</t>
  </si>
  <si>
    <t>3.2.2</t>
  </si>
  <si>
    <t>Trabajo Autónomo (1 al mes, 4 horas)</t>
  </si>
  <si>
    <t>3.2.3</t>
  </si>
  <si>
    <t>Desarrollo de los tres ciclos adicionales; "Infaciclos")</t>
  </si>
  <si>
    <t>3.3</t>
  </si>
  <si>
    <t>3.3.1</t>
  </si>
  <si>
    <t>Recolección de información para la sistematización</t>
  </si>
  <si>
    <t>3.3.2</t>
  </si>
  <si>
    <t>Reflexión y análisis de información</t>
  </si>
  <si>
    <t>3.4</t>
  </si>
  <si>
    <t>Entrega y aprobación de productos del informe de avance - Fase 2</t>
  </si>
  <si>
    <t>CIERRE DEL PROCESO Y ENTREGA FINAL</t>
  </si>
  <si>
    <t>Actividades para desarrollar y presentar los resultados del  Modelo en atención a las niñas, niños y sus familias</t>
  </si>
  <si>
    <t>4.1.1</t>
  </si>
  <si>
    <t>Cierres de acompañamientos de las niñas, niños y sus familias</t>
  </si>
  <si>
    <t>4.1.2</t>
  </si>
  <si>
    <t>Desarrollo de un encuentro de cierre por territorio para dar a conocer las experiencias vividas</t>
  </si>
  <si>
    <t>Desarrollo de capacidades de maestras y maestros para la educación inicial en zonas rurales y rurales dispersas</t>
  </si>
  <si>
    <t>4.2.1</t>
  </si>
  <si>
    <t>Cierre de acompañamientos del proceso con maestras y maestros</t>
  </si>
  <si>
    <t>4.2.2</t>
  </si>
  <si>
    <t>Encuentro de cierre por territorio para dar a conocer las experiencias vividas en las estrategias metodológicas</t>
  </si>
  <si>
    <t>4.2.3</t>
  </si>
  <si>
    <t>Desarrollo de un conversatorio Interinstitucional</t>
  </si>
  <si>
    <t>4.3.1</t>
  </si>
  <si>
    <t>Entrega y socialización del ejercicio de sistematización</t>
  </si>
  <si>
    <t>Entrega y aprobación de productos finales</t>
  </si>
  <si>
    <t>1+2+3+4</t>
  </si>
  <si>
    <t>TOTAL COSTOS DIRECTOS E INDIRECTOS DE OPERACIÓN</t>
  </si>
  <si>
    <t>Consultoría para diseñar y apoyar la implementación de un modelo de acuerdo binacional para asegurar la trayectoria educativa en estudiantes de zona rural y de frontera entre Ecuador y Colombia en el departamento del Putumayo</t>
  </si>
  <si>
    <t>1.1.</t>
  </si>
  <si>
    <t>1.2.</t>
  </si>
  <si>
    <t>1.4.</t>
  </si>
  <si>
    <t>1.5.</t>
  </si>
  <si>
    <t>1.6.</t>
  </si>
  <si>
    <t>OTROS GASTOS</t>
  </si>
  <si>
    <t>GASTOS DE DESPLAZAMIENTO</t>
  </si>
  <si>
    <t>1+2+3</t>
  </si>
  <si>
    <t xml:space="preserve">TOTAL COSTOS DIRECTOS </t>
  </si>
  <si>
    <t>Gastos de Administración</t>
  </si>
  <si>
    <t>Gravamen a los movimientos financieros, costos administrativos y demas en que incurra la universidad para garantizar el cumplimient odel objeto contractual.</t>
  </si>
  <si>
    <t>1.9</t>
  </si>
  <si>
    <t>1.10</t>
  </si>
  <si>
    <t>1.11</t>
  </si>
  <si>
    <t>1.12</t>
  </si>
  <si>
    <t>1.13</t>
  </si>
  <si>
    <t>1.14</t>
  </si>
  <si>
    <t>1.15</t>
  </si>
  <si>
    <t>1.16</t>
  </si>
  <si>
    <t>1.17</t>
  </si>
  <si>
    <t>PLAZO DE EJECUCION (7,5 MESES) TIEMPO MAX A PONER</t>
  </si>
  <si>
    <t>Utilidad</t>
  </si>
  <si>
    <t>VALOR TOTAL DEL PROYECTO SIN IVA</t>
  </si>
  <si>
    <t>Iva 19%</t>
  </si>
  <si>
    <t>VALOR TOTAL DEL PROYECTO CON IVA</t>
  </si>
  <si>
    <t>VALOR MENSUAL Y/O  UNITARIO</t>
  </si>
  <si>
    <t>PLATAFORMA TECNOLOGICA</t>
  </si>
  <si>
    <t>1+2</t>
  </si>
  <si>
    <t xml:space="preserve">Gastos de Administración </t>
  </si>
  <si>
    <t>Profesional para la implementación de componente pedagófico y vida cotidiana</t>
  </si>
  <si>
    <t>Profesesional para la implementación de componente familia, comunidad y redes y gestion emocional</t>
  </si>
  <si>
    <t>Implementación encuentro nacional</t>
  </si>
  <si>
    <t xml:space="preserve">Insumos de trabajo </t>
  </si>
  <si>
    <t>TOTAL COSTOS DIRECTOS + INDIRECTOS</t>
  </si>
  <si>
    <t>Implementar estrategias educativas rurales a través de la dinamización de ecosistemas de innovación para la educación media con el fin de fortalecer la articulación de acciones estrategias y productos en pro de generar políticas educativas integrales dirigidas a los adolescentes y jóvenes</t>
  </si>
  <si>
    <t>DINAMIZADOR NACIONAL DE ECOSISTEMAS</t>
  </si>
  <si>
    <t>ACOMPAÑAMIENTO A ETC</t>
  </si>
  <si>
    <t>SUBTOTAL COSTO DIRECTO</t>
  </si>
  <si>
    <t>DIAS</t>
  </si>
  <si>
    <t>Gastos de desplazamiento tiquetes terrestres -Tiquete ida y regreso - 13 visitas ecosistemas nuevos y 18 creados en 2020</t>
  </si>
  <si>
    <t>Gastos de desplazamiento viáticos 1 día - 13 visitas ecosistemas nuevos y 18 creados en 2020</t>
  </si>
  <si>
    <t>VISITAS DE VERIFICACIÓN Y GESTIÓN</t>
  </si>
  <si>
    <t>EXPERTOS CLAVE</t>
  </si>
  <si>
    <t>PERSONAL NO CLAVE</t>
  </si>
  <si>
    <t xml:space="preserve">SUBTOTAL </t>
  </si>
  <si>
    <t>IMPLEMENTACIÓN ESTRATEGIA ARANDO LA EDUCACIÓN</t>
  </si>
  <si>
    <t>UNIDAD DE MEDIDA</t>
  </si>
  <si>
    <t>UNIDADES</t>
  </si>
  <si>
    <t>Hogares</t>
  </si>
  <si>
    <t>Unidad</t>
  </si>
  <si>
    <t>Docentes</t>
  </si>
  <si>
    <t>2.8</t>
  </si>
  <si>
    <t>Encuentros</t>
  </si>
  <si>
    <t>2.9</t>
  </si>
  <si>
    <t>2.10</t>
  </si>
  <si>
    <t>Personal</t>
  </si>
  <si>
    <t>2.11</t>
  </si>
  <si>
    <t>Por institución</t>
  </si>
  <si>
    <t>2.12</t>
  </si>
  <si>
    <t>Inciciativa</t>
  </si>
  <si>
    <t>2.13</t>
  </si>
  <si>
    <t>Taller</t>
  </si>
  <si>
    <t>Monitoreo del proyecto- Secretarías (base)</t>
  </si>
  <si>
    <t>Secretaria</t>
  </si>
  <si>
    <t>Personas</t>
  </si>
  <si>
    <t>SUBTOTAL COSTOS INDIRECTOS</t>
  </si>
  <si>
    <t>1.3.</t>
  </si>
  <si>
    <t>1.7.</t>
  </si>
  <si>
    <t>1.8.</t>
  </si>
  <si>
    <t>1.9.</t>
  </si>
  <si>
    <t>1.10.</t>
  </si>
  <si>
    <t>1.11.</t>
  </si>
  <si>
    <t>1.12.</t>
  </si>
  <si>
    <t>1.13.</t>
  </si>
  <si>
    <t>1.14.</t>
  </si>
  <si>
    <t>1.15.</t>
  </si>
  <si>
    <t>1.16.</t>
  </si>
  <si>
    <t>2. VALIDACIÓN DE CONTENIDOS</t>
  </si>
  <si>
    <t>3. SOCIALIZACIÓN Y FORTALECIMIENTO</t>
  </si>
  <si>
    <t>SOCIALIZACION Y FORTALECIMIENTO</t>
  </si>
  <si>
    <t>Recursos pedagógicos educación inicial</t>
  </si>
  <si>
    <t>Recursos pedagógicos educación básica</t>
  </si>
  <si>
    <t>Recursos pedagógicos educación media</t>
  </si>
  <si>
    <t>Recursos complementarios y orientaciones</t>
  </si>
  <si>
    <t>3.5</t>
  </si>
  <si>
    <t>Jornadas de divulgación y apropiación con actores de orden nacional</t>
  </si>
  <si>
    <t>3.6</t>
  </si>
  <si>
    <t>Jornadas de divulgación y apropiación con actores territoriales</t>
  </si>
  <si>
    <t>4. GASTOS DE DESPLAZAMIENTO</t>
  </si>
  <si>
    <t xml:space="preserve">4.2 </t>
  </si>
  <si>
    <t>5. GESTIÓN EDITORIAL</t>
  </si>
  <si>
    <t xml:space="preserve">Revisión, diagramación, armado </t>
  </si>
  <si>
    <t>1+2+3+4+5</t>
  </si>
  <si>
    <t>DESCRIPCIÓN</t>
  </si>
  <si>
    <t>Conforme a la necesidad para el desarrollo del proceso el talento humano minimo requerido permitida garantizar el desarrollo de las actividades conforme a los perfiles y especificaciones de experiencia que se ha considera pertinente de quienes se describen las funciones en el anexo técnico en el numeral 13.</t>
  </si>
  <si>
    <t>El contratista deberá garantizar la implementación de la plataforma a través de la cual se realizará el acompañamiento a las Escuelas Normales Superiores, la misma deberá contar con la capacidad para la participación de la totalidad de las ENS con sus equipos de trabajo, además, desde allí se deberán llevar a cabo todas aquellas acciones que se requieran para el correcto desarrollo de la Fase 1 de la estrategia de acompañamiento a ENS. Asimismo, se deberá garantizar el adecuado funcionamiento y soporte técnico de la plataforma.*</t>
  </si>
  <si>
    <t>Uso de plataforma por estudiante</t>
  </si>
  <si>
    <t>Paquetes de datos para instituciones sin internet</t>
  </si>
  <si>
    <t>Para entrega de información a ENS sin conectividad</t>
  </si>
  <si>
    <t>Gastos de Administración *</t>
  </si>
  <si>
    <t>*Para cotizar es se tuvo en cuenta un % de instituciones sin plan de datos y que se deben adquirir (30%) y un porcentaje de instituciones sin conectividad (10%) de las instituciones por lo que se debe pensar en envío de material.</t>
  </si>
  <si>
    <t>APORTE CABILDO</t>
  </si>
  <si>
    <t>Servicio de internet</t>
  </si>
  <si>
    <t xml:space="preserve">kit de Bioseguridad con medicina propia </t>
  </si>
  <si>
    <t>Tesorero</t>
  </si>
  <si>
    <t>Espacios de encuentro (salones, servicios básicos, silletería, escritorios)</t>
  </si>
  <si>
    <t>Universidad Cooperativa de Colombia</t>
  </si>
  <si>
    <t>CO1.PCCNTR.2480408</t>
  </si>
  <si>
    <t>CO1.PCCNTR.3410358</t>
  </si>
  <si>
    <t>CO1.PCCNTR.3415073</t>
  </si>
  <si>
    <t xml:space="preserve">Promedio Profesional </t>
  </si>
  <si>
    <t>Asistencial-técnico</t>
  </si>
  <si>
    <t>Promedio Asistencial-técnico</t>
  </si>
  <si>
    <t>MEN TARIFAS 2022</t>
  </si>
  <si>
    <t>CO1.PCCNTR.3195927</t>
  </si>
  <si>
    <t>Asistente técnico administrativo y financiero</t>
  </si>
  <si>
    <t>Universidad del Valle 2022</t>
  </si>
  <si>
    <t>Apoyo a la gestión de viajes</t>
  </si>
  <si>
    <t>Universidad EAFIT 2022</t>
  </si>
  <si>
    <t>Asistente Lógistico</t>
  </si>
  <si>
    <t>PAPELERÍA</t>
  </si>
  <si>
    <t>PAPELERIA</t>
  </si>
  <si>
    <t xml:space="preserve">CO1.PCCNTR.3787396 </t>
  </si>
  <si>
    <t xml:space="preserve">CO1.PCCNTR.2386594 </t>
  </si>
  <si>
    <t>ASOCIACIÓN DE CABILDOS INDÍGENAS DE CALDASS</t>
  </si>
  <si>
    <t>ASOCIACION DE CABILDOS INDIGENAS DEL PUEBLO SIONA</t>
  </si>
  <si>
    <t>Papelería</t>
  </si>
  <si>
    <t xml:space="preserve">NOTA 1: Los valores promedio en aspectos de papelería del mercado fueron tomados globales </t>
  </si>
  <si>
    <t xml:space="preserve">VALOR MENSUAL Y/O  UNITARIO APORTE MEN </t>
  </si>
  <si>
    <t>VALOR APORTE MEN  TOTAL</t>
  </si>
  <si>
    <t xml:space="preserve">VALOR CONTRA PARTIDA </t>
  </si>
  <si>
    <t xml:space="preserve">Coordinación general </t>
  </si>
  <si>
    <t>LíDERES INDÏGENAS SABEDORESY PROFESIONALES AVALADOS POR LAS AUTORIDADES PROPIAS</t>
  </si>
  <si>
    <t xml:space="preserve">Asesores pedagógicos </t>
  </si>
  <si>
    <t>Profesional en educación fisica ,formación lúdica o áreas afines a la recreación.</t>
  </si>
  <si>
    <t>Profesional  con formación pedagógica para niños y primera infancia.</t>
  </si>
  <si>
    <t xml:space="preserve">Pedagógos de Educación Propia </t>
  </si>
  <si>
    <t xml:space="preserve">Sabedores </t>
  </si>
  <si>
    <t>Sabedor (hablante)</t>
  </si>
  <si>
    <t xml:space="preserve">Dinamizadores Regionales de Educación Propia </t>
  </si>
  <si>
    <t xml:space="preserve">Sistematizador </t>
  </si>
  <si>
    <t>Apoyos Territoriales de Educación Propia</t>
  </si>
  <si>
    <t>Apoyo financiero</t>
  </si>
  <si>
    <t xml:space="preserve">OTROS COSTOS ASOCIADOS A LA OPERACIÓN </t>
  </si>
  <si>
    <t xml:space="preserve">CANTIDAD </t>
  </si>
  <si>
    <t>Dotación, corresponde a línea 1 del proyecto "Estrategia Escuela de Sabedores"
Dotación de la Escuela Regional (PEC)  y Territorial bienes y elementos de apoyo al ejercicio pedagógico</t>
  </si>
  <si>
    <t>Tableros acrilicos de 120 x 180</t>
  </si>
  <si>
    <t>Mesas de trabajo plegables para la comunidad a formar (medidas promedio 183 x 76)</t>
  </si>
  <si>
    <t xml:space="preserve">Sillas Plasticas </t>
  </si>
  <si>
    <t>4. Kit Materiales para elaborar tejidos(incluye 1 libra de chakiras chekas de colores surtidos, hilo poliamida , 2 paños de  agujas, tablas de tejer)</t>
  </si>
  <si>
    <t xml:space="preserve">Bases para realización de collare y manillas </t>
  </si>
  <si>
    <t>Semillas de diferentes variedades (especies nativas, verduras, aromatizantes)</t>
  </si>
  <si>
    <t xml:space="preserve">Kit x 6 bandejas de germinación x 200 cabidades </t>
  </si>
  <si>
    <t>Regaderas de jardín por 8 litros.</t>
  </si>
  <si>
    <t>Paquete de bolsas  para semillas x 50 unidades</t>
  </si>
  <si>
    <t xml:space="preserve">Pala redonda con cabo </t>
  </si>
  <si>
    <t>Llamador madera vaciada (Instrumento musical propio)</t>
  </si>
  <si>
    <t>Zampoña (Instrumento musical propio)</t>
  </si>
  <si>
    <t>Flauta trasversales (Instrumento musical propio)</t>
  </si>
  <si>
    <t xml:space="preserve">Flauta de bambú </t>
  </si>
  <si>
    <t>Carrasca en madera (Instrumento musical propio)</t>
  </si>
  <si>
    <t xml:space="preserve">Par de maracas en cuero </t>
  </si>
  <si>
    <t>Tambora andina</t>
  </si>
  <si>
    <t>Redoblante en cuero</t>
  </si>
  <si>
    <t>Tela para parumas x metros</t>
  </si>
  <si>
    <t xml:space="preserve">Cintas para adorno (rollos) para hacer 24 piezas enteras </t>
  </si>
  <si>
    <t>Telas para vestidos x metros</t>
  </si>
  <si>
    <t>Kit medicina tradicional y espiritualidad (semillas,aceites mineral, alcanfor, parafina, cera de abejas,chumbes, anilina, embases spray plásticos y en vidrio para empacar esencias y aceites, vaselina)</t>
  </si>
  <si>
    <t>Cucharas de madera</t>
  </si>
  <si>
    <t>mortero de piedra de rio mediano</t>
  </si>
  <si>
    <t>Baldes con tapa</t>
  </si>
  <si>
    <t>Ollas grandes indios</t>
  </si>
  <si>
    <t xml:space="preserve">Carpetas para herbarios </t>
  </si>
  <si>
    <t>Basijas de barro</t>
  </si>
  <si>
    <t xml:space="preserve">Polisombra por metros </t>
  </si>
  <si>
    <t xml:space="preserve">Video Beam se relacionan en la parte inferior las caracteristicas </t>
  </si>
  <si>
    <t xml:space="preserve">Computador portátil se relacionan en la parte inferior las caracteristicas </t>
  </si>
  <si>
    <t>Telon pantalla proyección  portátil de 80 Pantalla de proyección 16:9</t>
  </si>
  <si>
    <t>MODULOS PARA LAS ESCUELAS</t>
  </si>
  <si>
    <t xml:space="preserve">Productos </t>
  </si>
  <si>
    <t>Documentos impresos del convenio ( 270 documentos de 80 a 100 pag Aprox) a color .</t>
  </si>
  <si>
    <t xml:space="preserve">Cajas (baúles jaibanas) elaboradas, contiene juegos lúdicos propios  60 unidades por caja </t>
  </si>
  <si>
    <t>Presentacion de 8 videos full hd tipo documental de 30 minutos,uno por escuela,  de las escuelas de: guardia indigena, arte y cultura, gobierno propio y justicia, economias propias y soberania alimentaria, medio ambiente, hombre y naturaleza, medicina tradicional y oralidad y lengua</t>
  </si>
  <si>
    <t xml:space="preserve">Actividades </t>
  </si>
  <si>
    <t xml:space="preserve">Mingas presenciales del pensamiento con el fin de fortalecer el proceso de escuela propia a través de la formación de líderes y/o sabedores </t>
  </si>
  <si>
    <t xml:space="preserve">Talleres presenciales con comunidad educativa ( en lengua castellana y en lengua Emberá Bedea) </t>
  </si>
  <si>
    <t xml:space="preserve">Mingas presenciales  de experiencias pedagogicas finales </t>
  </si>
  <si>
    <t xml:space="preserve">Encuentro presencial regional de alistamiento  de los avances del SEIP a nivel nacional. </t>
  </si>
  <si>
    <t xml:space="preserve">Tulpas presenciales (Encuentro propio del pueblo  Embera Chami) de socialización y reflexión sobre la construcción de la ruta de apropiación del SEIP (2 dias para 50 personas con alimentación, transporte y actividades culturales) </t>
  </si>
  <si>
    <t>2,10</t>
  </si>
  <si>
    <t>Encuentros presenciales con comunidad educativa de los cabildos indígenas de Caldas para realizar la investigación de los juegos lúdicos</t>
  </si>
  <si>
    <t>Diseño de programa</t>
  </si>
  <si>
    <t xml:space="preserve">Actualización y ampliación de contenido de la herramienta pedagógica digital. (APP) </t>
  </si>
  <si>
    <t>VALORES UNITARIOS</t>
  </si>
  <si>
    <t xml:space="preserve">Elementos de identificación del equipo vinculado para el desarrollo del proyecto </t>
  </si>
  <si>
    <t>Se requiere contar con elementos que permitan distinguir el equipo que representa al Cridec en territorio, ante las autoridades y la comunidad en general, esto comprende camisetas, gorras, pañoletas, morrales para el manejo y translado de elelmtos de trabajo. El valor de referencia corresponde a cotizaciones realizadas de las cuales se toma el menor valor para proyectar las cantidades requeridas. Se incluyen 3 kit para autoridades que apoyan el desarrollo del proceso y 42 del equipo para un total de 45.</t>
  </si>
  <si>
    <t xml:space="preserve">Pendones </t>
  </si>
  <si>
    <t>Se requieren pendones para cada una de las escuelas es decir 8 en total que estan cubiertas por el proceso y estos hacen parte de los soportes para visibilizar el proceso conjunto.</t>
  </si>
  <si>
    <t xml:space="preserve">Papeleria </t>
  </si>
  <si>
    <t xml:space="preserve">Materiales para encuentros y actividades </t>
  </si>
  <si>
    <t xml:space="preserve">Bolsa de recursos </t>
  </si>
  <si>
    <t xml:space="preserve">Covid 19 - Bioseguridad </t>
  </si>
  <si>
    <t>Alcohol , tapabocas, pediluvio, hipoclorito, guantes de nitrilo, jabón en polvo, aspersores, atomizadores, pistolas para toma de temperatura.</t>
  </si>
  <si>
    <t xml:space="preserve">DIAGRAMACION DOCUMENTOS, REDACCIÓN DE ESTILO </t>
  </si>
  <si>
    <t>Administración</t>
  </si>
  <si>
    <t>ACUERDOS MINGA</t>
  </si>
  <si>
    <t>LIDERES INDIGENAS SABEDORESY PROFESIONALES AVALADOS POR LAS AUTORIDADES PROPIAS</t>
  </si>
  <si>
    <t>indigena pedagogo con experienciaen procesos propios del pueblo embera de caldas</t>
  </si>
  <si>
    <t>sabedor indigna hablente de la lengua nativa embera bedea</t>
  </si>
  <si>
    <t>indigena ingeniero o tecnico en sistemas o programacion</t>
  </si>
  <si>
    <t>ESTRA</t>
  </si>
  <si>
    <t xml:space="preserve">relacione las variables para el calculo como esta en la parte superior o según aplique  </t>
  </si>
  <si>
    <t>DOTACION</t>
  </si>
  <si>
    <t>GORRAS (55), CHALECOS (55) ,</t>
  </si>
  <si>
    <t>-</t>
  </si>
  <si>
    <t>PENDONES (7)</t>
  </si>
  <si>
    <t>ACTIVIDADES</t>
  </si>
  <si>
    <t xml:space="preserve">ENCUENTROS PRESENCIALES Y VISITAS </t>
  </si>
  <si>
    <t>PRODUCTOS</t>
  </si>
  <si>
    <t xml:space="preserve">DOCUMENTOS IMPRESOS </t>
  </si>
  <si>
    <t>FORMATOS BANNER</t>
  </si>
  <si>
    <t xml:space="preserve">VIDEO </t>
  </si>
  <si>
    <t>DOCUMENTO PARA DOCENTE (CD)</t>
  </si>
  <si>
    <t>APLICATIVO TABLET</t>
  </si>
  <si>
    <t xml:space="preserve">KIT CUADERNOS, Y MATERIALES PARA ENCUENTROS </t>
  </si>
  <si>
    <t>BOLSA</t>
  </si>
  <si>
    <t>COVID</t>
  </si>
  <si>
    <t>ALCOHOL GLICERIDADO, ALCOHOL LIQUIDO, TAPABOCAS, PEDILUVIOS, HIPOCLORITO, GUANTES DE NITRILO, JABON EN POLVO, ASPERSORAS ATOMIZADORES.</t>
  </si>
  <si>
    <t>DISEÑO DE PROGRAMA</t>
  </si>
  <si>
    <t>TABLETS</t>
  </si>
  <si>
    <t>2+3</t>
  </si>
  <si>
    <t>Administración y utilidad</t>
  </si>
  <si>
    <t>COSTOS ADMINISTRATIVOS</t>
  </si>
  <si>
    <t>SUBTOTAL ANTES DE IVA</t>
  </si>
  <si>
    <t>IVA</t>
  </si>
  <si>
    <t>TALENTO HUMANO</t>
  </si>
  <si>
    <t>Transporte</t>
  </si>
  <si>
    <t>GASTOS ADMINISTRATIVOS</t>
  </si>
  <si>
    <t>OTROS COSTOS</t>
  </si>
  <si>
    <t>AUNAR ESFUERZOS PARA LA CONSOLIDACIÓN DEL PROYECTO DE LA ALA KUSREI Y A MISAK UNIVERSIDAD COMO PARTE DE LOS PROCESOS DE FORTALECIMIENTO DE LA EDUCACIÓN PROPIA, FUNDAMENTADA EN EL DERECHO MAYOR, LOS COMPONENTES DEL SEIP Y , EL DECRETO 1953  DE 2014 Y LA NORMATIVIDAD APLICABLE VIGENTE.</t>
  </si>
  <si>
    <t>Coordinador/a: Sabedor Misak</t>
  </si>
  <si>
    <t>Coordinador técnico del proyecto</t>
  </si>
  <si>
    <t>Comité redactor</t>
  </si>
  <si>
    <t>Abogado/a estructuras universitarias Estructuras universitarias con Especialidad en Jurisdicción Especial Indígena</t>
  </si>
  <si>
    <t>Sabedor Misak,  con posgrado en Estudios del Desarrollo</t>
  </si>
  <si>
    <t>Egresado(a) de la Misak Universidad – Apoyo estudiantil</t>
  </si>
  <si>
    <t>Sabedor Misak, Pedagogo/a o de las ciencias humanas - Sistema Educativo Misak</t>
  </si>
  <si>
    <t>Sabedor Misak, Pedagog@ o profesional ciencias humanas - SEIP</t>
  </si>
  <si>
    <t>Profesional Misak en área Administrativa</t>
  </si>
  <si>
    <t>Profesionales en área Financiera</t>
  </si>
  <si>
    <t>Apoyos logísticos y de sistematización – para los 3 componentes del estudio de factibilidad.</t>
  </si>
  <si>
    <t>Contador</t>
  </si>
  <si>
    <t xml:space="preserve">MINGAS - ENCUENTROS DE TRABAJO </t>
  </si>
  <si>
    <t xml:space="preserve">Minga de planeación </t>
  </si>
  <si>
    <t>Encuentro de trabajo componente político - organizativo</t>
  </si>
  <si>
    <t>Encuentro de trabajo Componente pedagógico</t>
  </si>
  <si>
    <t>Encuentro de trabajo Componente administrativo- financiero</t>
  </si>
  <si>
    <t>Recorridos territoriales</t>
  </si>
  <si>
    <t>Sesión de informe primer avance del estudio</t>
  </si>
  <si>
    <t>Sesión de socialización del estudio</t>
  </si>
  <si>
    <t>Sesiones de socialización</t>
  </si>
  <si>
    <t>Ayudas audiovisuales</t>
  </si>
  <si>
    <t>Saberes ancestrales que no se pueden cuantificar, pero que son de un alto valor para el pueblo Misak</t>
  </si>
  <si>
    <t xml:space="preserve">Gestión de datos e información </t>
  </si>
  <si>
    <t>Indexar las publicaciones del cabildo de Guambía, el magisterio Misak, los comités de investigación y los profesionales del pueblo Misak en el sistema de información de la AKYMU, y sistemas académicos de información nacionales e internacionales.</t>
  </si>
  <si>
    <t>Apoyo y acompañamiento de autoridades, docentes, líderes y Pubenences del pueblo Misak  - Orientador político cultural del proceso</t>
  </si>
  <si>
    <t>RESGUARDO DEL CABILDO DE GUAMBIA</t>
  </si>
  <si>
    <t>CO1.PCCNTR.4017345</t>
  </si>
  <si>
    <t>Profesional en área administrativa</t>
  </si>
  <si>
    <t>Profesional economista</t>
  </si>
  <si>
    <t>Consultor indígena y/o profesional en etnoeducación o pedagogía propia</t>
  </si>
  <si>
    <t>Consultor indígena y/o profesional en educación propia</t>
  </si>
  <si>
    <t>Consultor indígena o sabedor y/o profesional en sociología, antropología, ciencias políticas, etnoeducación, historia</t>
  </si>
  <si>
    <t>Consultor indígena y/o profesional en derecho o áreas jurídicas</t>
  </si>
  <si>
    <t>Técnico de apoyo</t>
  </si>
  <si>
    <t>Encuentros de trabajo</t>
  </si>
  <si>
    <t>Ceremonias de armonización</t>
  </si>
  <si>
    <r>
      <t>Ceremonias de armonización</t>
    </r>
    <r>
      <rPr>
        <sz val="10"/>
        <color rgb="FF000000"/>
        <rFont val="Arial Narrow"/>
        <family val="2"/>
      </rPr>
      <t>: Rituales para armonizar el proceso y cada una de las etapas y actividades propuestas en el proyecto</t>
    </r>
  </si>
  <si>
    <t>Promedio documentación, indexación, audiovisuales</t>
  </si>
  <si>
    <t>Documentación, indexación, audiovisuales</t>
  </si>
  <si>
    <t>CO1.PCCNTR.3787396</t>
  </si>
  <si>
    <t>Documentos impresos</t>
  </si>
  <si>
    <t>Kits de impresión</t>
  </si>
  <si>
    <t>2+3+4</t>
  </si>
  <si>
    <t>CONCEPTO</t>
  </si>
  <si>
    <t>CAN. </t>
  </si>
  <si>
    <t xml:space="preserve"> VALOR UNITARIO</t>
  </si>
  <si>
    <t xml:space="preserve"> VALOR TOTAL</t>
  </si>
  <si>
    <t>Subtotal Talento Humano</t>
  </si>
  <si>
    <t xml:space="preserve">Resmas de papel </t>
  </si>
  <si>
    <t>A - Z</t>
  </si>
  <si>
    <t>Global</t>
  </si>
  <si>
    <t>CONTRAPARTIDA</t>
  </si>
  <si>
    <t xml:space="preserve">Saberes ancestrales que no se pueden cuantificar, pero que son de un alto valor para el pueblo Misak </t>
  </si>
  <si>
    <t>PROPUESTA ESTUDIO FACTIBILIDAD MISAK UNIVERSIDAD</t>
  </si>
  <si>
    <t>TIEM</t>
  </si>
  <si>
    <t xml:space="preserve">Coordinador general del proyecto   </t>
  </si>
  <si>
    <t>Profesional en área administrativa y a fines</t>
  </si>
  <si>
    <t xml:space="preserve">Consultor indígena y/o profesional en educación y/o Etnoeducación, Pedagogía, ciencias politicas y del derecho. </t>
  </si>
  <si>
    <t xml:space="preserve">Consultor indígena y/o profesional en Educación propia. </t>
  </si>
  <si>
    <t xml:space="preserve">Consultor indígena y/o profesional en cualquiera de las siguientes áreas, Antropología, Sociología, Ciencias políticas, Etnoeducación, Lingüística, Pedagogía, Derecho Historia e Historiografía. </t>
  </si>
  <si>
    <t>Consultor indígena y/o profesional en el área jurídica y del Derecho.</t>
  </si>
  <si>
    <t>Técnicos de apoyo</t>
  </si>
  <si>
    <t>ENCUENTROS DE TRABAJO</t>
  </si>
  <si>
    <r>
      <t>Encuentro de trabajo</t>
    </r>
    <r>
      <rPr>
        <sz val="10"/>
        <color rgb="FF000000"/>
        <rFont val="Arial"/>
        <family val="2"/>
      </rPr>
      <t>: sesiones de  trabajo propuestas en el proyecto para la construcción de la ruta de trabajo, socialización de la propuesta a las autoridades; realización de reflexiones y análisis de los diferentes temas propuestos, recopilación, sistematización y análisis de la información; así como la construcción y socialización de la primera versión y consecuente versión final del estudio de factibilidad de la Misak Universidad.</t>
    </r>
  </si>
  <si>
    <r>
      <t>Transporte:</t>
    </r>
    <r>
      <rPr>
        <sz val="10"/>
        <color rgb="FF000000"/>
        <rFont val="Arial"/>
        <family val="2"/>
      </rPr>
      <t xml:space="preserve"> Servicio de transporte para los desplazamientos internos del equipo, y la participación de las autoridades, líderes, educadores y apoyos a los diferentes encuentros de trabajo y reflexión en torno a la construcción del Estudio de Factibilidad de la Misak universidad </t>
    </r>
  </si>
  <si>
    <r>
      <t>Ceremonias de armonización</t>
    </r>
    <r>
      <rPr>
        <sz val="10"/>
        <color rgb="FF000000"/>
        <rFont val="Arial"/>
        <family val="2"/>
      </rPr>
      <t>: Rituales para armonizar el proceso y cada una de las etapas y actividades propuestas en el proyecto</t>
    </r>
  </si>
  <si>
    <t>Subtotal Encuentros de Trabajo</t>
  </si>
  <si>
    <t>Marcadores y pliegos de papel, pinturas, pinceles, cuadernillos, esferos, marcadores, resaltadores</t>
  </si>
  <si>
    <t>Ayudas audiovisuales durante el proceso (video bean, computadores, grabadoras de voz, cámara fotográfica)</t>
  </si>
  <si>
    <t xml:space="preserve">Apoyo y acompañamiento de autoridades, docentes, líderes y Pubenences del pueblo Misak </t>
  </si>
  <si>
    <t>TOTAL DE LA PROPUESTA</t>
  </si>
  <si>
    <t>Cabildo del Resguardo de Guambia</t>
  </si>
  <si>
    <t>CO1.BDOS.2458913</t>
  </si>
  <si>
    <t>https://community.secop.gov.co/Public/Tendering/OpportunityDetail/Index?noticeUID=CO1.NTC.4017345&amp;isFromPublicArea=True&amp;isModal=true&amp;asPopupView=true</t>
  </si>
  <si>
    <t>Aunar esfuerzos para el fortalecimiento de los procesos de educación universitaria propia y el SEIP, avanzando en la consolidación del proyecto de la Misak Universidad, en desarrollo del Derecho Mayor, la Misak Ley, el Decreto 1953 de 2014 y la normatividad aplicable vigente</t>
  </si>
  <si>
    <t>CO1.PCCNTR.5110688</t>
  </si>
  <si>
    <t>CO1.PCCNTR.5110689</t>
  </si>
  <si>
    <t>CO1.PCCNTR.5110690</t>
  </si>
  <si>
    <t>TRANSPORTE</t>
  </si>
  <si>
    <t>SABERES ANCESTRALES</t>
  </si>
  <si>
    <r>
      <t>Ceremonias de armonización</t>
    </r>
    <r>
      <rPr>
        <sz val="9"/>
        <color rgb="FF000000"/>
        <rFont val="Times New Roman"/>
        <family val="1"/>
      </rPr>
      <t>: Rituales para armonizar el proceso y cada una de las etapas y actividades propuestas en el proyecto</t>
    </r>
  </si>
  <si>
    <t>5.2</t>
  </si>
  <si>
    <t>5.3</t>
  </si>
  <si>
    <t>Marcadores, separadores (A-Z), pliegos de papel, pinturas, pinceles, cuadernillos, esferos, tablero, marcadores, resaltadores, cinta, sobres manila, otros que se requieran en el transcurso del proyecto.</t>
  </si>
  <si>
    <t>5.4</t>
  </si>
  <si>
    <t>5.5</t>
  </si>
  <si>
    <t>5.6</t>
  </si>
  <si>
    <t>5.7</t>
  </si>
  <si>
    <t>5.8</t>
  </si>
  <si>
    <t>2+3+4+5</t>
  </si>
  <si>
    <t>APORTE AICO</t>
  </si>
  <si>
    <t xml:space="preserve">ENCUENTROS DE TRABAJO </t>
  </si>
  <si>
    <t>Aunar esfuerzos para avanzar en la consolidación del proceso de creación de la Universidad Indígena Intercultural de la Amazonia en el marco de la Educación Superior propia de la Organización Nacional de los Pueblos Indígenas de la Amazonía Colombiana, fundamentada en el derecho mayor, los componentes del SEIP, los acuerdos del plan nacional de desarrollo 2022 - 2026, el decreto 1953 de 2014 y la normatividad vigente aplicable.</t>
  </si>
  <si>
    <t>Coordinador general</t>
  </si>
  <si>
    <t>4.5</t>
  </si>
  <si>
    <t>4.6</t>
  </si>
  <si>
    <t xml:space="preserve">Alimentación, Hospedaje del encuentro de autoridades de la amazonía colombiana </t>
  </si>
  <si>
    <t xml:space="preserve">Transporte multimodal para el encuentro de autoridades de la amazonía colombiana </t>
  </si>
  <si>
    <t xml:space="preserve">Transporte aéreo para el encuentro de autoridades de la amazonía colombiana </t>
  </si>
  <si>
    <t>APORTE OPIAC</t>
  </si>
  <si>
    <t>Espacios de Encuentro OPIAC</t>
  </si>
  <si>
    <t>Mobiliarios y equipos</t>
  </si>
  <si>
    <t>Gastos bancarios y póliza</t>
  </si>
  <si>
    <t xml:space="preserve">Materiales y Papelería </t>
  </si>
  <si>
    <t>CV-I-MEN-0924-2023</t>
  </si>
  <si>
    <t>CO1.PCCNTR.5335465</t>
  </si>
  <si>
    <t>Organización Nacional Inígena de Colombia ONIC</t>
  </si>
  <si>
    <t>Asesor Coordinador</t>
  </si>
  <si>
    <t>Asesor Ciencias Sociales</t>
  </si>
  <si>
    <t>Asesor Educativo</t>
  </si>
  <si>
    <t>Asesor Jurídico</t>
  </si>
  <si>
    <t xml:space="preserve">Asesor Indígena </t>
  </si>
  <si>
    <t>Técnico administrativo</t>
  </si>
  <si>
    <t>Enlaces territoriales</t>
  </si>
  <si>
    <t>Sesiones de socialización del estudio</t>
  </si>
  <si>
    <t>Espacios de encuentro en la sede ONIC (incluye servicios y mobiliario)</t>
  </si>
  <si>
    <t>Equipo Informático (servicios de internet y cómputo)</t>
  </si>
  <si>
    <t>Servicios Centro de Pensamiento JAVALIVIANA</t>
  </si>
  <si>
    <t>Aunar esfuerzos para la consolidación del estudio de caracterización poblacional y territorial de las cinco (5) macrorregiones de la Organización Nacional Indígena de Colombia - ONIC (Amazonia, Centro Oriente, Norte, Orinoquia y Occidente), para fortalecer el proceso de creación de la Universidad Nacional Indígena de la ONIC (Kinsia Yetarauai - Escuela de pensamiento y conocimiento indígena) en el marco de la educación propia y fundamentada en el derecho mayor, los componentes del SEIP, el Decreto 1953 de 2014 y la normatividad aplicable vigente.</t>
  </si>
  <si>
    <t>GASTOS ENCUENTROS Y ADMINISTRATIVOS</t>
  </si>
  <si>
    <t>CO1.PCCNTR.5338882</t>
  </si>
  <si>
    <t>ORGANIZACIÓN DE AUTORIDADES INDÍGENAS DE
COLOMBIA “POR LA PACHA MAMA” – AICO</t>
  </si>
  <si>
    <t>Profesional para coordinar el acompañamiento técnico</t>
  </si>
  <si>
    <t>Profesional para el acompañamiento técnico especializado financiero</t>
  </si>
  <si>
    <t>Profesional para el acompañamiento técnico especializado jurídico</t>
  </si>
  <si>
    <t xml:space="preserve">Profesional para consolidar los documentos maestros de la estrategia  de comunicaciones </t>
  </si>
  <si>
    <t>Profesionales para la consolidación de los documentos maestros del estudio de creación de programas</t>
  </si>
  <si>
    <t>Aunar esfuerzos para la consolidación del estudio de caracterización poblacional y territorial de las cinco (5) macrorregiones de la Organización Nacional Indígena de Colombia - ONIC (Amazonia, Centro Oriente, Norte, Orinoquia y Occidente), para fortalecer el proceso de creación de la Universidad Nacional Indígena de la ONIC (Kinsia Yetarauai - Escuela de pensamiento y conocimiento indígena) en el marco de la educación propia y fundamentada en el derecho mayor, los componentes del SEIP, el Decre</t>
  </si>
  <si>
    <t xml:space="preserve">	29/08/2023 12:30:03 PM</t>
  </si>
  <si>
    <t>Organización Naciona Indígena de Colombia</t>
  </si>
  <si>
    <t>CV-I-MEN-1250-2023</t>
  </si>
  <si>
    <t>https://www.secop.gov.co/CO1ContractsManagement/Tendering/ProcurementContractEdit/View?docUniqueIdentifier=CO1.PCCNTR.5335465&amp;prevCtxUrl=https%3a%2f%2fwww.secop.gov.co%3a443%2fCO1ContractsManagement%2fTendering%2fProcurementContractManagement%2fIndex&amp;prevCtxLbl=Contratos+</t>
  </si>
  <si>
    <t>Profesional para coordinar el acompañamiento técnico especializado en la consolidación de los documentos maestros del estudio financiero y jurídico  de la Universidad  a crearse.</t>
  </si>
  <si>
    <t>Profesional para el acompañamiento técnico especializado en la consolidación de los documentos maestros del estudio financiero  de la universidad  a crearse.</t>
  </si>
  <si>
    <t>Profesional para el acompañamiento técnico especializado en la consolidación de los documentos maestros del estudio jurídico  de la universidad  a crearse.</t>
  </si>
  <si>
    <t>Mayores sabedores para la orientación territorial y cultural que permita consolidar los documentos bases del pensamiento y saber propios que orientan la universidad  a crearse.</t>
  </si>
  <si>
    <t>Profesionales para la consolidación de los documentos maestros del estudio de creación de programas de la universidad a crearse.</t>
  </si>
  <si>
    <t>Profesional para consolidar los documentos maestros de la estrategia  de comunicaciones de la Universidad Indígena Pública Pastos y Quillasingas</t>
  </si>
  <si>
    <t>Realizar dos sesiones autónomas de la Mesa Regional Pastos y Quillacingas con participación de 100 personas para socializar y validar los documentos maestros del estudio de factibilidad financiera y las instancias de orientación y dirección política de la IES-Indigena, así como presentar un estructura administrativa y académica adecuada.</t>
  </si>
  <si>
    <t xml:space="preserve">Espacios para desarrollo de reuniones </t>
  </si>
  <si>
    <t>Acompañamiento médicos tradicionales en las 5 zonas.</t>
  </si>
  <si>
    <t>DOCUMENTACIÓN, PUBLICACIONES</t>
  </si>
  <si>
    <t>Publicación digital de libro del proceso</t>
  </si>
  <si>
    <t>Oficinas para desarrollo de reuniones y comiotes técnicos del proyecto</t>
  </si>
  <si>
    <t>Aunar esfuerzos para la consolidación del proyecto de la Universidad Pública Indígena del Pueblo de los Pastos y Quillasingas como parte del proceso de fortalecimiento de la educación superior propia, orientada a través del derecho mayor, ley de origen, ley natural, derecho propio, el bloque de constitucionalidad, el Decreto 1953 de 2014 , los componentes del SEIP y la normatividad aplicable vigente</t>
  </si>
  <si>
    <t xml:space="preserve"> sesiones autónomas de la Mesa Regional Pastos y Quillacingas</t>
  </si>
  <si>
    <t>ASOCIACIÓN DE CABILDOS INDÍGENAS DE CALDAS</t>
  </si>
  <si>
    <t>CV-I-MEN-1346-2023</t>
  </si>
  <si>
    <t>29/08/2023 5:07:49 PM </t>
  </si>
  <si>
    <t>CO1.PCCNTR.5337144</t>
  </si>
  <si>
    <t>AUNAR ESFUERZOS PARA AVANZAR EN LA CONSOLIDACIÓN DEL PROCESO DE CREACIÓN DE LA UNIVERSIDAD INDIGENA INTERCULTURAL DE LA AMAZONIA UIIAM EN EL MARCO DE LA EDUCACION SUPERIOR PROPIA DE LA ORGANIZACIÓN NACIONAL DE LOS PUEBLOS INDÍGENAS DE LA AMAZONÍA COLOMBIANA, FUNDAMENTADA EN EL DERECHO MAYOR, LOS COMPONENTES DEL SEIP, LOS ACUERDOS DEL PLAN NACIONAL DE DESARROLLO 2022 - 2026, EL DECRETO 1953 DE 2014 Y LA NORMATIVIDAD VIGENTE APLICABLE</t>
  </si>
  <si>
    <t>ORGANIZACIÓN NACIONAL DE LOS PUEBLOS INDIGENAS DE LA AMAZONIA COLOMBIANA</t>
  </si>
  <si>
    <t>https://www.secop.gov.co/CO1ContractsManagement/Tendering/ProcurementContractEdit/View?docUniqueIdentifier=CO1.PCCNTR.5337144&amp;prevCtxUrl=https%3a%2f%2fwww.secop.gov.co%3a443%2fCO1ContractsManagement%2fTendering%2fProcurementContractManagement%2fIndex&amp;prevCtxLbl=Contratos+</t>
  </si>
  <si>
    <t>dinamizadores políticos</t>
  </si>
  <si>
    <t>asesor jurídico</t>
  </si>
  <si>
    <t>asesora pedagógica</t>
  </si>
  <si>
    <t>aux admininstrativo</t>
  </si>
  <si>
    <t>sistematizador - logístico</t>
  </si>
  <si>
    <t xml:space="preserve">2.4. </t>
  </si>
  <si>
    <t xml:space="preserve">OTROS COSTOS DEL PROYECTO </t>
  </si>
  <si>
    <t>Personal técnico permanente en los territorios</t>
  </si>
  <si>
    <t>Aportes ancestrales y de conocimiento tradicional amazónico</t>
  </si>
  <si>
    <t>Gastos Administrativos - Papelería</t>
  </si>
  <si>
    <t>Saberes ancestrales, mingas, armonizaciones</t>
  </si>
  <si>
    <t>Promedio saberes ancestrales, mingas, armonizaciones</t>
  </si>
  <si>
    <t>Promedio Transporte</t>
  </si>
  <si>
    <t>Promedio Gastos Administrativos - Papelería</t>
  </si>
  <si>
    <t>CV-I-MEN-1251-2023</t>
  </si>
  <si>
    <t>30/08/2023 2:24:27 PM </t>
  </si>
  <si>
    <t>Autoridades Indigenas de Colombia por la Pacha Mama - AICO</t>
  </si>
  <si>
    <t>https://www.secop.gov.co/CO1ContractsManagement/Tendering/ProcurementContractEdit/View?docUniqueIdentifier=CO1.PCCNTR.5338882&amp;prevCtxUrl=https%3a%2f%2fwww.secop.gov.co%3a443%2fCO1ContractsManagement%2fTendering%2fProcurementContractManagement%2fIndex&amp;prevCtxLbl=Contratos+</t>
  </si>
  <si>
    <t>CO1.PCCNTR.2386594</t>
  </si>
  <si>
    <t>CV-I-MEN-810-2021</t>
  </si>
  <si>
    <t>26/03/2021 10:29:51 AM </t>
  </si>
  <si>
    <t>AUNAR ESFUERZOS Y RECURSOS TÉCNICOS, ADMINISTRATIVOS Y FINANCIEROS PARA EL FORTALECIMIENTO DE LA EDUCACIÓN PROPIA E INTERCULTURAL EN LA PERSPECTIVA DEL DESARROLLO Y LA IMPLEMENTACIÓN DEL COMPONENTE PEDAGÓGICO DEL SISTEMA EDUCATIVO INDÍGENA PROPIO- SEIP- Y LA ARTICULACIÓN DE ACCIONES PEDAGÓGICAS NECESARIAS DIRIGIDAS A LA ATENCIÓN DE LA COMUNIDAD EDUCATIVA POR PARTE DEL CONSEJO REGIONAL INDÍGENA DE CALDAS -CRIDEC A TRAVÉS DE LA ASOCIACIÓN DE CABILDOS INDÍGENAS DE CALDAS ACICAL.</t>
  </si>
  <si>
    <t>SD-MEN-BID- P47983-2022</t>
  </si>
  <si>
    <t>7/07/2022 4:55:51 PM </t>
  </si>
  <si>
    <t>https://www.secop.gov.co/CO1ContractsManagement/Tendering/ProcurementContractManagement/Index</t>
  </si>
  <si>
    <t>FORTALECIMIENTO AL DESARROLLO E IMPLEMENTACIÓN DEL PROYECTO EDUCATIVO COMUNITARIO DEL PUEBLO INDÍGENA JIW, PARA GARANTIZAR UNAS TRAYECTORIAS EDUCATIVAS PERTINENTES Y DE CALIDAD, QUE RECONOZCAN LA INTERCULTURALIDAD Y LAS PARTICULARIDADES DE LA COMUNIDAD FOCALIZADA.</t>
  </si>
  <si>
    <t>CONSEJO NORUEGO PARA REFUGIADOS</t>
  </si>
  <si>
    <t>Equipo de computo oficina</t>
  </si>
  <si>
    <t>Coordinadora Administrativa</t>
  </si>
  <si>
    <t>APORTE RÍO RAPOSO</t>
  </si>
  <si>
    <t>Especialistas academicos</t>
  </si>
  <si>
    <t>Especialista en proceso estrategicos</t>
  </si>
  <si>
    <t>Especialista financiero</t>
  </si>
  <si>
    <t>Especialista juridico</t>
  </si>
  <si>
    <t>Especialista  experto enlace comunitario</t>
  </si>
  <si>
    <t>Expertos para realizacion de documentos maestros</t>
  </si>
  <si>
    <t>REUNIONES DE RETROALIMENTACION Y SOCIALIZACION</t>
  </si>
  <si>
    <t>2.1.</t>
  </si>
  <si>
    <t>Armonizacion</t>
  </si>
  <si>
    <t>2.2.</t>
  </si>
  <si>
    <t>Alimentacion (Desayunos,almuerzos,refrigerios am-pm,cenas)</t>
  </si>
  <si>
    <t>2.3.</t>
  </si>
  <si>
    <t>Estacion de café, aromatica, agua</t>
  </si>
  <si>
    <t>2.4.</t>
  </si>
  <si>
    <t>Alquiler de espacios</t>
  </si>
  <si>
    <t>2.5.</t>
  </si>
  <si>
    <t>Transporte aereos para el equipo impulsor a cada encuentro</t>
  </si>
  <si>
    <t>2.6.</t>
  </si>
  <si>
    <t>Transporte aereo y fluviales a algunas personas de los consejos comunitarios alejados</t>
  </si>
  <si>
    <t>2.7.</t>
  </si>
  <si>
    <t>transporte terrestre</t>
  </si>
  <si>
    <t>2.8.</t>
  </si>
  <si>
    <t>Alquiler de equipos( video beam, equipo, camara filmadora, estabilizador)</t>
  </si>
  <si>
    <t>2.9.</t>
  </si>
  <si>
    <t>Levantamiento audiovisual</t>
  </si>
  <si>
    <t>Hospedaje</t>
  </si>
  <si>
    <t>Insumos y Papeleria</t>
  </si>
  <si>
    <t>AUNAR ESFUERZOS PARA AVANZAR EN LOS DOCUMENTOS TÉCNICOS QUE PERMITAN CONSOLIDAR EL PROYECTO DE LA UNIVERSIDAD PROPIA DEL PUEBLO AFRODESCENDIENTE COMO UN ESPACIO NACIONAL DE INVESTIGACIÓN Y EDUCACIÓN SUPERIOR PROPIO, DE CARÁCTER COMUNITARIO, AFROCENTRADO, ANTIRRACISTA Y PANAFRICANISTA, ADECUADO Y EQUIPADO DE MANERA EFICIENTE RESPONDIENDO A LAS REALIDADES DE LA SOCIEDAD, DE LOS TERRITORIOS, EN CORRESPONDENCIA CON LAS DIFERENTES EXPECTATIVAS Y COSMOVISIONES ÉTNICAS Y CULTURALES Y ARMONIZADA  CON LA LEY 30 DE 1992 O AQUELLA QUE LA COMPLEMENTE, MODIFIQUE O SUSTITUYA.</t>
  </si>
  <si>
    <t>Directivo - Especialista</t>
  </si>
  <si>
    <t>Promedio Directivo - Especialista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</si>
</sst>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_ ;\-#,##0.0\ "/>
    <numFmt numFmtId="165" formatCode="&quot;$&quot;\ #,##0.00"/>
    <numFmt numFmtId="166" formatCode="_-* #,##0\ &quot;$&quot;_-;\-* #,##0\ &quot;$&quot;_-;_-* &quot;-&quot;\ &quot;$&quot;_-;_-@_-"/>
    <numFmt numFmtId="167" formatCode="&quot;$&quot;#,##0"/>
    <numFmt numFmtId="168" formatCode="&quot;$&quot;\ #,##0"/>
    <numFmt numFmtId="169" formatCode="_-[$$-240A]\ * #,##0_-;\-[$$-240A]\ * #,##0_-;_-[$$-240A]\ * &quot;-&quot;??_-;_-@_-"/>
    <numFmt numFmtId="170" formatCode="_-[$$-240A]\ * #,##0.00_-;\-[$$-240A]\ * #,##0.00_-;_-[$$-240A]\ * &quot;-&quot;??_-;_-@_-"/>
    <numFmt numFmtId="171" formatCode="#,##0_ ;\-#,##0\ "/>
    <numFmt numFmtId="172" formatCode="_-&quot;$&quot;\ * #,##0_-;\-&quot;$&quot;\ * #,##0_-;_-&quot;$&quot;\ * &quot;-&quot;??_-;_-@_-"/>
    <numFmt numFmtId="173" formatCode="_-[$$-409]* #,##0.00_ ;_-[$$-409]* \-#,##0.00\ ;_-[$$-409]* &quot;-&quot;??_ ;_-@_ "/>
    <numFmt numFmtId="174" formatCode="0.0%"/>
    <numFmt numFmtId="175" formatCode="_-* #,##0.00_-;\-* #,##0.00_-;_-* &quot;-&quot;_-;_-@_-"/>
    <numFmt numFmtId="176" formatCode="0.0"/>
  </numFmts>
  <fonts count="43">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sz val="10"/>
      <color theme="1"/>
      <name val="Calibri"/>
      <family val="2"/>
      <scheme val="minor"/>
    </font>
    <font>
      <b/>
      <sz val="10"/>
      <color theme="0"/>
      <name val="Arial Narrow"/>
      <family val="2"/>
    </font>
    <font>
      <b/>
      <sz val="10"/>
      <color theme="1"/>
      <name val="Arial Narrow"/>
      <family val="2"/>
    </font>
    <font>
      <sz val="10"/>
      <color theme="1"/>
      <name val="Arial Narrow"/>
      <family val="2"/>
    </font>
    <font>
      <sz val="10"/>
      <name val="Arial Narrow"/>
      <family val="2"/>
    </font>
    <font>
      <b/>
      <sz val="10"/>
      <name val="Arial Narrow"/>
      <family val="2"/>
    </font>
    <font>
      <sz val="10"/>
      <color theme="0"/>
      <name val="Arial Narrow"/>
      <family val="2"/>
    </font>
    <font>
      <sz val="10"/>
      <color rgb="FF000000"/>
      <name val="Arial Narrow"/>
      <family val="2"/>
    </font>
    <font>
      <b/>
      <sz val="10"/>
      <color theme="1"/>
      <name val="Calibri"/>
      <family val="2"/>
      <scheme val="minor"/>
    </font>
    <font>
      <sz val="10"/>
      <color theme="0"/>
      <name val="Calibri"/>
      <family val="2"/>
      <scheme val="minor"/>
    </font>
    <font>
      <sz val="10"/>
      <color rgb="FF000000"/>
      <name val="Arial"/>
      <family val="2"/>
    </font>
    <font>
      <sz val="11"/>
      <color theme="1"/>
      <name val="Calibri"/>
      <family val="2"/>
      <scheme val="minor"/>
    </font>
    <font>
      <sz val="10"/>
      <color theme="1"/>
      <name val="Arial Narrow"/>
      <family val="2"/>
    </font>
    <font>
      <b/>
      <sz val="10"/>
      <color theme="1"/>
      <name val="Arial Narrow"/>
      <family val="2"/>
    </font>
    <font>
      <b/>
      <sz val="10"/>
      <name val="Arial Narrow"/>
      <family val="2"/>
    </font>
    <font>
      <sz val="12"/>
      <color theme="1"/>
      <name val="Arial Narrow"/>
      <family val="2"/>
    </font>
    <font>
      <sz val="12"/>
      <color rgb="FF000000"/>
      <name val="Arial"/>
      <family val="2"/>
    </font>
    <font>
      <sz val="11"/>
      <color rgb="FF000000"/>
      <name val="Arial Narrow"/>
      <family val="2"/>
    </font>
    <font>
      <b/>
      <sz val="11"/>
      <color rgb="FFFFFFFF"/>
      <name val="Arial Narrow"/>
      <family val="2"/>
    </font>
    <font>
      <b/>
      <sz val="11"/>
      <color rgb="FF000000"/>
      <name val="Arial Narrow"/>
      <family val="2"/>
    </font>
    <font>
      <b/>
      <sz val="12"/>
      <color theme="0"/>
      <name val="Arial Narrow"/>
      <family val="2"/>
    </font>
    <font>
      <b/>
      <sz val="12"/>
      <color theme="1"/>
      <name val="Arial Narrow"/>
      <family val="2"/>
    </font>
    <font>
      <sz val="12"/>
      <name val="Arial Narrow"/>
      <family val="2"/>
    </font>
    <font>
      <b/>
      <sz val="12"/>
      <name val="Arial Narrow"/>
      <family val="2"/>
    </font>
    <font>
      <b/>
      <sz val="12"/>
      <color rgb="FFFF0000"/>
      <name val="Arial Narrow"/>
      <family val="2"/>
    </font>
    <font>
      <sz val="12"/>
      <color rgb="FFFF0000"/>
      <name val="Arial Narrow"/>
      <family val="2"/>
    </font>
    <font>
      <sz val="12"/>
      <color theme="0"/>
      <name val="Arial Narrow"/>
      <family val="2"/>
    </font>
    <font>
      <sz val="8"/>
      <name val="Calibri"/>
      <family val="2"/>
      <scheme val="minor"/>
    </font>
    <font>
      <b/>
      <sz val="10"/>
      <color rgb="FF000000"/>
      <name val="Arial"/>
      <family val="2"/>
    </font>
    <font>
      <sz val="10"/>
      <color theme="1"/>
      <name val="Arial"/>
      <family val="2"/>
    </font>
    <font>
      <sz val="8"/>
      <name val="Calibri"/>
      <family val="2"/>
      <scheme val="minor"/>
    </font>
    <font>
      <u/>
      <sz val="11"/>
      <color theme="10"/>
      <name val="Calibri"/>
      <family val="2"/>
      <scheme val="minor"/>
    </font>
    <font>
      <sz val="9"/>
      <color rgb="FF000000"/>
      <name val="Times New Roman"/>
      <family val="1"/>
    </font>
    <font>
      <sz val="9"/>
      <color rgb="FF000000"/>
      <name val="Arial"/>
      <family val="2"/>
    </font>
    <font>
      <sz val="9"/>
      <color theme="1"/>
      <name val="Arial Narrow"/>
      <family val="2"/>
    </font>
    <font>
      <sz val="9"/>
      <color theme="1"/>
      <name val="Arial"/>
      <family val="2"/>
    </font>
    <font>
      <sz val="9"/>
      <color theme="1"/>
      <name val="Calibri"/>
      <family val="2"/>
      <scheme val="minor"/>
    </font>
    <font>
      <sz val="8"/>
      <color rgb="FF000000"/>
      <name val="Calibri"/>
      <family val="2"/>
      <scheme val="minor"/>
    </font>
  </fonts>
  <fills count="18">
    <fill>
      <patternFill patternType="none"/>
    </fill>
    <fill>
      <patternFill patternType="gray125"/>
    </fill>
    <fill>
      <patternFill patternType="solid">
        <fgColor theme="4"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4" tint="0.39994506668294322"/>
        <bgColor indexed="64"/>
      </patternFill>
    </fill>
    <fill>
      <patternFill patternType="solid">
        <fgColor theme="8" tint="0.79995117038483843"/>
        <bgColor indexed="64"/>
      </patternFill>
    </fill>
    <fill>
      <patternFill patternType="solid">
        <fgColor rgb="FFFFFFFF"/>
        <bgColor indexed="64"/>
      </patternFill>
    </fill>
    <fill>
      <patternFill patternType="solid">
        <fgColor theme="4" tint="0.39997558519241921"/>
        <bgColor indexed="64"/>
      </patternFill>
    </fill>
    <fill>
      <patternFill patternType="solid">
        <fgColor theme="8" tint="0.59999389629810485"/>
        <bgColor indexed="64"/>
      </patternFill>
    </fill>
    <fill>
      <patternFill patternType="solid">
        <fgColor rgb="FFFFFFCC"/>
        <bgColor indexed="64"/>
      </patternFill>
    </fill>
    <fill>
      <patternFill patternType="solid">
        <fgColor rgb="FFFFFF00"/>
        <bgColor indexed="64"/>
      </patternFill>
    </fill>
    <fill>
      <patternFill patternType="solid">
        <fgColor rgb="FFF2F2F2"/>
        <bgColor indexed="64"/>
      </patternFill>
    </fill>
    <fill>
      <patternFill patternType="solid">
        <fgColor rgb="FFFCE4D6"/>
        <bgColor indexed="64"/>
      </patternFill>
    </fill>
    <fill>
      <patternFill patternType="solid">
        <fgColor rgb="FFCCFF66"/>
        <bgColor indexed="64"/>
      </patternFill>
    </fill>
    <fill>
      <patternFill patternType="solid">
        <fgColor rgb="FF00FFFF"/>
        <bgColor indexed="64"/>
      </patternFill>
    </fill>
    <fill>
      <patternFill patternType="solid">
        <fgColor rgb="FFBDD7EE"/>
        <bgColor indexed="64"/>
      </patternFill>
    </fill>
    <fill>
      <patternFill patternType="solid">
        <fgColor theme="4" tint="0.79998168889431442"/>
        <bgColor theme="4" tint="0.79998168889431442"/>
      </patternFill>
    </fill>
  </fills>
  <borders count="22">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auto="1"/>
      </right>
      <top/>
      <bottom/>
      <diagonal/>
    </border>
    <border>
      <left/>
      <right style="thin">
        <color rgb="FF000000"/>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theme="4" tint="0.39997558519241921"/>
      </top>
      <bottom style="thin">
        <color theme="4" tint="0.39997558519241921"/>
      </bottom>
      <diagonal/>
    </border>
  </borders>
  <cellStyleXfs count="18">
    <xf numFmtId="0" fontId="0" fillId="0" borderId="0"/>
    <xf numFmtId="43" fontId="16" fillId="0" borderId="0" applyFont="0" applyFill="0" applyBorder="0" applyAlignment="0" applyProtection="0"/>
    <xf numFmtId="41" fontId="16" fillId="0" borderId="0" applyFont="0" applyFill="0" applyBorder="0" applyAlignment="0" applyProtection="0"/>
    <xf numFmtId="166" fontId="16" fillId="0" borderId="0" applyFont="0" applyFill="0" applyBorder="0" applyAlignment="0" applyProtection="0"/>
    <xf numFmtId="44" fontId="16" fillId="0" borderId="0" applyFont="0" applyFill="0" applyBorder="0" applyAlignment="0" applyProtection="0"/>
    <xf numFmtId="9" fontId="16" fillId="0" borderId="0" applyFont="0" applyFill="0" applyBorder="0" applyAlignment="0" applyProtection="0"/>
    <xf numFmtId="0" fontId="15" fillId="0" borderId="0"/>
    <xf numFmtId="0" fontId="16" fillId="0" borderId="0"/>
    <xf numFmtId="43" fontId="15" fillId="0" borderId="0" applyFont="0" applyFill="0" applyBorder="0" applyAlignment="0" applyProtection="0"/>
    <xf numFmtId="41" fontId="15" fillId="0" borderId="0" applyFont="0" applyFill="0" applyBorder="0" applyAlignment="0" applyProtection="0"/>
    <xf numFmtId="42" fontId="15" fillId="0" borderId="0" applyFont="0" applyFill="0" applyBorder="0" applyAlignment="0" applyProtection="0"/>
    <xf numFmtId="44" fontId="15" fillId="0" borderId="0" applyFont="0" applyFill="0" applyBorder="0" applyAlignment="0" applyProtection="0"/>
    <xf numFmtId="0" fontId="9" fillId="0" borderId="0"/>
    <xf numFmtId="9" fontId="15" fillId="0" borderId="0" applyFont="0" applyFill="0" applyBorder="0" applyAlignment="0" applyProtection="0"/>
    <xf numFmtId="0" fontId="36" fillId="0" borderId="0" applyNumberFormat="0" applyFill="0" applyBorder="0" applyAlignment="0" applyProtection="0"/>
    <xf numFmtId="0" fontId="3" fillId="0" borderId="0"/>
    <xf numFmtId="44" fontId="3" fillId="0" borderId="0" applyFont="0" applyFill="0" applyBorder="0" applyAlignment="0" applyProtection="0"/>
    <xf numFmtId="9" fontId="3" fillId="0" borderId="0" applyFont="0" applyFill="0" applyBorder="0" applyAlignment="0" applyProtection="0"/>
  </cellStyleXfs>
  <cellXfs count="584">
    <xf numFmtId="0" fontId="0" fillId="0" borderId="0" xfId="0"/>
    <xf numFmtId="0" fontId="5" fillId="0" borderId="0" xfId="0" applyFont="1" applyAlignment="1">
      <alignment wrapText="1"/>
    </xf>
    <xf numFmtId="0" fontId="5" fillId="0" borderId="0" xfId="0" applyFont="1" applyAlignment="1">
      <alignment horizontal="center" wrapText="1"/>
    </xf>
    <xf numFmtId="0" fontId="9" fillId="0" borderId="0" xfId="0" applyFont="1"/>
    <xf numFmtId="0" fontId="8" fillId="0" borderId="0" xfId="0" applyFont="1"/>
    <xf numFmtId="0" fontId="6" fillId="2" borderId="1" xfId="0" applyFont="1" applyFill="1" applyBorder="1" applyAlignment="1" applyProtection="1">
      <alignment horizontal="center" vertical="center" wrapText="1"/>
      <protection hidden="1"/>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10" fillId="4" borderId="1" xfId="0" applyFont="1" applyFill="1" applyBorder="1" applyAlignment="1" applyProtection="1">
      <alignment horizontal="center" vertical="center" wrapText="1"/>
      <protection hidden="1"/>
    </xf>
    <xf numFmtId="0" fontId="7" fillId="4" borderId="1" xfId="0" applyFont="1" applyFill="1" applyBorder="1" applyAlignment="1">
      <alignment horizontal="left"/>
    </xf>
    <xf numFmtId="0" fontId="9" fillId="0" borderId="1" xfId="0" applyFont="1" applyBorder="1" applyAlignment="1" applyProtection="1">
      <alignment horizontal="center" vertical="center"/>
      <protection hidden="1"/>
    </xf>
    <xf numFmtId="0" fontId="8" fillId="0" borderId="1" xfId="0" applyFont="1" applyBorder="1" applyAlignment="1">
      <alignment wrapText="1"/>
    </xf>
    <xf numFmtId="0" fontId="8" fillId="0" borderId="1" xfId="0" applyFont="1" applyBorder="1" applyAlignment="1">
      <alignment horizontal="center" vertical="center"/>
    </xf>
    <xf numFmtId="9" fontId="8" fillId="0" borderId="1" xfId="0" applyNumberFormat="1" applyFont="1" applyBorder="1" applyAlignment="1">
      <alignment horizontal="center" vertical="center" wrapText="1"/>
    </xf>
    <xf numFmtId="167" fontId="8" fillId="0" borderId="1" xfId="3" applyNumberFormat="1" applyFont="1" applyFill="1" applyBorder="1" applyProtection="1">
      <protection locked="0"/>
    </xf>
    <xf numFmtId="167" fontId="8" fillId="0" borderId="1" xfId="3" applyNumberFormat="1" applyFont="1" applyFill="1" applyBorder="1"/>
    <xf numFmtId="0" fontId="7" fillId="4" borderId="1" xfId="0" applyFont="1" applyFill="1" applyBorder="1" applyAlignment="1">
      <alignment horizontal="justify" vertical="center"/>
    </xf>
    <xf numFmtId="41" fontId="7" fillId="4" borderId="1" xfId="2" applyFont="1" applyFill="1" applyBorder="1"/>
    <xf numFmtId="0" fontId="10" fillId="5" borderId="1" xfId="0" applyFont="1" applyFill="1" applyBorder="1" applyAlignment="1" applyProtection="1">
      <alignment horizontal="center" vertical="center" wrapText="1"/>
      <protection hidden="1"/>
    </xf>
    <xf numFmtId="0" fontId="7" fillId="5" borderId="1" xfId="0" applyFont="1" applyFill="1" applyBorder="1"/>
    <xf numFmtId="0" fontId="7" fillId="5" borderId="1" xfId="0" applyFont="1" applyFill="1" applyBorder="1" applyAlignment="1">
      <alignment horizontal="justify" vertical="center"/>
    </xf>
    <xf numFmtId="0" fontId="7" fillId="5" borderId="3" xfId="0" applyFont="1" applyFill="1" applyBorder="1" applyAlignment="1">
      <alignment horizontal="center"/>
    </xf>
    <xf numFmtId="0" fontId="7" fillId="5" borderId="1" xfId="0" applyFont="1" applyFill="1" applyBorder="1" applyAlignment="1">
      <alignment horizontal="center"/>
    </xf>
    <xf numFmtId="0" fontId="8" fillId="0" borderId="1" xfId="0" applyFont="1" applyBorder="1" applyAlignment="1">
      <alignment vertical="center" wrapText="1"/>
    </xf>
    <xf numFmtId="0" fontId="9" fillId="0" borderId="1" xfId="0" applyFont="1" applyBorder="1" applyAlignment="1">
      <alignment horizontal="justify" vertical="center" wrapText="1"/>
    </xf>
    <xf numFmtId="167" fontId="8" fillId="0" borderId="1" xfId="3" applyNumberFormat="1" applyFont="1" applyFill="1" applyBorder="1" applyAlignment="1" applyProtection="1">
      <alignment vertical="center"/>
      <protection locked="0"/>
    </xf>
    <xf numFmtId="167" fontId="8" fillId="0" borderId="1" xfId="3" applyNumberFormat="1" applyFont="1" applyBorder="1" applyAlignment="1">
      <alignment vertical="center"/>
    </xf>
    <xf numFmtId="0" fontId="9" fillId="0" borderId="1" xfId="0" applyFont="1" applyBorder="1" applyAlignment="1" applyProtection="1">
      <alignment horizontal="center" vertical="center" wrapText="1"/>
      <protection hidden="1"/>
    </xf>
    <xf numFmtId="0" fontId="9" fillId="0" borderId="4" xfId="0" applyFont="1" applyBorder="1" applyAlignment="1">
      <alignment vertical="center" wrapText="1"/>
    </xf>
    <xf numFmtId="0" fontId="9" fillId="0" borderId="1" xfId="0" applyFont="1" applyBorder="1" applyAlignment="1">
      <alignment vertical="center" wrapText="1"/>
    </xf>
    <xf numFmtId="0" fontId="9" fillId="0" borderId="1" xfId="0" applyFont="1" applyBorder="1" applyAlignment="1">
      <alignment horizontal="center" vertical="center" wrapText="1"/>
    </xf>
    <xf numFmtId="167" fontId="9" fillId="0" borderId="1" xfId="3" applyNumberFormat="1" applyFont="1" applyFill="1" applyBorder="1" applyAlignment="1" applyProtection="1">
      <alignment vertical="center" wrapText="1"/>
      <protection locked="0"/>
    </xf>
    <xf numFmtId="167" fontId="9" fillId="0" borderId="1" xfId="3" applyNumberFormat="1" applyFont="1" applyFill="1" applyBorder="1" applyAlignment="1">
      <alignment vertical="center"/>
    </xf>
    <xf numFmtId="0" fontId="7" fillId="4" borderId="1" xfId="0" applyFont="1" applyFill="1" applyBorder="1" applyAlignment="1">
      <alignment horizontal="center"/>
    </xf>
    <xf numFmtId="167" fontId="7" fillId="4" borderId="1" xfId="3" applyNumberFormat="1" applyFont="1" applyFill="1" applyBorder="1"/>
    <xf numFmtId="0" fontId="9" fillId="2" borderId="1" xfId="0" applyFont="1" applyFill="1" applyBorder="1" applyAlignment="1" applyProtection="1">
      <alignment horizontal="center" vertical="center"/>
      <protection hidden="1"/>
    </xf>
    <xf numFmtId="0" fontId="6" fillId="2" borderId="1" xfId="0" applyFont="1" applyFill="1" applyBorder="1"/>
    <xf numFmtId="0" fontId="11" fillId="2" borderId="1" xfId="0" applyFont="1" applyFill="1" applyBorder="1"/>
    <xf numFmtId="166" fontId="6" fillId="2" borderId="1" xfId="3" applyFont="1" applyFill="1" applyBorder="1"/>
    <xf numFmtId="0" fontId="8" fillId="3" borderId="1" xfId="0" applyFont="1" applyFill="1" applyBorder="1"/>
    <xf numFmtId="0" fontId="8" fillId="0" borderId="1" xfId="0" applyFont="1" applyBorder="1"/>
    <xf numFmtId="10" fontId="8" fillId="0" borderId="1" xfId="5" applyNumberFormat="1" applyFont="1" applyFill="1" applyBorder="1" applyProtection="1">
      <protection locked="0"/>
    </xf>
    <xf numFmtId="0" fontId="9" fillId="4" borderId="1" xfId="0" applyFont="1" applyFill="1" applyBorder="1" applyAlignment="1" applyProtection="1">
      <alignment horizontal="center" vertical="center"/>
      <protection hidden="1"/>
    </xf>
    <xf numFmtId="0" fontId="7" fillId="4" borderId="1" xfId="0" applyFont="1" applyFill="1" applyBorder="1"/>
    <xf numFmtId="0" fontId="8" fillId="4" borderId="1" xfId="0" applyFont="1" applyFill="1" applyBorder="1"/>
    <xf numFmtId="41" fontId="6" fillId="2" borderId="1" xfId="2" applyFont="1" applyFill="1" applyBorder="1"/>
    <xf numFmtId="0" fontId="8" fillId="0" borderId="0" xfId="0" applyFont="1" applyAlignment="1">
      <alignment horizontal="center"/>
    </xf>
    <xf numFmtId="10" fontId="8" fillId="0" borderId="1" xfId="5" applyNumberFormat="1" applyFont="1" applyBorder="1" applyAlignment="1">
      <alignment vertical="center"/>
    </xf>
    <xf numFmtId="10" fontId="7" fillId="4" borderId="1" xfId="2" applyNumberFormat="1" applyFont="1" applyFill="1" applyBorder="1" applyAlignment="1">
      <alignment horizontal="center"/>
    </xf>
    <xf numFmtId="10" fontId="9" fillId="0" borderId="1" xfId="5" applyNumberFormat="1" applyFont="1" applyBorder="1" applyAlignment="1">
      <alignment horizontal="center" vertical="center" wrapText="1"/>
    </xf>
    <xf numFmtId="10" fontId="6" fillId="2" borderId="1" xfId="5" applyNumberFormat="1" applyFont="1" applyFill="1" applyBorder="1" applyAlignment="1">
      <alignment horizontal="center"/>
    </xf>
    <xf numFmtId="166" fontId="6" fillId="2" borderId="1" xfId="3" applyFont="1" applyFill="1" applyBorder="1" applyAlignment="1">
      <alignment horizontal="center"/>
    </xf>
    <xf numFmtId="10" fontId="8" fillId="0" borderId="1" xfId="5" applyNumberFormat="1" applyFont="1" applyBorder="1" applyAlignment="1">
      <alignment horizontal="center"/>
    </xf>
    <xf numFmtId="41" fontId="7" fillId="4" borderId="1" xfId="2" applyFont="1" applyFill="1" applyBorder="1" applyAlignment="1">
      <alignment horizontal="center"/>
    </xf>
    <xf numFmtId="10" fontId="6" fillId="2" borderId="1" xfId="2" applyNumberFormat="1" applyFont="1" applyFill="1" applyBorder="1" applyAlignment="1">
      <alignment horizontal="center"/>
    </xf>
    <xf numFmtId="0" fontId="11" fillId="0" borderId="0" xfId="0" applyFont="1"/>
    <xf numFmtId="0" fontId="7" fillId="0" borderId="0" xfId="0" applyFont="1" applyAlignment="1">
      <alignment horizontal="center"/>
    </xf>
    <xf numFmtId="0" fontId="8" fillId="3" borderId="0" xfId="0" applyFont="1" applyFill="1"/>
    <xf numFmtId="0" fontId="11" fillId="2" borderId="1" xfId="0" applyFont="1" applyFill="1" applyBorder="1" applyAlignment="1">
      <alignment horizontal="center" vertical="center" wrapText="1"/>
    </xf>
    <xf numFmtId="0" fontId="7" fillId="4" borderId="1" xfId="0" applyFont="1" applyFill="1" applyBorder="1" applyAlignment="1" applyProtection="1">
      <alignment horizontal="center" vertical="center" wrapText="1"/>
      <protection hidden="1"/>
    </xf>
    <xf numFmtId="0" fontId="8" fillId="4" borderId="1" xfId="0" applyFont="1" applyFill="1" applyBorder="1" applyAlignment="1">
      <alignment horizontal="center" vertical="center"/>
    </xf>
    <xf numFmtId="0" fontId="8" fillId="0" borderId="1" xfId="0" applyFont="1" applyBorder="1" applyAlignment="1" applyProtection="1">
      <alignment horizontal="center" vertical="center"/>
      <protection hidden="1"/>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164" fontId="8" fillId="0" borderId="1" xfId="0" applyNumberFormat="1" applyFont="1" applyBorder="1" applyAlignment="1">
      <alignment horizontal="center" vertical="center"/>
    </xf>
    <xf numFmtId="169" fontId="8" fillId="0" borderId="1" xfId="0" applyNumberFormat="1" applyFont="1" applyBorder="1" applyAlignment="1">
      <alignment horizontal="center" vertical="center"/>
    </xf>
    <xf numFmtId="10" fontId="8" fillId="0" borderId="1" xfId="0" applyNumberFormat="1" applyFont="1" applyBorder="1" applyAlignment="1">
      <alignment horizontal="center" vertical="center"/>
    </xf>
    <xf numFmtId="0" fontId="7" fillId="4" borderId="1" xfId="0" applyFont="1" applyFill="1" applyBorder="1" applyAlignment="1">
      <alignment horizontal="center" vertical="center"/>
    </xf>
    <xf numFmtId="41" fontId="7" fillId="4" borderId="1" xfId="2" applyFont="1" applyFill="1" applyBorder="1" applyAlignment="1">
      <alignment horizontal="center" vertical="center"/>
    </xf>
    <xf numFmtId="0" fontId="8" fillId="0" borderId="1" xfId="0" applyFont="1" applyBorder="1" applyAlignment="1">
      <alignment vertical="center"/>
    </xf>
    <xf numFmtId="1" fontId="8" fillId="0" borderId="1" xfId="5" applyNumberFormat="1" applyFont="1" applyFill="1" applyBorder="1" applyAlignment="1">
      <alignment horizontal="center" vertical="center"/>
    </xf>
    <xf numFmtId="1" fontId="8" fillId="0" borderId="1" xfId="0" applyNumberFormat="1" applyFont="1" applyBorder="1" applyAlignment="1">
      <alignment horizontal="center" vertical="center"/>
    </xf>
    <xf numFmtId="169" fontId="8" fillId="0" borderId="1" xfId="0" applyNumberFormat="1" applyFont="1" applyBorder="1"/>
    <xf numFmtId="0" fontId="8" fillId="0" borderId="1" xfId="0" applyFont="1" applyBorder="1" applyAlignment="1" applyProtection="1">
      <alignment vertical="center" wrapText="1"/>
      <protection hidden="1"/>
    </xf>
    <xf numFmtId="0" fontId="8" fillId="0" borderId="1" xfId="0" applyFont="1" applyBorder="1" applyAlignment="1" applyProtection="1">
      <alignment vertical="center"/>
      <protection hidden="1"/>
    </xf>
    <xf numFmtId="1" fontId="8" fillId="0" borderId="1" xfId="0" applyNumberFormat="1" applyFont="1" applyBorder="1" applyAlignment="1">
      <alignment horizontal="center" vertical="center" wrapText="1"/>
    </xf>
    <xf numFmtId="0" fontId="9" fillId="3" borderId="1" xfId="0" applyFont="1" applyFill="1" applyBorder="1" applyAlignment="1">
      <alignment horizontal="center"/>
    </xf>
    <xf numFmtId="0" fontId="9" fillId="3" borderId="1" xfId="0" applyFont="1" applyFill="1" applyBorder="1" applyAlignment="1">
      <alignment horizontal="left"/>
    </xf>
    <xf numFmtId="0" fontId="8" fillId="3" borderId="1" xfId="0" applyFont="1" applyFill="1" applyBorder="1" applyAlignment="1">
      <alignment horizontal="center"/>
    </xf>
    <xf numFmtId="41" fontId="8" fillId="3" borderId="1" xfId="2" applyFont="1" applyFill="1" applyBorder="1"/>
    <xf numFmtId="41" fontId="8" fillId="4" borderId="1" xfId="2" applyFont="1" applyFill="1" applyBorder="1" applyAlignment="1">
      <alignment horizontal="center"/>
    </xf>
    <xf numFmtId="0" fontId="11" fillId="2" borderId="1" xfId="0" applyFont="1" applyFill="1" applyBorder="1" applyAlignment="1" applyProtection="1">
      <alignment horizontal="center" vertical="center"/>
      <protection hidden="1"/>
    </xf>
    <xf numFmtId="165" fontId="6" fillId="2" borderId="1" xfId="3" applyNumberFormat="1" applyFont="1" applyFill="1" applyBorder="1"/>
    <xf numFmtId="9" fontId="6" fillId="2" borderId="1" xfId="3" applyNumberFormat="1" applyFont="1" applyFill="1" applyBorder="1" applyAlignment="1">
      <alignment horizontal="center"/>
    </xf>
    <xf numFmtId="166" fontId="11" fillId="2" borderId="1" xfId="3" applyFont="1" applyFill="1" applyBorder="1" applyAlignment="1">
      <alignment horizontal="center"/>
    </xf>
    <xf numFmtId="0" fontId="8" fillId="3" borderId="1" xfId="0" applyFont="1" applyFill="1" applyBorder="1" applyAlignment="1">
      <alignment horizontal="left" vertical="center"/>
    </xf>
    <xf numFmtId="0" fontId="8" fillId="3" borderId="1" xfId="0" applyFont="1" applyFill="1" applyBorder="1" applyAlignment="1">
      <alignment wrapText="1"/>
    </xf>
    <xf numFmtId="10" fontId="8" fillId="0" borderId="1" xfId="5" applyNumberFormat="1" applyFont="1" applyFill="1" applyBorder="1" applyAlignment="1" applyProtection="1">
      <alignment vertical="center"/>
      <protection locked="0"/>
    </xf>
    <xf numFmtId="41" fontId="8" fillId="0" borderId="1" xfId="2" applyFont="1" applyFill="1" applyBorder="1" applyAlignment="1">
      <alignment vertical="center"/>
    </xf>
    <xf numFmtId="10" fontId="8" fillId="0" borderId="1" xfId="5" applyNumberFormat="1" applyFont="1" applyFill="1" applyBorder="1" applyAlignment="1" applyProtection="1">
      <alignment horizontal="center" vertical="center"/>
      <protection locked="0"/>
    </xf>
    <xf numFmtId="9" fontId="8" fillId="4" borderId="1" xfId="0" applyNumberFormat="1" applyFont="1" applyFill="1" applyBorder="1" applyAlignment="1">
      <alignment horizontal="center"/>
    </xf>
    <xf numFmtId="9" fontId="6" fillId="2" borderId="1" xfId="5" applyFont="1" applyFill="1" applyBorder="1" applyAlignment="1">
      <alignment horizontal="center"/>
    </xf>
    <xf numFmtId="43" fontId="8" fillId="0" borderId="0" xfId="1" applyFont="1"/>
    <xf numFmtId="0" fontId="7" fillId="0" borderId="0" xfId="0" applyFont="1" applyAlignment="1">
      <alignment vertical="center"/>
    </xf>
    <xf numFmtId="0" fontId="8" fillId="0" borderId="0" xfId="0" applyFont="1" applyAlignment="1">
      <alignment vertical="center"/>
    </xf>
    <xf numFmtId="0" fontId="8" fillId="0" borderId="0" xfId="0" applyFont="1" applyAlignment="1">
      <alignment vertical="center" wrapText="1"/>
    </xf>
    <xf numFmtId="169" fontId="9" fillId="0" borderId="1" xfId="0" applyNumberFormat="1" applyFont="1" applyBorder="1" applyAlignment="1">
      <alignment horizontal="center" vertical="center"/>
    </xf>
    <xf numFmtId="0" fontId="7" fillId="4" borderId="1" xfId="0" applyFont="1" applyFill="1" applyBorder="1" applyAlignment="1">
      <alignment wrapText="1"/>
    </xf>
    <xf numFmtId="44" fontId="8" fillId="0" borderId="1" xfId="4" applyFont="1" applyFill="1" applyBorder="1" applyAlignment="1">
      <alignment horizontal="center" vertical="center" wrapText="1"/>
    </xf>
    <xf numFmtId="169" fontId="8" fillId="0" borderId="1" xfId="0" applyNumberFormat="1" applyFont="1" applyBorder="1" applyAlignment="1">
      <alignment vertical="center" wrapText="1"/>
    </xf>
    <xf numFmtId="10" fontId="8" fillId="0" borderId="1" xfId="0" applyNumberFormat="1" applyFont="1" applyBorder="1" applyAlignment="1">
      <alignment horizontal="center" vertical="center" wrapText="1"/>
    </xf>
    <xf numFmtId="0" fontId="9" fillId="0" borderId="1" xfId="0" applyFont="1" applyBorder="1" applyAlignment="1" applyProtection="1">
      <alignment vertical="center" wrapText="1"/>
      <protection hidden="1"/>
    </xf>
    <xf numFmtId="0" fontId="8" fillId="3" borderId="1" xfId="0" applyFont="1" applyFill="1" applyBorder="1" applyAlignment="1">
      <alignment vertical="center" wrapText="1"/>
    </xf>
    <xf numFmtId="10" fontId="8" fillId="0" borderId="1" xfId="5" applyNumberFormat="1" applyFont="1" applyFill="1" applyBorder="1" applyAlignment="1" applyProtection="1">
      <alignment vertical="center" wrapText="1"/>
      <protection locked="0"/>
    </xf>
    <xf numFmtId="43" fontId="8" fillId="0" borderId="1" xfId="1" applyFont="1" applyBorder="1" applyAlignment="1">
      <alignment vertical="center" wrapText="1"/>
    </xf>
    <xf numFmtId="10" fontId="8" fillId="0" borderId="1" xfId="5" applyNumberFormat="1" applyFont="1" applyFill="1" applyBorder="1" applyAlignment="1" applyProtection="1">
      <alignment horizontal="center" vertical="center" wrapText="1"/>
      <protection locked="0"/>
    </xf>
    <xf numFmtId="43" fontId="8" fillId="0" borderId="1" xfId="1" applyFont="1" applyBorder="1"/>
    <xf numFmtId="0" fontId="8" fillId="4" borderId="12" xfId="0" applyFont="1" applyFill="1" applyBorder="1"/>
    <xf numFmtId="44" fontId="7" fillId="4" borderId="12" xfId="4" applyFont="1" applyFill="1" applyBorder="1"/>
    <xf numFmtId="10" fontId="8" fillId="4" borderId="12" xfId="0" applyNumberFormat="1" applyFont="1" applyFill="1" applyBorder="1" applyAlignment="1">
      <alignment horizontal="center"/>
    </xf>
    <xf numFmtId="44" fontId="8" fillId="0" borderId="1" xfId="4" applyFont="1" applyBorder="1"/>
    <xf numFmtId="44" fontId="6" fillId="2" borderId="1" xfId="4" applyFont="1" applyFill="1" applyBorder="1"/>
    <xf numFmtId="44" fontId="8" fillId="0" borderId="0" xfId="0" applyNumberFormat="1" applyFont="1"/>
    <xf numFmtId="43" fontId="11" fillId="0" borderId="0" xfId="1" applyFont="1"/>
    <xf numFmtId="41" fontId="7" fillId="0" borderId="0" xfId="0" applyNumberFormat="1" applyFont="1" applyAlignment="1">
      <alignment horizontal="center"/>
    </xf>
    <xf numFmtId="44" fontId="8" fillId="0" borderId="0" xfId="4" applyFont="1"/>
    <xf numFmtId="43" fontId="8" fillId="0" borderId="0" xfId="0" applyNumberFormat="1" applyFont="1" applyAlignment="1">
      <alignment horizontal="center"/>
    </xf>
    <xf numFmtId="10" fontId="8" fillId="0" borderId="0" xfId="0" applyNumberFormat="1" applyFont="1"/>
    <xf numFmtId="165" fontId="8" fillId="0" borderId="0" xfId="0" applyNumberFormat="1" applyFont="1" applyAlignment="1">
      <alignment vertical="center" wrapText="1"/>
    </xf>
    <xf numFmtId="43" fontId="8" fillId="0" borderId="0" xfId="0" applyNumberFormat="1" applyFont="1" applyAlignment="1">
      <alignment vertical="center" wrapText="1"/>
    </xf>
    <xf numFmtId="43" fontId="8" fillId="0" borderId="0" xfId="0" applyNumberFormat="1" applyFont="1"/>
    <xf numFmtId="165" fontId="8" fillId="0" borderId="0" xfId="0" applyNumberFormat="1" applyFont="1"/>
    <xf numFmtId="0" fontId="11" fillId="2" borderId="10" xfId="0" applyFont="1" applyFill="1" applyBorder="1"/>
    <xf numFmtId="166" fontId="6" fillId="2" borderId="10" xfId="3" applyFont="1" applyFill="1" applyBorder="1"/>
    <xf numFmtId="166" fontId="11" fillId="2" borderId="10" xfId="3" applyFont="1" applyFill="1" applyBorder="1" applyAlignment="1">
      <alignment horizontal="center"/>
    </xf>
    <xf numFmtId="43" fontId="7" fillId="4" borderId="12" xfId="1" applyFont="1" applyFill="1" applyBorder="1"/>
    <xf numFmtId="43" fontId="8" fillId="0" borderId="0" xfId="1" applyFont="1" applyAlignment="1">
      <alignment horizontal="center"/>
    </xf>
    <xf numFmtId="43" fontId="7" fillId="0" borderId="0" xfId="1" applyFont="1" applyAlignment="1">
      <alignment horizontal="center"/>
    </xf>
    <xf numFmtId="167" fontId="7" fillId="4" borderId="1" xfId="2" applyNumberFormat="1" applyFont="1" applyFill="1" applyBorder="1"/>
    <xf numFmtId="0" fontId="11" fillId="2" borderId="1" xfId="0" applyFont="1" applyFill="1" applyBorder="1" applyAlignment="1">
      <alignment horizontal="center"/>
    </xf>
    <xf numFmtId="0" fontId="8" fillId="0" borderId="1" xfId="0" applyFont="1" applyBorder="1" applyAlignment="1">
      <alignment horizontal="center"/>
    </xf>
    <xf numFmtId="0" fontId="8" fillId="4" borderId="1" xfId="0" applyFont="1" applyFill="1" applyBorder="1" applyAlignment="1">
      <alignment horizontal="center"/>
    </xf>
    <xf numFmtId="167" fontId="5" fillId="0" borderId="0" xfId="0" applyNumberFormat="1" applyFont="1" applyAlignment="1">
      <alignment wrapText="1"/>
    </xf>
    <xf numFmtId="10" fontId="5" fillId="0" borderId="0" xfId="0" applyNumberFormat="1" applyFont="1" applyAlignment="1">
      <alignment wrapText="1"/>
    </xf>
    <xf numFmtId="0" fontId="8" fillId="0" borderId="1" xfId="5" applyNumberFormat="1" applyFont="1" applyFill="1" applyBorder="1" applyAlignment="1" applyProtection="1">
      <alignment vertical="center"/>
      <protection locked="0"/>
    </xf>
    <xf numFmtId="169" fontId="8" fillId="0" borderId="1" xfId="0" applyNumberFormat="1" applyFont="1" applyBorder="1" applyAlignment="1">
      <alignment vertical="center"/>
    </xf>
    <xf numFmtId="43" fontId="7" fillId="4" borderId="1" xfId="1" applyFont="1" applyFill="1" applyBorder="1"/>
    <xf numFmtId="10" fontId="8" fillId="4" borderId="1" xfId="0" applyNumberFormat="1" applyFont="1" applyFill="1" applyBorder="1" applyAlignment="1">
      <alignment horizontal="center"/>
    </xf>
    <xf numFmtId="43" fontId="7" fillId="0" borderId="0" xfId="1" applyFont="1" applyAlignment="1">
      <alignment vertical="center"/>
    </xf>
    <xf numFmtId="0" fontId="5" fillId="0" borderId="0" xfId="0" applyFont="1" applyAlignment="1">
      <alignment horizontal="left" wrapText="1"/>
    </xf>
    <xf numFmtId="0" fontId="13" fillId="0" borderId="0" xfId="0" applyFont="1" applyAlignment="1">
      <alignment wrapText="1"/>
    </xf>
    <xf numFmtId="0" fontId="9" fillId="0" borderId="0" xfId="0" applyFont="1" applyAlignment="1">
      <alignment horizontal="left"/>
    </xf>
    <xf numFmtId="0" fontId="8" fillId="0" borderId="0" xfId="0" applyFont="1" applyAlignment="1">
      <alignment wrapText="1"/>
    </xf>
    <xf numFmtId="0" fontId="6" fillId="2" borderId="1" xfId="0" applyFont="1" applyFill="1" applyBorder="1" applyAlignment="1" applyProtection="1">
      <alignment horizontal="left" vertical="center" wrapText="1"/>
      <protection hidden="1"/>
    </xf>
    <xf numFmtId="0" fontId="6" fillId="2" borderId="3" xfId="0" applyFont="1" applyFill="1" applyBorder="1" applyAlignment="1">
      <alignment horizontal="center" vertical="center"/>
    </xf>
    <xf numFmtId="0" fontId="6" fillId="2" borderId="3"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10" fillId="4" borderId="1" xfId="0" applyFont="1" applyFill="1" applyBorder="1" applyAlignment="1" applyProtection="1">
      <alignment horizontal="left" vertical="center" wrapText="1"/>
      <protection hidden="1"/>
    </xf>
    <xf numFmtId="0" fontId="7" fillId="4" borderId="1" xfId="0" applyFont="1" applyFill="1" applyBorder="1" applyAlignment="1">
      <alignment horizontal="center" wrapText="1"/>
    </xf>
    <xf numFmtId="44" fontId="7" fillId="4" borderId="1" xfId="4" applyFont="1" applyFill="1" applyBorder="1" applyAlignment="1">
      <alignment horizontal="center"/>
    </xf>
    <xf numFmtId="0" fontId="9" fillId="0" borderId="10" xfId="0" applyFont="1" applyBorder="1" applyAlignment="1" applyProtection="1">
      <alignment horizontal="left" vertical="center" wrapText="1"/>
      <protection hidden="1"/>
    </xf>
    <xf numFmtId="44" fontId="8" fillId="0" borderId="1" xfId="4" applyFont="1" applyBorder="1" applyAlignment="1">
      <alignment horizontal="center" vertical="center"/>
    </xf>
    <xf numFmtId="9" fontId="8" fillId="0" borderId="1" xfId="5" applyFont="1" applyBorder="1" applyAlignment="1">
      <alignment horizontal="center" vertical="center"/>
    </xf>
    <xf numFmtId="44" fontId="8" fillId="0" borderId="1" xfId="4" applyFont="1" applyFill="1" applyBorder="1" applyProtection="1">
      <protection locked="0"/>
    </xf>
    <xf numFmtId="0" fontId="9" fillId="0" borderId="1" xfId="0" applyFont="1" applyBorder="1" applyAlignment="1" applyProtection="1">
      <alignment horizontal="left" vertical="center" wrapText="1"/>
      <protection hidden="1"/>
    </xf>
    <xf numFmtId="0" fontId="9" fillId="0" borderId="1" xfId="0" applyFont="1" applyBorder="1" applyAlignment="1">
      <alignment horizontal="left"/>
    </xf>
    <xf numFmtId="41" fontId="8" fillId="0" borderId="12" xfId="2" applyFont="1" applyFill="1" applyBorder="1" applyAlignment="1">
      <alignment horizontal="left"/>
    </xf>
    <xf numFmtId="9" fontId="8" fillId="0" borderId="12" xfId="5" applyFont="1" applyFill="1" applyBorder="1" applyAlignment="1">
      <alignment horizontal="center"/>
    </xf>
    <xf numFmtId="0" fontId="10" fillId="5" borderId="1" xfId="0" applyFont="1" applyFill="1" applyBorder="1" applyAlignment="1" applyProtection="1">
      <alignment horizontal="left" vertical="center" wrapText="1"/>
      <protection hidden="1"/>
    </xf>
    <xf numFmtId="0" fontId="7" fillId="5" borderId="1" xfId="0" applyFont="1" applyFill="1" applyBorder="1" applyAlignment="1">
      <alignment wrapText="1"/>
    </xf>
    <xf numFmtId="0" fontId="10" fillId="0" borderId="1" xfId="0" applyFont="1" applyBorder="1" applyAlignment="1" applyProtection="1">
      <alignment horizontal="left" vertical="center"/>
      <protection hidden="1"/>
    </xf>
    <xf numFmtId="0" fontId="7" fillId="0" borderId="1" xfId="0" applyFont="1" applyBorder="1" applyAlignment="1">
      <alignment vertical="center" wrapText="1"/>
    </xf>
    <xf numFmtId="0" fontId="7" fillId="0" borderId="1" xfId="0" applyFont="1" applyBorder="1" applyAlignment="1">
      <alignment horizontal="center" vertical="center"/>
    </xf>
    <xf numFmtId="167" fontId="7" fillId="0" borderId="1" xfId="3" applyNumberFormat="1" applyFont="1" applyBorder="1" applyAlignment="1">
      <alignment vertical="center"/>
    </xf>
    <xf numFmtId="0" fontId="9" fillId="0" borderId="1" xfId="0" applyFont="1" applyBorder="1" applyAlignment="1" applyProtection="1">
      <alignment horizontal="left" vertical="center"/>
      <protection hidden="1"/>
    </xf>
    <xf numFmtId="0" fontId="10" fillId="0" borderId="1" xfId="0" applyFont="1" applyBorder="1" applyAlignment="1" applyProtection="1">
      <alignment horizontal="left" vertical="center" wrapText="1"/>
      <protection hidden="1"/>
    </xf>
    <xf numFmtId="0" fontId="10" fillId="0" borderId="1" xfId="0" applyFont="1" applyBorder="1" applyAlignment="1">
      <alignment vertical="center" wrapText="1"/>
    </xf>
    <xf numFmtId="0" fontId="10" fillId="0" borderId="1" xfId="0" applyFont="1" applyBorder="1" applyAlignment="1">
      <alignment horizontal="center" vertical="center" wrapText="1"/>
    </xf>
    <xf numFmtId="167" fontId="10" fillId="0" borderId="1" xfId="3" applyNumberFormat="1" applyFont="1" applyFill="1" applyBorder="1" applyAlignment="1">
      <alignment vertical="center"/>
    </xf>
    <xf numFmtId="0" fontId="9" fillId="0" borderId="10" xfId="0" applyFont="1" applyBorder="1" applyAlignment="1">
      <alignment vertical="center" wrapText="1"/>
    </xf>
    <xf numFmtId="0" fontId="9" fillId="0" borderId="10" xfId="0" applyFont="1" applyBorder="1" applyAlignment="1">
      <alignment horizontal="center" vertical="center" wrapText="1"/>
    </xf>
    <xf numFmtId="167" fontId="9" fillId="0" borderId="10" xfId="3" applyNumberFormat="1" applyFont="1" applyFill="1" applyBorder="1" applyAlignment="1">
      <alignment vertical="center"/>
    </xf>
    <xf numFmtId="0" fontId="10" fillId="0" borderId="10" xfId="0" applyFont="1" applyBorder="1" applyAlignment="1" applyProtection="1">
      <alignment horizontal="left" vertical="center" wrapText="1"/>
      <protection hidden="1"/>
    </xf>
    <xf numFmtId="0" fontId="10" fillId="0" borderId="10" xfId="0" applyFont="1" applyBorder="1" applyAlignment="1">
      <alignment vertical="center" wrapText="1"/>
    </xf>
    <xf numFmtId="0" fontId="10" fillId="0" borderId="10" xfId="0" applyFont="1" applyBorder="1" applyAlignment="1">
      <alignment horizontal="center" vertical="center" wrapText="1"/>
    </xf>
    <xf numFmtId="167" fontId="10" fillId="0" borderId="10" xfId="3" applyNumberFormat="1" applyFont="1" applyFill="1" applyBorder="1" applyAlignment="1">
      <alignment vertical="center"/>
    </xf>
    <xf numFmtId="167" fontId="8" fillId="0" borderId="12" xfId="3" applyNumberFormat="1" applyFont="1" applyFill="1" applyBorder="1" applyAlignment="1">
      <alignment horizontal="center"/>
    </xf>
    <xf numFmtId="0" fontId="10" fillId="0" borderId="1" xfId="0" applyFont="1" applyBorder="1" applyAlignment="1">
      <alignment horizontal="left"/>
    </xf>
    <xf numFmtId="0" fontId="10" fillId="0" borderId="1" xfId="0" applyFont="1" applyBorder="1" applyAlignment="1">
      <alignment horizontal="left" wrapText="1"/>
    </xf>
    <xf numFmtId="41" fontId="7" fillId="0" borderId="12" xfId="2" applyFont="1" applyFill="1" applyBorder="1"/>
    <xf numFmtId="41" fontId="7" fillId="0" borderId="12" xfId="2" applyFont="1" applyFill="1" applyBorder="1" applyAlignment="1">
      <alignment horizontal="center"/>
    </xf>
    <xf numFmtId="167" fontId="7" fillId="0" borderId="12" xfId="3" applyNumberFormat="1" applyFont="1" applyFill="1" applyBorder="1"/>
    <xf numFmtId="0" fontId="9" fillId="0" borderId="1" xfId="0" applyFont="1" applyBorder="1" applyAlignment="1">
      <alignment horizontal="left" wrapText="1"/>
    </xf>
    <xf numFmtId="41" fontId="8" fillId="0" borderId="12" xfId="2" applyFont="1" applyFill="1" applyBorder="1"/>
    <xf numFmtId="41" fontId="8" fillId="0" borderId="12" xfId="2" applyFont="1" applyFill="1" applyBorder="1" applyAlignment="1">
      <alignment horizontal="center"/>
    </xf>
    <xf numFmtId="167" fontId="8" fillId="0" borderId="12" xfId="3" applyNumberFormat="1" applyFont="1" applyFill="1" applyBorder="1"/>
    <xf numFmtId="44" fontId="8" fillId="0" borderId="1" xfId="4" applyFont="1" applyFill="1" applyBorder="1" applyAlignment="1">
      <alignment horizontal="center"/>
    </xf>
    <xf numFmtId="10" fontId="8" fillId="0" borderId="1" xfId="4" applyNumberFormat="1" applyFont="1" applyBorder="1" applyAlignment="1">
      <alignment horizontal="center" vertical="center"/>
    </xf>
    <xf numFmtId="10" fontId="10" fillId="0" borderId="1" xfId="5" applyNumberFormat="1" applyFont="1" applyBorder="1" applyAlignment="1">
      <alignment horizontal="center" vertical="center" wrapText="1"/>
    </xf>
    <xf numFmtId="0" fontId="13" fillId="0" borderId="1" xfId="0" applyFont="1" applyBorder="1" applyAlignment="1">
      <alignment wrapText="1"/>
    </xf>
    <xf numFmtId="0" fontId="5" fillId="0" borderId="1" xfId="0" applyFont="1" applyBorder="1" applyAlignment="1">
      <alignment wrapText="1"/>
    </xf>
    <xf numFmtId="10" fontId="9" fillId="0" borderId="10" xfId="5" applyNumberFormat="1" applyFont="1" applyBorder="1" applyAlignment="1">
      <alignment horizontal="center" vertical="center" wrapText="1"/>
    </xf>
    <xf numFmtId="10" fontId="10" fillId="0" borderId="10" xfId="5" applyNumberFormat="1" applyFont="1" applyBorder="1" applyAlignment="1">
      <alignment horizontal="center" vertical="center" wrapText="1"/>
    </xf>
    <xf numFmtId="167" fontId="8" fillId="0" borderId="12" xfId="3" applyNumberFormat="1" applyFont="1" applyFill="1" applyBorder="1" applyAlignment="1">
      <alignment horizontal="left"/>
    </xf>
    <xf numFmtId="10" fontId="8" fillId="0" borderId="12" xfId="2" applyNumberFormat="1" applyFont="1" applyFill="1" applyBorder="1" applyAlignment="1">
      <alignment horizontal="left"/>
    </xf>
    <xf numFmtId="10" fontId="7" fillId="0" borderId="12" xfId="2" applyNumberFormat="1" applyFont="1" applyFill="1" applyBorder="1" applyAlignment="1">
      <alignment horizontal="center"/>
    </xf>
    <xf numFmtId="10" fontId="8" fillId="0" borderId="12" xfId="2" applyNumberFormat="1" applyFont="1" applyFill="1" applyBorder="1" applyAlignment="1">
      <alignment horizontal="center"/>
    </xf>
    <xf numFmtId="10" fontId="8" fillId="0" borderId="1" xfId="4" applyNumberFormat="1" applyFont="1" applyFill="1" applyBorder="1" applyAlignment="1">
      <alignment horizontal="center"/>
    </xf>
    <xf numFmtId="0" fontId="8" fillId="0" borderId="3" xfId="0" applyFont="1" applyBorder="1" applyAlignment="1">
      <alignment horizontal="center"/>
    </xf>
    <xf numFmtId="0" fontId="6" fillId="2" borderId="1" xfId="0" applyFont="1" applyFill="1" applyBorder="1" applyAlignment="1">
      <alignment horizontal="center" wrapText="1"/>
    </xf>
    <xf numFmtId="165" fontId="6" fillId="2" borderId="1" xfId="3" applyNumberFormat="1" applyFont="1" applyFill="1" applyBorder="1" applyAlignment="1">
      <alignment horizontal="center"/>
    </xf>
    <xf numFmtId="0" fontId="9" fillId="2" borderId="1" xfId="0" applyFont="1" applyFill="1" applyBorder="1" applyAlignment="1" applyProtection="1">
      <alignment horizontal="left" vertical="center"/>
      <protection hidden="1"/>
    </xf>
    <xf numFmtId="0" fontId="6" fillId="2" borderId="1" xfId="0" applyFont="1" applyFill="1" applyBorder="1" applyAlignment="1">
      <alignment wrapText="1"/>
    </xf>
    <xf numFmtId="167" fontId="14" fillId="0" borderId="0" xfId="0" applyNumberFormat="1" applyFont="1" applyAlignment="1">
      <alignment wrapText="1"/>
    </xf>
    <xf numFmtId="168" fontId="0" fillId="0" borderId="0" xfId="0" applyNumberFormat="1"/>
    <xf numFmtId="0" fontId="11" fillId="0" borderId="0" xfId="0" applyFont="1" applyAlignment="1">
      <alignment horizontal="center"/>
    </xf>
    <xf numFmtId="168" fontId="8" fillId="0" borderId="0" xfId="3" applyNumberFormat="1" applyFont="1" applyAlignment="1">
      <alignment horizontal="center"/>
    </xf>
    <xf numFmtId="0" fontId="7" fillId="3" borderId="13" xfId="0" applyFont="1" applyFill="1" applyBorder="1" applyAlignment="1">
      <alignment horizontal="center" vertical="center"/>
    </xf>
    <xf numFmtId="0" fontId="7" fillId="6" borderId="1" xfId="0" applyFont="1" applyFill="1" applyBorder="1" applyAlignment="1">
      <alignment horizontal="center" vertical="center" wrapText="1"/>
    </xf>
    <xf numFmtId="9" fontId="7" fillId="6" borderId="1" xfId="0" applyNumberFormat="1" applyFont="1" applyFill="1" applyBorder="1" applyAlignment="1">
      <alignment horizontal="center" vertical="center" wrapText="1"/>
    </xf>
    <xf numFmtId="171" fontId="7" fillId="6" borderId="1" xfId="0" applyNumberFormat="1" applyFont="1" applyFill="1" applyBorder="1" applyAlignment="1">
      <alignment horizontal="center" vertical="center"/>
    </xf>
    <xf numFmtId="168" fontId="7" fillId="6" borderId="1" xfId="3" applyNumberFormat="1" applyFont="1" applyFill="1" applyBorder="1" applyAlignment="1">
      <alignment horizontal="center" vertical="center"/>
    </xf>
    <xf numFmtId="168" fontId="8" fillId="0" borderId="1" xfId="3" applyNumberFormat="1" applyFont="1" applyFill="1" applyBorder="1" applyAlignment="1">
      <alignment horizontal="center" vertical="center"/>
    </xf>
    <xf numFmtId="0" fontId="7" fillId="0" borderId="1" xfId="0" applyFont="1" applyBorder="1" applyAlignment="1">
      <alignment horizontal="center"/>
    </xf>
    <xf numFmtId="0" fontId="8" fillId="0" borderId="1" xfId="0" applyFont="1" applyBorder="1" applyAlignment="1" applyProtection="1">
      <alignment horizontal="center" vertical="center" wrapText="1"/>
      <protection hidden="1"/>
    </xf>
    <xf numFmtId="168" fontId="8" fillId="0" borderId="1" xfId="3" applyNumberFormat="1" applyFont="1" applyFill="1" applyBorder="1" applyAlignment="1">
      <alignment horizontal="center"/>
    </xf>
    <xf numFmtId="0" fontId="8" fillId="0" borderId="1" xfId="0" applyFont="1" applyBorder="1" applyAlignment="1">
      <alignment horizontal="center" wrapText="1"/>
    </xf>
    <xf numFmtId="0" fontId="7" fillId="6" borderId="1" xfId="0" applyFont="1" applyFill="1" applyBorder="1" applyAlignment="1">
      <alignment horizontal="center"/>
    </xf>
    <xf numFmtId="168" fontId="7" fillId="6" borderId="1" xfId="3" applyNumberFormat="1" applyFont="1" applyFill="1" applyBorder="1" applyAlignment="1">
      <alignment horizontal="center"/>
    </xf>
    <xf numFmtId="0" fontId="10" fillId="6" borderId="1" xfId="0" applyFont="1" applyFill="1" applyBorder="1" applyAlignment="1">
      <alignment horizontal="center"/>
    </xf>
    <xf numFmtId="0" fontId="10" fillId="6" borderId="1" xfId="0" applyFont="1" applyFill="1" applyBorder="1" applyAlignment="1">
      <alignment horizontal="center" vertical="center" wrapText="1"/>
    </xf>
    <xf numFmtId="168" fontId="10" fillId="6" borderId="1" xfId="3" applyNumberFormat="1" applyFont="1" applyFill="1" applyBorder="1" applyAlignment="1">
      <alignment horizontal="center"/>
    </xf>
    <xf numFmtId="168" fontId="8" fillId="0" borderId="0" xfId="3" applyNumberFormat="1" applyFont="1" applyFill="1" applyAlignment="1">
      <alignment horizontal="center"/>
    </xf>
    <xf numFmtId="0" fontId="11" fillId="0" borderId="0" xfId="0" applyFont="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horizontal="center" vertical="center" wrapText="1"/>
    </xf>
    <xf numFmtId="0" fontId="8" fillId="3" borderId="1" xfId="0" applyFont="1" applyFill="1" applyBorder="1" applyAlignment="1">
      <alignment horizontal="center" vertical="center" wrapText="1"/>
    </xf>
    <xf numFmtId="172" fontId="6" fillId="2" borderId="1" xfId="0" applyNumberFormat="1" applyFont="1" applyFill="1" applyBorder="1" applyAlignment="1">
      <alignment horizontal="center" vertical="center" wrapText="1"/>
    </xf>
    <xf numFmtId="172" fontId="8" fillId="0" borderId="0" xfId="0" applyNumberFormat="1" applyFont="1" applyAlignment="1">
      <alignment horizontal="center" vertical="center" wrapText="1"/>
    </xf>
    <xf numFmtId="0" fontId="9" fillId="0" borderId="0" xfId="0" applyFont="1" applyAlignment="1">
      <alignment horizontal="center" vertical="center" wrapText="1"/>
    </xf>
    <xf numFmtId="0" fontId="8" fillId="0" borderId="0" xfId="0" applyFont="1" applyAlignment="1">
      <alignment horizontal="left" vertical="center" wrapText="1"/>
    </xf>
    <xf numFmtId="0" fontId="7" fillId="4" borderId="1" xfId="0" applyFont="1" applyFill="1" applyBorder="1" applyAlignment="1">
      <alignment horizontal="center" vertical="center" wrapText="1"/>
    </xf>
    <xf numFmtId="172" fontId="7" fillId="4" borderId="1" xfId="0" applyNumberFormat="1" applyFont="1" applyFill="1" applyBorder="1" applyAlignment="1">
      <alignment horizontal="center" vertical="center" wrapText="1"/>
    </xf>
    <xf numFmtId="169" fontId="8" fillId="0" borderId="1" xfId="0" applyNumberFormat="1" applyFont="1" applyBorder="1" applyAlignment="1">
      <alignment horizontal="center" vertical="center" wrapText="1"/>
    </xf>
    <xf numFmtId="172" fontId="9" fillId="3" borderId="1" xfId="0" applyNumberFormat="1" applyFont="1" applyFill="1" applyBorder="1" applyAlignment="1">
      <alignment horizontal="center" vertical="center" wrapText="1"/>
    </xf>
    <xf numFmtId="0" fontId="7" fillId="4" borderId="16" xfId="0" applyFont="1" applyFill="1" applyBorder="1" applyAlignment="1">
      <alignment horizontal="center" vertical="center" wrapText="1"/>
    </xf>
    <xf numFmtId="44" fontId="8" fillId="0" borderId="12" xfId="4" applyFont="1" applyBorder="1" applyAlignment="1">
      <alignment horizontal="center" vertical="center" wrapText="1"/>
    </xf>
    <xf numFmtId="0" fontId="6" fillId="2" borderId="1" xfId="0" applyFont="1" applyFill="1" applyBorder="1" applyAlignment="1">
      <alignment horizontal="left" vertical="center" wrapText="1"/>
    </xf>
    <xf numFmtId="0" fontId="10" fillId="2" borderId="1" xfId="0" applyFont="1" applyFill="1" applyBorder="1" applyAlignment="1" applyProtection="1">
      <alignment horizontal="center" vertical="center" wrapText="1"/>
      <protection hidden="1"/>
    </xf>
    <xf numFmtId="0" fontId="11" fillId="0" borderId="0" xfId="0" applyFont="1" applyAlignment="1">
      <alignment horizontal="left" vertical="center" wrapText="1"/>
    </xf>
    <xf numFmtId="0" fontId="8" fillId="4" borderId="1" xfId="0" applyFont="1" applyFill="1" applyBorder="1" applyAlignment="1">
      <alignment horizontal="center" vertical="center" wrapText="1"/>
    </xf>
    <xf numFmtId="172" fontId="9" fillId="0" borderId="1" xfId="0" applyNumberFormat="1" applyFont="1" applyBorder="1" applyAlignment="1">
      <alignment horizontal="center" vertical="center" wrapText="1"/>
    </xf>
    <xf numFmtId="169" fontId="8" fillId="0" borderId="0" xfId="0" applyNumberFormat="1" applyFont="1" applyAlignment="1">
      <alignment horizontal="center" vertical="center" wrapText="1"/>
    </xf>
    <xf numFmtId="44" fontId="8" fillId="0" borderId="0" xfId="0" applyNumberFormat="1" applyFont="1" applyAlignment="1">
      <alignment horizontal="center" vertical="center" wrapText="1"/>
    </xf>
    <xf numFmtId="10" fontId="7" fillId="0" borderId="0" xfId="0" applyNumberFormat="1" applyFont="1" applyAlignment="1">
      <alignment horizontal="center" vertical="center" wrapText="1"/>
    </xf>
    <xf numFmtId="9" fontId="8" fillId="0" borderId="11" xfId="0" applyNumberFormat="1" applyFont="1" applyBorder="1" applyAlignment="1">
      <alignment horizontal="center" vertical="center" wrapText="1"/>
    </xf>
    <xf numFmtId="44" fontId="8" fillId="0" borderId="11" xfId="4" applyFont="1" applyBorder="1" applyAlignment="1">
      <alignment horizontal="center" vertical="center" wrapText="1"/>
    </xf>
    <xf numFmtId="0" fontId="18" fillId="6" borderId="1" xfId="0" applyFont="1" applyFill="1" applyBorder="1" applyAlignment="1">
      <alignment horizontal="center"/>
    </xf>
    <xf numFmtId="0" fontId="17" fillId="0" borderId="1" xfId="0" applyFont="1" applyBorder="1" applyAlignment="1">
      <alignment horizontal="center"/>
    </xf>
    <xf numFmtId="0" fontId="17" fillId="0" borderId="0" xfId="0" applyFont="1" applyAlignment="1">
      <alignment horizontal="center"/>
    </xf>
    <xf numFmtId="168" fontId="17" fillId="0" borderId="0" xfId="3" applyNumberFormat="1" applyFont="1" applyFill="1" applyBorder="1" applyAlignment="1">
      <alignment horizontal="center"/>
    </xf>
    <xf numFmtId="0" fontId="19" fillId="6" borderId="1" xfId="0" applyFont="1" applyFill="1" applyBorder="1" applyAlignment="1">
      <alignment horizontal="center"/>
    </xf>
    <xf numFmtId="168" fontId="17" fillId="0" borderId="1" xfId="3" applyNumberFormat="1" applyFont="1" applyFill="1" applyBorder="1" applyAlignment="1">
      <alignment horizontal="center" vertical="center"/>
    </xf>
    <xf numFmtId="167" fontId="22" fillId="0" borderId="1" xfId="3" applyNumberFormat="1" applyFont="1" applyFill="1" applyBorder="1" applyAlignment="1" applyProtection="1">
      <alignment vertical="center"/>
      <protection locked="0"/>
    </xf>
    <xf numFmtId="0" fontId="17" fillId="0" borderId="1" xfId="0" applyFont="1" applyBorder="1" applyAlignment="1" applyProtection="1">
      <alignment horizontal="center" vertical="center"/>
      <protection hidden="1"/>
    </xf>
    <xf numFmtId="0" fontId="17" fillId="0" borderId="1" xfId="0" applyFont="1" applyBorder="1" applyAlignment="1">
      <alignment horizontal="center" vertical="center"/>
    </xf>
    <xf numFmtId="0" fontId="23" fillId="2" borderId="1" xfId="0" applyFont="1" applyFill="1" applyBorder="1" applyAlignment="1" applyProtection="1">
      <alignment horizontal="center" vertical="center" wrapText="1"/>
      <protection hidden="1"/>
    </xf>
    <xf numFmtId="0" fontId="23" fillId="2" borderId="1" xfId="0" applyFont="1" applyFill="1" applyBorder="1" applyAlignment="1">
      <alignment horizontal="center" vertical="center"/>
    </xf>
    <xf numFmtId="0" fontId="23" fillId="2" borderId="1" xfId="0" applyFont="1" applyFill="1" applyBorder="1" applyAlignment="1">
      <alignment horizontal="center" vertical="center" wrapText="1"/>
    </xf>
    <xf numFmtId="167" fontId="23" fillId="2" borderId="1" xfId="0" applyNumberFormat="1" applyFont="1" applyFill="1" applyBorder="1" applyAlignment="1">
      <alignment horizontal="center" vertical="center" wrapText="1"/>
    </xf>
    <xf numFmtId="167" fontId="23" fillId="2" borderId="3" xfId="0" applyNumberFormat="1" applyFont="1" applyFill="1" applyBorder="1" applyAlignment="1">
      <alignment horizontal="center" vertical="center" wrapText="1"/>
    </xf>
    <xf numFmtId="173" fontId="23" fillId="2" borderId="14" xfId="0" applyNumberFormat="1" applyFont="1" applyFill="1" applyBorder="1" applyAlignment="1">
      <alignment horizontal="center" vertical="center" wrapText="1"/>
    </xf>
    <xf numFmtId="0" fontId="24" fillId="4" borderId="1" xfId="0" applyFont="1" applyFill="1" applyBorder="1" applyAlignment="1" applyProtection="1">
      <alignment horizontal="center" vertical="center" wrapText="1"/>
      <protection hidden="1"/>
    </xf>
    <xf numFmtId="0" fontId="24" fillId="4" borderId="1" xfId="0" applyFont="1" applyFill="1" applyBorder="1" applyAlignment="1">
      <alignment horizontal="left"/>
    </xf>
    <xf numFmtId="0" fontId="24" fillId="4" borderId="1" xfId="0" applyFont="1" applyFill="1" applyBorder="1" applyAlignment="1">
      <alignment horizontal="left" vertical="center"/>
    </xf>
    <xf numFmtId="167" fontId="24" fillId="4" borderId="1" xfId="0" applyNumberFormat="1" applyFont="1" applyFill="1" applyBorder="1" applyAlignment="1">
      <alignment horizontal="left"/>
    </xf>
    <xf numFmtId="167" fontId="24" fillId="4" borderId="3" xfId="0" applyNumberFormat="1" applyFont="1" applyFill="1" applyBorder="1" applyAlignment="1">
      <alignment horizontal="left"/>
    </xf>
    <xf numFmtId="173" fontId="24" fillId="4" borderId="14" xfId="0" applyNumberFormat="1" applyFont="1" applyFill="1" applyBorder="1" applyAlignment="1">
      <alignment horizontal="left"/>
    </xf>
    <xf numFmtId="0" fontId="22" fillId="0" borderId="1" xfId="0" applyFont="1" applyBorder="1" applyAlignment="1" applyProtection="1">
      <alignment horizontal="center" vertical="center"/>
      <protection hidden="1"/>
    </xf>
    <xf numFmtId="0" fontId="22" fillId="0" borderId="1" xfId="0" applyFont="1" applyBorder="1"/>
    <xf numFmtId="0" fontId="22" fillId="0" borderId="1" xfId="0" applyFont="1" applyBorder="1" applyAlignment="1">
      <alignment horizontal="center" vertical="center"/>
    </xf>
    <xf numFmtId="9" fontId="22" fillId="0" borderId="1" xfId="0" applyNumberFormat="1" applyFont="1" applyBorder="1" applyAlignment="1">
      <alignment horizontal="center" vertical="center" wrapText="1"/>
    </xf>
    <xf numFmtId="167" fontId="22" fillId="0" borderId="1" xfId="3" applyNumberFormat="1" applyFont="1" applyFill="1" applyBorder="1" applyProtection="1">
      <protection locked="0"/>
    </xf>
    <xf numFmtId="167" fontId="22" fillId="0" borderId="3" xfId="3" applyNumberFormat="1" applyFont="1" applyFill="1" applyBorder="1"/>
    <xf numFmtId="173" fontId="22" fillId="0" borderId="14" xfId="0" applyNumberFormat="1" applyFont="1" applyBorder="1"/>
    <xf numFmtId="0" fontId="22" fillId="0" borderId="1" xfId="0" applyFont="1" applyBorder="1" applyAlignment="1" applyProtection="1">
      <alignment vertical="center"/>
      <protection hidden="1"/>
    </xf>
    <xf numFmtId="0" fontId="22" fillId="0" borderId="1" xfId="0" applyFont="1" applyBorder="1" applyAlignment="1">
      <alignment horizontal="left" vertical="center" wrapText="1"/>
    </xf>
    <xf numFmtId="0" fontId="22" fillId="0" borderId="1" xfId="0" applyFont="1" applyBorder="1" applyAlignment="1">
      <alignment vertical="center"/>
    </xf>
    <xf numFmtId="0" fontId="22" fillId="0" borderId="3" xfId="0" applyFont="1" applyBorder="1" applyAlignment="1" applyProtection="1">
      <alignment horizontal="center" vertical="center"/>
      <protection hidden="1"/>
    </xf>
    <xf numFmtId="0" fontId="22" fillId="0" borderId="9" xfId="0" applyFont="1" applyBorder="1" applyAlignment="1">
      <alignment horizontal="left" vertical="center"/>
    </xf>
    <xf numFmtId="0" fontId="24" fillId="4" borderId="1" xfId="0" applyFont="1" applyFill="1" applyBorder="1" applyAlignment="1">
      <alignment horizontal="center"/>
    </xf>
    <xf numFmtId="1" fontId="24" fillId="4" borderId="1" xfId="2" applyNumberFormat="1" applyFont="1" applyFill="1" applyBorder="1" applyAlignment="1">
      <alignment horizontal="center" vertical="center"/>
    </xf>
    <xf numFmtId="41" fontId="24" fillId="4" borderId="1" xfId="2" applyFont="1" applyFill="1" applyBorder="1"/>
    <xf numFmtId="167" fontId="24" fillId="4" borderId="1" xfId="2" applyNumberFormat="1" applyFont="1" applyFill="1" applyBorder="1"/>
    <xf numFmtId="167" fontId="24" fillId="4" borderId="3" xfId="2" applyNumberFormat="1" applyFont="1" applyFill="1" applyBorder="1"/>
    <xf numFmtId="41" fontId="24" fillId="4" borderId="14" xfId="2" applyFont="1" applyFill="1" applyBorder="1"/>
    <xf numFmtId="167" fontId="24" fillId="4" borderId="14" xfId="2" applyNumberFormat="1" applyFont="1" applyFill="1" applyBorder="1"/>
    <xf numFmtId="41" fontId="24" fillId="4" borderId="1" xfId="2" applyFont="1" applyFill="1" applyBorder="1" applyAlignment="1">
      <alignment vertical="center"/>
    </xf>
    <xf numFmtId="0" fontId="24" fillId="8" borderId="1" xfId="0" applyFont="1" applyFill="1" applyBorder="1" applyAlignment="1" applyProtection="1">
      <alignment horizontal="center" vertical="center" wrapText="1"/>
      <protection hidden="1"/>
    </xf>
    <xf numFmtId="0" fontId="24" fillId="8" borderId="1" xfId="0" applyFont="1" applyFill="1" applyBorder="1"/>
    <xf numFmtId="0" fontId="24" fillId="8" borderId="1" xfId="0" applyFont="1" applyFill="1" applyBorder="1" applyAlignment="1">
      <alignment horizontal="center"/>
    </xf>
    <xf numFmtId="167" fontId="24" fillId="8" borderId="1" xfId="0" applyNumberFormat="1" applyFont="1" applyFill="1" applyBorder="1"/>
    <xf numFmtId="167" fontId="24" fillId="8" borderId="3" xfId="0" applyNumberFormat="1" applyFont="1" applyFill="1" applyBorder="1"/>
    <xf numFmtId="167" fontId="24" fillId="8" borderId="14" xfId="0" applyNumberFormat="1" applyFont="1" applyFill="1" applyBorder="1"/>
    <xf numFmtId="0" fontId="22" fillId="0" borderId="1" xfId="0" applyFont="1" applyBorder="1" applyAlignment="1">
      <alignment vertical="center" wrapText="1"/>
    </xf>
    <xf numFmtId="167" fontId="22" fillId="0" borderId="1" xfId="3" applyNumberFormat="1" applyFont="1" applyBorder="1" applyAlignment="1">
      <alignment vertical="center"/>
    </xf>
    <xf numFmtId="167" fontId="22" fillId="0" borderId="3" xfId="3" applyNumberFormat="1" applyFont="1" applyFill="1" applyBorder="1" applyAlignment="1">
      <alignment vertical="center"/>
    </xf>
    <xf numFmtId="167" fontId="22" fillId="0" borderId="1" xfId="3" applyNumberFormat="1" applyFont="1" applyFill="1" applyBorder="1" applyAlignment="1">
      <alignment vertical="center"/>
    </xf>
    <xf numFmtId="0" fontId="22" fillId="0" borderId="1" xfId="0" applyFont="1" applyBorder="1" applyAlignment="1" applyProtection="1">
      <alignment vertical="center" wrapText="1"/>
      <protection hidden="1"/>
    </xf>
    <xf numFmtId="167" fontId="22" fillId="0" borderId="3" xfId="3" applyNumberFormat="1" applyFont="1" applyBorder="1" applyAlignment="1">
      <alignment vertical="center"/>
    </xf>
    <xf numFmtId="167" fontId="22" fillId="0" borderId="10" xfId="3" applyNumberFormat="1" applyFont="1" applyFill="1" applyBorder="1" applyAlignment="1" applyProtection="1">
      <alignment vertical="center"/>
      <protection locked="0"/>
    </xf>
    <xf numFmtId="167" fontId="22" fillId="0" borderId="14" xfId="3" applyNumberFormat="1" applyFont="1" applyFill="1" applyBorder="1" applyAlignment="1" applyProtection="1">
      <alignment vertical="center"/>
      <protection locked="0"/>
    </xf>
    <xf numFmtId="0" fontId="22" fillId="0" borderId="3" xfId="0" applyFont="1" applyBorder="1" applyAlignment="1">
      <alignment horizontal="center" vertical="center"/>
    </xf>
    <xf numFmtId="0" fontId="22" fillId="0" borderId="17" xfId="0" applyFont="1" applyBorder="1" applyAlignment="1">
      <alignment horizontal="center" vertical="center"/>
    </xf>
    <xf numFmtId="0" fontId="22" fillId="0" borderId="1" xfId="0" quotePrefix="1" applyFont="1" applyBorder="1" applyAlignment="1" applyProtection="1">
      <alignment horizontal="center" vertical="center"/>
      <protection hidden="1"/>
    </xf>
    <xf numFmtId="0" fontId="22" fillId="0" borderId="1" xfId="0" applyFont="1" applyBorder="1" applyAlignment="1">
      <alignment wrapText="1"/>
    </xf>
    <xf numFmtId="0" fontId="24" fillId="4" borderId="3" xfId="0" applyFont="1" applyFill="1" applyBorder="1" applyAlignment="1">
      <alignment horizontal="center" vertical="center"/>
    </xf>
    <xf numFmtId="0" fontId="24" fillId="4" borderId="13" xfId="0" applyFont="1" applyFill="1" applyBorder="1"/>
    <xf numFmtId="0" fontId="24" fillId="4" borderId="4" xfId="0" applyFont="1" applyFill="1" applyBorder="1"/>
    <xf numFmtId="167" fontId="24" fillId="4" borderId="12" xfId="0" applyNumberFormat="1" applyFont="1" applyFill="1" applyBorder="1" applyAlignment="1">
      <alignment horizontal="center"/>
    </xf>
    <xf numFmtId="167" fontId="24" fillId="4" borderId="8" xfId="2" applyNumberFormat="1" applyFont="1" applyFill="1" applyBorder="1"/>
    <xf numFmtId="167" fontId="22" fillId="0" borderId="3" xfId="3" applyNumberFormat="1" applyFont="1" applyBorder="1"/>
    <xf numFmtId="0" fontId="24" fillId="4" borderId="1" xfId="0" applyFont="1" applyFill="1" applyBorder="1" applyAlignment="1">
      <alignment horizontal="center" vertical="center"/>
    </xf>
    <xf numFmtId="167" fontId="24" fillId="4" borderId="1" xfId="0" applyNumberFormat="1" applyFont="1" applyFill="1" applyBorder="1" applyAlignment="1">
      <alignment horizontal="center"/>
    </xf>
    <xf numFmtId="0" fontId="22" fillId="2" borderId="1" xfId="0" applyFont="1" applyFill="1" applyBorder="1" applyAlignment="1" applyProtection="1">
      <alignment horizontal="center" vertical="center"/>
      <protection hidden="1"/>
    </xf>
    <xf numFmtId="0" fontId="24" fillId="2" borderId="1" xfId="0" applyFont="1" applyFill="1" applyBorder="1"/>
    <xf numFmtId="0" fontId="22" fillId="2" borderId="1" xfId="0" applyFont="1" applyFill="1" applyBorder="1" applyAlignment="1">
      <alignment vertical="center"/>
    </xf>
    <xf numFmtId="0" fontId="22" fillId="2" borderId="1" xfId="0" applyFont="1" applyFill="1" applyBorder="1"/>
    <xf numFmtId="167" fontId="24" fillId="2" borderId="1" xfId="3" applyNumberFormat="1" applyFont="1" applyFill="1" applyBorder="1"/>
    <xf numFmtId="167" fontId="23" fillId="2" borderId="3" xfId="3" applyNumberFormat="1" applyFont="1" applyFill="1" applyBorder="1"/>
    <xf numFmtId="167" fontId="23" fillId="2" borderId="14" xfId="3" applyNumberFormat="1" applyFont="1" applyFill="1" applyBorder="1"/>
    <xf numFmtId="167" fontId="24" fillId="2" borderId="3" xfId="3" applyNumberFormat="1" applyFont="1" applyFill="1" applyBorder="1"/>
    <xf numFmtId="167" fontId="24" fillId="2" borderId="14" xfId="3" applyNumberFormat="1" applyFont="1" applyFill="1" applyBorder="1"/>
    <xf numFmtId="0" fontId="24" fillId="4" borderId="1" xfId="0" applyFont="1" applyFill="1" applyBorder="1"/>
    <xf numFmtId="0" fontId="22" fillId="4" borderId="1" xfId="0" applyFont="1" applyFill="1" applyBorder="1" applyAlignment="1">
      <alignment vertical="center"/>
    </xf>
    <xf numFmtId="0" fontId="22" fillId="4" borderId="1" xfId="0" applyFont="1" applyFill="1" applyBorder="1"/>
    <xf numFmtId="167" fontId="22" fillId="4" borderId="1" xfId="0" applyNumberFormat="1" applyFont="1" applyFill="1" applyBorder="1"/>
    <xf numFmtId="167" fontId="22" fillId="4" borderId="3" xfId="0" applyNumberFormat="1" applyFont="1" applyFill="1" applyBorder="1"/>
    <xf numFmtId="167" fontId="22" fillId="4" borderId="14" xfId="0" applyNumberFormat="1" applyFont="1" applyFill="1" applyBorder="1"/>
    <xf numFmtId="0" fontId="22" fillId="3" borderId="1" xfId="0" applyFont="1" applyFill="1" applyBorder="1"/>
    <xf numFmtId="9" fontId="22" fillId="0" borderId="1" xfId="0" applyNumberFormat="1" applyFont="1" applyBorder="1" applyAlignment="1">
      <alignment vertical="center"/>
    </xf>
    <xf numFmtId="9" fontId="22" fillId="0" borderId="1" xfId="5" applyFont="1" applyFill="1" applyBorder="1" applyProtection="1">
      <protection locked="0"/>
    </xf>
    <xf numFmtId="167" fontId="22" fillId="0" borderId="3" xfId="2" applyNumberFormat="1" applyFont="1" applyFill="1" applyBorder="1"/>
    <xf numFmtId="167" fontId="22" fillId="2" borderId="1" xfId="0" applyNumberFormat="1" applyFont="1" applyFill="1" applyBorder="1"/>
    <xf numFmtId="167" fontId="23" fillId="2" borderId="3" xfId="2" applyNumberFormat="1" applyFont="1" applyFill="1" applyBorder="1"/>
    <xf numFmtId="167" fontId="23" fillId="2" borderId="14" xfId="2" applyNumberFormat="1" applyFont="1" applyFill="1" applyBorder="1"/>
    <xf numFmtId="0" fontId="25" fillId="2" borderId="1" xfId="0" applyFont="1" applyFill="1" applyBorder="1" applyAlignment="1">
      <alignment horizontal="center" vertical="center"/>
    </xf>
    <xf numFmtId="0" fontId="26" fillId="4" borderId="1" xfId="0" applyFont="1" applyFill="1" applyBorder="1" applyAlignment="1">
      <alignment horizontal="left"/>
    </xf>
    <xf numFmtId="0" fontId="27" fillId="0" borderId="1" xfId="0" applyFont="1" applyBorder="1" applyAlignment="1" applyProtection="1">
      <alignment horizontal="center" vertical="center"/>
      <protection hidden="1"/>
    </xf>
    <xf numFmtId="0" fontId="20" fillId="0" borderId="1" xfId="0" applyFont="1" applyBorder="1" applyAlignment="1">
      <alignment horizontal="center" vertical="center"/>
    </xf>
    <xf numFmtId="0" fontId="20" fillId="0" borderId="0" xfId="0" applyFont="1" applyAlignment="1">
      <alignment horizontal="center"/>
    </xf>
    <xf numFmtId="0" fontId="26" fillId="4" borderId="1" xfId="0" applyFont="1" applyFill="1" applyBorder="1" applyAlignment="1">
      <alignment horizontal="center"/>
    </xf>
    <xf numFmtId="0" fontId="26" fillId="8" borderId="1" xfId="0" applyFont="1" applyFill="1" applyBorder="1" applyAlignment="1">
      <alignment horizontal="center"/>
    </xf>
    <xf numFmtId="0" fontId="0" fillId="3" borderId="1" xfId="0" applyFill="1" applyBorder="1" applyAlignment="1">
      <alignment horizontal="center"/>
    </xf>
    <xf numFmtId="0" fontId="20" fillId="0" borderId="1" xfId="0" applyFont="1" applyBorder="1" applyAlignment="1">
      <alignment vertical="center"/>
    </xf>
    <xf numFmtId="0" fontId="30" fillId="0" borderId="1" xfId="0" applyFont="1" applyBorder="1" applyAlignment="1">
      <alignment horizontal="center" vertical="center"/>
    </xf>
    <xf numFmtId="170" fontId="20" fillId="0" borderId="1" xfId="3" applyNumberFormat="1" applyFont="1" applyFill="1" applyBorder="1" applyAlignment="1" applyProtection="1">
      <alignment vertical="center"/>
      <protection locked="0"/>
    </xf>
    <xf numFmtId="170" fontId="20" fillId="0" borderId="1" xfId="3" applyNumberFormat="1" applyFont="1" applyFill="1" applyBorder="1" applyAlignment="1">
      <alignment vertical="center"/>
    </xf>
    <xf numFmtId="0" fontId="20" fillId="0" borderId="1" xfId="0" applyFont="1" applyBorder="1" applyAlignment="1" applyProtection="1">
      <alignment vertical="center"/>
      <protection hidden="1"/>
    </xf>
    <xf numFmtId="0" fontId="26" fillId="9" borderId="1" xfId="0" applyFont="1" applyFill="1" applyBorder="1" applyAlignment="1">
      <alignment horizontal="center"/>
    </xf>
    <xf numFmtId="0" fontId="27" fillId="2" borderId="1" xfId="0" applyFont="1" applyFill="1" applyBorder="1" applyAlignment="1" applyProtection="1">
      <alignment horizontal="center" vertical="center"/>
      <protection hidden="1"/>
    </xf>
    <xf numFmtId="9" fontId="30" fillId="0" borderId="1" xfId="5" applyFont="1" applyFill="1" applyBorder="1" applyAlignment="1" applyProtection="1">
      <alignment horizontal="center"/>
      <protection locked="0"/>
    </xf>
    <xf numFmtId="44" fontId="0" fillId="0" borderId="1" xfId="4" applyFont="1" applyFill="1" applyBorder="1" applyAlignment="1">
      <alignment horizontal="center"/>
    </xf>
    <xf numFmtId="0" fontId="27" fillId="4" borderId="1" xfId="0" applyFont="1" applyFill="1" applyBorder="1" applyAlignment="1" applyProtection="1">
      <alignment horizontal="center" vertical="center"/>
      <protection hidden="1"/>
    </xf>
    <xf numFmtId="0" fontId="20" fillId="0" borderId="1" xfId="0" applyFont="1" applyBorder="1" applyAlignment="1">
      <alignment horizontal="center"/>
    </xf>
    <xf numFmtId="174" fontId="20" fillId="0" borderId="1" xfId="5" applyNumberFormat="1" applyFont="1" applyFill="1" applyBorder="1" applyAlignment="1">
      <alignment horizontal="center"/>
    </xf>
    <xf numFmtId="0" fontId="27" fillId="0" borderId="0" xfId="0" applyFont="1"/>
    <xf numFmtId="0" fontId="20" fillId="0" borderId="0" xfId="0" applyFont="1"/>
    <xf numFmtId="0" fontId="28" fillId="2" borderId="1" xfId="0" applyFont="1" applyFill="1" applyBorder="1" applyAlignment="1" applyProtection="1">
      <alignment horizontal="center" vertical="center"/>
      <protection hidden="1"/>
    </xf>
    <xf numFmtId="0" fontId="28" fillId="4" borderId="1" xfId="0" applyFont="1" applyFill="1" applyBorder="1" applyAlignment="1" applyProtection="1">
      <alignment horizontal="center" vertical="center"/>
      <protection hidden="1"/>
    </xf>
    <xf numFmtId="0" fontId="20" fillId="0" borderId="1" xfId="0" applyFont="1" applyBorder="1"/>
    <xf numFmtId="9" fontId="17" fillId="0" borderId="1" xfId="0" applyNumberFormat="1" applyFont="1" applyBorder="1" applyAlignment="1">
      <alignment horizontal="center" vertical="center"/>
    </xf>
    <xf numFmtId="166" fontId="20" fillId="0" borderId="1" xfId="3" applyFont="1" applyFill="1" applyBorder="1" applyAlignment="1" applyProtection="1">
      <protection locked="0"/>
    </xf>
    <xf numFmtId="166" fontId="20" fillId="0" borderId="1" xfId="3" applyFont="1" applyFill="1" applyBorder="1" applyAlignment="1"/>
    <xf numFmtId="0" fontId="4" fillId="0" borderId="1" xfId="0" applyFont="1" applyBorder="1"/>
    <xf numFmtId="0" fontId="21" fillId="7" borderId="1" xfId="0" applyFont="1" applyFill="1" applyBorder="1" applyAlignment="1">
      <alignment vertical="center"/>
    </xf>
    <xf numFmtId="41" fontId="26" fillId="4" borderId="1" xfId="2" applyFont="1" applyFill="1" applyBorder="1" applyAlignment="1"/>
    <xf numFmtId="0" fontId="28" fillId="8" borderId="1" xfId="0" applyFont="1" applyFill="1" applyBorder="1" applyAlignment="1" applyProtection="1">
      <alignment horizontal="center" vertical="center"/>
      <protection hidden="1"/>
    </xf>
    <xf numFmtId="0" fontId="29" fillId="8" borderId="1" xfId="0" applyFont="1" applyFill="1" applyBorder="1"/>
    <xf numFmtId="0" fontId="26" fillId="8" borderId="1" xfId="0" applyFont="1" applyFill="1" applyBorder="1"/>
    <xf numFmtId="170" fontId="20" fillId="0" borderId="1" xfId="3" applyNumberFormat="1" applyFont="1" applyFill="1" applyBorder="1" applyAlignment="1" applyProtection="1">
      <protection locked="0"/>
    </xf>
    <xf numFmtId="170" fontId="20" fillId="0" borderId="1" xfId="3" applyNumberFormat="1" applyFont="1" applyFill="1" applyBorder="1" applyAlignment="1"/>
    <xf numFmtId="169" fontId="20" fillId="0" borderId="1" xfId="3" applyNumberFormat="1" applyFont="1" applyFill="1" applyBorder="1" applyAlignment="1" applyProtection="1">
      <protection locked="0"/>
    </xf>
    <xf numFmtId="0" fontId="20" fillId="9" borderId="1" xfId="0" applyFont="1" applyFill="1" applyBorder="1"/>
    <xf numFmtId="170" fontId="20" fillId="9" borderId="1" xfId="3" applyNumberFormat="1" applyFont="1" applyFill="1" applyBorder="1" applyAlignment="1"/>
    <xf numFmtId="170" fontId="26" fillId="9" borderId="1" xfId="3" applyNumberFormat="1" applyFont="1" applyFill="1" applyBorder="1" applyAlignment="1"/>
    <xf numFmtId="0" fontId="25" fillId="2" borderId="1" xfId="0" applyFont="1" applyFill="1" applyBorder="1"/>
    <xf numFmtId="0" fontId="31" fillId="2" borderId="1" xfId="0" applyFont="1" applyFill="1" applyBorder="1"/>
    <xf numFmtId="166" fontId="25" fillId="2" borderId="1" xfId="3" applyFont="1" applyFill="1" applyBorder="1" applyAlignment="1"/>
    <xf numFmtId="0" fontId="26" fillId="4" borderId="1" xfId="0" applyFont="1" applyFill="1" applyBorder="1"/>
    <xf numFmtId="0" fontId="20" fillId="4" borderId="1" xfId="0" applyFont="1" applyFill="1" applyBorder="1"/>
    <xf numFmtId="0" fontId="20" fillId="3" borderId="1" xfId="0" applyFont="1" applyFill="1" applyBorder="1"/>
    <xf numFmtId="9" fontId="20" fillId="0" borderId="1" xfId="0" applyNumberFormat="1" applyFont="1" applyBorder="1"/>
    <xf numFmtId="41" fontId="20" fillId="0" borderId="1" xfId="2" applyFont="1" applyFill="1" applyBorder="1" applyAlignment="1"/>
    <xf numFmtId="41" fontId="25" fillId="2" borderId="1" xfId="2" applyFont="1" applyFill="1" applyBorder="1" applyAlignment="1"/>
    <xf numFmtId="0" fontId="8" fillId="3" borderId="1" xfId="0" applyFont="1" applyFill="1" applyBorder="1" applyAlignment="1">
      <alignment horizontal="left" vertical="center" wrapText="1"/>
    </xf>
    <xf numFmtId="41" fontId="7" fillId="4" borderId="1" xfId="9" applyFont="1" applyFill="1" applyBorder="1" applyAlignment="1">
      <alignment horizontal="center" vertical="center" wrapText="1"/>
    </xf>
    <xf numFmtId="44" fontId="7" fillId="4" borderId="1" xfId="11" applyFont="1" applyFill="1" applyBorder="1" applyAlignment="1">
      <alignment horizontal="center" vertical="center" wrapText="1"/>
    </xf>
    <xf numFmtId="172" fontId="10" fillId="4" borderId="1" xfId="11" applyNumberFormat="1" applyFont="1" applyFill="1" applyBorder="1" applyAlignment="1">
      <alignment horizontal="center" vertical="center" wrapText="1"/>
    </xf>
    <xf numFmtId="10" fontId="7" fillId="4" borderId="1" xfId="9" applyNumberFormat="1" applyFont="1" applyFill="1" applyBorder="1" applyAlignment="1">
      <alignment horizontal="center" vertical="center" wrapText="1"/>
    </xf>
    <xf numFmtId="41" fontId="7" fillId="0" borderId="0" xfId="9" applyFont="1" applyAlignment="1">
      <alignment horizontal="center" vertical="center" wrapText="1"/>
    </xf>
    <xf numFmtId="172" fontId="10" fillId="4" borderId="1" xfId="9" applyNumberFormat="1" applyFont="1" applyFill="1" applyBorder="1" applyAlignment="1">
      <alignment horizontal="center" vertical="center" wrapText="1"/>
    </xf>
    <xf numFmtId="172" fontId="7" fillId="4" borderId="1" xfId="9" applyNumberFormat="1" applyFont="1" applyFill="1" applyBorder="1" applyAlignment="1">
      <alignment horizontal="center" vertical="center" wrapText="1"/>
    </xf>
    <xf numFmtId="1" fontId="8" fillId="0" borderId="1" xfId="13" applyNumberFormat="1" applyFont="1" applyFill="1" applyBorder="1" applyAlignment="1">
      <alignment horizontal="center" vertical="center" wrapText="1"/>
    </xf>
    <xf numFmtId="172" fontId="9" fillId="0" borderId="1" xfId="9" applyNumberFormat="1" applyFont="1" applyFill="1" applyBorder="1" applyAlignment="1">
      <alignment horizontal="center" vertical="center" wrapText="1"/>
    </xf>
    <xf numFmtId="172" fontId="7" fillId="0" borderId="1" xfId="9" applyNumberFormat="1" applyFont="1" applyFill="1" applyBorder="1" applyAlignment="1">
      <alignment horizontal="center" vertical="center" wrapText="1"/>
    </xf>
    <xf numFmtId="41" fontId="7" fillId="0" borderId="0" xfId="9" applyFont="1" applyFill="1" applyAlignment="1">
      <alignment horizontal="center" vertical="center" wrapText="1"/>
    </xf>
    <xf numFmtId="43" fontId="7" fillId="0" borderId="0" xfId="8" applyFont="1" applyAlignment="1">
      <alignment horizontal="center" vertical="center" wrapText="1"/>
    </xf>
    <xf numFmtId="43" fontId="7" fillId="0" borderId="0" xfId="0" applyNumberFormat="1" applyFont="1" applyAlignment="1">
      <alignment horizontal="center" vertical="center" wrapText="1"/>
    </xf>
    <xf numFmtId="175" fontId="7" fillId="0" borderId="0" xfId="9" applyNumberFormat="1" applyFont="1" applyAlignment="1">
      <alignment horizontal="center" vertical="center" wrapText="1"/>
    </xf>
    <xf numFmtId="0" fontId="8" fillId="0" borderId="10" xfId="0" applyFont="1" applyBorder="1" applyAlignment="1">
      <alignment horizontal="left" vertical="center" wrapText="1"/>
    </xf>
    <xf numFmtId="172" fontId="7" fillId="4" borderId="1" xfId="11" applyNumberFormat="1" applyFont="1" applyFill="1" applyBorder="1" applyAlignment="1">
      <alignment horizontal="center" vertical="center" wrapText="1"/>
    </xf>
    <xf numFmtId="41" fontId="8" fillId="0" borderId="0" xfId="9" applyFont="1" applyAlignment="1">
      <alignment horizontal="center" vertical="center" wrapText="1"/>
    </xf>
    <xf numFmtId="41" fontId="7" fillId="4" borderId="11" xfId="9" applyFont="1" applyFill="1" applyBorder="1" applyAlignment="1">
      <alignment horizontal="center" vertical="center" wrapText="1"/>
    </xf>
    <xf numFmtId="172" fontId="8" fillId="3" borderId="1" xfId="11" applyNumberFormat="1" applyFont="1" applyFill="1" applyBorder="1" applyAlignment="1">
      <alignment horizontal="center" vertical="center" wrapText="1"/>
    </xf>
    <xf numFmtId="44" fontId="8" fillId="0" borderId="0" xfId="11" applyFont="1" applyAlignment="1">
      <alignment horizontal="center" vertical="center" wrapText="1"/>
    </xf>
    <xf numFmtId="9" fontId="8" fillId="3" borderId="1" xfId="0" applyNumberFormat="1" applyFont="1" applyFill="1" applyBorder="1" applyAlignment="1">
      <alignment horizontal="center" vertical="center" wrapText="1"/>
    </xf>
    <xf numFmtId="169" fontId="8" fillId="3" borderId="1" xfId="0" applyNumberFormat="1" applyFont="1" applyFill="1" applyBorder="1" applyAlignment="1">
      <alignment horizontal="center" vertical="center" wrapText="1"/>
    </xf>
    <xf numFmtId="10" fontId="8" fillId="3" borderId="1" xfId="0" applyNumberFormat="1" applyFont="1" applyFill="1" applyBorder="1" applyAlignment="1">
      <alignment horizontal="center" vertical="center" wrapText="1"/>
    </xf>
    <xf numFmtId="0" fontId="8" fillId="3" borderId="0" xfId="0" applyFont="1" applyFill="1" applyAlignment="1">
      <alignment horizontal="center" vertical="center" wrapText="1"/>
    </xf>
    <xf numFmtId="44" fontId="8" fillId="3" borderId="0" xfId="11" applyFont="1" applyFill="1" applyAlignment="1">
      <alignment horizontal="center" vertical="center" wrapText="1"/>
    </xf>
    <xf numFmtId="41" fontId="8" fillId="3" borderId="0" xfId="9" applyFont="1" applyFill="1" applyAlignment="1">
      <alignment horizontal="center" vertical="center" wrapText="1"/>
    </xf>
    <xf numFmtId="169" fontId="8" fillId="0" borderId="11" xfId="0" applyNumberFormat="1" applyFont="1" applyBorder="1" applyAlignment="1">
      <alignment horizontal="center" vertical="center" wrapText="1"/>
    </xf>
    <xf numFmtId="172" fontId="8" fillId="3" borderId="11" xfId="11" applyNumberFormat="1" applyFont="1" applyFill="1" applyBorder="1" applyAlignment="1">
      <alignment horizontal="center" vertical="center" wrapText="1"/>
    </xf>
    <xf numFmtId="10" fontId="8" fillId="0" borderId="11" xfId="0" applyNumberFormat="1" applyFont="1" applyBorder="1" applyAlignment="1">
      <alignment horizontal="center" vertical="center" wrapText="1"/>
    </xf>
    <xf numFmtId="172" fontId="7" fillId="4" borderId="11" xfId="11" applyNumberFormat="1" applyFont="1" applyFill="1" applyBorder="1" applyAlignment="1">
      <alignment horizontal="center" vertical="center" wrapText="1"/>
    </xf>
    <xf numFmtId="10" fontId="7" fillId="4" borderId="11" xfId="9" applyNumberFormat="1" applyFont="1" applyFill="1" applyBorder="1" applyAlignment="1">
      <alignment horizontal="center" vertical="center" wrapText="1"/>
    </xf>
    <xf numFmtId="42" fontId="6" fillId="2" borderId="1" xfId="10" applyFont="1" applyFill="1" applyBorder="1" applyAlignment="1">
      <alignment horizontal="center" vertical="center" wrapText="1"/>
    </xf>
    <xf numFmtId="172" fontId="6" fillId="2" borderId="1" xfId="11" applyNumberFormat="1" applyFont="1" applyFill="1" applyBorder="1" applyAlignment="1">
      <alignment horizontal="center" vertical="center" wrapText="1"/>
    </xf>
    <xf numFmtId="9" fontId="6" fillId="2" borderId="1" xfId="10" applyNumberFormat="1" applyFont="1" applyFill="1" applyBorder="1" applyAlignment="1">
      <alignment horizontal="center" vertical="center" wrapText="1"/>
    </xf>
    <xf numFmtId="0" fontId="9" fillId="0" borderId="1" xfId="0" applyFont="1" applyBorder="1" applyAlignment="1">
      <alignment horizontal="left" vertical="center" wrapText="1"/>
    </xf>
    <xf numFmtId="42" fontId="9" fillId="0" borderId="1" xfId="10" applyFont="1" applyFill="1" applyBorder="1" applyAlignment="1">
      <alignment horizontal="center" vertical="center" wrapText="1"/>
    </xf>
    <xf numFmtId="172" fontId="9" fillId="0" borderId="1" xfId="11" applyNumberFormat="1" applyFont="1" applyFill="1" applyBorder="1" applyAlignment="1">
      <alignment horizontal="center" vertical="center" wrapText="1"/>
    </xf>
    <xf numFmtId="10" fontId="9" fillId="0" borderId="0" xfId="0" applyNumberFormat="1" applyFont="1" applyAlignment="1">
      <alignment horizontal="center" vertical="center" wrapText="1"/>
    </xf>
    <xf numFmtId="166" fontId="9" fillId="0" borderId="0" xfId="0" applyNumberFormat="1" applyFont="1" applyAlignment="1">
      <alignment horizontal="center" vertical="center" wrapText="1"/>
    </xf>
    <xf numFmtId="9" fontId="6" fillId="2" borderId="1" xfId="13" applyFont="1" applyFill="1" applyBorder="1" applyAlignment="1">
      <alignment horizontal="center" vertical="center" wrapText="1"/>
    </xf>
    <xf numFmtId="9" fontId="8" fillId="0" borderId="0" xfId="13" applyFont="1" applyAlignment="1">
      <alignment horizontal="center" vertical="center" wrapText="1"/>
    </xf>
    <xf numFmtId="168" fontId="8" fillId="0" borderId="1" xfId="3" applyNumberFormat="1" applyFont="1" applyBorder="1" applyAlignment="1">
      <alignment horizontal="center"/>
    </xf>
    <xf numFmtId="0" fontId="33" fillId="12" borderId="18" xfId="0" applyFont="1" applyFill="1" applyBorder="1" applyAlignment="1">
      <alignment horizontal="center" vertical="center"/>
    </xf>
    <xf numFmtId="0" fontId="33" fillId="12" borderId="18" xfId="0" applyFont="1" applyFill="1" applyBorder="1" applyAlignment="1">
      <alignment horizontal="center" vertical="center" wrapText="1"/>
    </xf>
    <xf numFmtId="0" fontId="15" fillId="7" borderId="18" xfId="0" applyFont="1" applyFill="1" applyBorder="1" applyAlignment="1">
      <alignment vertical="center" wrapText="1"/>
    </xf>
    <xf numFmtId="0" fontId="15" fillId="0" borderId="18" xfId="0" applyFont="1" applyBorder="1" applyAlignment="1">
      <alignment vertical="center"/>
    </xf>
    <xf numFmtId="0" fontId="15" fillId="0" borderId="18" xfId="0" applyFont="1" applyBorder="1" applyAlignment="1">
      <alignment horizontal="center" vertical="center"/>
    </xf>
    <xf numFmtId="3" fontId="15" fillId="0" borderId="18" xfId="0" applyNumberFormat="1" applyFont="1" applyBorder="1" applyAlignment="1">
      <alignment horizontal="right" vertical="center"/>
    </xf>
    <xf numFmtId="0" fontId="15" fillId="7" borderId="18" xfId="0" applyFont="1" applyFill="1" applyBorder="1" applyAlignment="1">
      <alignment horizontal="center" vertical="center"/>
    </xf>
    <xf numFmtId="3" fontId="15" fillId="7" borderId="18" xfId="0" applyNumberFormat="1" applyFont="1" applyFill="1" applyBorder="1" applyAlignment="1">
      <alignment horizontal="right" vertical="center"/>
    </xf>
    <xf numFmtId="3" fontId="33" fillId="13" borderId="18" xfId="0" applyNumberFormat="1" applyFont="1" applyFill="1" applyBorder="1" applyAlignment="1">
      <alignment horizontal="right" vertical="center"/>
    </xf>
    <xf numFmtId="0" fontId="33" fillId="0" borderId="18" xfId="0" applyFont="1" applyBorder="1" applyAlignment="1">
      <alignment vertical="center" wrapText="1"/>
    </xf>
    <xf numFmtId="3" fontId="34" fillId="0" borderId="18" xfId="0" applyNumberFormat="1" applyFont="1" applyBorder="1" applyAlignment="1">
      <alignment horizontal="right" vertical="center"/>
    </xf>
    <xf numFmtId="6" fontId="15" fillId="0" borderId="18" xfId="0" applyNumberFormat="1" applyFont="1" applyBorder="1" applyAlignment="1">
      <alignment horizontal="right" vertical="center"/>
    </xf>
    <xf numFmtId="0" fontId="15" fillId="0" borderId="18" xfId="0" applyFont="1" applyBorder="1" applyAlignment="1">
      <alignment vertical="center" wrapText="1"/>
    </xf>
    <xf numFmtId="0" fontId="33" fillId="16" borderId="18" xfId="0" applyFont="1" applyFill="1" applyBorder="1" applyAlignment="1">
      <alignment vertical="center" wrapText="1"/>
    </xf>
    <xf numFmtId="0" fontId="15" fillId="16" borderId="18" xfId="0" applyFont="1" applyFill="1" applyBorder="1" applyAlignment="1">
      <alignment horizontal="center" vertical="center"/>
    </xf>
    <xf numFmtId="0" fontId="15" fillId="16" borderId="18" xfId="0" applyFont="1" applyFill="1" applyBorder="1" applyAlignment="1">
      <alignment vertical="center"/>
    </xf>
    <xf numFmtId="0" fontId="15" fillId="16" borderId="18" xfId="0" applyFont="1" applyFill="1" applyBorder="1" applyAlignment="1">
      <alignment horizontal="right" vertical="center"/>
    </xf>
    <xf numFmtId="3" fontId="15" fillId="0" borderId="18" xfId="0" applyNumberFormat="1" applyFont="1" applyBorder="1" applyAlignment="1">
      <alignment vertical="center"/>
    </xf>
    <xf numFmtId="3" fontId="33" fillId="11" borderId="18" xfId="0" applyNumberFormat="1" applyFont="1" applyFill="1" applyBorder="1" applyAlignment="1">
      <alignment horizontal="right" vertical="center"/>
    </xf>
    <xf numFmtId="0" fontId="8" fillId="0" borderId="10" xfId="0" applyFont="1" applyBorder="1" applyAlignment="1">
      <alignment horizontal="center" vertical="center" wrapText="1"/>
    </xf>
    <xf numFmtId="0" fontId="36" fillId="0" borderId="0" xfId="14"/>
    <xf numFmtId="0" fontId="7" fillId="4" borderId="10" xfId="0" applyFont="1" applyFill="1" applyBorder="1" applyAlignment="1">
      <alignment horizontal="center" vertical="center" wrapText="1"/>
    </xf>
    <xf numFmtId="0" fontId="8" fillId="3" borderId="4" xfId="0" applyFont="1" applyFill="1" applyBorder="1" applyAlignment="1">
      <alignment horizontal="center" vertical="center" wrapText="1"/>
    </xf>
    <xf numFmtId="1" fontId="11" fillId="0" borderId="1" xfId="13" applyNumberFormat="1" applyFont="1" applyFill="1" applyBorder="1" applyAlignment="1">
      <alignment horizontal="center" vertical="center" wrapText="1"/>
    </xf>
    <xf numFmtId="44" fontId="8" fillId="0" borderId="0" xfId="13" applyNumberFormat="1" applyFont="1" applyAlignment="1">
      <alignment horizontal="center" vertical="center" wrapText="1"/>
    </xf>
    <xf numFmtId="0" fontId="8" fillId="0" borderId="14" xfId="0" applyFont="1" applyBorder="1" applyAlignment="1">
      <alignment horizontal="center" vertical="center" wrapText="1"/>
    </xf>
    <xf numFmtId="0" fontId="8" fillId="0" borderId="14" xfId="0" applyFont="1" applyBorder="1" applyAlignment="1">
      <alignment horizontal="left" vertical="center" wrapText="1"/>
    </xf>
    <xf numFmtId="172" fontId="8" fillId="3" borderId="19" xfId="11" applyNumberFormat="1" applyFont="1" applyFill="1" applyBorder="1" applyAlignment="1">
      <alignment horizontal="center" vertical="center" wrapText="1"/>
    </xf>
    <xf numFmtId="172" fontId="8" fillId="0" borderId="1" xfId="11" applyNumberFormat="1" applyFont="1" applyFill="1" applyBorder="1" applyAlignment="1">
      <alignment horizontal="center" vertical="center" wrapText="1"/>
    </xf>
    <xf numFmtId="44" fontId="7" fillId="0" borderId="0" xfId="0" applyNumberFormat="1" applyFont="1" applyAlignment="1">
      <alignment horizontal="center" vertical="center" wrapText="1"/>
    </xf>
    <xf numFmtId="172" fontId="7" fillId="0" borderId="0" xfId="0" applyNumberFormat="1" applyFont="1" applyAlignment="1">
      <alignment horizontal="center" vertical="center" wrapText="1"/>
    </xf>
    <xf numFmtId="0" fontId="7" fillId="4" borderId="7" xfId="0" applyFont="1" applyFill="1" applyBorder="1" applyAlignment="1">
      <alignment horizontal="center" vertical="center" wrapText="1"/>
    </xf>
    <xf numFmtId="41" fontId="7" fillId="4" borderId="10" xfId="9" applyFont="1" applyFill="1" applyBorder="1" applyAlignment="1">
      <alignment horizontal="center" vertical="center" wrapText="1"/>
    </xf>
    <xf numFmtId="44" fontId="7" fillId="4" borderId="10" xfId="11" applyFont="1" applyFill="1" applyBorder="1" applyAlignment="1">
      <alignment horizontal="center" vertical="center" wrapText="1"/>
    </xf>
    <xf numFmtId="172" fontId="7" fillId="4" borderId="10" xfId="11" applyNumberFormat="1" applyFont="1" applyFill="1" applyBorder="1" applyAlignment="1">
      <alignment horizontal="center" vertical="center" wrapText="1"/>
    </xf>
    <xf numFmtId="10" fontId="7" fillId="4" borderId="10" xfId="9" applyNumberFormat="1" applyFont="1" applyFill="1" applyBorder="1" applyAlignment="1">
      <alignment horizontal="center" vertical="center" wrapText="1"/>
    </xf>
    <xf numFmtId="0" fontId="9" fillId="0" borderId="10" xfId="0" applyFont="1" applyBorder="1" applyAlignment="1" applyProtection="1">
      <alignment horizontal="center" vertical="center" wrapText="1"/>
      <protection hidden="1"/>
    </xf>
    <xf numFmtId="0" fontId="37" fillId="0" borderId="1" xfId="0" applyFont="1" applyBorder="1" applyAlignment="1">
      <alignment horizontal="center" vertical="center"/>
    </xf>
    <xf numFmtId="0" fontId="7" fillId="0" borderId="1" xfId="0" applyFont="1" applyBorder="1" applyAlignment="1">
      <alignment horizontal="center" vertical="center" wrapText="1"/>
    </xf>
    <xf numFmtId="0" fontId="7" fillId="4" borderId="1" xfId="0" applyFont="1" applyFill="1" applyBorder="1" applyAlignment="1">
      <alignment horizontal="left" vertical="center" wrapText="1"/>
    </xf>
    <xf numFmtId="0" fontId="7" fillId="4" borderId="12" xfId="0" applyFont="1" applyFill="1" applyBorder="1" applyAlignment="1">
      <alignment horizontal="center" vertical="center" wrapText="1"/>
    </xf>
    <xf numFmtId="41" fontId="7" fillId="4" borderId="12" xfId="9" applyFont="1" applyFill="1" applyBorder="1" applyAlignment="1">
      <alignment horizontal="center" vertical="center" wrapText="1"/>
    </xf>
    <xf numFmtId="0" fontId="8" fillId="3" borderId="0" xfId="0" applyFont="1" applyFill="1" applyAlignment="1">
      <alignment horizontal="left" vertical="center" wrapText="1"/>
    </xf>
    <xf numFmtId="172" fontId="8" fillId="0" borderId="1" xfId="0" applyNumberFormat="1" applyFont="1" applyBorder="1" applyAlignment="1">
      <alignment horizontal="center" vertical="center" wrapText="1"/>
    </xf>
    <xf numFmtId="172" fontId="8" fillId="0" borderId="12" xfId="4" applyNumberFormat="1" applyFont="1" applyBorder="1" applyAlignment="1">
      <alignment horizontal="center" vertical="center" wrapText="1"/>
    </xf>
    <xf numFmtId="169" fontId="9" fillId="3" borderId="1" xfId="0" applyNumberFormat="1" applyFont="1" applyFill="1" applyBorder="1" applyAlignment="1">
      <alignment horizontal="center" vertical="center" wrapText="1"/>
    </xf>
    <xf numFmtId="0" fontId="8" fillId="0" borderId="3" xfId="0" applyFont="1" applyBorder="1" applyAlignment="1">
      <alignment horizontal="center" vertical="center" wrapText="1"/>
    </xf>
    <xf numFmtId="10" fontId="8" fillId="8" borderId="1" xfId="0" applyNumberFormat="1" applyFont="1" applyFill="1" applyBorder="1" applyAlignment="1">
      <alignment horizontal="center" vertical="center" wrapText="1"/>
    </xf>
    <xf numFmtId="0" fontId="7" fillId="4" borderId="3" xfId="0" applyFont="1" applyFill="1" applyBorder="1" applyAlignment="1">
      <alignment horizontal="center" vertical="center" wrapText="1"/>
    </xf>
    <xf numFmtId="168" fontId="2" fillId="17" borderId="21" xfId="0" applyNumberFormat="1" applyFont="1" applyFill="1" applyBorder="1"/>
    <xf numFmtId="22" fontId="0" fillId="0" borderId="0" xfId="0" applyNumberFormat="1" applyAlignment="1">
      <alignment horizontal="left"/>
    </xf>
    <xf numFmtId="176" fontId="8" fillId="0" borderId="1" xfId="13" applyNumberFormat="1" applyFont="1" applyFill="1" applyBorder="1" applyAlignment="1">
      <alignment horizontal="center" vertical="center" wrapText="1"/>
    </xf>
    <xf numFmtId="1" fontId="9" fillId="0" borderId="1" xfId="13" applyNumberFormat="1" applyFont="1" applyFill="1" applyBorder="1" applyAlignment="1">
      <alignment horizontal="center" vertical="center" wrapText="1"/>
    </xf>
    <xf numFmtId="0" fontId="1" fillId="0" borderId="0" xfId="0" applyFont="1"/>
    <xf numFmtId="0" fontId="38" fillId="0" borderId="0" xfId="0" applyFont="1"/>
    <xf numFmtId="168" fontId="7" fillId="0" borderId="1" xfId="3" applyNumberFormat="1" applyFont="1" applyFill="1" applyBorder="1" applyAlignment="1">
      <alignment horizontal="center" vertical="center"/>
    </xf>
    <xf numFmtId="168" fontId="7" fillId="0" borderId="1" xfId="3" applyNumberFormat="1" applyFont="1" applyFill="1" applyBorder="1" applyAlignment="1">
      <alignment horizontal="center"/>
    </xf>
    <xf numFmtId="168" fontId="7" fillId="0" borderId="1" xfId="3" applyNumberFormat="1" applyFont="1" applyBorder="1" applyAlignment="1">
      <alignment horizontal="center"/>
    </xf>
    <xf numFmtId="10" fontId="8" fillId="0" borderId="1" xfId="5" applyNumberFormat="1" applyFont="1" applyBorder="1" applyAlignment="1">
      <alignment horizontal="center" vertical="center" wrapText="1"/>
    </xf>
    <xf numFmtId="0" fontId="8" fillId="0" borderId="1" xfId="0" applyFont="1" applyBorder="1" applyAlignment="1" applyProtection="1">
      <alignment horizontal="left" vertical="center" wrapText="1"/>
      <protection hidden="1"/>
    </xf>
    <xf numFmtId="0" fontId="38" fillId="0" borderId="1" xfId="0" applyFont="1" applyBorder="1" applyAlignment="1">
      <alignment horizontal="center" vertical="center" wrapText="1"/>
    </xf>
    <xf numFmtId="169" fontId="8" fillId="0" borderId="4" xfId="0" applyNumberFormat="1" applyFont="1" applyBorder="1" applyAlignment="1">
      <alignment horizontal="center" vertical="center" wrapText="1"/>
    </xf>
    <xf numFmtId="0" fontId="39" fillId="0" borderId="1" xfId="0" applyFont="1" applyBorder="1" applyAlignment="1">
      <alignment vertical="center" wrapText="1"/>
    </xf>
    <xf numFmtId="0" fontId="40" fillId="0" borderId="1" xfId="0" applyFont="1" applyBorder="1" applyAlignment="1">
      <alignment horizontal="center" vertical="center" wrapText="1"/>
    </xf>
    <xf numFmtId="166" fontId="40" fillId="0" borderId="1" xfId="3" applyFont="1" applyBorder="1" applyAlignment="1">
      <alignment vertical="center" wrapText="1"/>
    </xf>
    <xf numFmtId="166" fontId="41" fillId="0" borderId="1" xfId="3" applyFont="1" applyBorder="1" applyAlignment="1">
      <alignment horizontal="center" vertical="center"/>
    </xf>
    <xf numFmtId="1" fontId="40" fillId="0" borderId="1" xfId="3" applyNumberFormat="1" applyFont="1" applyBorder="1" applyAlignment="1">
      <alignment horizontal="center" vertical="center" wrapText="1"/>
    </xf>
    <xf numFmtId="42" fontId="42" fillId="0" borderId="0" xfId="0" applyNumberFormat="1" applyFont="1"/>
    <xf numFmtId="0" fontId="7" fillId="4" borderId="1" xfId="0" applyFont="1" applyFill="1" applyBorder="1" applyAlignment="1">
      <alignment horizontal="center" vertical="center" wrapText="1"/>
    </xf>
    <xf numFmtId="0" fontId="9" fillId="0" borderId="0" xfId="0" applyFont="1" applyAlignment="1">
      <alignment horizontal="left" vertical="center" wrapText="1"/>
    </xf>
    <xf numFmtId="0" fontId="7" fillId="3" borderId="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6" fillId="2" borderId="0" xfId="0" applyFont="1" applyFill="1" applyAlignment="1">
      <alignment horizontal="center" vertical="center" wrapText="1"/>
    </xf>
    <xf numFmtId="0" fontId="7" fillId="4" borderId="10"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6" fillId="2" borderId="3" xfId="0" applyFont="1" applyFill="1" applyBorder="1" applyAlignment="1">
      <alignment horizontal="center" vertical="center"/>
    </xf>
    <xf numFmtId="0" fontId="6" fillId="2" borderId="13" xfId="0" applyFont="1" applyFill="1" applyBorder="1" applyAlignment="1">
      <alignment horizontal="center" vertical="center"/>
    </xf>
    <xf numFmtId="0" fontId="7" fillId="4" borderId="3" xfId="0" applyFont="1" applyFill="1" applyBorder="1" applyAlignment="1">
      <alignment horizontal="center"/>
    </xf>
    <xf numFmtId="0" fontId="7" fillId="4" borderId="13" xfId="0" applyFont="1" applyFill="1" applyBorder="1" applyAlignment="1">
      <alignment horizontal="center"/>
    </xf>
    <xf numFmtId="0" fontId="9" fillId="0" borderId="1" xfId="0" applyFont="1" applyBorder="1" applyAlignment="1">
      <alignment horizontal="left"/>
    </xf>
    <xf numFmtId="0" fontId="9" fillId="0" borderId="10" xfId="0" applyFont="1" applyBorder="1" applyAlignment="1" applyProtection="1">
      <alignment horizontal="left" vertical="center" wrapText="1"/>
      <protection hidden="1"/>
    </xf>
    <xf numFmtId="0" fontId="9" fillId="0" borderId="12" xfId="0" applyFont="1" applyBorder="1" applyAlignment="1" applyProtection="1">
      <alignment horizontal="left" vertical="center" wrapText="1"/>
      <protection hidden="1"/>
    </xf>
    <xf numFmtId="0" fontId="8" fillId="0" borderId="10" xfId="0" applyFont="1" applyBorder="1" applyAlignment="1">
      <alignment horizontal="center" vertical="center" wrapText="1"/>
    </xf>
    <xf numFmtId="0" fontId="8" fillId="0" borderId="12" xfId="0" applyFont="1" applyBorder="1" applyAlignment="1">
      <alignment horizontal="center" vertical="center" wrapText="1"/>
    </xf>
    <xf numFmtId="0" fontId="7" fillId="3" borderId="1" xfId="0" applyFont="1" applyFill="1" applyBorder="1" applyAlignment="1">
      <alignment horizontal="center" vertical="center"/>
    </xf>
    <xf numFmtId="0" fontId="8" fillId="0" borderId="1" xfId="0" applyFont="1" applyBorder="1" applyAlignment="1">
      <alignment horizontal="left" vertical="center" wrapText="1"/>
    </xf>
    <xf numFmtId="0" fontId="10" fillId="4" borderId="1" xfId="0" applyFont="1" applyFill="1" applyBorder="1" applyAlignment="1">
      <alignment horizontal="center"/>
    </xf>
    <xf numFmtId="0" fontId="8" fillId="3" borderId="3" xfId="0" applyFont="1" applyFill="1" applyBorder="1" applyAlignment="1">
      <alignment horizontal="justify" vertical="justify" wrapText="1"/>
    </xf>
    <xf numFmtId="0" fontId="8" fillId="3" borderId="13" xfId="0" applyFont="1" applyFill="1" applyBorder="1" applyAlignment="1">
      <alignment horizontal="justify" vertical="justify" wrapText="1"/>
    </xf>
    <xf numFmtId="0" fontId="8" fillId="3" borderId="4" xfId="0" applyFont="1" applyFill="1" applyBorder="1" applyAlignment="1">
      <alignment horizontal="justify" vertical="justify" wrapText="1"/>
    </xf>
    <xf numFmtId="0" fontId="7" fillId="4" borderId="1" xfId="0" applyFont="1" applyFill="1" applyBorder="1" applyAlignment="1">
      <alignment horizontal="center"/>
    </xf>
    <xf numFmtId="0" fontId="10" fillId="4" borderId="3" xfId="0" applyFont="1" applyFill="1" applyBorder="1" applyAlignment="1">
      <alignment horizontal="left"/>
    </xf>
    <xf numFmtId="0" fontId="10" fillId="4" borderId="4" xfId="0" applyFont="1" applyFill="1" applyBorder="1" applyAlignment="1">
      <alignment horizontal="left"/>
    </xf>
    <xf numFmtId="0" fontId="8" fillId="3" borderId="1" xfId="0" applyFont="1" applyFill="1" applyBorder="1" applyAlignment="1">
      <alignment horizontal="left" vertical="center" wrapText="1"/>
    </xf>
    <xf numFmtId="0" fontId="7" fillId="5" borderId="3" xfId="0" applyFont="1" applyFill="1" applyBorder="1" applyAlignment="1">
      <alignment horizontal="center"/>
    </xf>
    <xf numFmtId="0" fontId="7" fillId="5" borderId="4" xfId="0" applyFont="1" applyFill="1" applyBorder="1" applyAlignment="1">
      <alignment horizontal="center"/>
    </xf>
    <xf numFmtId="0" fontId="10" fillId="4" borderId="1" xfId="0" applyFont="1" applyFill="1" applyBorder="1" applyAlignment="1">
      <alignment horizontal="left"/>
    </xf>
    <xf numFmtId="0" fontId="7" fillId="4" borderId="3" xfId="0" applyFont="1" applyFill="1" applyBorder="1" applyAlignment="1">
      <alignment horizontal="left"/>
    </xf>
    <xf numFmtId="0" fontId="7" fillId="4" borderId="4" xfId="0" applyFont="1" applyFill="1" applyBorder="1" applyAlignment="1">
      <alignment horizontal="left"/>
    </xf>
    <xf numFmtId="0" fontId="7" fillId="4" borderId="1" xfId="0" applyFont="1" applyFill="1" applyBorder="1" applyAlignment="1">
      <alignment horizontal="left"/>
    </xf>
    <xf numFmtId="0" fontId="10" fillId="4" borderId="3" xfId="0" applyFont="1" applyFill="1" applyBorder="1" applyAlignment="1">
      <alignment horizontal="center"/>
    </xf>
    <xf numFmtId="0" fontId="10" fillId="4" borderId="4" xfId="0" applyFont="1" applyFill="1" applyBorder="1" applyAlignment="1">
      <alignment horizont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8" fillId="0" borderId="2" xfId="0" applyFont="1" applyBorder="1" applyAlignment="1">
      <alignment horizontal="justify" vertical="center" wrapText="1"/>
    </xf>
    <xf numFmtId="0" fontId="8" fillId="0" borderId="0" xfId="0" applyFont="1" applyAlignment="1">
      <alignment horizontal="justify" vertical="center" wrapText="1"/>
    </xf>
    <xf numFmtId="0" fontId="24" fillId="4" borderId="3" xfId="0" applyFont="1" applyFill="1" applyBorder="1" applyAlignment="1">
      <alignment horizontal="left"/>
    </xf>
    <xf numFmtId="0" fontId="24" fillId="4" borderId="4" xfId="0" applyFont="1" applyFill="1" applyBorder="1" applyAlignment="1">
      <alignment horizontal="left"/>
    </xf>
    <xf numFmtId="0" fontId="22" fillId="0" borderId="10"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10" xfId="0" applyFont="1" applyBorder="1" applyAlignment="1" applyProtection="1">
      <alignment horizontal="center" vertical="center"/>
      <protection hidden="1"/>
    </xf>
    <xf numFmtId="0" fontId="22" fillId="0" borderId="12" xfId="0" applyFont="1" applyBorder="1" applyAlignment="1" applyProtection="1">
      <alignment horizontal="center" vertical="center"/>
      <protection hidden="1"/>
    </xf>
    <xf numFmtId="0" fontId="22" fillId="0" borderId="10" xfId="0" applyFont="1" applyBorder="1" applyAlignment="1">
      <alignment horizontal="left" vertical="center"/>
    </xf>
    <xf numFmtId="0" fontId="22" fillId="0" borderId="12" xfId="0" applyFont="1" applyBorder="1" applyAlignment="1">
      <alignment horizontal="left"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4" fillId="8" borderId="3" xfId="0" applyFont="1" applyFill="1" applyBorder="1" applyAlignment="1">
      <alignment horizontal="center"/>
    </xf>
    <xf numFmtId="0" fontId="24" fillId="8" borderId="4" xfId="0" applyFont="1" applyFill="1" applyBorder="1" applyAlignment="1">
      <alignment horizontal="center"/>
    </xf>
    <xf numFmtId="0" fontId="22" fillId="0" borderId="11" xfId="0" applyFont="1" applyBorder="1" applyAlignment="1" applyProtection="1">
      <alignment horizontal="center" vertical="center"/>
      <protection hidden="1"/>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22" fillId="0" borderId="12" xfId="0" applyFont="1" applyBorder="1" applyAlignment="1">
      <alignment horizontal="center" vertical="center"/>
    </xf>
    <xf numFmtId="0" fontId="22" fillId="0" borderId="17" xfId="0" applyFont="1" applyBorder="1" applyAlignment="1">
      <alignment horizontal="center" vertical="center"/>
    </xf>
    <xf numFmtId="0" fontId="25" fillId="2" borderId="0" xfId="0" applyFont="1" applyFill="1" applyAlignment="1">
      <alignment horizontal="center" vertical="center"/>
    </xf>
    <xf numFmtId="0" fontId="26" fillId="3" borderId="1" xfId="0" applyFont="1" applyFill="1" applyBorder="1" applyAlignment="1">
      <alignment horizontal="center" vertical="center"/>
    </xf>
    <xf numFmtId="0" fontId="26" fillId="3" borderId="6" xfId="0" applyFont="1" applyFill="1" applyBorder="1" applyAlignment="1">
      <alignment horizontal="center" vertical="center"/>
    </xf>
    <xf numFmtId="0" fontId="26" fillId="3" borderId="2" xfId="0" applyFont="1" applyFill="1" applyBorder="1" applyAlignment="1">
      <alignment horizontal="center" vertical="center"/>
    </xf>
    <xf numFmtId="0" fontId="26" fillId="3" borderId="7" xfId="0" applyFont="1" applyFill="1" applyBorder="1" applyAlignment="1">
      <alignment horizontal="center" vertical="center"/>
    </xf>
    <xf numFmtId="0" fontId="26" fillId="3" borderId="8" xfId="0" applyFont="1" applyFill="1" applyBorder="1" applyAlignment="1">
      <alignment horizontal="center" vertical="center"/>
    </xf>
    <xf numFmtId="0" fontId="26" fillId="3" borderId="5" xfId="0" applyFont="1" applyFill="1" applyBorder="1" applyAlignment="1">
      <alignment horizontal="center" vertical="center"/>
    </xf>
    <xf numFmtId="0" fontId="26" fillId="3" borderId="9" xfId="0" applyFont="1" applyFill="1" applyBorder="1" applyAlignment="1">
      <alignment horizontal="center" vertical="center"/>
    </xf>
    <xf numFmtId="0" fontId="20" fillId="0" borderId="10" xfId="0" applyFont="1" applyBorder="1" applyAlignment="1">
      <alignment horizontal="center" vertical="center"/>
    </xf>
    <xf numFmtId="0" fontId="20" fillId="0" borderId="11" xfId="0" applyFont="1" applyBorder="1" applyAlignment="1">
      <alignment horizontal="center" vertical="center"/>
    </xf>
    <xf numFmtId="0" fontId="20" fillId="0" borderId="12" xfId="0" applyFont="1" applyBorder="1" applyAlignment="1">
      <alignment horizontal="center" vertical="center"/>
    </xf>
    <xf numFmtId="0" fontId="28" fillId="4" borderId="3" xfId="0" applyFont="1" applyFill="1" applyBorder="1" applyAlignment="1">
      <alignment horizontal="left"/>
    </xf>
    <xf numFmtId="0" fontId="28" fillId="4" borderId="4" xfId="0" applyFont="1" applyFill="1" applyBorder="1" applyAlignment="1">
      <alignment horizontal="left"/>
    </xf>
    <xf numFmtId="0" fontId="33" fillId="15" borderId="18" xfId="0" applyFont="1" applyFill="1" applyBorder="1" applyAlignment="1">
      <alignment vertical="center" wrapText="1"/>
    </xf>
    <xf numFmtId="0" fontId="33" fillId="13" borderId="18" xfId="0" applyFont="1" applyFill="1" applyBorder="1" applyAlignment="1">
      <alignment vertical="center" wrapText="1"/>
    </xf>
    <xf numFmtId="0" fontId="33" fillId="11" borderId="18" xfId="0" applyFont="1" applyFill="1" applyBorder="1" applyAlignment="1">
      <alignment horizontal="center" vertical="center"/>
    </xf>
    <xf numFmtId="0" fontId="33" fillId="0" borderId="18" xfId="0" applyFont="1" applyBorder="1" applyAlignment="1">
      <alignment horizontal="center" vertical="center"/>
    </xf>
    <xf numFmtId="0" fontId="33" fillId="10" borderId="18" xfId="0" applyFont="1" applyFill="1" applyBorder="1" applyAlignment="1">
      <alignment vertical="center"/>
    </xf>
    <xf numFmtId="0" fontId="33" fillId="14" borderId="18" xfId="0" applyFont="1" applyFill="1" applyBorder="1" applyAlignment="1">
      <alignment vertical="center" wrapText="1"/>
    </xf>
    <xf numFmtId="0" fontId="7" fillId="4" borderId="15" xfId="0" applyFont="1" applyFill="1" applyBorder="1" applyAlignment="1">
      <alignment horizontal="center" vertical="center" wrapText="1"/>
    </xf>
    <xf numFmtId="0" fontId="9" fillId="0" borderId="0" xfId="0" applyFont="1" applyAlignment="1">
      <alignment horizontal="center" vertical="center" wrapText="1"/>
    </xf>
    <xf numFmtId="0" fontId="7" fillId="4" borderId="20" xfId="0" applyFont="1" applyFill="1" applyBorder="1" applyAlignment="1">
      <alignment horizontal="center" vertical="center" wrapText="1"/>
    </xf>
  </cellXfs>
  <cellStyles count="18">
    <cellStyle name="Hipervínculo" xfId="14" builtinId="8"/>
    <cellStyle name="Millares" xfId="1" builtinId="3"/>
    <cellStyle name="Millares [0]" xfId="2" builtinId="6"/>
    <cellStyle name="Millares [0] 2" xfId="9" xr:uid="{00000000-0005-0000-0000-000034000000}"/>
    <cellStyle name="Millares 2" xfId="8" xr:uid="{00000000-0005-0000-0000-000033000000}"/>
    <cellStyle name="Moneda" xfId="4" builtinId="4"/>
    <cellStyle name="Moneda [0]" xfId="3" builtinId="7"/>
    <cellStyle name="Moneda [0] 2" xfId="10" xr:uid="{00000000-0005-0000-0000-000035000000}"/>
    <cellStyle name="Moneda 2" xfId="11" xr:uid="{00000000-0005-0000-0000-000036000000}"/>
    <cellStyle name="Moneda 3" xfId="16" xr:uid="{4EC99106-9594-4B1B-8B93-8F58370FCF0E}"/>
    <cellStyle name="Normal" xfId="0" builtinId="0"/>
    <cellStyle name="Normal 2" xfId="6" xr:uid="{00000000-0005-0000-0000-000020000000}"/>
    <cellStyle name="Normal 2 2" xfId="12" xr:uid="{00000000-0005-0000-0000-000037000000}"/>
    <cellStyle name="Normal 3" xfId="7" xr:uid="{00000000-0005-0000-0000-000025000000}"/>
    <cellStyle name="Normal 4" xfId="15" xr:uid="{9364E603-E432-497C-BC0C-163197F3046A}"/>
    <cellStyle name="Porcentaje" xfId="5" builtinId="5"/>
    <cellStyle name="Porcentaje 2" xfId="13" xr:uid="{00000000-0005-0000-0000-000038000000}"/>
    <cellStyle name="Porcentaje 3" xfId="17" xr:uid="{A71B0E50-B8DC-4A94-AE05-FF44D54D0913}"/>
  </cellStyles>
  <dxfs count="14">
    <dxf>
      <numFmt numFmtId="168" formatCode="&quot;$&quot;\ #,##0"/>
    </dxf>
    <dxf>
      <numFmt numFmtId="168" formatCode="&quot;$&quot;\ #,##0"/>
    </dxf>
    <dxf>
      <numFmt numFmtId="168" formatCode="&quot;$&quot;\ #,##0"/>
    </dxf>
    <dxf>
      <numFmt numFmtId="168" formatCode="&quot;$&quot;\ #,##0"/>
    </dxf>
    <dxf>
      <numFmt numFmtId="168" formatCode="&quot;$&quot;\ #,##0"/>
    </dxf>
    <dxf>
      <numFmt numFmtId="168" formatCode="&quot;$&quot;\ #,##0"/>
    </dxf>
    <dxf>
      <numFmt numFmtId="168" formatCode="&quot;$&quot;\ #,##0"/>
    </dxf>
    <dxf>
      <numFmt numFmtId="168" formatCode="&quot;$&quot;\ #,##0"/>
    </dxf>
    <dxf>
      <numFmt numFmtId="168" formatCode="&quot;$&quot;\ #,##0"/>
    </dxf>
    <dxf>
      <numFmt numFmtId="168" formatCode="&quot;$&quot;\ #,##0"/>
    </dxf>
    <dxf>
      <numFmt numFmtId="168" formatCode="&quot;$&quot;\ #,##0"/>
    </dxf>
    <dxf>
      <numFmt numFmtId="168" formatCode="&quot;$&quot;\ #,##0"/>
    </dxf>
    <dxf>
      <numFmt numFmtId="168" formatCode="&quot;$&quot;\ #,##0"/>
    </dxf>
    <dxf>
      <numFmt numFmtId="168" formatCode="&quot;$&quot;\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sharedStrings" Target="sharedStrings.xml"/><Relationship Id="rId30"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sandralilianaromero\Documents\Data\MEN\2025\UNIPROPIA\Ana&#769;lisis%20costos%20y%20presupuestos%20UNIPROPIA%20%20202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personal/kotalora_mineducacion_gov_co1/Documents/Documentos%20KTOC/2023/Comunidades%20Ind&#237;genas/ONIC/Documentos%20EP/An&#225;lisis%20costos%20y%20presupuestos%20de%20contratos%20ONIC%2011-8-2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CER\OneDrive%20-%20mineducacion.gov.co\Documentos%20KTOC\2023\Comunidades%20Ind&#237;genas\Pastos%20Quillasingas\An&#225;lisis%20costos%20y%20presupuestos%20de%20contratos%20PYG%20final.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ACER\OneDrive%20-%20mineducacion.gov.co\Documentos%20KTOC\2023\Comunidades%20Ind&#237;genas\OPIAC\Documentos%20contrato\An&#225;lisis%20costos%20y%20presupuestos%20OPIA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Mercado-Salario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de Mercado-Salarios"/>
      <sheetName val="Analisis de Mercado-Actividades"/>
      <sheetName val="Contratos de Comparación"/>
      <sheetName val="CO1.PCCNTR.2808033 APCA U.T. LA"/>
      <sheetName val="CO1.PCCNTR.2713913 Comite Cafet"/>
      <sheetName val="CO1.PCCNTR.2559252 PROYECTAMOS "/>
      <sheetName val="CO1.PCCNTR.2473858 Salle 2021"/>
      <sheetName val="CO1.PCCNTR.2417016 FUND PLAN"/>
      <sheetName val="CO1.PCCNTR.2546507 INCAP BETA"/>
      <sheetName val="CO1.PCCNTR.2580977 CONSEJO NORU"/>
      <sheetName val="CO1.PCCNTR.2559557 Caldas 2021"/>
      <sheetName val="CO1.PCCNTR.1839115 Caldas 2020"/>
      <sheetName val="CO1.PCCNTR.1839020 Salle 2020"/>
      <sheetName val="CO1.PCCNTR.2386594 "/>
      <sheetName val="CO1.PCCNTR.3421175 CRIC 2022"/>
      <sheetName val="CO1.PCCNTR.3787396 2020"/>
      <sheetName val="CO1.PCCNTR.4017345"/>
    </sheetNames>
    <sheetDataSet>
      <sheetData sheetId="0"/>
      <sheetData sheetId="1">
        <row r="59">
          <cell r="E59">
            <v>9870137.5192307699</v>
          </cell>
        </row>
        <row r="74">
          <cell r="E74">
            <v>6935464.5</v>
          </cell>
        </row>
        <row r="82">
          <cell r="E82">
            <v>3021963.4285714286</v>
          </cell>
        </row>
      </sheetData>
      <sheetData sheetId="2">
        <row r="29">
          <cell r="E29">
            <v>7354365</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de Mercado-Salarios"/>
      <sheetName val="Analisis de Mercado-Actividades"/>
      <sheetName val="Contratos de Comparación"/>
      <sheetName val="CO1.PCCNTR.2808033 APCA U.T. LA"/>
      <sheetName val="CO1.PCCNTR.2713913 Comite Cafet"/>
      <sheetName val="CO1.PCCNTR.2559252 PROYECTAMOS "/>
      <sheetName val="CO1.PCCNTR.2473858 Salle 2021"/>
      <sheetName val="CO1.PCCNTR.2417016 FUND PLAN"/>
      <sheetName val="CO1.PCCNTR.2546507 INCAP BETA"/>
      <sheetName val="CO1.PCCNTR.2580977 CONSEJO NORU"/>
      <sheetName val="CO1.PCCNTR.2559557 Caldas 2021"/>
      <sheetName val="CO1.PCCNTR.1839115 Caldas 2020"/>
      <sheetName val="CO1.PCCNTR.1839020 Salle 2020"/>
      <sheetName val="CO1.PCCNTR.2386594 "/>
      <sheetName val="CO1.PCCNTR.3421175 CRIC 2022"/>
      <sheetName val="CO1.PCCNTR.3787396 2020"/>
      <sheetName val="CO1.PCCNTR.4017345"/>
      <sheetName val="CO1.PCCNTR.50110688"/>
    </sheetNames>
    <sheetDataSet>
      <sheetData sheetId="0" refreshError="1"/>
      <sheetData sheetId="1">
        <row r="60">
          <cell r="E60">
            <v>9815983.9811320752</v>
          </cell>
        </row>
        <row r="82">
          <cell r="E82">
            <v>6861738.2380952379</v>
          </cell>
        </row>
        <row r="92">
          <cell r="E92">
            <v>3110441.4444444445</v>
          </cell>
        </row>
      </sheetData>
      <sheetData sheetId="2">
        <row r="32">
          <cell r="E32">
            <v>6844080.9523809524</v>
          </cell>
        </row>
        <row r="38">
          <cell r="E38">
            <v>11111350</v>
          </cell>
        </row>
        <row r="43">
          <cell r="E43">
            <v>5755773.75</v>
          </cell>
        </row>
        <row r="51">
          <cell r="E51">
            <v>58853535.714285716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de Mercado-Salarios"/>
      <sheetName val="Analisis de Mercado-Actividades"/>
      <sheetName val="Contratos de Comparación"/>
      <sheetName val="CO1.PCCNTR.2808033 APCA U.T. LA"/>
      <sheetName val="CO1.PCCNTR.2713913 Comite Cafet"/>
      <sheetName val="CO1.PCCNTR.2559252 PROYECTAMOS "/>
      <sheetName val="CO1.PCCNTR.2473858 Salle 2021"/>
      <sheetName val="CO1.PCCNTR.2417016 FUND PLAN"/>
      <sheetName val="CO1.PCCNTR.2546507 INCAP BETA"/>
      <sheetName val="CO1.PCCNTR.2580977 CONSEJO NORU"/>
      <sheetName val="CO1.PCCNTR.2559557 Caldas 2021"/>
      <sheetName val="CO1.PCCNTR.1839115 Caldas 2020"/>
      <sheetName val="CO1.PCCNTR.1839020 Salle 2020"/>
      <sheetName val="CO1.PCCNTR.2386594 "/>
      <sheetName val="CO1.PCCNTR.3421175 CRIC 2022"/>
      <sheetName val="CO1.PCCNTR.3787396 2020"/>
      <sheetName val="CO1.PCCNTR.4017345"/>
      <sheetName val="CO1.PCCNTR.50110688"/>
    </sheetNames>
    <sheetDataSet>
      <sheetData sheetId="0" refreshError="1"/>
      <sheetData sheetId="1">
        <row r="60">
          <cell r="E60">
            <v>9815983.9811320752</v>
          </cell>
        </row>
        <row r="82">
          <cell r="E82">
            <v>6861738.2380952379</v>
          </cell>
        </row>
        <row r="92">
          <cell r="E92">
            <v>3110441.4444444445</v>
          </cell>
        </row>
      </sheetData>
      <sheetData sheetId="2">
        <row r="32">
          <cell r="E32">
            <v>6844080.9523809524</v>
          </cell>
        </row>
        <row r="38">
          <cell r="E38">
            <v>11111350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1:N11" totalsRowShown="0">
  <tableColumns count="14">
    <tableColumn id="1" xr3:uid="{00000000-0010-0000-0000-000001000000}" name="Nivel Entidad" dataDxfId="13"/>
    <tableColumn id="2" xr3:uid="{00000000-0010-0000-0000-000002000000}" name="Nombre de la Entidad" dataDxfId="12"/>
    <tableColumn id="3" xr3:uid="{00000000-0010-0000-0000-000003000000}" name="NIT de la Entidad" dataDxfId="11"/>
    <tableColumn id="4" xr3:uid="{00000000-0010-0000-0000-000004000000}" name="Estado del Proceso" dataDxfId="10"/>
    <tableColumn id="5" xr3:uid="{00000000-0010-0000-0000-000005000000}" name="Modalidad de Contratación" dataDxfId="9"/>
    <tableColumn id="6" xr3:uid="{00000000-0010-0000-0000-000006000000}" name="Objeto a Contratar" dataDxfId="8"/>
    <tableColumn id="7" xr3:uid="{00000000-0010-0000-0000-000007000000}" name="Tipo de Contrato" dataDxfId="7"/>
    <tableColumn id="8" xr3:uid="{00000000-0010-0000-0000-000008000000}" name="Fecha de Firma del Contrato" dataDxfId="6"/>
    <tableColumn id="9" xr3:uid="{00000000-0010-0000-0000-000009000000}" name="Numero del Contrato" dataDxfId="5"/>
    <tableColumn id="10" xr3:uid="{00000000-0010-0000-0000-00000A000000}" name="Numero de Proceso" dataDxfId="4"/>
    <tableColumn id="11" xr3:uid="{00000000-0010-0000-0000-00000B000000}" name="Valor Contrato" dataDxfId="3"/>
    <tableColumn id="12" xr3:uid="{00000000-0010-0000-0000-00000C000000}" name="Nom Raz Social Contratista" dataDxfId="2"/>
    <tableColumn id="13" xr3:uid="{00000000-0010-0000-0000-00000D000000}" name="URL Contrato" dataDxfId="1"/>
    <tableColumn id="14" xr3:uid="{00000000-0010-0000-0000-00000E000000}" name="Columna1"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4.bin"/><Relationship Id="rId1" Type="http://schemas.openxmlformats.org/officeDocument/2006/relationships/hyperlink" Target="https://community.secop.gov.co/Public/Tendering/OpportunityDetail/Index?noticeUID=CO1.NTC.4017345&amp;isFromPublicArea=True&amp;isModal=true&amp;asPopupView=true"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79995117038483843"/>
  </sheetPr>
  <dimension ref="A1:M37"/>
  <sheetViews>
    <sheetView topLeftCell="A17" zoomScale="94" zoomScaleNormal="100" workbookViewId="0">
      <selection activeCell="F9" sqref="F9"/>
    </sheetView>
  </sheetViews>
  <sheetFormatPr baseColWidth="10" defaultColWidth="11.42578125" defaultRowHeight="12.75"/>
  <cols>
    <col min="1" max="1" width="11.7109375" style="230" customWidth="1"/>
    <col min="2" max="2" width="37.85546875" style="231" customWidth="1"/>
    <col min="3" max="3" width="10" style="226" customWidth="1"/>
    <col min="4" max="4" width="10.85546875" style="226" hidden="1" customWidth="1"/>
    <col min="5" max="5" width="7.42578125" style="226" customWidth="1"/>
    <col min="6" max="6" width="15.42578125" style="226" customWidth="1"/>
    <col min="7" max="7" width="17.28515625" style="226" customWidth="1"/>
    <col min="8" max="10" width="16" style="229" customWidth="1"/>
    <col min="11" max="11" width="21.42578125" style="226" customWidth="1"/>
    <col min="12" max="12" width="14.140625" style="226" customWidth="1"/>
    <col min="13" max="13" width="13" style="226" customWidth="1"/>
    <col min="14" max="16384" width="11.42578125" style="226"/>
  </cols>
  <sheetData>
    <row r="1" spans="1:13" ht="15.75" customHeight="1">
      <c r="A1" s="506" t="s">
        <v>0</v>
      </c>
      <c r="B1" s="506"/>
      <c r="C1" s="506"/>
      <c r="D1" s="506"/>
      <c r="E1" s="506"/>
      <c r="F1" s="506"/>
      <c r="G1" s="506"/>
      <c r="H1" s="506"/>
      <c r="I1" s="506"/>
      <c r="J1" s="506"/>
      <c r="K1" s="506"/>
    </row>
    <row r="2" spans="1:13" ht="25.7" customHeight="1">
      <c r="A2" s="499" t="s">
        <v>1</v>
      </c>
      <c r="B2" s="499"/>
      <c r="C2" s="500" t="s">
        <v>818</v>
      </c>
      <c r="D2" s="501"/>
      <c r="E2" s="501"/>
      <c r="F2" s="501"/>
      <c r="G2" s="501"/>
      <c r="H2" s="501"/>
      <c r="I2" s="501"/>
      <c r="J2" s="501"/>
      <c r="K2" s="502"/>
    </row>
    <row r="3" spans="1:13" ht="36.950000000000003" customHeight="1">
      <c r="A3" s="499"/>
      <c r="B3" s="499"/>
      <c r="C3" s="503"/>
      <c r="D3" s="504"/>
      <c r="E3" s="504"/>
      <c r="F3" s="504"/>
      <c r="G3" s="504"/>
      <c r="H3" s="504"/>
      <c r="I3" s="504"/>
      <c r="J3" s="504"/>
      <c r="K3" s="505"/>
    </row>
    <row r="5" spans="1:13" s="224" customFormat="1" ht="38.25">
      <c r="A5" s="5" t="s">
        <v>2</v>
      </c>
      <c r="B5" s="7" t="s">
        <v>3</v>
      </c>
      <c r="C5" s="7" t="s">
        <v>4</v>
      </c>
      <c r="D5" s="7" t="s">
        <v>5</v>
      </c>
      <c r="E5" s="7" t="s">
        <v>6</v>
      </c>
      <c r="F5" s="7" t="s">
        <v>7</v>
      </c>
      <c r="G5" s="7" t="s">
        <v>8</v>
      </c>
      <c r="H5" s="228" t="s">
        <v>9</v>
      </c>
      <c r="I5" s="228" t="s">
        <v>10</v>
      </c>
      <c r="J5" s="228" t="s">
        <v>790</v>
      </c>
      <c r="K5" s="58" t="s">
        <v>11</v>
      </c>
    </row>
    <row r="6" spans="1:13">
      <c r="A6" s="59">
        <v>1</v>
      </c>
      <c r="B6" s="232" t="s">
        <v>12</v>
      </c>
      <c r="C6" s="232"/>
      <c r="D6" s="232"/>
      <c r="E6" s="232"/>
      <c r="F6" s="232"/>
      <c r="G6" s="232"/>
      <c r="H6" s="233"/>
      <c r="I6" s="233"/>
      <c r="J6" s="233"/>
      <c r="K6" s="241"/>
    </row>
    <row r="7" spans="1:13">
      <c r="A7" s="215" t="s">
        <v>13</v>
      </c>
      <c r="B7" s="488" t="s">
        <v>789</v>
      </c>
      <c r="C7" s="215">
        <v>1</v>
      </c>
      <c r="D7" s="13">
        <v>1</v>
      </c>
      <c r="E7" s="489">
        <v>5</v>
      </c>
      <c r="F7" s="490">
        <f>6000000</f>
        <v>6000000</v>
      </c>
      <c r="G7" s="490">
        <f>+'[1]Analisis de Mercado-Salarios'!E37</f>
        <v>9498694.5070175454</v>
      </c>
      <c r="H7" s="474">
        <f>F7*E7*C7</f>
        <v>30000000</v>
      </c>
      <c r="I7" s="242">
        <f>H7</f>
        <v>30000000</v>
      </c>
      <c r="J7" s="242"/>
      <c r="K7" s="487">
        <f>I7/588000000</f>
        <v>5.1020408163265307E-2</v>
      </c>
    </row>
    <row r="8" spans="1:13">
      <c r="A8" s="215" t="s">
        <v>15</v>
      </c>
      <c r="B8" s="488" t="s">
        <v>77</v>
      </c>
      <c r="C8" s="215">
        <v>1</v>
      </c>
      <c r="D8" s="13">
        <v>1</v>
      </c>
      <c r="E8" s="489">
        <v>5</v>
      </c>
      <c r="F8" s="490">
        <v>10800000</v>
      </c>
      <c r="G8" s="490">
        <f>+'Analisis de Mercado-Salarios'!E37</f>
        <v>9498694.5070175454</v>
      </c>
      <c r="H8" s="474">
        <f t="shared" ref="H8:H14" si="0">F8*E8*C8</f>
        <v>54000000</v>
      </c>
      <c r="I8" s="242">
        <f t="shared" ref="I8:I14" si="1">H8</f>
        <v>54000000</v>
      </c>
      <c r="J8" s="242"/>
      <c r="K8" s="487">
        <f t="shared" ref="K8:K14" si="2">I8/588000000</f>
        <v>9.1836734693877556E-2</v>
      </c>
    </row>
    <row r="9" spans="1:13">
      <c r="A9" s="215" t="s">
        <v>17</v>
      </c>
      <c r="B9" s="488" t="s">
        <v>791</v>
      </c>
      <c r="C9" s="215">
        <v>2</v>
      </c>
      <c r="D9" s="13">
        <v>1</v>
      </c>
      <c r="E9" s="489">
        <v>5</v>
      </c>
      <c r="F9" s="490">
        <v>10800000</v>
      </c>
      <c r="G9" s="490">
        <f>+'Analisis de Mercado-Salarios'!E37</f>
        <v>9498694.5070175454</v>
      </c>
      <c r="H9" s="474">
        <f t="shared" si="0"/>
        <v>108000000</v>
      </c>
      <c r="I9" s="242">
        <f t="shared" si="1"/>
        <v>108000000</v>
      </c>
      <c r="J9" s="242"/>
      <c r="K9" s="487">
        <f t="shared" si="2"/>
        <v>0.18367346938775511</v>
      </c>
    </row>
    <row r="10" spans="1:13">
      <c r="A10" s="215" t="s">
        <v>18</v>
      </c>
      <c r="B10" s="488" t="s">
        <v>792</v>
      </c>
      <c r="C10" s="215">
        <v>1</v>
      </c>
      <c r="D10" s="13">
        <v>1</v>
      </c>
      <c r="E10" s="489">
        <v>5</v>
      </c>
      <c r="F10" s="490">
        <v>10800000</v>
      </c>
      <c r="G10" s="490">
        <f>+'Analisis de Mercado-Salarios'!E37</f>
        <v>9498694.5070175454</v>
      </c>
      <c r="H10" s="474">
        <f t="shared" si="0"/>
        <v>54000000</v>
      </c>
      <c r="I10" s="242">
        <f t="shared" si="1"/>
        <v>54000000</v>
      </c>
      <c r="J10" s="242"/>
      <c r="K10" s="487">
        <f t="shared" si="2"/>
        <v>9.1836734693877556E-2</v>
      </c>
    </row>
    <row r="11" spans="1:13">
      <c r="A11" s="215" t="s">
        <v>19</v>
      </c>
      <c r="B11" s="488" t="s">
        <v>793</v>
      </c>
      <c r="C11" s="215">
        <v>1</v>
      </c>
      <c r="D11" s="13">
        <v>1</v>
      </c>
      <c r="E11" s="489">
        <v>5</v>
      </c>
      <c r="F11" s="490">
        <v>10800000</v>
      </c>
      <c r="G11" s="490">
        <f>+'Analisis de Mercado-Salarios'!E37</f>
        <v>9498694.5070175454</v>
      </c>
      <c r="H11" s="474">
        <f t="shared" si="0"/>
        <v>54000000</v>
      </c>
      <c r="I11" s="242">
        <f t="shared" si="1"/>
        <v>54000000</v>
      </c>
      <c r="J11" s="242"/>
      <c r="K11" s="487">
        <f t="shared" si="2"/>
        <v>9.1836734693877556E-2</v>
      </c>
    </row>
    <row r="12" spans="1:13">
      <c r="A12" s="215" t="s">
        <v>20</v>
      </c>
      <c r="B12" s="488" t="s">
        <v>794</v>
      </c>
      <c r="C12" s="215">
        <v>1</v>
      </c>
      <c r="D12" s="13">
        <v>1</v>
      </c>
      <c r="E12" s="489">
        <v>5</v>
      </c>
      <c r="F12" s="490">
        <v>10800000</v>
      </c>
      <c r="G12" s="490">
        <f>+'Analisis de Mercado-Salarios'!E37</f>
        <v>9498694.5070175454</v>
      </c>
      <c r="H12" s="474">
        <f t="shared" si="0"/>
        <v>54000000</v>
      </c>
      <c r="I12" s="242">
        <f t="shared" si="1"/>
        <v>54000000</v>
      </c>
      <c r="J12" s="242"/>
      <c r="K12" s="487">
        <f t="shared" si="2"/>
        <v>9.1836734693877556E-2</v>
      </c>
    </row>
    <row r="13" spans="1:13">
      <c r="A13" s="215" t="s">
        <v>21</v>
      </c>
      <c r="B13" s="488" t="s">
        <v>795</v>
      </c>
      <c r="C13" s="215">
        <v>1</v>
      </c>
      <c r="D13" s="13">
        <v>1</v>
      </c>
      <c r="E13" s="489">
        <v>5</v>
      </c>
      <c r="F13" s="490">
        <v>10800000</v>
      </c>
      <c r="G13" s="490">
        <f>+'Analisis de Mercado-Salarios'!E37</f>
        <v>9498694.5070175454</v>
      </c>
      <c r="H13" s="474">
        <f t="shared" si="0"/>
        <v>54000000</v>
      </c>
      <c r="I13" s="242">
        <f t="shared" si="1"/>
        <v>54000000</v>
      </c>
      <c r="J13" s="242"/>
      <c r="K13" s="487">
        <f t="shared" si="2"/>
        <v>9.1836734693877556E-2</v>
      </c>
    </row>
    <row r="14" spans="1:13">
      <c r="A14" s="215" t="s">
        <v>22</v>
      </c>
      <c r="B14" s="488" t="s">
        <v>796</v>
      </c>
      <c r="C14" s="215">
        <v>3</v>
      </c>
      <c r="D14" s="13">
        <v>1</v>
      </c>
      <c r="E14" s="489">
        <v>2</v>
      </c>
      <c r="F14" s="490">
        <v>10614166.300000001</v>
      </c>
      <c r="G14" s="490">
        <f>'[1]Analisis de Mercado-Salarios'!E37</f>
        <v>9498694.5070175454</v>
      </c>
      <c r="H14" s="474">
        <f t="shared" si="0"/>
        <v>63684997.800000004</v>
      </c>
      <c r="I14" s="242">
        <f t="shared" si="1"/>
        <v>63684997.800000004</v>
      </c>
      <c r="J14" s="242"/>
      <c r="K14" s="487">
        <f t="shared" si="2"/>
        <v>0.10830781938775511</v>
      </c>
    </row>
    <row r="15" spans="1:13" s="225" customFormat="1">
      <c r="A15" s="497" t="s">
        <v>23</v>
      </c>
      <c r="B15" s="497"/>
      <c r="C15" s="232">
        <f>SUM(C7:C14)</f>
        <v>11</v>
      </c>
      <c r="D15" s="387"/>
      <c r="E15" s="387"/>
      <c r="F15" s="388"/>
      <c r="G15" s="388">
        <f>SUM(G7:G14)</f>
        <v>75989556.056140363</v>
      </c>
      <c r="H15" s="389">
        <f>SUM(H7:H14)</f>
        <v>471684997.80000001</v>
      </c>
      <c r="I15" s="389">
        <f>SUM(I7:I14)</f>
        <v>471684997.80000001</v>
      </c>
      <c r="J15" s="389"/>
      <c r="K15" s="390">
        <f>SUM(K7:K14)</f>
        <v>0.80218537040816329</v>
      </c>
      <c r="M15" s="391"/>
    </row>
    <row r="16" spans="1:13" s="225" customFormat="1" ht="24" customHeight="1">
      <c r="A16" s="232">
        <v>2</v>
      </c>
      <c r="B16" s="232" t="s">
        <v>797</v>
      </c>
      <c r="C16" s="232" t="s">
        <v>4</v>
      </c>
      <c r="D16" s="387"/>
      <c r="E16" s="387" t="s">
        <v>6</v>
      </c>
      <c r="F16" s="387" t="s">
        <v>24</v>
      </c>
      <c r="G16" s="387" t="s">
        <v>8</v>
      </c>
      <c r="H16" s="392" t="s">
        <v>9</v>
      </c>
      <c r="I16" s="393" t="s">
        <v>10</v>
      </c>
      <c r="J16" s="393" t="s">
        <v>790</v>
      </c>
      <c r="K16" s="387" t="s">
        <v>11</v>
      </c>
      <c r="M16" s="391"/>
    </row>
    <row r="17" spans="1:13" s="225" customFormat="1" ht="30" customHeight="1">
      <c r="A17" s="27" t="s">
        <v>798</v>
      </c>
      <c r="B17" s="491" t="s">
        <v>799</v>
      </c>
      <c r="C17" s="492">
        <v>3</v>
      </c>
      <c r="D17" s="394" t="s">
        <v>26</v>
      </c>
      <c r="E17" s="394" t="s">
        <v>26</v>
      </c>
      <c r="F17" s="493">
        <v>400000</v>
      </c>
      <c r="G17" s="234">
        <f>+'Analisis de Mercado-Actividades'!E28</f>
        <v>10135767.129629629</v>
      </c>
      <c r="H17" s="395">
        <f>F17*C17</f>
        <v>1200000</v>
      </c>
      <c r="I17" s="242">
        <v>0</v>
      </c>
      <c r="J17" s="242">
        <f>H17</f>
        <v>1200000</v>
      </c>
      <c r="K17" s="487">
        <f>H17/588000000</f>
        <v>2.0408163265306124E-3</v>
      </c>
      <c r="M17" s="391"/>
    </row>
    <row r="18" spans="1:13" s="225" customFormat="1" ht="33.950000000000003" customHeight="1">
      <c r="A18" s="27" t="s">
        <v>800</v>
      </c>
      <c r="B18" s="491" t="s">
        <v>801</v>
      </c>
      <c r="C18" s="492">
        <v>160</v>
      </c>
      <c r="D18" s="394" t="s">
        <v>26</v>
      </c>
      <c r="E18" s="394" t="s">
        <v>26</v>
      </c>
      <c r="F18" s="493">
        <v>90000</v>
      </c>
      <c r="G18" s="234">
        <f>+G17</f>
        <v>10135767.129629629</v>
      </c>
      <c r="H18" s="395">
        <f t="shared" ref="H18:H28" si="3">F18*C18</f>
        <v>14400000</v>
      </c>
      <c r="I18" s="242">
        <v>0</v>
      </c>
      <c r="J18" s="242">
        <f t="shared" ref="J18:J28" si="4">H18</f>
        <v>14400000</v>
      </c>
      <c r="K18" s="487">
        <f t="shared" ref="K18:K28" si="5">H18/588000000</f>
        <v>2.4489795918367346E-2</v>
      </c>
      <c r="M18" s="391"/>
    </row>
    <row r="19" spans="1:13" s="225" customFormat="1" ht="13.5">
      <c r="A19" s="27" t="s">
        <v>802</v>
      </c>
      <c r="B19" s="491" t="s">
        <v>803</v>
      </c>
      <c r="C19" s="492">
        <v>3</v>
      </c>
      <c r="D19" s="394" t="s">
        <v>26</v>
      </c>
      <c r="E19" s="394" t="s">
        <v>26</v>
      </c>
      <c r="F19" s="493">
        <v>300000</v>
      </c>
      <c r="G19" s="234">
        <f>+'Analisis de Mercado-Actividades'!E28</f>
        <v>10135767.129629629</v>
      </c>
      <c r="H19" s="395">
        <f t="shared" si="3"/>
        <v>900000</v>
      </c>
      <c r="I19" s="242">
        <v>0</v>
      </c>
      <c r="J19" s="242">
        <f t="shared" si="4"/>
        <v>900000</v>
      </c>
      <c r="K19" s="487">
        <f t="shared" si="5"/>
        <v>1.5306122448979591E-3</v>
      </c>
      <c r="M19" s="397"/>
    </row>
    <row r="20" spans="1:13" s="225" customFormat="1" ht="13.5">
      <c r="A20" s="27" t="s">
        <v>804</v>
      </c>
      <c r="B20" s="491" t="s">
        <v>805</v>
      </c>
      <c r="C20" s="492">
        <v>3</v>
      </c>
      <c r="D20" s="394" t="s">
        <v>26</v>
      </c>
      <c r="E20" s="394" t="s">
        <v>26</v>
      </c>
      <c r="F20" s="493">
        <v>1200000</v>
      </c>
      <c r="G20" s="234">
        <f>+G19</f>
        <v>10135767.129629629</v>
      </c>
      <c r="H20" s="395">
        <f t="shared" si="3"/>
        <v>3600000</v>
      </c>
      <c r="I20" s="242">
        <v>0</v>
      </c>
      <c r="J20" s="242">
        <f t="shared" si="4"/>
        <v>3600000</v>
      </c>
      <c r="K20" s="487">
        <f t="shared" si="5"/>
        <v>6.1224489795918364E-3</v>
      </c>
      <c r="M20" s="397"/>
    </row>
    <row r="21" spans="1:13" s="225" customFormat="1" ht="13.5">
      <c r="A21" s="27" t="s">
        <v>806</v>
      </c>
      <c r="B21" s="491" t="s">
        <v>807</v>
      </c>
      <c r="C21" s="492">
        <v>15</v>
      </c>
      <c r="D21" s="394" t="s">
        <v>26</v>
      </c>
      <c r="E21" s="394" t="s">
        <v>26</v>
      </c>
      <c r="F21" s="493">
        <v>830000</v>
      </c>
      <c r="G21" s="234"/>
      <c r="H21" s="395">
        <f t="shared" si="3"/>
        <v>12450000</v>
      </c>
      <c r="I21" s="242">
        <v>0</v>
      </c>
      <c r="J21" s="242">
        <f t="shared" si="4"/>
        <v>12450000</v>
      </c>
      <c r="K21" s="487">
        <f t="shared" si="5"/>
        <v>2.1173469387755103E-2</v>
      </c>
      <c r="M21" s="397"/>
    </row>
    <row r="22" spans="1:13" s="225" customFormat="1" ht="27">
      <c r="A22" s="27" t="s">
        <v>808</v>
      </c>
      <c r="B22" s="491" t="s">
        <v>809</v>
      </c>
      <c r="C22" s="492">
        <v>25</v>
      </c>
      <c r="D22" s="394" t="s">
        <v>26</v>
      </c>
      <c r="E22" s="394" t="s">
        <v>26</v>
      </c>
      <c r="F22" s="494">
        <v>710000</v>
      </c>
      <c r="G22" s="234">
        <f>+G20</f>
        <v>10135767.129629629</v>
      </c>
      <c r="H22" s="395">
        <f t="shared" si="3"/>
        <v>17750000</v>
      </c>
      <c r="I22" s="242">
        <v>0</v>
      </c>
      <c r="J22" s="242">
        <f t="shared" si="4"/>
        <v>17750000</v>
      </c>
      <c r="K22" s="487">
        <f t="shared" si="5"/>
        <v>3.0187074829931972E-2</v>
      </c>
      <c r="M22" s="397"/>
    </row>
    <row r="23" spans="1:13" s="225" customFormat="1" ht="13.5">
      <c r="A23" s="27" t="s">
        <v>810</v>
      </c>
      <c r="B23" s="491" t="s">
        <v>811</v>
      </c>
      <c r="C23" s="492">
        <v>160</v>
      </c>
      <c r="D23" s="394" t="s">
        <v>26</v>
      </c>
      <c r="E23" s="394" t="s">
        <v>26</v>
      </c>
      <c r="F23" s="493">
        <v>100000</v>
      </c>
      <c r="G23" s="234">
        <f>+G22</f>
        <v>10135767.129629629</v>
      </c>
      <c r="H23" s="395">
        <f t="shared" si="3"/>
        <v>16000000</v>
      </c>
      <c r="I23" s="242">
        <v>0</v>
      </c>
      <c r="J23" s="242">
        <f t="shared" si="4"/>
        <v>16000000</v>
      </c>
      <c r="K23" s="487">
        <f t="shared" si="5"/>
        <v>2.7210884353741496E-2</v>
      </c>
      <c r="M23" s="397"/>
    </row>
    <row r="24" spans="1:13" s="225" customFormat="1" ht="23.1" customHeight="1">
      <c r="A24" s="27" t="s">
        <v>812</v>
      </c>
      <c r="B24" s="491" t="s">
        <v>813</v>
      </c>
      <c r="C24" s="492">
        <v>3</v>
      </c>
      <c r="D24" s="394" t="s">
        <v>26</v>
      </c>
      <c r="E24" s="394" t="s">
        <v>26</v>
      </c>
      <c r="F24" s="493">
        <v>1800000</v>
      </c>
      <c r="G24" s="234">
        <f>'Analisis de Mercado-Actividades'!E28</f>
        <v>10135767.129629629</v>
      </c>
      <c r="H24" s="395">
        <f t="shared" si="3"/>
        <v>5400000</v>
      </c>
      <c r="I24" s="242">
        <v>0</v>
      </c>
      <c r="J24" s="242">
        <f t="shared" si="4"/>
        <v>5400000</v>
      </c>
      <c r="K24" s="487">
        <f t="shared" si="5"/>
        <v>9.1836734693877559E-3</v>
      </c>
      <c r="M24" s="397"/>
    </row>
    <row r="25" spans="1:13" s="225" customFormat="1" ht="13.5">
      <c r="A25" s="27" t="s">
        <v>814</v>
      </c>
      <c r="B25" s="491" t="s">
        <v>815</v>
      </c>
      <c r="C25" s="492">
        <v>3</v>
      </c>
      <c r="D25" s="394"/>
      <c r="E25" s="394"/>
      <c r="F25" s="493">
        <v>1000000</v>
      </c>
      <c r="G25" s="234">
        <f>'Analisis de Mercado-Actividades'!E28</f>
        <v>10135767.129629629</v>
      </c>
      <c r="H25" s="395">
        <f t="shared" si="3"/>
        <v>3000000</v>
      </c>
      <c r="I25" s="242">
        <v>0</v>
      </c>
      <c r="J25" s="242">
        <f t="shared" si="4"/>
        <v>3000000</v>
      </c>
      <c r="K25" s="487">
        <f t="shared" si="5"/>
        <v>5.1020408163265302E-3</v>
      </c>
      <c r="M25" s="397"/>
    </row>
    <row r="26" spans="1:13" s="225" customFormat="1" ht="13.5">
      <c r="A26" s="27" t="s">
        <v>421</v>
      </c>
      <c r="B26" s="491" t="s">
        <v>816</v>
      </c>
      <c r="C26" s="492">
        <v>70</v>
      </c>
      <c r="D26" s="394"/>
      <c r="E26" s="394"/>
      <c r="F26" s="493">
        <v>110000</v>
      </c>
      <c r="G26" s="234">
        <f>'Analisis de Mercado-Actividades'!E28</f>
        <v>10135767.129629629</v>
      </c>
      <c r="H26" s="395">
        <f t="shared" si="3"/>
        <v>7700000</v>
      </c>
      <c r="I26" s="242">
        <v>0</v>
      </c>
      <c r="J26" s="242">
        <f t="shared" si="4"/>
        <v>7700000</v>
      </c>
      <c r="K26" s="487">
        <f t="shared" si="5"/>
        <v>1.3095238095238096E-2</v>
      </c>
      <c r="M26" s="397"/>
    </row>
    <row r="27" spans="1:13" s="225" customFormat="1" ht="13.5">
      <c r="A27" s="27" t="s">
        <v>423</v>
      </c>
      <c r="B27" s="491" t="s">
        <v>817</v>
      </c>
      <c r="C27" s="495">
        <v>3</v>
      </c>
      <c r="D27" s="394" t="s">
        <v>26</v>
      </c>
      <c r="E27" s="394" t="s">
        <v>26</v>
      </c>
      <c r="F27" s="493">
        <v>200000</v>
      </c>
      <c r="G27" s="234">
        <f>+G26</f>
        <v>10135767.129629629</v>
      </c>
      <c r="H27" s="395">
        <f t="shared" si="3"/>
        <v>600000</v>
      </c>
      <c r="I27" s="242">
        <v>0</v>
      </c>
      <c r="J27" s="242">
        <f t="shared" si="4"/>
        <v>600000</v>
      </c>
      <c r="K27" s="487">
        <f t="shared" si="5"/>
        <v>1.0204081632653062E-3</v>
      </c>
      <c r="M27" s="397"/>
    </row>
    <row r="28" spans="1:13" s="225" customFormat="1" ht="13.5">
      <c r="A28" s="27" t="s">
        <v>425</v>
      </c>
      <c r="B28" s="491" t="s">
        <v>788</v>
      </c>
      <c r="C28" s="495">
        <v>2</v>
      </c>
      <c r="D28" s="394" t="s">
        <v>26</v>
      </c>
      <c r="E28" s="394" t="s">
        <v>26</v>
      </c>
      <c r="F28" s="493">
        <v>2500000</v>
      </c>
      <c r="G28" s="234">
        <f>'Analisis de Mercado-Actividades'!E28</f>
        <v>10135767.129629629</v>
      </c>
      <c r="H28" s="395">
        <f t="shared" si="3"/>
        <v>5000000</v>
      </c>
      <c r="I28" s="242">
        <v>0</v>
      </c>
      <c r="J28" s="242">
        <f t="shared" si="4"/>
        <v>5000000</v>
      </c>
      <c r="K28" s="487">
        <f t="shared" si="5"/>
        <v>8.5034013605442185E-3</v>
      </c>
      <c r="M28" s="397"/>
    </row>
    <row r="29" spans="1:13" s="225" customFormat="1">
      <c r="A29" s="507" t="s">
        <v>23</v>
      </c>
      <c r="B29" s="507"/>
      <c r="C29" s="232"/>
      <c r="D29" s="387"/>
      <c r="E29" s="387"/>
      <c r="F29" s="388"/>
      <c r="G29" s="388"/>
      <c r="H29" s="402">
        <f>SUM(H17:H28)</f>
        <v>88000000</v>
      </c>
      <c r="I29" s="402">
        <f>SUM(I17:I23)</f>
        <v>0</v>
      </c>
      <c r="J29" s="402">
        <f>SUM(J17:J28)</f>
        <v>88000000</v>
      </c>
      <c r="K29" s="476">
        <f>SUM(K17:K28)</f>
        <v>0.14965986394557826</v>
      </c>
      <c r="M29" s="391"/>
    </row>
    <row r="30" spans="1:13" ht="24" customHeight="1">
      <c r="A30" s="477">
        <v>3</v>
      </c>
      <c r="B30" s="450" t="s">
        <v>604</v>
      </c>
      <c r="C30" s="232" t="s">
        <v>4</v>
      </c>
      <c r="D30" s="387"/>
      <c r="E30" s="387" t="s">
        <v>6</v>
      </c>
      <c r="F30" s="387" t="s">
        <v>24</v>
      </c>
      <c r="G30" s="387" t="s">
        <v>8</v>
      </c>
      <c r="H30" s="392" t="s">
        <v>9</v>
      </c>
      <c r="I30" s="392" t="s">
        <v>10</v>
      </c>
      <c r="J30" s="392" t="s">
        <v>790</v>
      </c>
      <c r="K30" s="387" t="s">
        <v>11</v>
      </c>
      <c r="M30" s="403"/>
    </row>
    <row r="31" spans="1:13">
      <c r="A31" s="475" t="s">
        <v>29</v>
      </c>
      <c r="B31" s="62" t="s">
        <v>181</v>
      </c>
      <c r="C31" s="451">
        <v>1</v>
      </c>
      <c r="D31" s="13" t="s">
        <v>26</v>
      </c>
      <c r="E31" s="451">
        <v>6</v>
      </c>
      <c r="F31" s="496">
        <v>4719167</v>
      </c>
      <c r="G31" s="473"/>
      <c r="H31" s="242">
        <f>F31*E31</f>
        <v>28315002</v>
      </c>
      <c r="I31" s="242">
        <f t="shared" ref="I31" si="6">H31-J31</f>
        <v>28315002</v>
      </c>
      <c r="J31" s="234"/>
      <c r="K31" s="487">
        <f>H31/588000000</f>
        <v>4.8154765306122449E-2</v>
      </c>
      <c r="L31" s="244"/>
      <c r="M31" s="403"/>
    </row>
    <row r="32" spans="1:13" s="225" customFormat="1">
      <c r="A32" s="497" t="s">
        <v>23</v>
      </c>
      <c r="B32" s="497"/>
      <c r="C32" s="236"/>
      <c r="D32" s="404"/>
      <c r="E32" s="404"/>
      <c r="F32" s="404"/>
      <c r="G32" s="404"/>
      <c r="H32" s="416">
        <f>SUM(H31:H31)</f>
        <v>28315002</v>
      </c>
      <c r="I32" s="402">
        <f>SUM(I31:I31)</f>
        <v>28315002</v>
      </c>
      <c r="J32" s="416">
        <f>J15+J29</f>
        <v>88000000</v>
      </c>
      <c r="K32" s="417">
        <f>SUM(K31)</f>
        <v>4.8154765306122449E-2</v>
      </c>
      <c r="L32" s="459"/>
      <c r="M32" s="391"/>
    </row>
    <row r="33" spans="1:12" s="225" customFormat="1">
      <c r="A33" s="5">
        <v>1</v>
      </c>
      <c r="B33" s="238" t="s">
        <v>39</v>
      </c>
      <c r="C33" s="7"/>
      <c r="D33" s="7"/>
      <c r="E33" s="7"/>
      <c r="F33" s="418"/>
      <c r="G33" s="418"/>
      <c r="H33" s="419">
        <f>H32+H29+H15</f>
        <v>587999999.79999995</v>
      </c>
      <c r="I33" s="419">
        <f>I32+I15</f>
        <v>499999999.80000001</v>
      </c>
      <c r="J33" s="419">
        <f>J29</f>
        <v>88000000</v>
      </c>
      <c r="K33" s="420">
        <f>K29+K15+K32</f>
        <v>0.99999999965986408</v>
      </c>
    </row>
    <row r="34" spans="1:12" s="225" customFormat="1">
      <c r="A34" s="239"/>
      <c r="B34" s="238" t="s">
        <v>41</v>
      </c>
      <c r="C34" s="7"/>
      <c r="D34" s="7"/>
      <c r="E34" s="7"/>
      <c r="F34" s="7"/>
      <c r="G34" s="7"/>
      <c r="H34" s="419">
        <f>H33</f>
        <v>587999999.79999995</v>
      </c>
      <c r="I34" s="419">
        <f>I33</f>
        <v>499999999.80000001</v>
      </c>
      <c r="J34" s="419">
        <f>J33</f>
        <v>88000000</v>
      </c>
      <c r="K34" s="420">
        <f>K33</f>
        <v>0.99999999965986408</v>
      </c>
      <c r="L34" s="245"/>
    </row>
    <row r="35" spans="1:12">
      <c r="B35" s="240"/>
      <c r="C35" s="224"/>
      <c r="D35" s="224"/>
    </row>
    <row r="36" spans="1:12">
      <c r="A36" s="225"/>
      <c r="B36" s="240"/>
      <c r="C36" s="224"/>
      <c r="D36" s="224"/>
      <c r="E36" s="225"/>
      <c r="I36" s="427"/>
      <c r="J36" s="427"/>
    </row>
    <row r="37" spans="1:12">
      <c r="A37" s="226"/>
      <c r="B37" s="498"/>
      <c r="C37" s="498"/>
      <c r="D37" s="498"/>
      <c r="E37" s="498"/>
      <c r="F37" s="229"/>
      <c r="L37" s="243"/>
    </row>
  </sheetData>
  <autoFilter ref="A5:K29" xr:uid="{55C060DD-395D-47FC-8D62-32BC1767E442}"/>
  <sortState xmlns:xlrd2="http://schemas.microsoft.com/office/spreadsheetml/2017/richdata2" ref="A7:I14">
    <sortCondition descending="1" ref="F7:F14"/>
  </sortState>
  <mergeCells count="7">
    <mergeCell ref="A32:B32"/>
    <mergeCell ref="B37:E37"/>
    <mergeCell ref="A2:B3"/>
    <mergeCell ref="C2:K3"/>
    <mergeCell ref="A1:K1"/>
    <mergeCell ref="A15:B15"/>
    <mergeCell ref="A29:B29"/>
  </mergeCells>
  <phoneticPr fontId="32" type="noConversion"/>
  <pageMargins left="0.7" right="0.7" top="0.75" bottom="0.75" header="0.3" footer="0.3"/>
  <pageSetup orientation="portrait" r:id="rId1"/>
  <ignoredErrors>
    <ignoredError sqref="G18 G27"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79995117038483843"/>
  </sheetPr>
  <dimension ref="A1:F99"/>
  <sheetViews>
    <sheetView topLeftCell="A77" workbookViewId="0">
      <selection activeCell="D38" sqref="D38"/>
    </sheetView>
  </sheetViews>
  <sheetFormatPr baseColWidth="10" defaultColWidth="49.28515625" defaultRowHeight="12.75" customHeight="1" outlineLevelRow="2"/>
  <cols>
    <col min="1" max="1" width="49.28515625" style="46"/>
    <col min="2" max="2" width="18.28515625" style="46" customWidth="1"/>
    <col min="3" max="3" width="60.85546875" style="46" customWidth="1"/>
    <col min="4" max="4" width="28.28515625" style="46" customWidth="1"/>
    <col min="5" max="5" width="12.7109375" style="207" customWidth="1"/>
    <col min="6" max="16384" width="49.28515625" style="46"/>
  </cols>
  <sheetData>
    <row r="1" spans="1:5" ht="12.75" customHeight="1">
      <c r="A1" s="506" t="s">
        <v>44</v>
      </c>
      <c r="B1" s="506"/>
      <c r="C1" s="506"/>
      <c r="D1" s="506"/>
      <c r="E1" s="506"/>
    </row>
    <row r="2" spans="1:5" ht="12.75" customHeight="1">
      <c r="A2" s="208" t="s">
        <v>45</v>
      </c>
      <c r="B2" s="508" t="s">
        <v>46</v>
      </c>
      <c r="C2" s="509"/>
      <c r="D2" s="509"/>
      <c r="E2" s="510"/>
    </row>
    <row r="4" spans="1:5" s="206" customFormat="1" ht="12.75" customHeight="1">
      <c r="A4" s="511" t="s">
        <v>47</v>
      </c>
      <c r="B4" s="512"/>
      <c r="C4" s="512"/>
      <c r="D4" s="512"/>
      <c r="E4" s="512"/>
    </row>
    <row r="5" spans="1:5" ht="12.75" customHeight="1">
      <c r="A5" s="513" t="s">
        <v>12</v>
      </c>
      <c r="B5" s="514"/>
      <c r="C5" s="514"/>
      <c r="D5" s="514"/>
      <c r="E5" s="514"/>
    </row>
    <row r="6" spans="1:5" s="56" customFormat="1" ht="12.75" customHeight="1">
      <c r="A6" s="209" t="s">
        <v>48</v>
      </c>
      <c r="B6" s="209" t="s">
        <v>51</v>
      </c>
      <c r="C6" s="210" t="s">
        <v>74</v>
      </c>
      <c r="D6" s="211" t="s">
        <v>49</v>
      </c>
      <c r="E6" s="212" t="s">
        <v>75</v>
      </c>
    </row>
    <row r="7" spans="1:5" ht="12.75" customHeight="1" outlineLevel="2">
      <c r="A7" s="130" t="s">
        <v>714</v>
      </c>
      <c r="B7" s="130" t="s">
        <v>713</v>
      </c>
      <c r="C7" s="130" t="s">
        <v>715</v>
      </c>
      <c r="D7" s="130" t="s">
        <v>819</v>
      </c>
      <c r="E7" s="216">
        <v>7000000</v>
      </c>
    </row>
    <row r="8" spans="1:5" ht="12.75" customHeight="1" outlineLevel="2">
      <c r="A8" s="130" t="s">
        <v>65</v>
      </c>
      <c r="B8" s="130" t="s">
        <v>66</v>
      </c>
      <c r="C8" s="63" t="s">
        <v>77</v>
      </c>
      <c r="D8" s="130" t="s">
        <v>819</v>
      </c>
      <c r="E8" s="213">
        <v>15600000</v>
      </c>
    </row>
    <row r="9" spans="1:5" ht="12.75" customHeight="1" outlineLevel="2">
      <c r="A9" s="130" t="s">
        <v>53</v>
      </c>
      <c r="B9" s="130" t="s">
        <v>54</v>
      </c>
      <c r="C9" s="63" t="s">
        <v>78</v>
      </c>
      <c r="D9" s="130" t="s">
        <v>819</v>
      </c>
      <c r="E9" s="213">
        <v>14900000</v>
      </c>
    </row>
    <row r="10" spans="1:5" ht="12.75" customHeight="1" outlineLevel="2">
      <c r="A10" s="130" t="s">
        <v>65</v>
      </c>
      <c r="B10" s="130" t="s">
        <v>66</v>
      </c>
      <c r="C10" s="63" t="s">
        <v>79</v>
      </c>
      <c r="D10" s="130" t="s">
        <v>819</v>
      </c>
      <c r="E10" s="213">
        <v>14285714</v>
      </c>
    </row>
    <row r="11" spans="1:5" ht="12.75" customHeight="1" outlineLevel="2">
      <c r="A11" s="130" t="s">
        <v>65</v>
      </c>
      <c r="B11" s="130" t="s">
        <v>66</v>
      </c>
      <c r="C11" s="63" t="s">
        <v>80</v>
      </c>
      <c r="D11" s="130" t="s">
        <v>819</v>
      </c>
      <c r="E11" s="213">
        <v>13591400</v>
      </c>
    </row>
    <row r="12" spans="1:5" ht="12.75" customHeight="1" outlineLevel="2">
      <c r="A12" s="130" t="s">
        <v>65</v>
      </c>
      <c r="B12" s="130" t="s">
        <v>66</v>
      </c>
      <c r="C12" s="63" t="s">
        <v>81</v>
      </c>
      <c r="D12" s="130" t="s">
        <v>819</v>
      </c>
      <c r="E12" s="213">
        <v>13591400</v>
      </c>
    </row>
    <row r="13" spans="1:5" ht="12.75" customHeight="1" outlineLevel="2">
      <c r="A13" s="130" t="s">
        <v>53</v>
      </c>
      <c r="B13" s="130" t="s">
        <v>54</v>
      </c>
      <c r="C13" s="63" t="s">
        <v>82</v>
      </c>
      <c r="D13" s="130" t="s">
        <v>819</v>
      </c>
      <c r="E13" s="213">
        <v>13000000</v>
      </c>
    </row>
    <row r="14" spans="1:5" ht="12.75" customHeight="1" outlineLevel="2">
      <c r="A14" s="130" t="s">
        <v>53</v>
      </c>
      <c r="B14" s="130" t="s">
        <v>54</v>
      </c>
      <c r="C14" s="63" t="s">
        <v>83</v>
      </c>
      <c r="D14" s="130" t="s">
        <v>819</v>
      </c>
      <c r="E14" s="213">
        <v>13000000</v>
      </c>
    </row>
    <row r="15" spans="1:5" ht="12.75" customHeight="1" outlineLevel="2">
      <c r="A15" s="130" t="s">
        <v>53</v>
      </c>
      <c r="B15" s="130" t="s">
        <v>54</v>
      </c>
      <c r="C15" s="63" t="s">
        <v>84</v>
      </c>
      <c r="D15" s="130" t="s">
        <v>819</v>
      </c>
      <c r="E15" s="213">
        <v>13000000</v>
      </c>
    </row>
    <row r="16" spans="1:5" ht="12.75" customHeight="1" outlineLevel="2">
      <c r="A16" s="130" t="s">
        <v>85</v>
      </c>
      <c r="B16" s="130" t="s">
        <v>86</v>
      </c>
      <c r="C16" s="63" t="s">
        <v>87</v>
      </c>
      <c r="D16" s="130" t="s">
        <v>819</v>
      </c>
      <c r="E16" s="216">
        <v>12682076</v>
      </c>
    </row>
    <row r="17" spans="1:5" ht="12.75" customHeight="1" outlineLevel="2">
      <c r="A17" s="130" t="s">
        <v>88</v>
      </c>
      <c r="B17" s="130" t="s">
        <v>71</v>
      </c>
      <c r="C17" s="63" t="s">
        <v>89</v>
      </c>
      <c r="D17" s="130" t="s">
        <v>819</v>
      </c>
      <c r="E17" s="213">
        <v>10201393</v>
      </c>
    </row>
    <row r="18" spans="1:5" ht="12.75" customHeight="1" outlineLevel="2">
      <c r="A18" s="130" t="s">
        <v>633</v>
      </c>
      <c r="B18" s="130" t="s">
        <v>683</v>
      </c>
      <c r="C18" s="130" t="s">
        <v>607</v>
      </c>
      <c r="D18" s="130" t="s">
        <v>819</v>
      </c>
      <c r="E18" s="216">
        <v>7000000</v>
      </c>
    </row>
    <row r="19" spans="1:5" ht="12.75" customHeight="1" outlineLevel="2">
      <c r="A19" s="130" t="s">
        <v>633</v>
      </c>
      <c r="B19" s="130" t="s">
        <v>683</v>
      </c>
      <c r="C19" s="130" t="s">
        <v>608</v>
      </c>
      <c r="D19" s="130" t="s">
        <v>819</v>
      </c>
      <c r="E19" s="216">
        <v>7000000</v>
      </c>
    </row>
    <row r="20" spans="1:5" ht="12.75" customHeight="1" outlineLevel="2">
      <c r="A20" s="217" t="s">
        <v>729</v>
      </c>
      <c r="B20" s="130" t="s">
        <v>728</v>
      </c>
      <c r="C20" s="63" t="s">
        <v>730</v>
      </c>
      <c r="D20" s="130" t="s">
        <v>819</v>
      </c>
      <c r="E20" s="216">
        <v>9473684.2105263155</v>
      </c>
    </row>
    <row r="21" spans="1:5" ht="12.75" customHeight="1" outlineLevel="2">
      <c r="A21" s="217" t="s">
        <v>759</v>
      </c>
      <c r="B21" s="130" t="s">
        <v>757</v>
      </c>
      <c r="C21" s="130" t="s">
        <v>14</v>
      </c>
      <c r="D21" s="130" t="s">
        <v>819</v>
      </c>
      <c r="E21" s="216">
        <v>3800000</v>
      </c>
    </row>
    <row r="22" spans="1:5" ht="12.75" customHeight="1" outlineLevel="2">
      <c r="A22" s="63" t="s">
        <v>90</v>
      </c>
      <c r="B22" s="63" t="s">
        <v>91</v>
      </c>
      <c r="C22" s="13" t="s">
        <v>14</v>
      </c>
      <c r="D22" s="130" t="s">
        <v>819</v>
      </c>
      <c r="E22" s="213">
        <v>9000000</v>
      </c>
    </row>
    <row r="23" spans="1:5" ht="12.75" customHeight="1" outlineLevel="2">
      <c r="A23" s="130" t="s">
        <v>88</v>
      </c>
      <c r="B23" s="130" t="s">
        <v>71</v>
      </c>
      <c r="C23" s="63" t="s">
        <v>92</v>
      </c>
      <c r="D23" s="130" t="s">
        <v>819</v>
      </c>
      <c r="E23" s="213">
        <v>8982273</v>
      </c>
    </row>
    <row r="24" spans="1:5" ht="12.75" customHeight="1" outlineLevel="2">
      <c r="A24" s="130" t="s">
        <v>88</v>
      </c>
      <c r="B24" s="130" t="s">
        <v>71</v>
      </c>
      <c r="C24" s="63" t="s">
        <v>93</v>
      </c>
      <c r="D24" s="130" t="s">
        <v>819</v>
      </c>
      <c r="E24" s="213">
        <v>8982273</v>
      </c>
    </row>
    <row r="25" spans="1:5" ht="12.75" customHeight="1" outlineLevel="2">
      <c r="A25" s="130" t="s">
        <v>53</v>
      </c>
      <c r="B25" s="130" t="s">
        <v>54</v>
      </c>
      <c r="C25" s="63" t="s">
        <v>95</v>
      </c>
      <c r="D25" s="130" t="s">
        <v>819</v>
      </c>
      <c r="E25" s="213">
        <v>8900000</v>
      </c>
    </row>
    <row r="26" spans="1:5" ht="12.75" customHeight="1" outlineLevel="2">
      <c r="A26" s="130" t="s">
        <v>53</v>
      </c>
      <c r="B26" s="130" t="s">
        <v>54</v>
      </c>
      <c r="C26" s="63" t="s">
        <v>96</v>
      </c>
      <c r="D26" s="130" t="s">
        <v>819</v>
      </c>
      <c r="E26" s="213">
        <v>8500000</v>
      </c>
    </row>
    <row r="27" spans="1:5" ht="12.75" customHeight="1" outlineLevel="2">
      <c r="A27" s="130" t="s">
        <v>88</v>
      </c>
      <c r="B27" s="130" t="s">
        <v>71</v>
      </c>
      <c r="C27" s="63" t="s">
        <v>97</v>
      </c>
      <c r="D27" s="130" t="s">
        <v>819</v>
      </c>
      <c r="E27" s="213">
        <v>8085311</v>
      </c>
    </row>
    <row r="28" spans="1:5" ht="12.75" customHeight="1" outlineLevel="2">
      <c r="A28" s="130" t="s">
        <v>88</v>
      </c>
      <c r="B28" s="130" t="s">
        <v>71</v>
      </c>
      <c r="C28" s="63" t="s">
        <v>97</v>
      </c>
      <c r="D28" s="130" t="s">
        <v>819</v>
      </c>
      <c r="E28" s="213">
        <v>8085311</v>
      </c>
    </row>
    <row r="29" spans="1:5" ht="12.75" customHeight="1" outlineLevel="2">
      <c r="A29" s="63" t="s">
        <v>90</v>
      </c>
      <c r="B29" s="63" t="s">
        <v>91</v>
      </c>
      <c r="C29" s="130" t="s">
        <v>98</v>
      </c>
      <c r="D29" s="130" t="s">
        <v>819</v>
      </c>
      <c r="E29" s="213">
        <v>8000000</v>
      </c>
    </row>
    <row r="30" spans="1:5" ht="12.75" customHeight="1" outlineLevel="2">
      <c r="A30" s="130" t="s">
        <v>99</v>
      </c>
      <c r="B30" s="130" t="s">
        <v>100</v>
      </c>
      <c r="C30" s="217" t="s">
        <v>77</v>
      </c>
      <c r="D30" s="130" t="s">
        <v>819</v>
      </c>
      <c r="E30" s="216">
        <v>8000000</v>
      </c>
    </row>
    <row r="31" spans="1:5" ht="12.75" customHeight="1" outlineLevel="2">
      <c r="A31" s="130" t="s">
        <v>57</v>
      </c>
      <c r="B31" s="130" t="s">
        <v>58</v>
      </c>
      <c r="C31" s="130" t="s">
        <v>14</v>
      </c>
      <c r="D31" s="130" t="s">
        <v>819</v>
      </c>
      <c r="E31" s="216">
        <v>8000000</v>
      </c>
    </row>
    <row r="32" spans="1:5" ht="12.75" customHeight="1" outlineLevel="2">
      <c r="A32" s="130" t="s">
        <v>99</v>
      </c>
      <c r="B32" s="130" t="s">
        <v>101</v>
      </c>
      <c r="C32" s="130" t="s">
        <v>77</v>
      </c>
      <c r="D32" s="130" t="s">
        <v>819</v>
      </c>
      <c r="E32" s="216">
        <v>8000000</v>
      </c>
    </row>
    <row r="33" spans="1:6" ht="12.75" customHeight="1" outlineLevel="2">
      <c r="A33" s="130" t="s">
        <v>99</v>
      </c>
      <c r="B33" s="130" t="s">
        <v>101</v>
      </c>
      <c r="C33" s="130" t="s">
        <v>102</v>
      </c>
      <c r="D33" s="130" t="s">
        <v>819</v>
      </c>
      <c r="E33" s="216">
        <v>8000000</v>
      </c>
    </row>
    <row r="34" spans="1:6" ht="12.75" customHeight="1" outlineLevel="2">
      <c r="A34" s="130" t="s">
        <v>492</v>
      </c>
      <c r="B34" s="255" t="s">
        <v>489</v>
      </c>
      <c r="C34" s="130" t="s">
        <v>14</v>
      </c>
      <c r="D34" s="130" t="s">
        <v>819</v>
      </c>
      <c r="E34" s="216">
        <v>5000000</v>
      </c>
    </row>
    <row r="35" spans="1:6" ht="12.75" customHeight="1" outlineLevel="2">
      <c r="A35" s="130" t="s">
        <v>633</v>
      </c>
      <c r="B35" s="255" t="s">
        <v>634</v>
      </c>
      <c r="C35" s="130" t="s">
        <v>14</v>
      </c>
      <c r="D35" s="130" t="s">
        <v>819</v>
      </c>
      <c r="E35" s="216">
        <v>6800000</v>
      </c>
    </row>
    <row r="36" spans="1:6" ht="12.75" customHeight="1" outlineLevel="2">
      <c r="A36" s="130" t="s">
        <v>754</v>
      </c>
      <c r="B36" s="255" t="s">
        <v>490</v>
      </c>
      <c r="C36" s="130" t="s">
        <v>14</v>
      </c>
      <c r="D36" s="130" t="s">
        <v>819</v>
      </c>
      <c r="E36" s="216">
        <v>4500000</v>
      </c>
    </row>
    <row r="37" spans="1:6" s="56" customFormat="1" ht="12.75" customHeight="1" outlineLevel="1">
      <c r="A37" s="218"/>
      <c r="B37" s="218"/>
      <c r="C37" s="218"/>
      <c r="D37" s="218" t="s">
        <v>820</v>
      </c>
      <c r="E37" s="219">
        <f>SUBTOTAL(1,E7:E36)</f>
        <v>9498694.5070175454</v>
      </c>
      <c r="F37" s="56">
        <v>9930336</v>
      </c>
    </row>
    <row r="38" spans="1:6" ht="12.75" customHeight="1" outlineLevel="2">
      <c r="A38" s="130" t="s">
        <v>62</v>
      </c>
      <c r="B38" s="130" t="s">
        <v>63</v>
      </c>
      <c r="C38" s="130" t="s">
        <v>108</v>
      </c>
      <c r="D38" s="130" t="s">
        <v>111</v>
      </c>
      <c r="E38" s="213">
        <v>6868195</v>
      </c>
    </row>
    <row r="39" spans="1:6" ht="12.75" customHeight="1" outlineLevel="2">
      <c r="A39" s="130" t="s">
        <v>53</v>
      </c>
      <c r="B39" s="130" t="s">
        <v>54</v>
      </c>
      <c r="C39" s="63" t="s">
        <v>109</v>
      </c>
      <c r="D39" s="130" t="s">
        <v>111</v>
      </c>
      <c r="E39" s="213">
        <v>6800000</v>
      </c>
    </row>
    <row r="40" spans="1:6" ht="12.75" customHeight="1" outlineLevel="2">
      <c r="A40" s="130" t="s">
        <v>85</v>
      </c>
      <c r="B40" s="130" t="s">
        <v>86</v>
      </c>
      <c r="C40" s="63" t="s">
        <v>110</v>
      </c>
      <c r="D40" s="130" t="s">
        <v>111</v>
      </c>
      <c r="E40" s="216">
        <v>6776264</v>
      </c>
    </row>
    <row r="41" spans="1:6" ht="12.75" customHeight="1" outlineLevel="2">
      <c r="A41" s="130" t="s">
        <v>714</v>
      </c>
      <c r="B41" s="130" t="s">
        <v>713</v>
      </c>
      <c r="C41" s="63" t="s">
        <v>716</v>
      </c>
      <c r="D41" s="130" t="s">
        <v>111</v>
      </c>
      <c r="E41" s="216">
        <v>6500000</v>
      </c>
    </row>
    <row r="42" spans="1:6" ht="12.75" customHeight="1" outlineLevel="2">
      <c r="A42" s="130" t="s">
        <v>714</v>
      </c>
      <c r="B42" s="130" t="s">
        <v>713</v>
      </c>
      <c r="C42" s="63" t="s">
        <v>717</v>
      </c>
      <c r="D42" s="130" t="s">
        <v>111</v>
      </c>
      <c r="E42" s="216">
        <v>6500000</v>
      </c>
    </row>
    <row r="43" spans="1:6" ht="12.75" customHeight="1" outlineLevel="2">
      <c r="A43" s="130" t="s">
        <v>714</v>
      </c>
      <c r="B43" s="130" t="s">
        <v>713</v>
      </c>
      <c r="C43" s="63" t="s">
        <v>718</v>
      </c>
      <c r="D43" s="130" t="s">
        <v>111</v>
      </c>
      <c r="E43" s="216">
        <v>6500000</v>
      </c>
    </row>
    <row r="44" spans="1:6" ht="12.75" customHeight="1" outlineLevel="2">
      <c r="A44" s="130" t="s">
        <v>714</v>
      </c>
      <c r="B44" s="130" t="s">
        <v>713</v>
      </c>
      <c r="C44" s="63" t="s">
        <v>719</v>
      </c>
      <c r="D44" s="130" t="s">
        <v>111</v>
      </c>
      <c r="E44" s="216">
        <v>6500000</v>
      </c>
    </row>
    <row r="45" spans="1:6" ht="12.75" customHeight="1" outlineLevel="2">
      <c r="A45" s="217" t="s">
        <v>729</v>
      </c>
      <c r="B45" s="130" t="s">
        <v>728</v>
      </c>
      <c r="C45" s="63" t="s">
        <v>731</v>
      </c>
      <c r="D45" s="130" t="s">
        <v>111</v>
      </c>
      <c r="E45" s="216">
        <v>6513157.8947368423</v>
      </c>
    </row>
    <row r="46" spans="1:6" ht="12.75" customHeight="1" outlineLevel="2">
      <c r="A46" s="217" t="s">
        <v>729</v>
      </c>
      <c r="B46" s="130" t="s">
        <v>728</v>
      </c>
      <c r="C46" s="63" t="s">
        <v>732</v>
      </c>
      <c r="D46" s="130" t="s">
        <v>111</v>
      </c>
      <c r="E46" s="216">
        <v>6513157.8947368423</v>
      </c>
    </row>
    <row r="47" spans="1:6" ht="12.75" customHeight="1" outlineLevel="2">
      <c r="A47" s="217" t="s">
        <v>729</v>
      </c>
      <c r="B47" s="130" t="s">
        <v>728</v>
      </c>
      <c r="C47" s="62" t="s">
        <v>734</v>
      </c>
      <c r="D47" s="130" t="s">
        <v>111</v>
      </c>
      <c r="E47" s="216">
        <v>9236842.1052631587</v>
      </c>
    </row>
    <row r="48" spans="1:6" ht="12.75" customHeight="1" outlineLevel="2">
      <c r="A48" s="217" t="s">
        <v>729</v>
      </c>
      <c r="B48" s="130" t="s">
        <v>728</v>
      </c>
      <c r="C48" s="62" t="s">
        <v>733</v>
      </c>
      <c r="D48" s="130" t="s">
        <v>111</v>
      </c>
      <c r="E48" s="216">
        <v>5921052.6315789474</v>
      </c>
    </row>
    <row r="49" spans="1:5" ht="12.75" customHeight="1" outlineLevel="2">
      <c r="A49" s="130" t="s">
        <v>57</v>
      </c>
      <c r="B49" s="130" t="s">
        <v>58</v>
      </c>
      <c r="C49" s="130" t="s">
        <v>111</v>
      </c>
      <c r="D49" s="130" t="s">
        <v>111</v>
      </c>
      <c r="E49" s="216">
        <v>6500000</v>
      </c>
    </row>
    <row r="50" spans="1:5" ht="12.75" customHeight="1" outlineLevel="2">
      <c r="A50" s="130" t="s">
        <v>57</v>
      </c>
      <c r="B50" s="130" t="s">
        <v>58</v>
      </c>
      <c r="C50" s="130" t="s">
        <v>111</v>
      </c>
      <c r="D50" s="130" t="s">
        <v>111</v>
      </c>
      <c r="E50" s="216">
        <v>6500000</v>
      </c>
    </row>
    <row r="51" spans="1:5" ht="12.75" customHeight="1" outlineLevel="2">
      <c r="A51" s="130" t="s">
        <v>88</v>
      </c>
      <c r="B51" s="130" t="s">
        <v>71</v>
      </c>
      <c r="C51" s="63" t="s">
        <v>112</v>
      </c>
      <c r="D51" s="130" t="s">
        <v>111</v>
      </c>
      <c r="E51" s="213">
        <v>6382022</v>
      </c>
    </row>
    <row r="52" spans="1:5" ht="12.75" customHeight="1" outlineLevel="2">
      <c r="A52" s="130" t="s">
        <v>88</v>
      </c>
      <c r="B52" s="130" t="s">
        <v>71</v>
      </c>
      <c r="C52" s="63" t="s">
        <v>113</v>
      </c>
      <c r="D52" s="130" t="s">
        <v>111</v>
      </c>
      <c r="E52" s="213">
        <v>6382022</v>
      </c>
    </row>
    <row r="53" spans="1:5" ht="12.75" customHeight="1" outlineLevel="2">
      <c r="A53" s="130" t="s">
        <v>57</v>
      </c>
      <c r="B53" s="130" t="s">
        <v>76</v>
      </c>
      <c r="C53" s="130" t="s">
        <v>114</v>
      </c>
      <c r="D53" s="130" t="s">
        <v>111</v>
      </c>
      <c r="E53" s="216">
        <v>6288000</v>
      </c>
    </row>
    <row r="54" spans="1:5" ht="12.75" customHeight="1" outlineLevel="2">
      <c r="A54" s="130" t="s">
        <v>633</v>
      </c>
      <c r="B54" s="255" t="s">
        <v>634</v>
      </c>
      <c r="C54" s="130" t="s">
        <v>635</v>
      </c>
      <c r="D54" s="130" t="s">
        <v>111</v>
      </c>
      <c r="E54" s="216">
        <v>7600000</v>
      </c>
    </row>
    <row r="55" spans="1:5" ht="12.75" customHeight="1" outlineLevel="2">
      <c r="A55" s="130" t="s">
        <v>633</v>
      </c>
      <c r="B55" s="255" t="s">
        <v>634</v>
      </c>
      <c r="C55" s="130" t="s">
        <v>636</v>
      </c>
      <c r="D55" s="130" t="s">
        <v>111</v>
      </c>
      <c r="E55" s="216">
        <v>7400000</v>
      </c>
    </row>
    <row r="56" spans="1:5" ht="12.75" customHeight="1" outlineLevel="2">
      <c r="A56" s="130" t="s">
        <v>633</v>
      </c>
      <c r="B56" s="255" t="s">
        <v>634</v>
      </c>
      <c r="C56" s="130" t="s">
        <v>637</v>
      </c>
      <c r="D56" s="130" t="s">
        <v>111</v>
      </c>
      <c r="E56" s="216">
        <v>7400000</v>
      </c>
    </row>
    <row r="57" spans="1:5" ht="28.5" customHeight="1" outlineLevel="2">
      <c r="A57" s="130" t="s">
        <v>633</v>
      </c>
      <c r="B57" s="255" t="s">
        <v>634</v>
      </c>
      <c r="C57" s="217" t="s">
        <v>639</v>
      </c>
      <c r="D57" s="130" t="s">
        <v>111</v>
      </c>
      <c r="E57" s="216">
        <v>7400000</v>
      </c>
    </row>
    <row r="58" spans="1:5" ht="12.75" customHeight="1" outlineLevel="2">
      <c r="A58" s="130" t="s">
        <v>633</v>
      </c>
      <c r="B58" s="255" t="s">
        <v>634</v>
      </c>
      <c r="C58" s="130" t="s">
        <v>640</v>
      </c>
      <c r="D58" s="130" t="s">
        <v>111</v>
      </c>
      <c r="E58" s="216">
        <v>7400000</v>
      </c>
    </row>
    <row r="59" spans="1:5" ht="12.75" customHeight="1" outlineLevel="2">
      <c r="A59" s="130" t="s">
        <v>633</v>
      </c>
      <c r="B59" s="255" t="s">
        <v>634</v>
      </c>
      <c r="C59" s="130" t="s">
        <v>638</v>
      </c>
      <c r="D59" s="130" t="s">
        <v>111</v>
      </c>
      <c r="E59" s="216">
        <v>7400000</v>
      </c>
    </row>
    <row r="60" spans="1:5" ht="12.75" customHeight="1" outlineLevel="2">
      <c r="A60" s="130" t="s">
        <v>633</v>
      </c>
      <c r="B60" s="130" t="s">
        <v>683</v>
      </c>
      <c r="C60" s="63" t="s">
        <v>610</v>
      </c>
      <c r="D60" s="130" t="s">
        <v>111</v>
      </c>
      <c r="E60" s="216">
        <v>7000000</v>
      </c>
    </row>
    <row r="61" spans="1:5" ht="12.75" customHeight="1" outlineLevel="2">
      <c r="A61" s="130" t="s">
        <v>633</v>
      </c>
      <c r="B61" s="130" t="s">
        <v>683</v>
      </c>
      <c r="C61" s="63" t="s">
        <v>611</v>
      </c>
      <c r="D61" s="130" t="s">
        <v>111</v>
      </c>
      <c r="E61" s="216">
        <v>7000000</v>
      </c>
    </row>
    <row r="62" spans="1:5" ht="12.75" customHeight="1" outlineLevel="2">
      <c r="A62" s="130" t="s">
        <v>633</v>
      </c>
      <c r="B62" s="130" t="s">
        <v>683</v>
      </c>
      <c r="C62" s="63" t="s">
        <v>612</v>
      </c>
      <c r="D62" s="130" t="s">
        <v>111</v>
      </c>
      <c r="E62" s="216">
        <v>5000000</v>
      </c>
    </row>
    <row r="63" spans="1:5" ht="12.75" customHeight="1" outlineLevel="2">
      <c r="A63" s="130" t="s">
        <v>633</v>
      </c>
      <c r="B63" s="130" t="s">
        <v>683</v>
      </c>
      <c r="C63" s="63" t="s">
        <v>613</v>
      </c>
      <c r="D63" s="130" t="s">
        <v>111</v>
      </c>
      <c r="E63" s="216">
        <v>7000000</v>
      </c>
    </row>
    <row r="64" spans="1:5" ht="12.75" customHeight="1" outlineLevel="2">
      <c r="A64" s="130" t="s">
        <v>633</v>
      </c>
      <c r="B64" s="130" t="s">
        <v>683</v>
      </c>
      <c r="C64" s="63" t="s">
        <v>614</v>
      </c>
      <c r="D64" s="130" t="s">
        <v>111</v>
      </c>
      <c r="E64" s="216">
        <v>7000000</v>
      </c>
    </row>
    <row r="65" spans="1:6" ht="12.75" customHeight="1" outlineLevel="2">
      <c r="A65" s="130" t="s">
        <v>633</v>
      </c>
      <c r="B65" s="130" t="s">
        <v>683</v>
      </c>
      <c r="C65" s="63" t="s">
        <v>615</v>
      </c>
      <c r="D65" s="130" t="s">
        <v>111</v>
      </c>
      <c r="E65" s="216">
        <v>7000000</v>
      </c>
    </row>
    <row r="66" spans="1:6" ht="12.75" customHeight="1" outlineLevel="2">
      <c r="A66" s="130" t="s">
        <v>633</v>
      </c>
      <c r="B66" s="130" t="s">
        <v>683</v>
      </c>
      <c r="C66" s="63" t="s">
        <v>616</v>
      </c>
      <c r="D66" s="130" t="s">
        <v>111</v>
      </c>
      <c r="E66" s="216">
        <v>7000000</v>
      </c>
    </row>
    <row r="67" spans="1:6" ht="12.75" customHeight="1" outlineLevel="2">
      <c r="A67" s="220"/>
      <c r="B67" s="220"/>
      <c r="C67" s="221"/>
      <c r="D67" s="252" t="s">
        <v>477</v>
      </c>
      <c r="E67" s="222">
        <f>SUBTOTAL(1,E38:E66)</f>
        <v>6837265.9836660624</v>
      </c>
      <c r="F67" s="46">
        <v>5210040</v>
      </c>
    </row>
    <row r="68" spans="1:6" ht="12.75" customHeight="1" outlineLevel="2">
      <c r="A68" s="249" t="s">
        <v>62</v>
      </c>
      <c r="B68" s="249" t="s">
        <v>63</v>
      </c>
      <c r="C68" s="249" t="s">
        <v>151</v>
      </c>
      <c r="D68" s="249" t="s">
        <v>165</v>
      </c>
      <c r="E68" s="253">
        <v>2486488</v>
      </c>
    </row>
    <row r="69" spans="1:6" ht="12.75" customHeight="1" outlineLevel="1">
      <c r="A69" s="249" t="s">
        <v>480</v>
      </c>
      <c r="B69" s="249" t="s">
        <v>481</v>
      </c>
      <c r="C69" s="249" t="s">
        <v>482</v>
      </c>
      <c r="D69" s="249" t="s">
        <v>165</v>
      </c>
      <c r="E69" s="253">
        <v>2490000</v>
      </c>
    </row>
    <row r="70" spans="1:6" ht="12.75" customHeight="1">
      <c r="A70" s="249" t="s">
        <v>483</v>
      </c>
      <c r="B70" s="249" t="s">
        <v>475</v>
      </c>
      <c r="C70" s="249" t="s">
        <v>484</v>
      </c>
      <c r="D70" s="249" t="s">
        <v>165</v>
      </c>
      <c r="E70" s="253">
        <v>4200000</v>
      </c>
    </row>
    <row r="71" spans="1:6" ht="12.75" customHeight="1">
      <c r="A71" s="249" t="s">
        <v>485</v>
      </c>
      <c r="B71" s="249" t="s">
        <v>476</v>
      </c>
      <c r="C71" s="249" t="s">
        <v>486</v>
      </c>
      <c r="D71" s="249" t="s">
        <v>165</v>
      </c>
      <c r="E71" s="253">
        <v>4382285</v>
      </c>
    </row>
    <row r="72" spans="1:6" ht="12.75" customHeight="1">
      <c r="A72" s="249" t="s">
        <v>473</v>
      </c>
      <c r="B72" s="249" t="s">
        <v>474</v>
      </c>
      <c r="C72" s="249" t="s">
        <v>151</v>
      </c>
      <c r="D72" s="249" t="s">
        <v>165</v>
      </c>
      <c r="E72" s="253">
        <v>2000000</v>
      </c>
    </row>
    <row r="73" spans="1:6" ht="12.75" customHeight="1">
      <c r="A73" s="130" t="s">
        <v>633</v>
      </c>
      <c r="B73" s="255" t="s">
        <v>634</v>
      </c>
      <c r="C73" s="130" t="s">
        <v>641</v>
      </c>
      <c r="D73" s="249" t="s">
        <v>478</v>
      </c>
      <c r="E73" s="213">
        <v>4000000</v>
      </c>
    </row>
    <row r="74" spans="1:6" ht="12.75" customHeight="1">
      <c r="A74" s="130" t="s">
        <v>633</v>
      </c>
      <c r="B74" s="130" t="s">
        <v>683</v>
      </c>
      <c r="C74" s="63" t="s">
        <v>617</v>
      </c>
      <c r="D74" s="249" t="s">
        <v>478</v>
      </c>
      <c r="E74" s="213">
        <v>3000000</v>
      </c>
    </row>
    <row r="75" spans="1:6" ht="12.75" customHeight="1">
      <c r="A75" s="130" t="s">
        <v>633</v>
      </c>
      <c r="B75" s="130" t="s">
        <v>684</v>
      </c>
      <c r="C75" s="63" t="s">
        <v>618</v>
      </c>
      <c r="D75" s="249" t="s">
        <v>478</v>
      </c>
      <c r="E75" s="213">
        <v>3295200</v>
      </c>
    </row>
    <row r="76" spans="1:6" ht="12.75" customHeight="1">
      <c r="A76" s="130" t="s">
        <v>633</v>
      </c>
      <c r="B76" s="130" t="s">
        <v>685</v>
      </c>
      <c r="C76" s="63" t="s">
        <v>471</v>
      </c>
      <c r="D76" s="249" t="s">
        <v>478</v>
      </c>
      <c r="E76" s="213">
        <v>2140000</v>
      </c>
    </row>
    <row r="77" spans="1:6" ht="12.75" customHeight="1">
      <c r="A77" s="130" t="s">
        <v>714</v>
      </c>
      <c r="B77" s="130" t="s">
        <v>713</v>
      </c>
      <c r="C77" s="63" t="s">
        <v>720</v>
      </c>
      <c r="D77" s="249" t="s">
        <v>478</v>
      </c>
      <c r="E77" s="213">
        <v>4000000</v>
      </c>
    </row>
    <row r="78" spans="1:6" ht="12.75" customHeight="1">
      <c r="A78" s="130" t="s">
        <v>714</v>
      </c>
      <c r="B78" s="130" t="s">
        <v>713</v>
      </c>
      <c r="C78" s="63" t="s">
        <v>721</v>
      </c>
      <c r="D78" s="249" t="s">
        <v>478</v>
      </c>
      <c r="E78" s="213">
        <v>3333333.3330000001</v>
      </c>
    </row>
    <row r="79" spans="1:6" ht="12.75" customHeight="1">
      <c r="A79" s="217" t="s">
        <v>729</v>
      </c>
      <c r="B79" s="130" t="s">
        <v>728</v>
      </c>
      <c r="C79" s="63" t="s">
        <v>743</v>
      </c>
      <c r="D79" s="249" t="s">
        <v>478</v>
      </c>
      <c r="E79" s="213">
        <v>3789473.6842105263</v>
      </c>
    </row>
    <row r="80" spans="1:6" ht="12.75" customHeight="1">
      <c r="A80" s="217" t="s">
        <v>759</v>
      </c>
      <c r="B80" s="130" t="s">
        <v>757</v>
      </c>
      <c r="C80" s="63" t="s">
        <v>764</v>
      </c>
      <c r="D80" s="249" t="s">
        <v>478</v>
      </c>
      <c r="E80" s="213">
        <v>2500000</v>
      </c>
    </row>
    <row r="81" spans="1:5" ht="12.75" customHeight="1">
      <c r="A81" s="217" t="s">
        <v>759</v>
      </c>
      <c r="B81" s="130" t="s">
        <v>757</v>
      </c>
      <c r="C81" s="63" t="s">
        <v>765</v>
      </c>
      <c r="D81" s="249" t="s">
        <v>478</v>
      </c>
      <c r="E81" s="213">
        <v>2500000</v>
      </c>
    </row>
    <row r="82" spans="1:5" ht="12.75" customHeight="1">
      <c r="A82" s="218"/>
      <c r="B82" s="218"/>
      <c r="C82" s="218"/>
      <c r="D82" s="248" t="s">
        <v>479</v>
      </c>
      <c r="E82" s="212">
        <f>SUBTOTAL(1,E68:E76)</f>
        <v>3110441.4444444445</v>
      </c>
    </row>
    <row r="83" spans="1:5" ht="12.75" customHeight="1">
      <c r="A83" s="218"/>
      <c r="B83" s="218"/>
      <c r="C83" s="218"/>
      <c r="D83" s="218" t="s">
        <v>168</v>
      </c>
      <c r="E83" s="212">
        <f>SUBTOTAL(1,E7:E73)</f>
        <v>7735389.5651821857</v>
      </c>
    </row>
    <row r="84" spans="1:5" ht="12.75" customHeight="1">
      <c r="E84" s="223"/>
    </row>
    <row r="85" spans="1:5" ht="12.75" customHeight="1">
      <c r="E85" s="223"/>
    </row>
    <row r="86" spans="1:5" ht="12.75" customHeight="1">
      <c r="E86" s="223"/>
    </row>
    <row r="87" spans="1:5" ht="12.75" customHeight="1">
      <c r="E87" s="223"/>
    </row>
    <row r="88" spans="1:5" ht="12.75" customHeight="1">
      <c r="E88" s="223"/>
    </row>
    <row r="89" spans="1:5" ht="12.75" customHeight="1">
      <c r="E89" s="223"/>
    </row>
    <row r="90" spans="1:5" ht="12.75" customHeight="1">
      <c r="E90" s="223"/>
    </row>
    <row r="91" spans="1:5" ht="12.75" customHeight="1">
      <c r="E91" s="223"/>
    </row>
    <row r="92" spans="1:5" ht="12.75" customHeight="1">
      <c r="A92" s="250"/>
      <c r="B92" s="250"/>
      <c r="C92" s="250"/>
      <c r="D92" s="250"/>
      <c r="E92" s="251"/>
    </row>
    <row r="93" spans="1:5" ht="12.75" customHeight="1">
      <c r="A93" s="250"/>
      <c r="B93" s="250"/>
      <c r="C93" s="250"/>
      <c r="D93" s="250"/>
      <c r="E93" s="251"/>
    </row>
    <row r="94" spans="1:5" ht="12.75" customHeight="1">
      <c r="A94" s="250"/>
      <c r="B94" s="250"/>
      <c r="C94" s="250"/>
      <c r="D94" s="250"/>
      <c r="E94" s="251"/>
    </row>
    <row r="95" spans="1:5" ht="12.75" customHeight="1">
      <c r="A95" s="250"/>
      <c r="B95" s="250"/>
      <c r="C95" s="250"/>
      <c r="D95" s="250"/>
      <c r="E95" s="251"/>
    </row>
    <row r="96" spans="1:5" ht="12.75" customHeight="1">
      <c r="E96" s="223"/>
    </row>
    <row r="97" spans="5:5" ht="12.75" customHeight="1">
      <c r="E97" s="223"/>
    </row>
    <row r="98" spans="5:5" ht="12.75" customHeight="1">
      <c r="E98" s="223"/>
    </row>
    <row r="99" spans="5:5" ht="12.75" customHeight="1">
      <c r="E99" s="223"/>
    </row>
  </sheetData>
  <autoFilter ref="A6:E99" xr:uid="{00000000-0009-0000-0000-000004000000}"/>
  <mergeCells count="4">
    <mergeCell ref="A1:E1"/>
    <mergeCell ref="B2:E2"/>
    <mergeCell ref="A4:E4"/>
    <mergeCell ref="A5:E5"/>
  </mergeCells>
  <phoneticPr fontId="32" type="noConversion"/>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4" tint="0.79995117038483843"/>
  </sheetPr>
  <dimension ref="A1:E61"/>
  <sheetViews>
    <sheetView workbookViewId="0">
      <selection activeCell="B41" sqref="B41"/>
    </sheetView>
  </sheetViews>
  <sheetFormatPr baseColWidth="10" defaultColWidth="49.28515625" defaultRowHeight="12.75" customHeight="1" outlineLevelRow="2"/>
  <cols>
    <col min="1" max="1" width="49.28515625" style="46"/>
    <col min="2" max="2" width="18.28515625" style="46" customWidth="1"/>
    <col min="3" max="3" width="57" style="46" customWidth="1"/>
    <col min="4" max="4" width="42.28515625" style="46" customWidth="1"/>
    <col min="5" max="5" width="12.7109375" style="207" customWidth="1"/>
    <col min="6" max="16384" width="49.28515625" style="46"/>
  </cols>
  <sheetData>
    <row r="1" spans="1:5" ht="12.75" customHeight="1">
      <c r="A1" s="506" t="s">
        <v>44</v>
      </c>
      <c r="B1" s="506"/>
      <c r="C1" s="506"/>
      <c r="D1" s="506"/>
      <c r="E1" s="506"/>
    </row>
    <row r="2" spans="1:5" ht="12.75" customHeight="1">
      <c r="A2" s="208" t="s">
        <v>45</v>
      </c>
      <c r="B2" s="508" t="s">
        <v>46</v>
      </c>
      <c r="C2" s="509"/>
      <c r="D2" s="509"/>
      <c r="E2" s="510"/>
    </row>
    <row r="4" spans="1:5" s="206" customFormat="1" ht="12.75" customHeight="1">
      <c r="A4" s="511" t="s">
        <v>47</v>
      </c>
      <c r="B4" s="512"/>
      <c r="C4" s="512"/>
      <c r="D4" s="512"/>
      <c r="E4" s="512"/>
    </row>
    <row r="5" spans="1:5" ht="12.75" customHeight="1">
      <c r="A5" s="513" t="s">
        <v>12</v>
      </c>
      <c r="B5" s="514"/>
      <c r="C5" s="514"/>
      <c r="D5" s="514"/>
      <c r="E5" s="514"/>
    </row>
    <row r="6" spans="1:5" s="56" customFormat="1" ht="12.75" customHeight="1">
      <c r="A6" s="209" t="s">
        <v>48</v>
      </c>
      <c r="B6" s="209" t="s">
        <v>51</v>
      </c>
      <c r="C6" s="210" t="s">
        <v>52</v>
      </c>
      <c r="D6" s="211" t="s">
        <v>49</v>
      </c>
      <c r="E6" s="212" t="s">
        <v>50</v>
      </c>
    </row>
    <row r="7" spans="1:5" ht="12.75" customHeight="1" outlineLevel="1">
      <c r="A7" s="217" t="s">
        <v>729</v>
      </c>
      <c r="B7" s="130" t="s">
        <v>728</v>
      </c>
      <c r="C7" s="63" t="s">
        <v>748</v>
      </c>
      <c r="D7" s="130" t="s">
        <v>771</v>
      </c>
      <c r="E7" s="213">
        <v>4144736.8421052601</v>
      </c>
    </row>
    <row r="8" spans="1:5" ht="12.75" customHeight="1" outlineLevel="1">
      <c r="A8" s="217" t="s">
        <v>729</v>
      </c>
      <c r="B8" s="130" t="s">
        <v>728</v>
      </c>
      <c r="C8" s="63" t="s">
        <v>753</v>
      </c>
      <c r="D8" s="130" t="s">
        <v>771</v>
      </c>
      <c r="E8" s="213">
        <v>12500000</v>
      </c>
    </row>
    <row r="9" spans="1:5" ht="12.75" customHeight="1" outlineLevel="1">
      <c r="A9" s="130" t="s">
        <v>633</v>
      </c>
      <c r="B9" s="130" t="s">
        <v>683</v>
      </c>
      <c r="C9" s="63" t="s">
        <v>620</v>
      </c>
      <c r="D9" s="130" t="s">
        <v>771</v>
      </c>
      <c r="E9" s="213">
        <v>6000000</v>
      </c>
    </row>
    <row r="10" spans="1:5" ht="12.75" customHeight="1" outlineLevel="1">
      <c r="A10" s="130" t="s">
        <v>633</v>
      </c>
      <c r="B10" s="130" t="s">
        <v>683</v>
      </c>
      <c r="C10" s="448" t="s">
        <v>644</v>
      </c>
      <c r="D10" s="130" t="s">
        <v>771</v>
      </c>
      <c r="E10" s="213">
        <v>1600000</v>
      </c>
    </row>
    <row r="11" spans="1:5" ht="12.75" customHeight="1" outlineLevel="1">
      <c r="A11" s="130" t="s">
        <v>633</v>
      </c>
      <c r="B11" s="130" t="s">
        <v>683</v>
      </c>
      <c r="C11" s="63" t="s">
        <v>629</v>
      </c>
      <c r="D11" s="130" t="s">
        <v>771</v>
      </c>
      <c r="E11" s="213">
        <v>4166666.6666666665</v>
      </c>
    </row>
    <row r="12" spans="1:5" ht="12.75" customHeight="1" outlineLevel="1">
      <c r="A12" s="130" t="s">
        <v>633</v>
      </c>
      <c r="B12" s="130" t="s">
        <v>683</v>
      </c>
      <c r="C12" s="227" t="s">
        <v>632</v>
      </c>
      <c r="D12" s="130" t="s">
        <v>771</v>
      </c>
      <c r="E12" s="213">
        <v>15518400</v>
      </c>
    </row>
    <row r="13" spans="1:5" ht="12.75" customHeight="1" outlineLevel="1">
      <c r="A13" s="217" t="s">
        <v>759</v>
      </c>
      <c r="B13" s="130" t="s">
        <v>757</v>
      </c>
      <c r="C13" s="63" t="s">
        <v>769</v>
      </c>
      <c r="D13" s="130" t="s">
        <v>771</v>
      </c>
      <c r="E13" s="213">
        <v>30000000</v>
      </c>
    </row>
    <row r="14" spans="1:5" ht="12.75" customHeight="1" outlineLevel="1">
      <c r="A14" s="130" t="s">
        <v>633</v>
      </c>
      <c r="B14" s="255" t="s">
        <v>634</v>
      </c>
      <c r="C14" s="217" t="s">
        <v>643</v>
      </c>
      <c r="D14" s="130" t="s">
        <v>771</v>
      </c>
      <c r="E14" s="216">
        <v>1777650</v>
      </c>
    </row>
    <row r="15" spans="1:5" ht="12.75" customHeight="1" outlineLevel="1">
      <c r="A15" s="130"/>
      <c r="B15" s="130"/>
      <c r="C15" s="63"/>
      <c r="D15" s="214" t="s">
        <v>772</v>
      </c>
      <c r="E15" s="484">
        <f>SUM(E7:E14)/8</f>
        <v>9463431.6885964908</v>
      </c>
    </row>
    <row r="16" spans="1:5" ht="12.75" customHeight="1" outlineLevel="2">
      <c r="A16" s="130" t="s">
        <v>714</v>
      </c>
      <c r="B16" s="130" t="s">
        <v>713</v>
      </c>
      <c r="C16" s="63" t="s">
        <v>722</v>
      </c>
      <c r="D16" s="130" t="s">
        <v>173</v>
      </c>
      <c r="E16" s="213">
        <v>6055555.555555555</v>
      </c>
    </row>
    <row r="17" spans="1:5" ht="12.75" customHeight="1" outlineLevel="2">
      <c r="A17" s="130" t="s">
        <v>633</v>
      </c>
      <c r="B17" s="130" t="s">
        <v>683</v>
      </c>
      <c r="C17" s="63" t="s">
        <v>621</v>
      </c>
      <c r="D17" s="130" t="s">
        <v>173</v>
      </c>
      <c r="E17" s="213">
        <v>6800000</v>
      </c>
    </row>
    <row r="18" spans="1:5" ht="12.75" customHeight="1" outlineLevel="2">
      <c r="A18" s="130" t="s">
        <v>633</v>
      </c>
      <c r="B18" s="130" t="s">
        <v>683</v>
      </c>
      <c r="C18" s="63" t="s">
        <v>622</v>
      </c>
      <c r="D18" s="130" t="s">
        <v>173</v>
      </c>
      <c r="E18" s="213">
        <v>6800000</v>
      </c>
    </row>
    <row r="19" spans="1:5" ht="12.75" customHeight="1" outlineLevel="2">
      <c r="A19" s="130" t="s">
        <v>633</v>
      </c>
      <c r="B19" s="130" t="s">
        <v>683</v>
      </c>
      <c r="C19" s="63" t="s">
        <v>623</v>
      </c>
      <c r="D19" s="130" t="s">
        <v>173</v>
      </c>
      <c r="E19" s="213">
        <v>6800000</v>
      </c>
    </row>
    <row r="20" spans="1:5" ht="12.75" customHeight="1" outlineLevel="2">
      <c r="A20" s="130" t="s">
        <v>633</v>
      </c>
      <c r="B20" s="130" t="s">
        <v>683</v>
      </c>
      <c r="C20" s="63" t="s">
        <v>625</v>
      </c>
      <c r="D20" s="130" t="s">
        <v>173</v>
      </c>
      <c r="E20" s="213">
        <v>6500000</v>
      </c>
    </row>
    <row r="21" spans="1:5" ht="12.75" customHeight="1" outlineLevel="2">
      <c r="A21" s="130" t="s">
        <v>633</v>
      </c>
      <c r="B21" s="130" t="s">
        <v>683</v>
      </c>
      <c r="C21" s="63" t="s">
        <v>626</v>
      </c>
      <c r="D21" s="130" t="s">
        <v>173</v>
      </c>
      <c r="E21" s="213">
        <v>6000000</v>
      </c>
    </row>
    <row r="22" spans="1:5" ht="12.75" customHeight="1" outlineLevel="2">
      <c r="A22" s="130" t="s">
        <v>633</v>
      </c>
      <c r="B22" s="130" t="s">
        <v>683</v>
      </c>
      <c r="C22" s="63" t="s">
        <v>627</v>
      </c>
      <c r="D22" s="130" t="s">
        <v>173</v>
      </c>
      <c r="E22" s="213">
        <v>5000000</v>
      </c>
    </row>
    <row r="23" spans="1:5" ht="12.75" customHeight="1" outlineLevel="2">
      <c r="A23" s="130" t="s">
        <v>633</v>
      </c>
      <c r="B23" s="130" t="s">
        <v>683</v>
      </c>
      <c r="C23" s="63" t="s">
        <v>472</v>
      </c>
      <c r="D23" s="130" t="s">
        <v>173</v>
      </c>
      <c r="E23" s="213">
        <v>5000000</v>
      </c>
    </row>
    <row r="24" spans="1:5" ht="12.75" customHeight="1" outlineLevel="2">
      <c r="A24" s="130" t="s">
        <v>57</v>
      </c>
      <c r="B24" s="130" t="s">
        <v>58</v>
      </c>
      <c r="C24" s="61" t="s">
        <v>176</v>
      </c>
      <c r="D24" s="130" t="s">
        <v>173</v>
      </c>
      <c r="E24" s="216">
        <v>30000000</v>
      </c>
    </row>
    <row r="25" spans="1:5" ht="13.5" customHeight="1" outlineLevel="2">
      <c r="A25" s="130" t="s">
        <v>57</v>
      </c>
      <c r="B25" s="130" t="s">
        <v>58</v>
      </c>
      <c r="C25" s="12" t="s">
        <v>177</v>
      </c>
      <c r="D25" s="130" t="s">
        <v>173</v>
      </c>
      <c r="E25" s="216">
        <v>5000000</v>
      </c>
    </row>
    <row r="26" spans="1:5" ht="13.5" customHeight="1" outlineLevel="2">
      <c r="A26" s="217" t="s">
        <v>759</v>
      </c>
      <c r="B26" s="130" t="s">
        <v>757</v>
      </c>
      <c r="C26" s="62" t="s">
        <v>704</v>
      </c>
      <c r="D26" s="130" t="s">
        <v>173</v>
      </c>
      <c r="E26" s="216">
        <v>30740000</v>
      </c>
    </row>
    <row r="27" spans="1:5" ht="12.75" customHeight="1" outlineLevel="2">
      <c r="A27" s="130" t="s">
        <v>633</v>
      </c>
      <c r="B27" s="255" t="s">
        <v>634</v>
      </c>
      <c r="C27" s="217" t="s">
        <v>642</v>
      </c>
      <c r="D27" s="130" t="s">
        <v>173</v>
      </c>
      <c r="E27" s="216">
        <v>6933650</v>
      </c>
    </row>
    <row r="28" spans="1:5" ht="12.75" customHeight="1" outlineLevel="1">
      <c r="A28" s="130"/>
      <c r="B28" s="130"/>
      <c r="C28" s="217"/>
      <c r="D28" s="214" t="s">
        <v>179</v>
      </c>
      <c r="E28" s="485">
        <f>SUM(E16:E27)/12</f>
        <v>10135767.129629629</v>
      </c>
    </row>
    <row r="29" spans="1:5" ht="12.75" customHeight="1" outlineLevel="1">
      <c r="A29" s="130" t="s">
        <v>633</v>
      </c>
      <c r="B29" s="255" t="s">
        <v>634</v>
      </c>
      <c r="C29" s="217" t="s">
        <v>603</v>
      </c>
      <c r="D29" s="130" t="s">
        <v>603</v>
      </c>
      <c r="E29" s="216">
        <v>17301000</v>
      </c>
    </row>
    <row r="30" spans="1:5" ht="12.75" customHeight="1" outlineLevel="1">
      <c r="A30" s="217" t="s">
        <v>759</v>
      </c>
      <c r="B30" s="130" t="s">
        <v>757</v>
      </c>
      <c r="C30" s="62" t="s">
        <v>705</v>
      </c>
      <c r="D30" s="130" t="s">
        <v>603</v>
      </c>
      <c r="E30" s="216">
        <v>36800000</v>
      </c>
    </row>
    <row r="31" spans="1:5" ht="12.75" customHeight="1" outlineLevel="1">
      <c r="A31" s="217" t="s">
        <v>759</v>
      </c>
      <c r="B31" s="130" t="s">
        <v>757</v>
      </c>
      <c r="C31" s="62" t="s">
        <v>706</v>
      </c>
      <c r="D31" s="130" t="s">
        <v>603</v>
      </c>
      <c r="E31" s="216">
        <v>28800000</v>
      </c>
    </row>
    <row r="32" spans="1:5" ht="12.75" customHeight="1" outlineLevel="1">
      <c r="A32" s="130"/>
      <c r="B32" s="130"/>
      <c r="C32" s="217"/>
      <c r="D32" s="214" t="s">
        <v>773</v>
      </c>
      <c r="E32" s="485">
        <f>SUM(E29:E31)/3</f>
        <v>27633666.666666668</v>
      </c>
    </row>
    <row r="33" spans="1:5" ht="12.75" customHeight="1" outlineLevel="2">
      <c r="A33" s="130" t="s">
        <v>492</v>
      </c>
      <c r="B33" s="61" t="s">
        <v>489</v>
      </c>
      <c r="C33" s="256" t="s">
        <v>493</v>
      </c>
      <c r="D33" s="130" t="s">
        <v>770</v>
      </c>
      <c r="E33" s="428">
        <v>15474750</v>
      </c>
    </row>
    <row r="34" spans="1:5" ht="12.75" customHeight="1" outlineLevel="2">
      <c r="A34" s="130" t="s">
        <v>754</v>
      </c>
      <c r="B34" s="61" t="s">
        <v>490</v>
      </c>
      <c r="C34" s="256" t="s">
        <v>487</v>
      </c>
      <c r="D34" s="130" t="s">
        <v>770</v>
      </c>
      <c r="E34" s="428">
        <v>29441000</v>
      </c>
    </row>
    <row r="35" spans="1:5" ht="12.75" customHeight="1" outlineLevel="2">
      <c r="A35" s="130" t="s">
        <v>53</v>
      </c>
      <c r="B35" s="130" t="s">
        <v>54</v>
      </c>
      <c r="C35" s="63" t="s">
        <v>183</v>
      </c>
      <c r="D35" s="130" t="s">
        <v>770</v>
      </c>
      <c r="E35" s="213">
        <v>5831000</v>
      </c>
    </row>
    <row r="36" spans="1:5" ht="12.75" customHeight="1" outlineLevel="2">
      <c r="A36" s="130" t="s">
        <v>633</v>
      </c>
      <c r="B36" s="255" t="s">
        <v>634</v>
      </c>
      <c r="C36" s="63" t="s">
        <v>493</v>
      </c>
      <c r="D36" s="130" t="s">
        <v>770</v>
      </c>
      <c r="E36" s="213">
        <v>1450000</v>
      </c>
    </row>
    <row r="37" spans="1:5" ht="12.75" customHeight="1" outlineLevel="2">
      <c r="A37" s="217" t="s">
        <v>759</v>
      </c>
      <c r="B37" s="130" t="s">
        <v>757</v>
      </c>
      <c r="C37" s="63" t="s">
        <v>711</v>
      </c>
      <c r="D37" s="130" t="s">
        <v>770</v>
      </c>
      <c r="E37" s="213">
        <v>1760000</v>
      </c>
    </row>
    <row r="38" spans="1:5" ht="12.75" customHeight="1" outlineLevel="2">
      <c r="A38" s="130" t="s">
        <v>633</v>
      </c>
      <c r="B38" s="130" t="s">
        <v>683</v>
      </c>
      <c r="C38" s="63" t="s">
        <v>493</v>
      </c>
      <c r="D38" s="130" t="s">
        <v>770</v>
      </c>
      <c r="E38" s="213">
        <v>3360000</v>
      </c>
    </row>
    <row r="39" spans="1:5" ht="12.75" customHeight="1" outlineLevel="2">
      <c r="A39" s="217" t="s">
        <v>729</v>
      </c>
      <c r="B39" s="130" t="s">
        <v>728</v>
      </c>
      <c r="C39" s="63" t="s">
        <v>493</v>
      </c>
      <c r="D39" s="130" t="s">
        <v>770</v>
      </c>
      <c r="E39" s="213">
        <v>10300000</v>
      </c>
    </row>
    <row r="40" spans="1:5" ht="12.75" customHeight="1" outlineLevel="2">
      <c r="A40" s="130"/>
      <c r="B40" s="130"/>
      <c r="C40" s="63"/>
      <c r="D40" s="214" t="s">
        <v>774</v>
      </c>
      <c r="E40" s="484">
        <f>SUM(E33:E39)/7</f>
        <v>9659535.7142857146</v>
      </c>
    </row>
    <row r="41" spans="1:5" ht="12.75" customHeight="1" outlineLevel="2">
      <c r="A41" s="130" t="s">
        <v>714</v>
      </c>
      <c r="B41" s="130" t="s">
        <v>713</v>
      </c>
      <c r="C41" s="63" t="s">
        <v>723</v>
      </c>
      <c r="D41" s="130" t="s">
        <v>181</v>
      </c>
      <c r="E41" s="213">
        <v>5111111.111111111</v>
      </c>
    </row>
    <row r="42" spans="1:5" ht="12.75" customHeight="1" outlineLevel="2">
      <c r="A42" s="130" t="s">
        <v>714</v>
      </c>
      <c r="B42" s="130" t="s">
        <v>713</v>
      </c>
      <c r="C42" s="448" t="s">
        <v>724</v>
      </c>
      <c r="D42" s="130" t="s">
        <v>181</v>
      </c>
      <c r="E42" s="213">
        <v>6000000</v>
      </c>
    </row>
    <row r="43" spans="1:5" ht="12.75" customHeight="1" outlineLevel="2">
      <c r="A43" s="130" t="s">
        <v>714</v>
      </c>
      <c r="B43" s="130" t="s">
        <v>713</v>
      </c>
      <c r="C43" s="448" t="s">
        <v>725</v>
      </c>
      <c r="D43" s="130" t="s">
        <v>181</v>
      </c>
      <c r="E43" s="213">
        <v>3555555.5555555555</v>
      </c>
    </row>
    <row r="44" spans="1:5" ht="12.75" customHeight="1" outlineLevel="2">
      <c r="A44" s="217" t="s">
        <v>759</v>
      </c>
      <c r="B44" s="130" t="s">
        <v>757</v>
      </c>
      <c r="C44" s="63" t="s">
        <v>708</v>
      </c>
      <c r="D44" s="130" t="s">
        <v>181</v>
      </c>
      <c r="E44" s="213">
        <v>10000000</v>
      </c>
    </row>
    <row r="45" spans="1:5" ht="12.75" customHeight="1" outlineLevel="2">
      <c r="A45" s="217" t="s">
        <v>759</v>
      </c>
      <c r="B45" s="130" t="s">
        <v>757</v>
      </c>
      <c r="C45" s="63" t="s">
        <v>709</v>
      </c>
      <c r="D45" s="130" t="s">
        <v>181</v>
      </c>
      <c r="E45" s="213">
        <v>3000000</v>
      </c>
    </row>
    <row r="46" spans="1:5" ht="12.75" customHeight="1" outlineLevel="1">
      <c r="A46" s="130"/>
      <c r="B46" s="130"/>
      <c r="C46" s="63"/>
      <c r="D46" s="214" t="s">
        <v>184</v>
      </c>
      <c r="E46" s="484">
        <f>SUM(E41:E45)/5</f>
        <v>5533333.333333334</v>
      </c>
    </row>
    <row r="47" spans="1:5" ht="12.75" customHeight="1" outlineLevel="2">
      <c r="A47" s="130" t="s">
        <v>99</v>
      </c>
      <c r="B47" s="130" t="s">
        <v>101</v>
      </c>
      <c r="C47" s="130" t="s">
        <v>185</v>
      </c>
      <c r="D47" s="130" t="s">
        <v>186</v>
      </c>
      <c r="E47" s="216">
        <v>18000000</v>
      </c>
    </row>
    <row r="48" spans="1:5" ht="12.75" customHeight="1" outlineLevel="2">
      <c r="A48" s="130" t="s">
        <v>99</v>
      </c>
      <c r="B48" s="130" t="s">
        <v>101</v>
      </c>
      <c r="C48" s="130" t="s">
        <v>187</v>
      </c>
      <c r="D48" s="130" t="s">
        <v>186</v>
      </c>
      <c r="E48" s="216">
        <v>3613095</v>
      </c>
    </row>
    <row r="49" spans="1:5" ht="12.75" customHeight="1" outlineLevel="2">
      <c r="A49" s="130" t="s">
        <v>633</v>
      </c>
      <c r="B49" s="255" t="s">
        <v>634</v>
      </c>
      <c r="C49" s="130" t="s">
        <v>469</v>
      </c>
      <c r="D49" s="130" t="s">
        <v>186</v>
      </c>
      <c r="E49" s="216">
        <v>450000</v>
      </c>
    </row>
    <row r="50" spans="1:5" ht="12.75" customHeight="1" outlineLevel="2">
      <c r="A50" s="130" t="s">
        <v>633</v>
      </c>
      <c r="B50" s="130" t="s">
        <v>683</v>
      </c>
      <c r="C50" s="130" t="s">
        <v>469</v>
      </c>
      <c r="D50" s="130" t="s">
        <v>186</v>
      </c>
      <c r="E50" s="216">
        <v>960000</v>
      </c>
    </row>
    <row r="51" spans="1:5" ht="12.75" customHeight="1" outlineLevel="2">
      <c r="A51" s="130"/>
      <c r="B51" s="255"/>
      <c r="C51" s="130"/>
      <c r="D51" s="214" t="s">
        <v>188</v>
      </c>
      <c r="E51" s="216">
        <f>SUBTOTAL(1,E47:E50)</f>
        <v>5755773.75</v>
      </c>
    </row>
    <row r="52" spans="1:5" ht="12.75" customHeight="1" outlineLevel="2">
      <c r="A52" s="130" t="s">
        <v>57</v>
      </c>
      <c r="B52" s="255" t="s">
        <v>76</v>
      </c>
      <c r="C52" s="130" t="s">
        <v>192</v>
      </c>
      <c r="D52" s="130" t="s">
        <v>646</v>
      </c>
      <c r="E52" s="216">
        <v>315000000</v>
      </c>
    </row>
    <row r="53" spans="1:5" ht="12.75" customHeight="1" outlineLevel="2">
      <c r="A53" s="130" t="s">
        <v>57</v>
      </c>
      <c r="B53" s="255" t="s">
        <v>76</v>
      </c>
      <c r="C53" s="130" t="s">
        <v>193</v>
      </c>
      <c r="D53" s="130" t="s">
        <v>646</v>
      </c>
      <c r="E53" s="216">
        <v>300000</v>
      </c>
    </row>
    <row r="54" spans="1:5" ht="12.75" customHeight="1" outlineLevel="2">
      <c r="A54" s="130" t="s">
        <v>633</v>
      </c>
      <c r="B54" s="130" t="s">
        <v>683</v>
      </c>
      <c r="C54" s="227" t="s">
        <v>631</v>
      </c>
      <c r="D54" s="130" t="s">
        <v>646</v>
      </c>
      <c r="E54" s="216">
        <v>30000000</v>
      </c>
    </row>
    <row r="55" spans="1:5" ht="12.75" customHeight="1" outlineLevel="2">
      <c r="A55" s="130" t="s">
        <v>633</v>
      </c>
      <c r="B55" s="130" t="s">
        <v>683</v>
      </c>
      <c r="C55" s="448" t="s">
        <v>628</v>
      </c>
      <c r="D55" s="130" t="s">
        <v>646</v>
      </c>
      <c r="E55" s="216">
        <v>5000000</v>
      </c>
    </row>
    <row r="56" spans="1:5" ht="12.75" customHeight="1" outlineLevel="2">
      <c r="A56" s="130" t="s">
        <v>633</v>
      </c>
      <c r="B56" s="130" t="s">
        <v>683</v>
      </c>
      <c r="C56" s="227" t="s">
        <v>630</v>
      </c>
      <c r="D56" s="130" t="s">
        <v>646</v>
      </c>
      <c r="E56" s="216">
        <v>30000000</v>
      </c>
    </row>
    <row r="57" spans="1:5" ht="12.75" customHeight="1" outlineLevel="2">
      <c r="A57" s="130" t="s">
        <v>492</v>
      </c>
      <c r="B57" s="255" t="s">
        <v>647</v>
      </c>
      <c r="C57" s="130" t="s">
        <v>648</v>
      </c>
      <c r="D57" s="130" t="s">
        <v>646</v>
      </c>
      <c r="E57" s="216">
        <v>16200000</v>
      </c>
    </row>
    <row r="58" spans="1:5" ht="12.75" customHeight="1" outlineLevel="2">
      <c r="A58" s="130" t="s">
        <v>492</v>
      </c>
      <c r="B58" s="255" t="s">
        <v>647</v>
      </c>
      <c r="C58" s="130" t="s">
        <v>649</v>
      </c>
      <c r="D58" s="130" t="s">
        <v>646</v>
      </c>
      <c r="E58" s="216">
        <v>15474750</v>
      </c>
    </row>
    <row r="59" spans="1:5" ht="12.75" customHeight="1" outlineLevel="2">
      <c r="A59" s="217" t="s">
        <v>729</v>
      </c>
      <c r="B59" s="130" t="s">
        <v>728</v>
      </c>
      <c r="C59" s="130" t="s">
        <v>750</v>
      </c>
      <c r="D59" s="130" t="s">
        <v>646</v>
      </c>
      <c r="E59" s="216">
        <v>20000000</v>
      </c>
    </row>
    <row r="60" spans="1:5" ht="12.75" customHeight="1" outlineLevel="1">
      <c r="A60" s="130"/>
      <c r="B60" s="130"/>
      <c r="C60" s="130"/>
      <c r="D60" s="214" t="s">
        <v>645</v>
      </c>
      <c r="E60" s="486">
        <f>SUBTOTAL(1,E52:E59)</f>
        <v>53996843.75</v>
      </c>
    </row>
    <row r="61" spans="1:5" ht="12.75" customHeight="1">
      <c r="A61" s="130"/>
      <c r="B61" s="130"/>
      <c r="C61" s="63"/>
      <c r="D61" s="214" t="s">
        <v>168</v>
      </c>
      <c r="E61" s="213">
        <f>SUBTOTAL(1,E7:E53)</f>
        <v>16875432.723119695</v>
      </c>
    </row>
  </sheetData>
  <autoFilter ref="A6:E6" xr:uid="{0C99CC74-9E51-48DB-BB4E-A6A87E5FA190}"/>
  <sortState xmlns:xlrd2="http://schemas.microsoft.com/office/spreadsheetml/2017/richdata2" ref="A7:E60">
    <sortCondition ref="D7:D60"/>
  </sortState>
  <mergeCells count="4">
    <mergeCell ref="A1:E1"/>
    <mergeCell ref="B2:E2"/>
    <mergeCell ref="A4:E4"/>
    <mergeCell ref="A5:E5"/>
  </mergeCells>
  <phoneticPr fontId="35"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7" tint="0.79995117038483843"/>
  </sheetPr>
  <dimension ref="A1:N17"/>
  <sheetViews>
    <sheetView topLeftCell="E1" workbookViewId="0">
      <selection activeCell="I17" sqref="I2:I17"/>
    </sheetView>
  </sheetViews>
  <sheetFormatPr baseColWidth="10" defaultColWidth="11.42578125" defaultRowHeight="15"/>
  <cols>
    <col min="1" max="1" width="15" customWidth="1"/>
    <col min="2" max="2" width="22.28515625" customWidth="1"/>
    <col min="3" max="3" width="18" customWidth="1"/>
    <col min="4" max="4" width="19.7109375" customWidth="1"/>
    <col min="5" max="5" width="27.140625" customWidth="1"/>
    <col min="6" max="6" width="19.42578125" customWidth="1"/>
    <col min="7" max="7" width="17.85546875" customWidth="1"/>
    <col min="8" max="8" width="27.85546875" customWidth="1"/>
    <col min="9" max="9" width="21.85546875" customWidth="1"/>
    <col min="10" max="10" width="20.42578125" customWidth="1"/>
    <col min="11" max="11" width="16" style="205" customWidth="1"/>
    <col min="12" max="12" width="49" customWidth="1"/>
    <col min="13" max="13" width="14.7109375" customWidth="1"/>
    <col min="14" max="14" width="12" customWidth="1"/>
  </cols>
  <sheetData>
    <row r="1" spans="1:14">
      <c r="A1" t="s">
        <v>203</v>
      </c>
      <c r="B1" t="s">
        <v>204</v>
      </c>
      <c r="C1" t="s">
        <v>205</v>
      </c>
      <c r="D1" t="s">
        <v>206</v>
      </c>
      <c r="E1" t="s">
        <v>207</v>
      </c>
      <c r="F1" t="s">
        <v>208</v>
      </c>
      <c r="G1" t="s">
        <v>209</v>
      </c>
      <c r="H1" t="s">
        <v>210</v>
      </c>
      <c r="I1" t="s">
        <v>211</v>
      </c>
      <c r="J1" t="s">
        <v>212</v>
      </c>
      <c r="K1" s="205" t="s">
        <v>213</v>
      </c>
      <c r="L1" t="s">
        <v>214</v>
      </c>
      <c r="M1" t="s">
        <v>215</v>
      </c>
      <c r="N1" t="s">
        <v>216</v>
      </c>
    </row>
    <row r="2" spans="1:14">
      <c r="A2" t="s">
        <v>217</v>
      </c>
      <c r="B2" t="s">
        <v>218</v>
      </c>
      <c r="C2">
        <v>899999001</v>
      </c>
      <c r="D2" t="s">
        <v>219</v>
      </c>
      <c r="E2" t="s">
        <v>220</v>
      </c>
      <c r="F2" t="s">
        <v>221</v>
      </c>
      <c r="G2" t="s">
        <v>222</v>
      </c>
      <c r="H2" t="s">
        <v>223</v>
      </c>
      <c r="I2" t="s">
        <v>91</v>
      </c>
      <c r="J2" t="s">
        <v>224</v>
      </c>
      <c r="K2" s="205">
        <v>2280184441</v>
      </c>
      <c r="L2" t="s">
        <v>225</v>
      </c>
      <c r="M2" t="s">
        <v>226</v>
      </c>
    </row>
    <row r="3" spans="1:14">
      <c r="A3" t="s">
        <v>217</v>
      </c>
      <c r="B3" t="s">
        <v>218</v>
      </c>
      <c r="C3">
        <v>899999001</v>
      </c>
      <c r="D3" t="s">
        <v>219</v>
      </c>
      <c r="E3" t="s">
        <v>220</v>
      </c>
      <c r="F3" t="s">
        <v>227</v>
      </c>
      <c r="G3" t="s">
        <v>222</v>
      </c>
      <c r="H3" t="s">
        <v>228</v>
      </c>
      <c r="I3" t="s">
        <v>66</v>
      </c>
      <c r="J3" t="s">
        <v>229</v>
      </c>
      <c r="K3" s="205">
        <v>477047019</v>
      </c>
      <c r="L3" t="s">
        <v>230</v>
      </c>
      <c r="M3" t="s">
        <v>231</v>
      </c>
    </row>
    <row r="4" spans="1:14">
      <c r="A4" t="s">
        <v>217</v>
      </c>
      <c r="B4" t="s">
        <v>218</v>
      </c>
      <c r="C4">
        <v>899999001</v>
      </c>
      <c r="D4" t="s">
        <v>219</v>
      </c>
      <c r="E4" t="s">
        <v>232</v>
      </c>
      <c r="F4" t="s">
        <v>233</v>
      </c>
      <c r="G4" t="s">
        <v>222</v>
      </c>
      <c r="H4" t="s">
        <v>234</v>
      </c>
      <c r="I4" t="s">
        <v>54</v>
      </c>
      <c r="J4" t="s">
        <v>235</v>
      </c>
      <c r="K4" s="205">
        <v>2793585845</v>
      </c>
      <c r="L4" t="s">
        <v>236</v>
      </c>
      <c r="M4" t="s">
        <v>237</v>
      </c>
    </row>
    <row r="5" spans="1:14">
      <c r="A5" t="s">
        <v>217</v>
      </c>
      <c r="B5" t="s">
        <v>218</v>
      </c>
      <c r="C5">
        <v>899999001</v>
      </c>
      <c r="D5" t="s">
        <v>219</v>
      </c>
      <c r="E5" t="s">
        <v>220</v>
      </c>
      <c r="F5" t="s">
        <v>238</v>
      </c>
      <c r="G5" t="s">
        <v>239</v>
      </c>
      <c r="H5" t="s">
        <v>240</v>
      </c>
      <c r="I5" t="s">
        <v>100</v>
      </c>
      <c r="J5" t="s">
        <v>241</v>
      </c>
      <c r="K5" s="205">
        <v>3090737741</v>
      </c>
      <c r="L5" t="s">
        <v>99</v>
      </c>
      <c r="M5" t="s">
        <v>242</v>
      </c>
    </row>
    <row r="6" spans="1:14">
      <c r="A6" t="s">
        <v>217</v>
      </c>
      <c r="B6" t="s">
        <v>218</v>
      </c>
      <c r="C6">
        <v>899999001</v>
      </c>
      <c r="D6" t="s">
        <v>219</v>
      </c>
      <c r="E6" t="s">
        <v>220</v>
      </c>
      <c r="F6" t="s">
        <v>243</v>
      </c>
      <c r="G6" t="s">
        <v>239</v>
      </c>
      <c r="H6" t="s">
        <v>244</v>
      </c>
      <c r="I6" t="s">
        <v>86</v>
      </c>
      <c r="J6" t="s">
        <v>245</v>
      </c>
      <c r="K6" s="205">
        <v>1729999998</v>
      </c>
      <c r="L6" t="s">
        <v>85</v>
      </c>
      <c r="M6" t="s">
        <v>246</v>
      </c>
    </row>
    <row r="7" spans="1:14">
      <c r="A7" t="s">
        <v>217</v>
      </c>
      <c r="B7" t="s">
        <v>218</v>
      </c>
      <c r="C7">
        <v>899999001</v>
      </c>
      <c r="D7" t="s">
        <v>247</v>
      </c>
      <c r="E7" t="s">
        <v>232</v>
      </c>
      <c r="F7" t="s">
        <v>248</v>
      </c>
      <c r="G7" t="s">
        <v>222</v>
      </c>
      <c r="H7" t="s">
        <v>249</v>
      </c>
      <c r="I7" t="s">
        <v>71</v>
      </c>
      <c r="J7" t="s">
        <v>250</v>
      </c>
      <c r="K7" s="205">
        <v>1443345273</v>
      </c>
      <c r="L7" t="s">
        <v>251</v>
      </c>
      <c r="M7" t="s">
        <v>252</v>
      </c>
    </row>
    <row r="8" spans="1:14">
      <c r="A8" t="s">
        <v>217</v>
      </c>
      <c r="B8" t="s">
        <v>218</v>
      </c>
      <c r="C8">
        <v>899999001</v>
      </c>
      <c r="D8" t="s">
        <v>219</v>
      </c>
      <c r="E8" t="s">
        <v>220</v>
      </c>
      <c r="F8" t="s">
        <v>253</v>
      </c>
      <c r="G8" t="s">
        <v>222</v>
      </c>
      <c r="H8" t="s">
        <v>254</v>
      </c>
      <c r="I8" t="s">
        <v>63</v>
      </c>
      <c r="J8" t="s">
        <v>255</v>
      </c>
      <c r="K8" s="205">
        <v>1729908235</v>
      </c>
      <c r="L8" s="482" t="s">
        <v>787</v>
      </c>
      <c r="M8" t="s">
        <v>256</v>
      </c>
    </row>
    <row r="9" spans="1:14">
      <c r="A9" t="s">
        <v>217</v>
      </c>
      <c r="B9" t="s">
        <v>218</v>
      </c>
      <c r="C9">
        <v>899999001</v>
      </c>
      <c r="D9" t="s">
        <v>247</v>
      </c>
      <c r="E9" t="s">
        <v>220</v>
      </c>
      <c r="F9" t="s">
        <v>257</v>
      </c>
      <c r="G9" t="s">
        <v>239</v>
      </c>
      <c r="H9" t="s">
        <v>258</v>
      </c>
      <c r="I9" t="s">
        <v>58</v>
      </c>
      <c r="J9" t="s">
        <v>259</v>
      </c>
      <c r="K9" s="205">
        <v>1703660956</v>
      </c>
      <c r="L9" t="s">
        <v>260</v>
      </c>
      <c r="M9" t="s">
        <v>261</v>
      </c>
    </row>
    <row r="10" spans="1:14">
      <c r="A10" t="s">
        <v>217</v>
      </c>
      <c r="B10" t="s">
        <v>218</v>
      </c>
      <c r="C10">
        <v>899999001</v>
      </c>
      <c r="D10" t="s">
        <v>247</v>
      </c>
      <c r="E10" t="s">
        <v>220</v>
      </c>
      <c r="F10" t="s">
        <v>262</v>
      </c>
      <c r="G10" t="s">
        <v>222</v>
      </c>
      <c r="H10" t="s">
        <v>263</v>
      </c>
      <c r="I10" t="s">
        <v>101</v>
      </c>
      <c r="J10" t="s">
        <v>264</v>
      </c>
      <c r="K10" s="205">
        <v>1990738196</v>
      </c>
      <c r="L10" t="s">
        <v>99</v>
      </c>
      <c r="M10" t="s">
        <v>265</v>
      </c>
    </row>
    <row r="11" spans="1:14">
      <c r="A11" t="s">
        <v>217</v>
      </c>
      <c r="B11" t="s">
        <v>218</v>
      </c>
      <c r="C11">
        <v>899999002</v>
      </c>
      <c r="D11" t="s">
        <v>247</v>
      </c>
      <c r="E11" t="s">
        <v>220</v>
      </c>
      <c r="F11" s="205" t="s">
        <v>682</v>
      </c>
      <c r="G11" t="s">
        <v>222</v>
      </c>
      <c r="H11" s="205"/>
      <c r="I11" s="205" t="s">
        <v>634</v>
      </c>
      <c r="J11" t="s">
        <v>680</v>
      </c>
      <c r="K11" s="205">
        <v>362176000</v>
      </c>
      <c r="L11" s="205" t="s">
        <v>679</v>
      </c>
      <c r="M11" s="449" t="s">
        <v>681</v>
      </c>
      <c r="N11" s="205"/>
    </row>
    <row r="12" spans="1:14">
      <c r="A12" t="s">
        <v>217</v>
      </c>
      <c r="B12" t="s">
        <v>218</v>
      </c>
      <c r="C12">
        <v>899999001</v>
      </c>
      <c r="D12" s="482" t="s">
        <v>219</v>
      </c>
      <c r="E12" t="s">
        <v>220</v>
      </c>
      <c r="F12" t="s">
        <v>606</v>
      </c>
      <c r="G12" t="s">
        <v>222</v>
      </c>
      <c r="H12" s="479">
        <v>45098.612592592595</v>
      </c>
      <c r="I12" t="s">
        <v>683</v>
      </c>
      <c r="J12" t="s">
        <v>712</v>
      </c>
      <c r="K12" s="205">
        <v>913129600</v>
      </c>
      <c r="L12" s="478" t="s">
        <v>679</v>
      </c>
      <c r="M12" t="s">
        <v>265</v>
      </c>
    </row>
    <row r="13" spans="1:14">
      <c r="A13" t="s">
        <v>217</v>
      </c>
      <c r="B13" t="s">
        <v>218</v>
      </c>
      <c r="C13">
        <v>899999001</v>
      </c>
      <c r="D13" s="482" t="s">
        <v>219</v>
      </c>
      <c r="E13" t="s">
        <v>220</v>
      </c>
      <c r="F13" t="s">
        <v>735</v>
      </c>
      <c r="G13" t="s">
        <v>222</v>
      </c>
      <c r="H13" s="482" t="s">
        <v>736</v>
      </c>
      <c r="I13" s="482" t="s">
        <v>713</v>
      </c>
      <c r="J13" t="s">
        <v>738</v>
      </c>
      <c r="K13" s="205">
        <v>470000000</v>
      </c>
      <c r="L13" s="482" t="s">
        <v>737</v>
      </c>
      <c r="M13" t="s">
        <v>739</v>
      </c>
    </row>
    <row r="14" spans="1:14">
      <c r="A14" t="s">
        <v>217</v>
      </c>
      <c r="B14" t="s">
        <v>218</v>
      </c>
      <c r="C14">
        <v>899999001</v>
      </c>
      <c r="D14" s="482" t="s">
        <v>219</v>
      </c>
      <c r="E14" t="s">
        <v>220</v>
      </c>
      <c r="F14" s="482" t="s">
        <v>758</v>
      </c>
      <c r="G14" t="s">
        <v>222</v>
      </c>
      <c r="H14" s="483" t="s">
        <v>756</v>
      </c>
      <c r="I14" s="482" t="s">
        <v>757</v>
      </c>
      <c r="J14" t="s">
        <v>755</v>
      </c>
      <c r="K14" s="205">
        <v>254000000</v>
      </c>
      <c r="L14" s="482" t="s">
        <v>759</v>
      </c>
      <c r="M14" t="s">
        <v>760</v>
      </c>
    </row>
    <row r="15" spans="1:14">
      <c r="A15" t="s">
        <v>217</v>
      </c>
      <c r="B15" t="s">
        <v>218</v>
      </c>
      <c r="C15">
        <v>899999002</v>
      </c>
      <c r="D15" s="482" t="s">
        <v>219</v>
      </c>
      <c r="E15" t="s">
        <v>220</v>
      </c>
      <c r="F15" t="s">
        <v>752</v>
      </c>
      <c r="G15" t="s">
        <v>222</v>
      </c>
      <c r="H15" s="482" t="s">
        <v>776</v>
      </c>
      <c r="I15" s="482" t="s">
        <v>728</v>
      </c>
      <c r="J15" t="s">
        <v>775</v>
      </c>
      <c r="K15" s="205">
        <v>460750000</v>
      </c>
      <c r="L15" t="s">
        <v>777</v>
      </c>
      <c r="M15" t="s">
        <v>778</v>
      </c>
    </row>
    <row r="16" spans="1:14">
      <c r="A16" t="s">
        <v>217</v>
      </c>
      <c r="B16" t="s">
        <v>218</v>
      </c>
      <c r="C16">
        <v>899999003</v>
      </c>
      <c r="D16" s="482" t="s">
        <v>219</v>
      </c>
      <c r="E16" t="s">
        <v>220</v>
      </c>
      <c r="F16" s="482" t="s">
        <v>782</v>
      </c>
      <c r="G16" t="s">
        <v>222</v>
      </c>
      <c r="H16" s="482" t="s">
        <v>781</v>
      </c>
      <c r="I16" s="482" t="s">
        <v>779</v>
      </c>
      <c r="J16" t="s">
        <v>780</v>
      </c>
      <c r="K16" s="205">
        <v>2534000000</v>
      </c>
      <c r="L16" t="s">
        <v>491</v>
      </c>
      <c r="M16" t="s">
        <v>785</v>
      </c>
    </row>
    <row r="17" spans="1:13">
      <c r="A17" t="s">
        <v>217</v>
      </c>
      <c r="B17" t="s">
        <v>218</v>
      </c>
      <c r="C17">
        <v>899999004</v>
      </c>
      <c r="D17" s="482" t="s">
        <v>219</v>
      </c>
      <c r="E17" t="s">
        <v>220</v>
      </c>
      <c r="F17" s="482" t="s">
        <v>786</v>
      </c>
      <c r="G17" t="s">
        <v>222</v>
      </c>
      <c r="H17" s="482" t="s">
        <v>784</v>
      </c>
      <c r="I17" s="482" t="s">
        <v>489</v>
      </c>
      <c r="J17" t="s">
        <v>783</v>
      </c>
      <c r="K17" s="205">
        <v>141537441</v>
      </c>
      <c r="L17" t="s">
        <v>492</v>
      </c>
      <c r="M17" t="s">
        <v>785</v>
      </c>
    </row>
  </sheetData>
  <phoneticPr fontId="35" type="noConversion"/>
  <hyperlinks>
    <hyperlink ref="M11" r:id="rId1" xr:uid="{D2C5E252-6647-47AC-95FB-F9E0F1C7BB48}"/>
  </hyperlinks>
  <pageMargins left="0.7" right="0.7" top="0.75" bottom="0.75" header="0.3" footer="0.3"/>
  <pageSetup paperSize="9" orientation="portrait" horizontalDpi="300" verticalDpi="300"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9" tint="0.79995117038483843"/>
  </sheetPr>
  <dimension ref="A1:M80"/>
  <sheetViews>
    <sheetView workbookViewId="0">
      <selection activeCell="D76" sqref="D76"/>
    </sheetView>
  </sheetViews>
  <sheetFormatPr baseColWidth="10" defaultColWidth="10.85546875" defaultRowHeight="12.75" customHeight="1"/>
  <cols>
    <col min="1" max="1" width="7" style="139" customWidth="1"/>
    <col min="2" max="2" width="53.7109375" style="1" customWidth="1"/>
    <col min="3" max="4" width="10.85546875" style="1"/>
    <col min="5" max="5" width="16.7109375" style="2" customWidth="1"/>
    <col min="6" max="6" width="17.42578125" style="1" customWidth="1"/>
    <col min="7" max="7" width="6.7109375" style="1" customWidth="1"/>
    <col min="8" max="8" width="17.42578125" style="1" customWidth="1"/>
    <col min="9" max="9" width="6.42578125" style="1" customWidth="1"/>
    <col min="10" max="10" width="17.42578125" style="1" customWidth="1"/>
    <col min="11" max="11" width="8" style="2" customWidth="1"/>
    <col min="12" max="12" width="17.42578125" style="1" customWidth="1"/>
    <col min="13" max="13" width="6.7109375" style="1" customWidth="1"/>
    <col min="14" max="16384" width="10.85546875" style="1"/>
  </cols>
  <sheetData>
    <row r="1" spans="1:13" ht="12.75" customHeight="1">
      <c r="A1" s="506" t="s">
        <v>0</v>
      </c>
      <c r="B1" s="506"/>
      <c r="C1" s="506"/>
      <c r="D1" s="506"/>
      <c r="E1" s="506"/>
      <c r="F1" s="506"/>
      <c r="G1" s="506"/>
      <c r="H1" s="506"/>
      <c r="I1" s="506"/>
      <c r="J1" s="506"/>
      <c r="K1" s="506"/>
      <c r="L1" s="506"/>
      <c r="M1" s="506"/>
    </row>
    <row r="2" spans="1:13" ht="12.75" customHeight="1">
      <c r="A2" s="520" t="s">
        <v>1</v>
      </c>
      <c r="B2" s="520"/>
      <c r="C2" s="521" t="s">
        <v>221</v>
      </c>
      <c r="D2" s="521"/>
      <c r="E2" s="521"/>
      <c r="F2" s="521"/>
      <c r="G2" s="521"/>
      <c r="H2" s="521"/>
      <c r="I2" s="521"/>
      <c r="J2" s="521"/>
      <c r="K2" s="521"/>
      <c r="L2" s="521"/>
      <c r="M2" s="521"/>
    </row>
    <row r="3" spans="1:13" ht="12.75" customHeight="1">
      <c r="A3" s="141"/>
      <c r="B3" s="142"/>
      <c r="C3" s="4"/>
      <c r="D3" s="4"/>
      <c r="E3" s="46"/>
      <c r="F3" s="4"/>
      <c r="G3" s="4"/>
      <c r="H3" s="4"/>
      <c r="I3" s="4"/>
      <c r="J3" s="4"/>
      <c r="K3" s="46"/>
      <c r="L3" s="4"/>
    </row>
    <row r="4" spans="1:13" s="2" customFormat="1" ht="12.75" customHeight="1">
      <c r="A4" s="143" t="s">
        <v>2</v>
      </c>
      <c r="B4" s="7" t="s">
        <v>3</v>
      </c>
      <c r="C4" s="6" t="s">
        <v>4</v>
      </c>
      <c r="D4" s="144"/>
      <c r="E4" s="145" t="s">
        <v>266</v>
      </c>
      <c r="F4" s="145" t="s">
        <v>267</v>
      </c>
      <c r="G4" s="146" t="s">
        <v>11</v>
      </c>
      <c r="H4" s="147" t="s">
        <v>268</v>
      </c>
      <c r="I4" s="147"/>
      <c r="J4" s="147" t="s">
        <v>269</v>
      </c>
      <c r="K4" s="7" t="s">
        <v>11</v>
      </c>
      <c r="L4" s="147" t="s">
        <v>270</v>
      </c>
      <c r="M4" s="7" t="s">
        <v>11</v>
      </c>
    </row>
    <row r="5" spans="1:13" s="2" customFormat="1" ht="12.75" customHeight="1">
      <c r="A5" s="148">
        <v>1</v>
      </c>
      <c r="B5" s="149" t="s">
        <v>12</v>
      </c>
      <c r="C5" s="33"/>
      <c r="D5" s="33"/>
      <c r="E5" s="150"/>
      <c r="F5" s="33"/>
      <c r="G5" s="33"/>
      <c r="H5" s="33"/>
      <c r="I5" s="33"/>
      <c r="J5" s="33"/>
      <c r="K5" s="33"/>
      <c r="L5" s="33"/>
      <c r="M5" s="33"/>
    </row>
    <row r="6" spans="1:13" ht="12.75" customHeight="1">
      <c r="A6" s="516" t="s">
        <v>13</v>
      </c>
      <c r="B6" s="518" t="s">
        <v>14</v>
      </c>
      <c r="C6" s="518">
        <v>1</v>
      </c>
      <c r="D6" s="12" t="s">
        <v>271</v>
      </c>
      <c r="E6" s="152">
        <v>7312500</v>
      </c>
      <c r="F6" s="152">
        <v>3707031</v>
      </c>
      <c r="G6" s="153">
        <f>F6*100%/$F$80</f>
        <v>1.9119888995649506E-3</v>
      </c>
      <c r="H6" s="152">
        <v>22848890</v>
      </c>
      <c r="I6" s="188">
        <f t="shared" ref="I6:I19" si="0">+H6*100%/$F$80</f>
        <v>1.1784855332307878E-2</v>
      </c>
      <c r="J6" s="152">
        <v>2694079</v>
      </c>
      <c r="K6" s="47">
        <f t="shared" ref="K6:K19" si="1">J6*100%/$F$80</f>
        <v>1.3895349519739766E-3</v>
      </c>
      <c r="L6" s="152">
        <f>+F6+H6+J6</f>
        <v>29250000</v>
      </c>
      <c r="M6" s="47">
        <f>+G6+I6+K6</f>
        <v>1.5086379183846805E-2</v>
      </c>
    </row>
    <row r="7" spans="1:13" ht="12.75" customHeight="1">
      <c r="A7" s="517"/>
      <c r="B7" s="519"/>
      <c r="C7" s="519"/>
      <c r="D7" s="12" t="s">
        <v>272</v>
      </c>
      <c r="E7" s="154">
        <v>1687500</v>
      </c>
      <c r="F7" s="152">
        <v>855469</v>
      </c>
      <c r="G7" s="153">
        <f t="shared" ref="G7:G19" si="2">F7*100%/$F$80</f>
        <v>4.4122836629149545E-4</v>
      </c>
      <c r="H7" s="152">
        <v>5272821</v>
      </c>
      <c r="I7" s="188">
        <f t="shared" si="0"/>
        <v>2.7195821187880444E-3</v>
      </c>
      <c r="J7" s="152">
        <v>621711</v>
      </c>
      <c r="K7" s="47">
        <f t="shared" si="1"/>
        <v>3.2066215004337029E-4</v>
      </c>
      <c r="L7" s="152">
        <f t="shared" ref="L7:L19" si="3">+F7+H7+J7</f>
        <v>6750001</v>
      </c>
      <c r="M7" s="47">
        <f t="shared" ref="M7:M19" si="4">+G7+I7+K7</f>
        <v>3.4814726351229102E-3</v>
      </c>
    </row>
    <row r="8" spans="1:13" ht="12.75" customHeight="1">
      <c r="A8" s="516" t="s">
        <v>15</v>
      </c>
      <c r="B8" s="518" t="s">
        <v>16</v>
      </c>
      <c r="C8" s="518">
        <v>1</v>
      </c>
      <c r="D8" s="12" t="s">
        <v>271</v>
      </c>
      <c r="E8" s="152">
        <v>4812500</v>
      </c>
      <c r="F8" s="152">
        <v>2439670</v>
      </c>
      <c r="G8" s="153">
        <f t="shared" si="2"/>
        <v>1.258317494135232E-3</v>
      </c>
      <c r="H8" s="152">
        <v>15037304</v>
      </c>
      <c r="I8" s="188">
        <f t="shared" si="0"/>
        <v>7.7558451298043183E-3</v>
      </c>
      <c r="J8" s="152">
        <v>1773026</v>
      </c>
      <c r="K8" s="47">
        <f t="shared" si="1"/>
        <v>9.1448008679723646E-4</v>
      </c>
      <c r="L8" s="152">
        <f t="shared" si="3"/>
        <v>19250000</v>
      </c>
      <c r="M8" s="47">
        <f t="shared" si="4"/>
        <v>9.9286427107367868E-3</v>
      </c>
    </row>
    <row r="9" spans="1:13" ht="12.75" customHeight="1">
      <c r="A9" s="517"/>
      <c r="B9" s="519"/>
      <c r="C9" s="519"/>
      <c r="D9" s="12" t="s">
        <v>272</v>
      </c>
      <c r="E9" s="154">
        <v>2187500</v>
      </c>
      <c r="F9" s="152">
        <v>1108940</v>
      </c>
      <c r="G9" s="153">
        <f t="shared" si="2"/>
        <v>5.7196202844906241E-4</v>
      </c>
      <c r="H9" s="152">
        <v>6835138</v>
      </c>
      <c r="I9" s="188">
        <f t="shared" si="0"/>
        <v>3.525384056134027E-3</v>
      </c>
      <c r="J9" s="152">
        <v>805921</v>
      </c>
      <c r="K9" s="47">
        <f t="shared" si="1"/>
        <v>4.1567281361452993E-4</v>
      </c>
      <c r="L9" s="152">
        <f t="shared" si="3"/>
        <v>8749999</v>
      </c>
      <c r="M9" s="47">
        <f t="shared" si="4"/>
        <v>4.5130188981976193E-3</v>
      </c>
    </row>
    <row r="10" spans="1:13" ht="12.75" customHeight="1">
      <c r="A10" s="155" t="s">
        <v>17</v>
      </c>
      <c r="B10" s="63" t="s">
        <v>138</v>
      </c>
      <c r="C10" s="63">
        <v>17</v>
      </c>
      <c r="D10" s="12" t="s">
        <v>272</v>
      </c>
      <c r="E10" s="154">
        <v>4000000</v>
      </c>
      <c r="F10" s="152">
        <v>34472222</v>
      </c>
      <c r="G10" s="153">
        <f t="shared" si="2"/>
        <v>1.7779863671854561E-2</v>
      </c>
      <c r="H10" s="152">
        <v>212475146</v>
      </c>
      <c r="I10" s="188">
        <f t="shared" si="0"/>
        <v>0.10958908101535764</v>
      </c>
      <c r="J10" s="152">
        <v>25052632</v>
      </c>
      <c r="K10" s="47">
        <f t="shared" si="1"/>
        <v>1.292148738138032E-2</v>
      </c>
      <c r="L10" s="152">
        <f t="shared" si="3"/>
        <v>272000000</v>
      </c>
      <c r="M10" s="47">
        <f t="shared" si="4"/>
        <v>0.14029043206859251</v>
      </c>
    </row>
    <row r="11" spans="1:13" ht="12.75" customHeight="1">
      <c r="A11" s="516" t="s">
        <v>18</v>
      </c>
      <c r="B11" s="518" t="s">
        <v>120</v>
      </c>
      <c r="C11" s="518">
        <v>1</v>
      </c>
      <c r="D11" s="12" t="s">
        <v>271</v>
      </c>
      <c r="E11" s="152">
        <v>1718750</v>
      </c>
      <c r="F11" s="152">
        <v>871311</v>
      </c>
      <c r="G11" s="153">
        <f t="shared" si="2"/>
        <v>4.4939925241219635E-4</v>
      </c>
      <c r="H11" s="152">
        <v>5370465</v>
      </c>
      <c r="I11" s="188">
        <f t="shared" si="0"/>
        <v>2.7699443208060799E-3</v>
      </c>
      <c r="J11" s="152">
        <v>633224</v>
      </c>
      <c r="K11" s="47">
        <f t="shared" si="1"/>
        <v>3.2660025204486184E-4</v>
      </c>
      <c r="L11" s="152">
        <f t="shared" si="3"/>
        <v>6875000</v>
      </c>
      <c r="M11" s="47">
        <f t="shared" si="4"/>
        <v>3.545943825263138E-3</v>
      </c>
    </row>
    <row r="12" spans="1:13" ht="12.75" customHeight="1">
      <c r="A12" s="517"/>
      <c r="B12" s="519"/>
      <c r="C12" s="519"/>
      <c r="D12" s="12" t="s">
        <v>272</v>
      </c>
      <c r="E12" s="154">
        <v>3781250</v>
      </c>
      <c r="F12" s="152">
        <v>1916884</v>
      </c>
      <c r="G12" s="153">
        <f t="shared" si="2"/>
        <v>9.8867825215210258E-4</v>
      </c>
      <c r="H12" s="152">
        <v>11815024</v>
      </c>
      <c r="I12" s="188">
        <f t="shared" si="0"/>
        <v>6.0938780215470225E-3</v>
      </c>
      <c r="J12" s="152">
        <v>1393092</v>
      </c>
      <c r="K12" s="47">
        <f t="shared" si="1"/>
        <v>7.1852014187977827E-4</v>
      </c>
      <c r="L12" s="152">
        <f t="shared" si="3"/>
        <v>15125000</v>
      </c>
      <c r="M12" s="47">
        <f t="shared" si="4"/>
        <v>7.8010764155789034E-3</v>
      </c>
    </row>
    <row r="13" spans="1:13" ht="12.75" customHeight="1">
      <c r="A13" s="516" t="s">
        <v>19</v>
      </c>
      <c r="B13" s="518" t="s">
        <v>149</v>
      </c>
      <c r="C13" s="518">
        <v>1</v>
      </c>
      <c r="D13" s="12" t="s">
        <v>271</v>
      </c>
      <c r="E13" s="152">
        <v>1156250</v>
      </c>
      <c r="F13" s="152">
        <v>586155</v>
      </c>
      <c r="G13" s="153">
        <f t="shared" si="2"/>
        <v>3.0232330223958033E-4</v>
      </c>
      <c r="H13" s="152">
        <v>3612859</v>
      </c>
      <c r="I13" s="188">
        <f t="shared" si="0"/>
        <v>1.863417463650379E-3</v>
      </c>
      <c r="J13" s="152">
        <v>425987</v>
      </c>
      <c r="K13" s="47">
        <f t="shared" si="1"/>
        <v>2.1971286869707177E-4</v>
      </c>
      <c r="L13" s="152">
        <f t="shared" si="3"/>
        <v>4625001</v>
      </c>
      <c r="M13" s="47">
        <f t="shared" si="4"/>
        <v>2.385453634587031E-3</v>
      </c>
    </row>
    <row r="14" spans="1:13" ht="12.75" customHeight="1">
      <c r="A14" s="517"/>
      <c r="B14" s="519"/>
      <c r="C14" s="519"/>
      <c r="D14" s="12" t="s">
        <v>272</v>
      </c>
      <c r="E14" s="152">
        <v>2543750</v>
      </c>
      <c r="F14" s="152">
        <v>1289540</v>
      </c>
      <c r="G14" s="153">
        <f t="shared" si="2"/>
        <v>6.651107491534294E-4</v>
      </c>
      <c r="H14" s="152">
        <v>7948289</v>
      </c>
      <c r="I14" s="188">
        <f t="shared" si="0"/>
        <v>4.0995180074119156E-3</v>
      </c>
      <c r="J14" s="152">
        <v>937171</v>
      </c>
      <c r="K14" s="47">
        <f t="shared" si="1"/>
        <v>4.8336810482409897E-4</v>
      </c>
      <c r="L14" s="152">
        <f t="shared" si="3"/>
        <v>10175000</v>
      </c>
      <c r="M14" s="47">
        <f t="shared" si="4"/>
        <v>5.2479968613894437E-3</v>
      </c>
    </row>
    <row r="15" spans="1:13" ht="12.75" customHeight="1">
      <c r="A15" s="516" t="s">
        <v>20</v>
      </c>
      <c r="B15" s="518" t="s">
        <v>98</v>
      </c>
      <c r="C15" s="518">
        <v>1</v>
      </c>
      <c r="D15" s="12" t="s">
        <v>271</v>
      </c>
      <c r="E15" s="152">
        <v>5500000</v>
      </c>
      <c r="F15" s="152">
        <v>2788194</v>
      </c>
      <c r="G15" s="153">
        <f t="shared" si="2"/>
        <v>1.4380769887906515E-3</v>
      </c>
      <c r="H15" s="152">
        <v>17185490</v>
      </c>
      <c r="I15" s="188">
        <f t="shared" si="0"/>
        <v>8.8638228581267506E-3</v>
      </c>
      <c r="J15" s="152">
        <v>2026316</v>
      </c>
      <c r="K15" s="47">
        <f t="shared" si="1"/>
        <v>1.0451203939246402E-3</v>
      </c>
      <c r="L15" s="152">
        <f t="shared" si="3"/>
        <v>22000000</v>
      </c>
      <c r="M15" s="47">
        <f t="shared" si="4"/>
        <v>1.1347020240842042E-2</v>
      </c>
    </row>
    <row r="16" spans="1:13" ht="12.75" customHeight="1">
      <c r="A16" s="517"/>
      <c r="B16" s="519"/>
      <c r="C16" s="519"/>
      <c r="D16" s="12" t="s">
        <v>272</v>
      </c>
      <c r="E16" s="152">
        <v>2500000</v>
      </c>
      <c r="F16" s="152">
        <v>1267361</v>
      </c>
      <c r="G16" s="153">
        <f t="shared" si="2"/>
        <v>6.5367140542971864E-4</v>
      </c>
      <c r="H16" s="152">
        <v>7811586</v>
      </c>
      <c r="I16" s="188">
        <f t="shared" si="0"/>
        <v>4.0290102025035603E-3</v>
      </c>
      <c r="J16" s="152">
        <v>921053</v>
      </c>
      <c r="K16" s="47">
        <f t="shared" si="1"/>
        <v>4.7505486517674024E-4</v>
      </c>
      <c r="L16" s="152">
        <f t="shared" si="3"/>
        <v>10000000</v>
      </c>
      <c r="M16" s="47">
        <f t="shared" si="4"/>
        <v>5.1577364731100195E-3</v>
      </c>
    </row>
    <row r="17" spans="1:13" ht="12.75" customHeight="1">
      <c r="A17" s="516" t="s">
        <v>21</v>
      </c>
      <c r="B17" s="518" t="s">
        <v>140</v>
      </c>
      <c r="C17" s="518">
        <v>2</v>
      </c>
      <c r="D17" s="12" t="s">
        <v>271</v>
      </c>
      <c r="E17" s="152">
        <v>3000000</v>
      </c>
      <c r="F17" s="152">
        <v>3041667</v>
      </c>
      <c r="G17" s="153">
        <f t="shared" si="2"/>
        <v>1.5688116824955133E-3</v>
      </c>
      <c r="H17" s="152">
        <v>18747807</v>
      </c>
      <c r="I17" s="188">
        <f t="shared" si="0"/>
        <v>9.6696247954727328E-3</v>
      </c>
      <c r="J17" s="152">
        <v>2210526</v>
      </c>
      <c r="K17" s="47">
        <f t="shared" si="1"/>
        <v>1.1401310574957997E-3</v>
      </c>
      <c r="L17" s="152">
        <f t="shared" si="3"/>
        <v>24000000</v>
      </c>
      <c r="M17" s="47">
        <f t="shared" si="4"/>
        <v>1.2378567535464045E-2</v>
      </c>
    </row>
    <row r="18" spans="1:13" ht="12.75" customHeight="1">
      <c r="A18" s="517"/>
      <c r="B18" s="519"/>
      <c r="C18" s="519"/>
      <c r="D18" s="12" t="s">
        <v>272</v>
      </c>
      <c r="E18" s="152">
        <v>1000000</v>
      </c>
      <c r="F18" s="152">
        <v>1013889</v>
      </c>
      <c r="G18" s="153">
        <f t="shared" si="2"/>
        <v>5.2293722749850442E-4</v>
      </c>
      <c r="H18" s="152">
        <v>6249269</v>
      </c>
      <c r="I18" s="188">
        <f t="shared" si="0"/>
        <v>3.2232082651575773E-3</v>
      </c>
      <c r="J18" s="152">
        <v>736842</v>
      </c>
      <c r="K18" s="47">
        <f t="shared" si="1"/>
        <v>3.8004368583193323E-4</v>
      </c>
      <c r="L18" s="152">
        <f t="shared" si="3"/>
        <v>8000000</v>
      </c>
      <c r="M18" s="47">
        <f t="shared" si="4"/>
        <v>4.1261891784880149E-3</v>
      </c>
    </row>
    <row r="19" spans="1:13" ht="12.75" customHeight="1">
      <c r="A19" s="155" t="s">
        <v>22</v>
      </c>
      <c r="B19" s="63" t="s">
        <v>123</v>
      </c>
      <c r="C19" s="63">
        <v>1</v>
      </c>
      <c r="D19" s="12" t="s">
        <v>271</v>
      </c>
      <c r="E19" s="152">
        <v>5000000</v>
      </c>
      <c r="F19" s="152">
        <v>2534722</v>
      </c>
      <c r="G19" s="153">
        <f t="shared" si="2"/>
        <v>1.3073428108594373E-3</v>
      </c>
      <c r="H19" s="152">
        <v>15623172</v>
      </c>
      <c r="I19" s="188">
        <f t="shared" si="0"/>
        <v>8.0580204050071207E-3</v>
      </c>
      <c r="J19" s="152">
        <v>1842105</v>
      </c>
      <c r="K19" s="47">
        <f t="shared" si="1"/>
        <v>9.5010921457983316E-4</v>
      </c>
      <c r="L19" s="152">
        <f t="shared" si="3"/>
        <v>19999999</v>
      </c>
      <c r="M19" s="47">
        <f t="shared" si="4"/>
        <v>1.0315472430446391E-2</v>
      </c>
    </row>
    <row r="20" spans="1:13" s="139" customFormat="1" ht="12.75" customHeight="1">
      <c r="A20" s="515" t="s">
        <v>23</v>
      </c>
      <c r="B20" s="515"/>
      <c r="C20" s="157"/>
      <c r="D20" s="157"/>
      <c r="E20" s="157"/>
      <c r="F20" s="152">
        <f>SUM(F6:F19)</f>
        <v>57893055</v>
      </c>
      <c r="G20" s="158">
        <f>SUM(G6:G19)</f>
        <v>2.9859712131326436E-2</v>
      </c>
      <c r="H20" s="152">
        <f>SUM(H6:H19)+1</f>
        <v>356833261</v>
      </c>
      <c r="I20" s="188">
        <f>SUM(I6:I19)</f>
        <v>0.18404519199207503</v>
      </c>
      <c r="J20" s="47">
        <f>SUM(J6:J19)</f>
        <v>42073685</v>
      </c>
      <c r="K20" s="47">
        <f>SUM(K6:K19)</f>
        <v>2.1700497968264194E-2</v>
      </c>
      <c r="L20" s="152">
        <f>SUM(L6:L19)</f>
        <v>456800000</v>
      </c>
      <c r="M20" s="47">
        <f>SUM(M6:M19)</f>
        <v>0.23560540209166564</v>
      </c>
    </row>
    <row r="21" spans="1:13" ht="12.75" customHeight="1">
      <c r="A21" s="159">
        <v>2</v>
      </c>
      <c r="B21" s="160" t="s">
        <v>273</v>
      </c>
      <c r="C21" s="21" t="s">
        <v>4</v>
      </c>
      <c r="D21" s="21"/>
      <c r="E21" s="22" t="s">
        <v>6</v>
      </c>
      <c r="F21" s="22" t="s">
        <v>274</v>
      </c>
      <c r="G21" s="22"/>
      <c r="H21" s="22"/>
      <c r="I21" s="22"/>
      <c r="J21" s="22"/>
      <c r="K21" s="22"/>
      <c r="L21" s="22"/>
      <c r="M21" s="22"/>
    </row>
    <row r="22" spans="1:13" s="140" customFormat="1" ht="12.75" hidden="1" customHeight="1">
      <c r="A22" s="161" t="s">
        <v>25</v>
      </c>
      <c r="B22" s="162" t="s">
        <v>275</v>
      </c>
      <c r="C22" s="163"/>
      <c r="D22" s="163"/>
      <c r="E22" s="163"/>
      <c r="F22" s="164"/>
      <c r="G22" s="164"/>
      <c r="H22" s="164"/>
      <c r="I22" s="164"/>
      <c r="J22" s="164"/>
      <c r="K22" s="189"/>
      <c r="L22" s="164"/>
      <c r="M22" s="190"/>
    </row>
    <row r="23" spans="1:13" ht="12.75" hidden="1" customHeight="1">
      <c r="A23" s="165" t="s">
        <v>276</v>
      </c>
      <c r="B23" s="23" t="s">
        <v>277</v>
      </c>
      <c r="C23" s="12"/>
      <c r="D23" s="12"/>
      <c r="E23" s="12"/>
      <c r="F23" s="26"/>
      <c r="G23" s="26"/>
      <c r="H23" s="26"/>
      <c r="I23" s="26"/>
      <c r="J23" s="26"/>
      <c r="K23" s="49"/>
      <c r="L23" s="26"/>
      <c r="M23" s="191"/>
    </row>
    <row r="24" spans="1:13" ht="12.75" hidden="1" customHeight="1">
      <c r="A24" s="155" t="s">
        <v>278</v>
      </c>
      <c r="B24" s="29" t="s">
        <v>279</v>
      </c>
      <c r="C24" s="30"/>
      <c r="D24" s="30"/>
      <c r="E24" s="30"/>
      <c r="F24" s="32"/>
      <c r="G24" s="32"/>
      <c r="H24" s="32"/>
      <c r="I24" s="32"/>
      <c r="J24" s="32"/>
      <c r="K24" s="49"/>
      <c r="L24" s="32"/>
      <c r="M24" s="191"/>
    </row>
    <row r="25" spans="1:13" s="140" customFormat="1" ht="25.5" hidden="1">
      <c r="A25" s="166" t="s">
        <v>27</v>
      </c>
      <c r="B25" s="167" t="s">
        <v>280</v>
      </c>
      <c r="C25" s="168"/>
      <c r="D25" s="168"/>
      <c r="E25" s="168"/>
      <c r="F25" s="169"/>
      <c r="G25" s="169"/>
      <c r="H25" s="169"/>
      <c r="I25" s="169"/>
      <c r="J25" s="169"/>
      <c r="K25" s="189"/>
      <c r="L25" s="169"/>
      <c r="M25" s="190"/>
    </row>
    <row r="26" spans="1:13" ht="25.5" hidden="1">
      <c r="A26" s="155" t="s">
        <v>281</v>
      </c>
      <c r="B26" s="29" t="s">
        <v>282</v>
      </c>
      <c r="C26" s="30"/>
      <c r="D26" s="30"/>
      <c r="E26" s="30"/>
      <c r="F26" s="32"/>
      <c r="G26" s="32"/>
      <c r="H26" s="32"/>
      <c r="I26" s="32"/>
      <c r="J26" s="32"/>
      <c r="K26" s="49"/>
      <c r="L26" s="32"/>
      <c r="M26" s="191"/>
    </row>
    <row r="27" spans="1:13" hidden="1">
      <c r="A27" s="155" t="s">
        <v>283</v>
      </c>
      <c r="B27" s="29" t="s">
        <v>284</v>
      </c>
      <c r="C27" s="30"/>
      <c r="D27" s="30"/>
      <c r="E27" s="30"/>
      <c r="F27" s="32"/>
      <c r="G27" s="32"/>
      <c r="H27" s="32"/>
      <c r="I27" s="32"/>
      <c r="J27" s="32"/>
      <c r="K27" s="49"/>
      <c r="L27" s="32"/>
      <c r="M27" s="191"/>
    </row>
    <row r="28" spans="1:13" ht="25.5" hidden="1">
      <c r="A28" s="155" t="s">
        <v>285</v>
      </c>
      <c r="B28" s="29" t="s">
        <v>286</v>
      </c>
      <c r="C28" s="30"/>
      <c r="D28" s="30"/>
      <c r="E28" s="30"/>
      <c r="F28" s="32"/>
      <c r="G28" s="32"/>
      <c r="H28" s="32"/>
      <c r="I28" s="32"/>
      <c r="J28" s="32"/>
      <c r="K28" s="49"/>
      <c r="L28" s="32"/>
      <c r="M28" s="191"/>
    </row>
    <row r="29" spans="1:13" ht="25.5" hidden="1">
      <c r="A29" s="155" t="s">
        <v>287</v>
      </c>
      <c r="B29" s="29" t="s">
        <v>288</v>
      </c>
      <c r="C29" s="30"/>
      <c r="D29" s="30"/>
      <c r="E29" s="30"/>
      <c r="F29" s="32"/>
      <c r="G29" s="32"/>
      <c r="H29" s="32"/>
      <c r="I29" s="32"/>
      <c r="J29" s="32"/>
      <c r="K29" s="49"/>
      <c r="L29" s="32"/>
      <c r="M29" s="191"/>
    </row>
    <row r="30" spans="1:13" hidden="1">
      <c r="A30" s="151" t="s">
        <v>289</v>
      </c>
      <c r="B30" s="170" t="s">
        <v>290</v>
      </c>
      <c r="C30" s="171"/>
      <c r="D30" s="171"/>
      <c r="E30" s="171"/>
      <c r="F30" s="172"/>
      <c r="G30" s="172"/>
      <c r="H30" s="172"/>
      <c r="I30" s="172"/>
      <c r="J30" s="172"/>
      <c r="K30" s="192"/>
      <c r="L30" s="32"/>
      <c r="M30" s="191"/>
    </row>
    <row r="31" spans="1:13" s="140" customFormat="1" hidden="1">
      <c r="A31" s="173" t="s">
        <v>291</v>
      </c>
      <c r="B31" s="174" t="s">
        <v>292</v>
      </c>
      <c r="C31" s="175"/>
      <c r="D31" s="175"/>
      <c r="E31" s="175"/>
      <c r="F31" s="176"/>
      <c r="G31" s="176"/>
      <c r="H31" s="176"/>
      <c r="I31" s="176"/>
      <c r="J31" s="176"/>
      <c r="K31" s="193"/>
      <c r="L31" s="169"/>
      <c r="M31" s="190"/>
    </row>
    <row r="32" spans="1:13" ht="25.5" hidden="1">
      <c r="A32" s="151" t="s">
        <v>293</v>
      </c>
      <c r="B32" s="29" t="s">
        <v>294</v>
      </c>
      <c r="C32" s="30"/>
      <c r="D32" s="30"/>
      <c r="E32" s="30"/>
      <c r="F32" s="32"/>
      <c r="G32" s="32"/>
      <c r="H32" s="32"/>
      <c r="I32" s="32"/>
      <c r="J32" s="32"/>
      <c r="K32" s="49"/>
      <c r="L32" s="32"/>
      <c r="M32" s="191"/>
    </row>
    <row r="33" spans="1:13" hidden="1">
      <c r="A33" s="151" t="s">
        <v>295</v>
      </c>
      <c r="B33" s="29" t="s">
        <v>290</v>
      </c>
      <c r="C33" s="30"/>
      <c r="D33" s="30"/>
      <c r="E33" s="30"/>
      <c r="F33" s="32"/>
      <c r="G33" s="32"/>
      <c r="H33" s="32"/>
      <c r="I33" s="32"/>
      <c r="J33" s="32"/>
      <c r="K33" s="49"/>
      <c r="L33" s="32"/>
      <c r="M33" s="191"/>
    </row>
    <row r="34" spans="1:13" s="140" customFormat="1" hidden="1">
      <c r="A34" s="173" t="s">
        <v>28</v>
      </c>
      <c r="B34" s="167" t="s">
        <v>296</v>
      </c>
      <c r="C34" s="168"/>
      <c r="D34" s="168"/>
      <c r="E34" s="168"/>
      <c r="F34" s="169"/>
      <c r="G34" s="169"/>
      <c r="H34" s="169"/>
      <c r="I34" s="169"/>
      <c r="J34" s="169"/>
      <c r="K34" s="189"/>
      <c r="L34" s="169"/>
      <c r="M34" s="190"/>
    </row>
    <row r="35" spans="1:13" hidden="1">
      <c r="A35" s="151" t="s">
        <v>297</v>
      </c>
      <c r="B35" s="29" t="s">
        <v>298</v>
      </c>
      <c r="C35" s="30"/>
      <c r="D35" s="30"/>
      <c r="E35" s="30"/>
      <c r="F35" s="32"/>
      <c r="G35" s="32"/>
      <c r="H35" s="32"/>
      <c r="I35" s="32"/>
      <c r="J35" s="32"/>
      <c r="K35" s="49"/>
      <c r="L35" s="32"/>
      <c r="M35" s="191"/>
    </row>
    <row r="36" spans="1:13" hidden="1">
      <c r="A36" s="151" t="s">
        <v>299</v>
      </c>
      <c r="B36" s="29" t="s">
        <v>300</v>
      </c>
      <c r="C36" s="30"/>
      <c r="D36" s="30"/>
      <c r="E36" s="30"/>
      <c r="F36" s="32"/>
      <c r="G36" s="32"/>
      <c r="H36" s="32"/>
      <c r="I36" s="32"/>
      <c r="J36" s="32"/>
      <c r="K36" s="49"/>
      <c r="L36" s="32"/>
      <c r="M36" s="191"/>
    </row>
    <row r="37" spans="1:13" s="140" customFormat="1" hidden="1">
      <c r="A37" s="173" t="s">
        <v>31</v>
      </c>
      <c r="B37" s="167" t="s">
        <v>301</v>
      </c>
      <c r="C37" s="168"/>
      <c r="D37" s="168"/>
      <c r="E37" s="168"/>
      <c r="F37" s="169"/>
      <c r="G37" s="169"/>
      <c r="H37" s="169"/>
      <c r="I37" s="169"/>
      <c r="J37" s="169"/>
      <c r="K37" s="189"/>
      <c r="L37" s="169"/>
      <c r="M37" s="190"/>
    </row>
    <row r="38" spans="1:13" hidden="1">
      <c r="A38" s="151" t="s">
        <v>302</v>
      </c>
      <c r="B38" s="29" t="s">
        <v>303</v>
      </c>
      <c r="C38" s="30"/>
      <c r="D38" s="30"/>
      <c r="E38" s="30"/>
      <c r="F38" s="32"/>
      <c r="G38" s="32"/>
      <c r="H38" s="32"/>
      <c r="I38" s="32"/>
      <c r="J38" s="32"/>
      <c r="K38" s="49"/>
      <c r="L38" s="32"/>
      <c r="M38" s="191"/>
    </row>
    <row r="39" spans="1:13" hidden="1">
      <c r="A39" s="151" t="s">
        <v>304</v>
      </c>
      <c r="B39" s="170" t="s">
        <v>305</v>
      </c>
      <c r="C39" s="30"/>
      <c r="D39" s="30"/>
      <c r="E39" s="30"/>
      <c r="F39" s="32"/>
      <c r="G39" s="32"/>
      <c r="H39" s="32"/>
      <c r="I39" s="32"/>
      <c r="J39" s="32"/>
      <c r="K39" s="49"/>
      <c r="L39" s="32"/>
      <c r="M39" s="191"/>
    </row>
    <row r="40" spans="1:13" s="139" customFormat="1" ht="12.75" customHeight="1">
      <c r="A40" s="515" t="s">
        <v>23</v>
      </c>
      <c r="B40" s="515"/>
      <c r="C40" s="157"/>
      <c r="D40" s="157"/>
      <c r="E40" s="157"/>
      <c r="F40" s="152">
        <v>220535750</v>
      </c>
      <c r="G40" s="158">
        <f>F40*100%/F80</f>
        <v>0.11374652813996729</v>
      </c>
      <c r="H40" s="177"/>
      <c r="I40" s="194"/>
      <c r="J40" s="194"/>
      <c r="K40" s="195"/>
      <c r="L40" s="194"/>
      <c r="M40" s="194"/>
    </row>
    <row r="41" spans="1:13" ht="12.75" customHeight="1">
      <c r="A41" s="159">
        <v>3</v>
      </c>
      <c r="B41" s="160" t="s">
        <v>306</v>
      </c>
      <c r="C41" s="21" t="s">
        <v>4</v>
      </c>
      <c r="D41" s="21"/>
      <c r="E41" s="22" t="s">
        <v>6</v>
      </c>
      <c r="F41" s="22" t="s">
        <v>274</v>
      </c>
      <c r="G41" s="22"/>
      <c r="H41" s="22"/>
      <c r="I41" s="22"/>
      <c r="J41" s="22"/>
      <c r="K41" s="22"/>
      <c r="L41" s="22"/>
      <c r="M41" s="22"/>
    </row>
    <row r="42" spans="1:13" ht="12.75" hidden="1" customHeight="1">
      <c r="A42" s="178" t="s">
        <v>29</v>
      </c>
      <c r="B42" s="179" t="s">
        <v>307</v>
      </c>
      <c r="C42" s="180"/>
      <c r="D42" s="180"/>
      <c r="E42" s="181"/>
      <c r="F42" s="182"/>
      <c r="G42" s="182"/>
      <c r="H42" s="182"/>
      <c r="I42" s="182"/>
      <c r="J42" s="182"/>
      <c r="K42" s="196"/>
      <c r="L42" s="182"/>
    </row>
    <row r="43" spans="1:13" ht="12.75" hidden="1" customHeight="1">
      <c r="A43" s="156" t="s">
        <v>308</v>
      </c>
      <c r="B43" s="183" t="s">
        <v>309</v>
      </c>
      <c r="C43" s="184"/>
      <c r="D43" s="184"/>
      <c r="E43" s="185"/>
      <c r="F43" s="186"/>
      <c r="G43" s="186"/>
      <c r="H43" s="186"/>
      <c r="I43" s="186"/>
      <c r="J43" s="186"/>
      <c r="K43" s="197"/>
      <c r="L43" s="186"/>
    </row>
    <row r="44" spans="1:13" ht="12.75" hidden="1" customHeight="1">
      <c r="A44" s="156" t="s">
        <v>310</v>
      </c>
      <c r="B44" s="183" t="s">
        <v>311</v>
      </c>
      <c r="C44" s="184"/>
      <c r="D44" s="184"/>
      <c r="E44" s="185"/>
      <c r="F44" s="186"/>
      <c r="G44" s="186"/>
      <c r="H44" s="186"/>
      <c r="I44" s="186"/>
      <c r="J44" s="186"/>
      <c r="K44" s="197"/>
      <c r="L44" s="186"/>
    </row>
    <row r="45" spans="1:13" ht="12.75" hidden="1" customHeight="1">
      <c r="A45" s="156" t="s">
        <v>312</v>
      </c>
      <c r="B45" s="183" t="s">
        <v>313</v>
      </c>
      <c r="C45" s="180"/>
      <c r="D45" s="180"/>
      <c r="E45" s="181"/>
      <c r="F45" s="182"/>
      <c r="G45" s="182"/>
      <c r="H45" s="182"/>
      <c r="I45" s="182"/>
      <c r="J45" s="182"/>
      <c r="K45" s="196"/>
      <c r="L45" s="182"/>
    </row>
    <row r="46" spans="1:13" ht="12.75" hidden="1" customHeight="1">
      <c r="A46" s="156" t="s">
        <v>314</v>
      </c>
      <c r="B46" s="183" t="s">
        <v>315</v>
      </c>
      <c r="C46" s="180"/>
      <c r="D46" s="180"/>
      <c r="E46" s="181"/>
      <c r="F46" s="182"/>
      <c r="G46" s="182"/>
      <c r="H46" s="182"/>
      <c r="I46" s="182"/>
      <c r="J46" s="182"/>
      <c r="K46" s="196"/>
      <c r="L46" s="182"/>
    </row>
    <row r="47" spans="1:13" ht="12.75" hidden="1" customHeight="1">
      <c r="A47" s="156" t="s">
        <v>316</v>
      </c>
      <c r="B47" s="183" t="s">
        <v>317</v>
      </c>
      <c r="C47" s="180"/>
      <c r="D47" s="180"/>
      <c r="E47" s="181"/>
      <c r="F47" s="182"/>
      <c r="G47" s="182"/>
      <c r="H47" s="182"/>
      <c r="I47" s="182"/>
      <c r="J47" s="182"/>
      <c r="K47" s="196"/>
      <c r="L47" s="182"/>
    </row>
    <row r="48" spans="1:13" ht="12.75" hidden="1" customHeight="1">
      <c r="A48" s="156" t="s">
        <v>318</v>
      </c>
      <c r="B48" s="183" t="s">
        <v>319</v>
      </c>
      <c r="C48" s="180"/>
      <c r="D48" s="180"/>
      <c r="E48" s="181"/>
      <c r="F48" s="182"/>
      <c r="G48" s="182"/>
      <c r="H48" s="182"/>
      <c r="I48" s="182"/>
      <c r="J48" s="182"/>
      <c r="K48" s="196"/>
      <c r="L48" s="182"/>
    </row>
    <row r="49" spans="1:13" ht="12.75" hidden="1" customHeight="1">
      <c r="A49" s="156" t="s">
        <v>320</v>
      </c>
      <c r="B49" s="183" t="s">
        <v>321</v>
      </c>
      <c r="C49" s="180"/>
      <c r="D49" s="180"/>
      <c r="E49" s="181"/>
      <c r="F49" s="182"/>
      <c r="G49" s="182"/>
      <c r="H49" s="182"/>
      <c r="I49" s="182"/>
      <c r="J49" s="182"/>
      <c r="K49" s="196"/>
      <c r="L49" s="182"/>
    </row>
    <row r="50" spans="1:13" ht="12.75" hidden="1" customHeight="1">
      <c r="A50" s="156" t="s">
        <v>322</v>
      </c>
      <c r="B50" s="183" t="s">
        <v>323</v>
      </c>
      <c r="C50" s="180"/>
      <c r="D50" s="180"/>
      <c r="E50" s="181"/>
      <c r="F50" s="182"/>
      <c r="G50" s="182"/>
      <c r="H50" s="182"/>
      <c r="I50" s="182"/>
      <c r="J50" s="182"/>
      <c r="K50" s="196"/>
      <c r="L50" s="182"/>
    </row>
    <row r="51" spans="1:13" ht="12.75" hidden="1" customHeight="1">
      <c r="A51" s="156" t="s">
        <v>324</v>
      </c>
      <c r="B51" s="183" t="s">
        <v>325</v>
      </c>
      <c r="C51" s="180"/>
      <c r="D51" s="180"/>
      <c r="E51" s="181"/>
      <c r="F51" s="182"/>
      <c r="G51" s="182"/>
      <c r="H51" s="182"/>
      <c r="I51" s="182"/>
      <c r="J51" s="182"/>
      <c r="K51" s="196"/>
      <c r="L51" s="182"/>
    </row>
    <row r="52" spans="1:13" s="140" customFormat="1" ht="12.75" hidden="1" customHeight="1">
      <c r="A52" s="178" t="s">
        <v>30</v>
      </c>
      <c r="B52" s="179" t="s">
        <v>326</v>
      </c>
      <c r="C52" s="180"/>
      <c r="D52" s="180"/>
      <c r="E52" s="181"/>
      <c r="F52" s="182"/>
      <c r="G52" s="182"/>
      <c r="H52" s="182"/>
      <c r="I52" s="182"/>
      <c r="J52" s="182"/>
      <c r="K52" s="196"/>
      <c r="L52" s="182"/>
    </row>
    <row r="53" spans="1:13" ht="12.75" hidden="1" customHeight="1">
      <c r="A53" s="156" t="s">
        <v>327</v>
      </c>
      <c r="B53" s="183" t="s">
        <v>328</v>
      </c>
      <c r="C53" s="184"/>
      <c r="D53" s="184"/>
      <c r="E53" s="185"/>
      <c r="F53" s="186"/>
      <c r="G53" s="186"/>
      <c r="H53" s="186"/>
      <c r="I53" s="186"/>
      <c r="J53" s="186"/>
      <c r="K53" s="197"/>
      <c r="L53" s="186"/>
    </row>
    <row r="54" spans="1:13" ht="12.75" hidden="1" customHeight="1">
      <c r="A54" s="156" t="s">
        <v>329</v>
      </c>
      <c r="B54" s="183" t="s">
        <v>330</v>
      </c>
      <c r="C54" s="184"/>
      <c r="D54" s="184"/>
      <c r="E54" s="185"/>
      <c r="F54" s="186"/>
      <c r="G54" s="186"/>
      <c r="H54" s="186"/>
      <c r="I54" s="186"/>
      <c r="J54" s="186"/>
      <c r="K54" s="197"/>
      <c r="L54" s="186"/>
    </row>
    <row r="55" spans="1:13" ht="12.75" hidden="1" customHeight="1">
      <c r="A55" s="156" t="s">
        <v>331</v>
      </c>
      <c r="B55" s="183" t="s">
        <v>332</v>
      </c>
      <c r="C55" s="180"/>
      <c r="D55" s="180"/>
      <c r="E55" s="181"/>
      <c r="F55" s="182"/>
      <c r="G55" s="182"/>
      <c r="H55" s="182"/>
      <c r="I55" s="182"/>
      <c r="J55" s="182"/>
      <c r="K55" s="196"/>
      <c r="L55" s="182"/>
    </row>
    <row r="56" spans="1:13" ht="12.75" hidden="1" customHeight="1">
      <c r="A56" s="156" t="s">
        <v>333</v>
      </c>
      <c r="B56" s="183" t="s">
        <v>334</v>
      </c>
      <c r="C56" s="180"/>
      <c r="D56" s="180"/>
      <c r="E56" s="181"/>
      <c r="F56" s="182"/>
      <c r="G56" s="182"/>
      <c r="H56" s="182"/>
      <c r="I56" s="182"/>
      <c r="J56" s="182"/>
      <c r="K56" s="196"/>
      <c r="L56" s="182"/>
    </row>
    <row r="57" spans="1:13" ht="12.75" hidden="1" customHeight="1">
      <c r="A57" s="156" t="s">
        <v>335</v>
      </c>
      <c r="B57" s="183" t="s">
        <v>336</v>
      </c>
      <c r="C57" s="180"/>
      <c r="D57" s="180"/>
      <c r="E57" s="181"/>
      <c r="F57" s="182"/>
      <c r="G57" s="182"/>
      <c r="H57" s="182"/>
      <c r="I57" s="182"/>
      <c r="J57" s="182"/>
      <c r="K57" s="196"/>
      <c r="L57" s="182"/>
    </row>
    <row r="58" spans="1:13" ht="12.75" hidden="1" customHeight="1">
      <c r="A58" s="156" t="s">
        <v>337</v>
      </c>
      <c r="B58" s="183" t="s">
        <v>338</v>
      </c>
      <c r="C58" s="180"/>
      <c r="D58" s="180"/>
      <c r="E58" s="181"/>
      <c r="F58" s="182"/>
      <c r="G58" s="182"/>
      <c r="H58" s="182"/>
      <c r="I58" s="182"/>
      <c r="J58" s="182"/>
      <c r="K58" s="196"/>
      <c r="L58" s="182"/>
    </row>
    <row r="59" spans="1:13" ht="12.75" hidden="1" customHeight="1">
      <c r="A59" s="156" t="s">
        <v>339</v>
      </c>
      <c r="B59" s="183" t="s">
        <v>340</v>
      </c>
      <c r="C59" s="180"/>
      <c r="D59" s="180"/>
      <c r="E59" s="181"/>
      <c r="F59" s="182"/>
      <c r="G59" s="182"/>
      <c r="H59" s="182"/>
      <c r="I59" s="182"/>
      <c r="J59" s="182"/>
      <c r="K59" s="196"/>
      <c r="L59" s="182"/>
    </row>
    <row r="60" spans="1:13" s="140" customFormat="1" ht="12.75" hidden="1" customHeight="1">
      <c r="A60" s="178" t="s">
        <v>341</v>
      </c>
      <c r="B60" s="179" t="s">
        <v>301</v>
      </c>
      <c r="C60" s="180"/>
      <c r="D60" s="180"/>
      <c r="E60" s="181"/>
      <c r="F60" s="182"/>
      <c r="G60" s="182"/>
      <c r="H60" s="182"/>
      <c r="I60" s="182"/>
      <c r="J60" s="182"/>
      <c r="K60" s="196"/>
      <c r="L60" s="182"/>
    </row>
    <row r="61" spans="1:13" ht="12.75" hidden="1" customHeight="1">
      <c r="A61" s="156" t="s">
        <v>342</v>
      </c>
      <c r="B61" s="183" t="s">
        <v>343</v>
      </c>
      <c r="C61" s="180"/>
      <c r="D61" s="180"/>
      <c r="E61" s="181"/>
      <c r="F61" s="182"/>
      <c r="G61" s="182"/>
      <c r="H61" s="182"/>
      <c r="I61" s="182"/>
      <c r="J61" s="182"/>
      <c r="K61" s="196"/>
      <c r="L61" s="182"/>
    </row>
    <row r="62" spans="1:13" ht="12.75" hidden="1" customHeight="1">
      <c r="A62" s="156" t="s">
        <v>344</v>
      </c>
      <c r="B62" s="183" t="s">
        <v>345</v>
      </c>
      <c r="C62" s="180"/>
      <c r="D62" s="180"/>
      <c r="E62" s="181"/>
      <c r="F62" s="182"/>
      <c r="G62" s="182"/>
      <c r="H62" s="182"/>
      <c r="I62" s="182"/>
      <c r="J62" s="182"/>
      <c r="K62" s="196"/>
      <c r="L62" s="182"/>
    </row>
    <row r="63" spans="1:13" s="140" customFormat="1" ht="12.75" hidden="1" customHeight="1">
      <c r="A63" s="178" t="s">
        <v>346</v>
      </c>
      <c r="B63" s="179" t="s">
        <v>347</v>
      </c>
      <c r="C63" s="180"/>
      <c r="D63" s="180"/>
      <c r="E63" s="181"/>
      <c r="F63" s="182"/>
      <c r="G63" s="182"/>
      <c r="H63" s="182"/>
      <c r="I63" s="182"/>
      <c r="J63" s="182"/>
      <c r="K63" s="196"/>
      <c r="L63" s="182"/>
    </row>
    <row r="64" spans="1:13" s="139" customFormat="1" ht="12.75" customHeight="1">
      <c r="A64" s="515" t="s">
        <v>23</v>
      </c>
      <c r="B64" s="515"/>
      <c r="C64" s="157"/>
      <c r="D64" s="157"/>
      <c r="E64" s="157"/>
      <c r="F64" s="177"/>
      <c r="G64" s="158"/>
      <c r="H64" s="187">
        <v>1199093500</v>
      </c>
      <c r="I64" s="198">
        <f>H64*100%/F80</f>
        <v>0.61846082796191482</v>
      </c>
      <c r="J64" s="194"/>
      <c r="K64" s="195"/>
      <c r="L64" s="194"/>
      <c r="M64" s="194"/>
    </row>
    <row r="65" spans="1:13" ht="12.75" customHeight="1">
      <c r="A65" s="159">
        <v>4</v>
      </c>
      <c r="B65" s="160" t="s">
        <v>348</v>
      </c>
      <c r="C65" s="21" t="s">
        <v>4</v>
      </c>
      <c r="D65" s="21"/>
      <c r="E65" s="22" t="s">
        <v>6</v>
      </c>
      <c r="F65" s="22" t="s">
        <v>274</v>
      </c>
      <c r="G65" s="22"/>
      <c r="H65" s="22"/>
      <c r="I65" s="22"/>
      <c r="J65" s="22"/>
      <c r="K65" s="22"/>
      <c r="L65" s="22"/>
      <c r="M65" s="22"/>
    </row>
    <row r="66" spans="1:13" ht="12.75" hidden="1" customHeight="1">
      <c r="A66" s="155" t="s">
        <v>34</v>
      </c>
      <c r="B66" s="11" t="s">
        <v>349</v>
      </c>
      <c r="C66" s="199"/>
      <c r="D66" s="199"/>
      <c r="E66" s="130"/>
      <c r="F66" s="130"/>
      <c r="G66" s="130"/>
      <c r="H66" s="130"/>
      <c r="I66" s="130"/>
      <c r="J66" s="130"/>
      <c r="K66" s="130"/>
      <c r="L66" s="130"/>
      <c r="M66" s="46"/>
    </row>
    <row r="67" spans="1:13" ht="12.75" hidden="1" customHeight="1">
      <c r="A67" s="155" t="s">
        <v>350</v>
      </c>
      <c r="B67" s="11" t="s">
        <v>351</v>
      </c>
      <c r="C67" s="199"/>
      <c r="D67" s="199"/>
      <c r="E67" s="130"/>
      <c r="F67" s="130"/>
      <c r="G67" s="130"/>
      <c r="H67" s="130"/>
      <c r="I67" s="130"/>
      <c r="J67" s="130"/>
      <c r="K67" s="130"/>
      <c r="L67" s="130"/>
      <c r="M67" s="46"/>
    </row>
    <row r="68" spans="1:13" ht="12.75" hidden="1" customHeight="1">
      <c r="A68" s="155" t="s">
        <v>352</v>
      </c>
      <c r="B68" s="11" t="s">
        <v>353</v>
      </c>
      <c r="C68" s="199"/>
      <c r="D68" s="199"/>
      <c r="E68" s="130"/>
      <c r="F68" s="130"/>
      <c r="G68" s="130"/>
      <c r="H68" s="130"/>
      <c r="I68" s="130"/>
      <c r="J68" s="130"/>
      <c r="K68" s="130"/>
      <c r="L68" s="130"/>
      <c r="M68" s="46"/>
    </row>
    <row r="69" spans="1:13" ht="12.75" hidden="1" customHeight="1">
      <c r="A69" s="155" t="s">
        <v>35</v>
      </c>
      <c r="B69" s="11" t="s">
        <v>354</v>
      </c>
      <c r="C69" s="199"/>
      <c r="D69" s="199"/>
      <c r="E69" s="130"/>
      <c r="F69" s="130"/>
      <c r="G69" s="130"/>
      <c r="H69" s="130"/>
      <c r="I69" s="130"/>
      <c r="J69" s="130"/>
      <c r="K69" s="130"/>
      <c r="L69" s="130"/>
      <c r="M69" s="46"/>
    </row>
    <row r="70" spans="1:13" ht="12.75" hidden="1" customHeight="1">
      <c r="A70" s="155" t="s">
        <v>355</v>
      </c>
      <c r="B70" s="11" t="s">
        <v>356</v>
      </c>
      <c r="C70" s="199"/>
      <c r="D70" s="199"/>
      <c r="E70" s="130"/>
      <c r="F70" s="130"/>
      <c r="G70" s="130"/>
      <c r="H70" s="130"/>
      <c r="I70" s="130"/>
      <c r="J70" s="130"/>
      <c r="K70" s="130"/>
      <c r="L70" s="130"/>
      <c r="M70" s="46"/>
    </row>
    <row r="71" spans="1:13" ht="12.75" hidden="1" customHeight="1">
      <c r="A71" s="155" t="s">
        <v>357</v>
      </c>
      <c r="B71" s="11" t="s">
        <v>358</v>
      </c>
      <c r="C71" s="199"/>
      <c r="D71" s="199"/>
      <c r="E71" s="130"/>
      <c r="F71" s="130"/>
      <c r="G71" s="130"/>
      <c r="H71" s="130"/>
      <c r="I71" s="130"/>
      <c r="J71" s="130"/>
      <c r="K71" s="130"/>
      <c r="L71" s="130"/>
      <c r="M71" s="46"/>
    </row>
    <row r="72" spans="1:13" ht="12.75" hidden="1" customHeight="1">
      <c r="A72" s="155" t="s">
        <v>359</v>
      </c>
      <c r="B72" s="11" t="s">
        <v>360</v>
      </c>
      <c r="C72" s="199"/>
      <c r="D72" s="199"/>
      <c r="E72" s="130"/>
      <c r="F72" s="130"/>
      <c r="G72" s="130"/>
      <c r="H72" s="130"/>
      <c r="I72" s="130"/>
      <c r="J72" s="130"/>
      <c r="K72" s="130"/>
      <c r="L72" s="130"/>
      <c r="M72" s="46"/>
    </row>
    <row r="73" spans="1:13" ht="12.75" hidden="1" customHeight="1">
      <c r="A73" s="155" t="s">
        <v>36</v>
      </c>
      <c r="B73" s="11" t="s">
        <v>301</v>
      </c>
      <c r="C73" s="199"/>
      <c r="D73" s="199"/>
      <c r="E73" s="130"/>
      <c r="F73" s="130"/>
      <c r="G73" s="130"/>
      <c r="H73" s="130"/>
      <c r="I73" s="130"/>
      <c r="J73" s="130"/>
      <c r="K73" s="130"/>
      <c r="L73" s="130"/>
      <c r="M73" s="46"/>
    </row>
    <row r="74" spans="1:13" ht="12.75" hidden="1" customHeight="1">
      <c r="A74" s="155" t="s">
        <v>361</v>
      </c>
      <c r="B74" s="11" t="s">
        <v>362</v>
      </c>
      <c r="C74" s="199"/>
      <c r="D74" s="199"/>
      <c r="E74" s="130"/>
      <c r="F74" s="130"/>
      <c r="G74" s="130"/>
      <c r="H74" s="130"/>
      <c r="I74" s="130"/>
      <c r="J74" s="130"/>
      <c r="K74" s="130"/>
      <c r="L74" s="130"/>
      <c r="M74" s="46"/>
    </row>
    <row r="75" spans="1:13" ht="12.75" hidden="1" customHeight="1">
      <c r="A75" s="155" t="s">
        <v>37</v>
      </c>
      <c r="B75" s="11" t="s">
        <v>363</v>
      </c>
      <c r="C75" s="199"/>
      <c r="D75" s="199"/>
      <c r="E75" s="130"/>
      <c r="F75" s="130"/>
      <c r="G75" s="130"/>
      <c r="H75" s="130"/>
      <c r="I75" s="130"/>
      <c r="J75" s="130"/>
      <c r="K75" s="130"/>
      <c r="L75" s="130"/>
      <c r="M75" s="46"/>
    </row>
    <row r="76" spans="1:13" s="139" customFormat="1" ht="12.75" customHeight="1">
      <c r="A76" s="515" t="s">
        <v>23</v>
      </c>
      <c r="B76" s="515"/>
      <c r="C76" s="157"/>
      <c r="D76" s="157"/>
      <c r="E76" s="157"/>
      <c r="F76" s="177"/>
      <c r="G76" s="158"/>
      <c r="H76" s="177"/>
      <c r="I76" s="158"/>
      <c r="J76" s="187">
        <v>62405750</v>
      </c>
      <c r="K76" s="198">
        <f>J76*100%/F80</f>
        <v>3.2187241290678556E-2</v>
      </c>
      <c r="L76" s="194"/>
      <c r="M76" s="194"/>
    </row>
    <row r="77" spans="1:13" s="2" customFormat="1" ht="12.75" customHeight="1">
      <c r="A77" s="81" t="s">
        <v>364</v>
      </c>
      <c r="B77" s="200" t="s">
        <v>365</v>
      </c>
      <c r="C77" s="129"/>
      <c r="D77" s="129"/>
      <c r="E77" s="129"/>
      <c r="F77" s="201">
        <f>+F40+F20</f>
        <v>278428805</v>
      </c>
      <c r="G77" s="91">
        <f>+G40+G20</f>
        <v>0.14360624027129373</v>
      </c>
      <c r="H77" s="51">
        <f>+H64+H20</f>
        <v>1555926761</v>
      </c>
      <c r="I77" s="91">
        <f>+I64+I20</f>
        <v>0.80250601995398985</v>
      </c>
      <c r="J77" s="51">
        <f>+J76+J20</f>
        <v>104479435</v>
      </c>
      <c r="K77" s="50">
        <f>+K76+K20</f>
        <v>5.3887739258942746E-2</v>
      </c>
      <c r="L77" s="51">
        <f>F77+H77+J77</f>
        <v>1938835001</v>
      </c>
      <c r="M77" s="91">
        <f>+G77+I77+K77</f>
        <v>0.99999999948422635</v>
      </c>
    </row>
    <row r="78" spans="1:13" ht="12.75" customHeight="1">
      <c r="A78" s="202"/>
      <c r="B78" s="203" t="s">
        <v>40</v>
      </c>
      <c r="C78" s="37"/>
      <c r="D78" s="37"/>
      <c r="E78" s="129"/>
      <c r="F78" s="38"/>
      <c r="G78" s="38"/>
      <c r="H78" s="38"/>
      <c r="I78" s="38"/>
      <c r="J78" s="38"/>
      <c r="K78" s="51"/>
      <c r="L78" s="38"/>
      <c r="M78" s="38"/>
    </row>
    <row r="79" spans="1:13" ht="12.75" customHeight="1">
      <c r="A79" s="141"/>
      <c r="B79" s="142"/>
      <c r="C79" s="4"/>
      <c r="D79" s="4"/>
      <c r="E79" s="46"/>
      <c r="F79" s="4"/>
      <c r="G79" s="4"/>
      <c r="H79" s="4"/>
      <c r="I79" s="4"/>
      <c r="J79" s="4"/>
      <c r="K79" s="46"/>
      <c r="L79" s="4"/>
    </row>
    <row r="80" spans="1:13" ht="12.75" customHeight="1">
      <c r="F80" s="204">
        <v>1938835001</v>
      </c>
      <c r="G80" s="132"/>
      <c r="H80" s="132"/>
      <c r="I80" s="132"/>
      <c r="J80" s="132"/>
      <c r="L80" s="132"/>
    </row>
  </sheetData>
  <mergeCells count="25">
    <mergeCell ref="A1:M1"/>
    <mergeCell ref="A2:B2"/>
    <mergeCell ref="C2:M2"/>
    <mergeCell ref="A20:B20"/>
    <mergeCell ref="A40:B40"/>
    <mergeCell ref="C6:C7"/>
    <mergeCell ref="C8:C9"/>
    <mergeCell ref="C11:C12"/>
    <mergeCell ref="C13:C14"/>
    <mergeCell ref="C15:C16"/>
    <mergeCell ref="C17:C18"/>
    <mergeCell ref="A64:B64"/>
    <mergeCell ref="A76:B76"/>
    <mergeCell ref="A6:A7"/>
    <mergeCell ref="A8:A9"/>
    <mergeCell ref="A11:A12"/>
    <mergeCell ref="A13:A14"/>
    <mergeCell ref="A15:A16"/>
    <mergeCell ref="A17:A18"/>
    <mergeCell ref="B6:B7"/>
    <mergeCell ref="B8:B9"/>
    <mergeCell ref="B11:B12"/>
    <mergeCell ref="B13:B14"/>
    <mergeCell ref="B15:B16"/>
    <mergeCell ref="B17:B18"/>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9" tint="0.79995117038483843"/>
  </sheetPr>
  <dimension ref="A1:M31"/>
  <sheetViews>
    <sheetView topLeftCell="A4" workbookViewId="0">
      <selection activeCell="B13" sqref="B13"/>
    </sheetView>
  </sheetViews>
  <sheetFormatPr baseColWidth="10" defaultColWidth="11.42578125" defaultRowHeight="12.75" customHeight="1"/>
  <cols>
    <col min="1" max="1" width="8.7109375" style="3" customWidth="1"/>
    <col min="2" max="2" width="37.28515625" style="4" customWidth="1"/>
    <col min="3" max="3" width="17" style="4" customWidth="1"/>
    <col min="4" max="4" width="17.140625" style="4" customWidth="1"/>
    <col min="5" max="5" width="11.42578125" style="4" customWidth="1"/>
    <col min="6" max="6" width="15.42578125" style="4" customWidth="1"/>
    <col min="7" max="7" width="16" style="4" customWidth="1"/>
    <col min="8" max="8" width="10.28515625" style="46" customWidth="1"/>
    <col min="9" max="9" width="11.42578125" style="4"/>
    <col min="10" max="10" width="13.28515625" style="4" customWidth="1"/>
    <col min="11" max="11" width="13" style="4" customWidth="1"/>
    <col min="12" max="12" width="11.42578125" style="4"/>
    <col min="13" max="13" width="12.42578125" style="4" customWidth="1"/>
    <col min="14" max="16384" width="11.42578125" style="4"/>
  </cols>
  <sheetData>
    <row r="1" spans="1:13" ht="12.75" customHeight="1">
      <c r="A1" s="506" t="s">
        <v>0</v>
      </c>
      <c r="B1" s="506"/>
      <c r="C1" s="506"/>
      <c r="D1" s="506"/>
      <c r="E1" s="506"/>
      <c r="F1" s="506"/>
      <c r="G1" s="506"/>
      <c r="H1" s="506"/>
    </row>
    <row r="2" spans="1:13" ht="25.5" customHeight="1">
      <c r="A2" s="520" t="s">
        <v>1</v>
      </c>
      <c r="B2" s="520"/>
      <c r="C2" s="523" t="s">
        <v>366</v>
      </c>
      <c r="D2" s="524"/>
      <c r="E2" s="524"/>
      <c r="F2" s="524"/>
      <c r="G2" s="524"/>
      <c r="H2" s="525"/>
    </row>
    <row r="4" spans="1:13" s="55" customFormat="1" ht="12.75" customHeight="1">
      <c r="A4" s="5" t="s">
        <v>2</v>
      </c>
      <c r="B4" s="6" t="s">
        <v>3</v>
      </c>
      <c r="C4" s="6" t="s">
        <v>4</v>
      </c>
      <c r="D4" s="7" t="s">
        <v>5</v>
      </c>
      <c r="E4" s="7" t="s">
        <v>6</v>
      </c>
      <c r="F4" s="7" t="s">
        <v>7</v>
      </c>
      <c r="G4" s="7" t="s">
        <v>9</v>
      </c>
      <c r="H4" s="58" t="s">
        <v>11</v>
      </c>
    </row>
    <row r="5" spans="1:13" ht="12.75" customHeight="1">
      <c r="A5" s="59">
        <v>1</v>
      </c>
      <c r="B5" s="9" t="s">
        <v>12</v>
      </c>
      <c r="C5" s="9"/>
      <c r="D5" s="9"/>
      <c r="E5" s="9"/>
      <c r="F5" s="9"/>
      <c r="G5" s="9"/>
      <c r="H5" s="60"/>
    </row>
    <row r="6" spans="1:13" ht="12.75" customHeight="1">
      <c r="A6" s="61" t="s">
        <v>367</v>
      </c>
      <c r="B6" s="62" t="s">
        <v>77</v>
      </c>
      <c r="C6" s="63">
        <v>1</v>
      </c>
      <c r="D6" s="13">
        <v>1</v>
      </c>
      <c r="E6" s="64">
        <v>3.2</v>
      </c>
      <c r="F6" s="65">
        <v>15600000</v>
      </c>
      <c r="G6" s="65">
        <f>(E6*F6)*D6*C6</f>
        <v>49920000</v>
      </c>
      <c r="H6" s="66">
        <f>G6*100%/$G$27</f>
        <v>0.12452608992208558</v>
      </c>
      <c r="J6" s="115"/>
    </row>
    <row r="7" spans="1:13" ht="12.75" customHeight="1">
      <c r="A7" s="61" t="s">
        <v>368</v>
      </c>
      <c r="B7" s="62" t="s">
        <v>80</v>
      </c>
      <c r="C7" s="63">
        <v>2</v>
      </c>
      <c r="D7" s="13">
        <v>1</v>
      </c>
      <c r="E7" s="64">
        <f>1.5+2.7</f>
        <v>4.2</v>
      </c>
      <c r="F7" s="65">
        <v>13591400</v>
      </c>
      <c r="G7" s="65">
        <f>(E7*F7)*D7*C7</f>
        <v>114167760</v>
      </c>
      <c r="H7" s="66">
        <f>G7*100%/$G$27</f>
        <v>0.28479296370118362</v>
      </c>
      <c r="J7" s="92"/>
    </row>
    <row r="8" spans="1:13" ht="12.75" customHeight="1">
      <c r="A8" s="61" t="s">
        <v>369</v>
      </c>
      <c r="B8" s="62" t="s">
        <v>81</v>
      </c>
      <c r="C8" s="63">
        <v>1</v>
      </c>
      <c r="D8" s="13">
        <v>1</v>
      </c>
      <c r="E8" s="64">
        <v>2.8</v>
      </c>
      <c r="F8" s="65">
        <v>13591400</v>
      </c>
      <c r="G8" s="65">
        <f t="shared" ref="G8:G9" si="0">(E8*F8)*D8</f>
        <v>38055920</v>
      </c>
      <c r="H8" s="66">
        <f>G8*100%/$G$27</f>
        <v>9.4930987900394531E-2</v>
      </c>
      <c r="J8" s="92"/>
      <c r="M8" s="92"/>
    </row>
    <row r="9" spans="1:13" ht="12.75" customHeight="1">
      <c r="A9" s="61" t="s">
        <v>370</v>
      </c>
      <c r="B9" s="62" t="s">
        <v>147</v>
      </c>
      <c r="C9" s="63">
        <v>1</v>
      </c>
      <c r="D9" s="13">
        <v>1</v>
      </c>
      <c r="E9" s="64">
        <v>5</v>
      </c>
      <c r="F9" s="65">
        <v>3953927</v>
      </c>
      <c r="G9" s="65">
        <f t="shared" si="0"/>
        <v>19769635</v>
      </c>
      <c r="H9" s="66">
        <f>G9*100%/$G$27</f>
        <v>4.9315611893766237E-2</v>
      </c>
      <c r="J9" s="115"/>
      <c r="M9" s="115"/>
    </row>
    <row r="10" spans="1:13" ht="12.75" customHeight="1">
      <c r="A10" s="61" t="s">
        <v>371</v>
      </c>
      <c r="B10" s="62" t="s">
        <v>79</v>
      </c>
      <c r="C10" s="63">
        <v>1</v>
      </c>
      <c r="D10" s="13">
        <v>1</v>
      </c>
      <c r="E10" s="64">
        <v>3</v>
      </c>
      <c r="F10" s="65">
        <v>14285714</v>
      </c>
      <c r="G10" s="65">
        <f>((E10*F10)*D10)*C10</f>
        <v>42857142</v>
      </c>
      <c r="H10" s="66">
        <f>G10*100%/$G$27</f>
        <v>0.10690769868781232</v>
      </c>
      <c r="J10" s="115"/>
    </row>
    <row r="11" spans="1:13" s="46" customFormat="1" ht="12.75" customHeight="1">
      <c r="A11" s="526" t="s">
        <v>23</v>
      </c>
      <c r="B11" s="526"/>
      <c r="C11" s="67">
        <f>SUM(C6:C10)</f>
        <v>6</v>
      </c>
      <c r="D11" s="68"/>
      <c r="E11" s="53"/>
      <c r="F11" s="53">
        <f>SUM(F6:F10)</f>
        <v>61022441</v>
      </c>
      <c r="G11" s="53">
        <f>SUM(G6:G10)+2</f>
        <v>264770459</v>
      </c>
      <c r="H11" s="48">
        <f>SUM(H6:H10)</f>
        <v>0.66047335210524227</v>
      </c>
      <c r="J11" s="116"/>
    </row>
    <row r="12" spans="1:13" s="56" customFormat="1" ht="12.75" customHeight="1">
      <c r="A12" s="33">
        <v>2</v>
      </c>
      <c r="B12" s="9" t="s">
        <v>372</v>
      </c>
      <c r="C12" s="67" t="s">
        <v>4</v>
      </c>
      <c r="D12" s="68"/>
      <c r="E12" s="53"/>
      <c r="F12" s="53" t="s">
        <v>24</v>
      </c>
      <c r="G12" s="53" t="s">
        <v>9</v>
      </c>
      <c r="H12" s="53" t="s">
        <v>11</v>
      </c>
    </row>
    <row r="13" spans="1:13" ht="12.75" customHeight="1">
      <c r="A13" s="10" t="s">
        <v>25</v>
      </c>
      <c r="B13" s="69" t="s">
        <v>180</v>
      </c>
      <c r="C13" s="63">
        <f>32*2</f>
        <v>64</v>
      </c>
      <c r="D13" s="12" t="s">
        <v>26</v>
      </c>
      <c r="E13" s="12" t="s">
        <v>26</v>
      </c>
      <c r="F13" s="65">
        <v>100000</v>
      </c>
      <c r="G13" s="72">
        <f>C13*F13</f>
        <v>6400000</v>
      </c>
      <c r="H13" s="66">
        <f>G13*100%/$G$27</f>
        <v>1.5964883323344305E-2</v>
      </c>
    </row>
    <row r="14" spans="1:13" ht="12.75" customHeight="1">
      <c r="A14" s="10" t="s">
        <v>27</v>
      </c>
      <c r="B14" s="69" t="s">
        <v>182</v>
      </c>
      <c r="C14" s="63">
        <f>8*2</f>
        <v>16</v>
      </c>
      <c r="D14" s="12" t="s">
        <v>26</v>
      </c>
      <c r="E14" s="12" t="s">
        <v>26</v>
      </c>
      <c r="F14" s="65">
        <v>1000000</v>
      </c>
      <c r="G14" s="72">
        <f t="shared" ref="G14:G15" si="1">C14*F14</f>
        <v>16000000</v>
      </c>
      <c r="H14" s="66">
        <f>G14*100%/$G$27</f>
        <v>3.9912208308360765E-2</v>
      </c>
    </row>
    <row r="15" spans="1:13" ht="12.75" customHeight="1">
      <c r="A15" s="10" t="s">
        <v>291</v>
      </c>
      <c r="B15" s="69" t="s">
        <v>194</v>
      </c>
      <c r="C15" s="63">
        <f>8*2</f>
        <v>16</v>
      </c>
      <c r="D15" s="12" t="s">
        <v>26</v>
      </c>
      <c r="E15" s="12" t="s">
        <v>26</v>
      </c>
      <c r="F15" s="65">
        <v>500000</v>
      </c>
      <c r="G15" s="72">
        <f t="shared" si="1"/>
        <v>8000000</v>
      </c>
      <c r="H15" s="66">
        <f>G15*100%/$G$27</f>
        <v>1.9956104154180383E-2</v>
      </c>
    </row>
    <row r="16" spans="1:13" s="46" customFormat="1" ht="12.75" customHeight="1">
      <c r="A16" s="526" t="s">
        <v>23</v>
      </c>
      <c r="B16" s="526"/>
      <c r="C16" s="67">
        <f>SUM(C13:C15)</f>
        <v>96</v>
      </c>
      <c r="D16" s="68"/>
      <c r="E16" s="53"/>
      <c r="F16" s="53"/>
      <c r="G16" s="53">
        <f>SUM(G13:G15)</f>
        <v>30400000</v>
      </c>
      <c r="H16" s="48">
        <f>SUM(H13:H15)</f>
        <v>7.5833195785885446E-2</v>
      </c>
    </row>
    <row r="17" spans="1:11" s="56" customFormat="1" ht="12.75" customHeight="1">
      <c r="A17" s="33">
        <v>3</v>
      </c>
      <c r="B17" s="43" t="s">
        <v>373</v>
      </c>
      <c r="C17" s="67" t="s">
        <v>4</v>
      </c>
      <c r="D17" s="68"/>
      <c r="E17" s="53"/>
      <c r="F17" s="53" t="s">
        <v>24</v>
      </c>
      <c r="G17" s="53" t="s">
        <v>9</v>
      </c>
      <c r="H17" s="53" t="s">
        <v>11</v>
      </c>
    </row>
    <row r="18" spans="1:11" ht="12.75" customHeight="1">
      <c r="A18" s="10" t="s">
        <v>29</v>
      </c>
      <c r="B18" s="69" t="s">
        <v>67</v>
      </c>
      <c r="C18" s="63">
        <f>72*2</f>
        <v>144</v>
      </c>
      <c r="D18" s="12" t="s">
        <v>26</v>
      </c>
      <c r="E18" s="12" t="s">
        <v>26</v>
      </c>
      <c r="F18" s="65">
        <v>139927</v>
      </c>
      <c r="G18" s="72">
        <f>C18*F18</f>
        <v>20149488</v>
      </c>
      <c r="H18" s="66">
        <f t="shared" ref="H18:H23" si="2">G18*100%/$G$27</f>
        <v>5.026316014767597E-2</v>
      </c>
    </row>
    <row r="19" spans="1:11" ht="12.75" customHeight="1">
      <c r="A19" s="10" t="s">
        <v>30</v>
      </c>
      <c r="B19" s="69" t="s">
        <v>68</v>
      </c>
      <c r="C19" s="63">
        <f>8*2</f>
        <v>16</v>
      </c>
      <c r="D19" s="12" t="s">
        <v>26</v>
      </c>
      <c r="E19" s="12" t="s">
        <v>26</v>
      </c>
      <c r="F19" s="65">
        <v>1700000</v>
      </c>
      <c r="G19" s="72">
        <f t="shared" ref="G19:G20" si="3">C19*F19</f>
        <v>27200000</v>
      </c>
      <c r="H19" s="66">
        <f t="shared" si="2"/>
        <v>6.7850754124213292E-2</v>
      </c>
    </row>
    <row r="20" spans="1:11" ht="12.75" customHeight="1">
      <c r="A20" s="10" t="s">
        <v>341</v>
      </c>
      <c r="B20" s="69" t="s">
        <v>69</v>
      </c>
      <c r="C20" s="63">
        <f>40*2</f>
        <v>80</v>
      </c>
      <c r="D20" s="12" t="s">
        <v>26</v>
      </c>
      <c r="E20" s="12" t="s">
        <v>26</v>
      </c>
      <c r="F20" s="65">
        <v>307532</v>
      </c>
      <c r="G20" s="72">
        <f t="shared" si="3"/>
        <v>24602560</v>
      </c>
      <c r="H20" s="66">
        <f t="shared" si="2"/>
        <v>6.1371406227434012E-2</v>
      </c>
    </row>
    <row r="21" spans="1:11" ht="12.75" customHeight="1">
      <c r="A21" s="10" t="s">
        <v>346</v>
      </c>
      <c r="B21" s="69" t="s">
        <v>70</v>
      </c>
      <c r="C21" s="63">
        <f>8*2</f>
        <v>16</v>
      </c>
      <c r="D21" s="12" t="s">
        <v>26</v>
      </c>
      <c r="E21" s="12" t="s">
        <v>26</v>
      </c>
      <c r="F21" s="65">
        <v>46130</v>
      </c>
      <c r="G21" s="72">
        <f t="shared" ref="G21" si="4">C21*F21</f>
        <v>738080</v>
      </c>
      <c r="H21" s="66">
        <f t="shared" si="2"/>
        <v>1.8411501692646821E-3</v>
      </c>
    </row>
    <row r="22" spans="1:11" s="46" customFormat="1" ht="12.75" customHeight="1">
      <c r="A22" s="522" t="s">
        <v>23</v>
      </c>
      <c r="B22" s="522"/>
      <c r="C22" s="33">
        <f>SUM(C18:C21)</f>
        <v>256</v>
      </c>
      <c r="D22" s="53"/>
      <c r="E22" s="53"/>
      <c r="F22" s="53"/>
      <c r="G22" s="53">
        <f>SUM(G18:G21)+5</f>
        <v>72690133</v>
      </c>
      <c r="H22" s="48">
        <f t="shared" si="2"/>
        <v>0.18132648314115304</v>
      </c>
    </row>
    <row r="23" spans="1:11" ht="12.75" customHeight="1">
      <c r="A23" s="81" t="s">
        <v>374</v>
      </c>
      <c r="B23" s="36" t="s">
        <v>375</v>
      </c>
      <c r="C23" s="36"/>
      <c r="D23" s="37"/>
      <c r="E23" s="37"/>
      <c r="F23" s="38"/>
      <c r="G23" s="82">
        <f>+G22+G16+G11+1</f>
        <v>367860593</v>
      </c>
      <c r="H23" s="83">
        <f t="shared" si="2"/>
        <v>0.91763303851581979</v>
      </c>
      <c r="K23" s="92"/>
    </row>
    <row r="24" spans="1:11" ht="12.75" customHeight="1">
      <c r="A24" s="35"/>
      <c r="B24" s="36" t="s">
        <v>40</v>
      </c>
      <c r="C24" s="36"/>
      <c r="D24" s="37"/>
      <c r="E24" s="37"/>
      <c r="F24" s="38"/>
      <c r="G24" s="38"/>
      <c r="H24" s="84"/>
      <c r="K24" s="92"/>
    </row>
    <row r="25" spans="1:11" ht="12.75" customHeight="1">
      <c r="A25" s="10">
        <v>3.1</v>
      </c>
      <c r="B25" s="85" t="s">
        <v>376</v>
      </c>
      <c r="C25" s="86" t="s">
        <v>377</v>
      </c>
      <c r="D25" s="40"/>
      <c r="E25" s="40"/>
      <c r="F25" s="87"/>
      <c r="G25" s="92">
        <v>33019254</v>
      </c>
      <c r="H25" s="89">
        <f>+G25*100%/G27</f>
        <v>8.2366958989667144E-2</v>
      </c>
      <c r="K25" s="120"/>
    </row>
    <row r="26" spans="1:11" ht="12.75" customHeight="1">
      <c r="A26" s="42"/>
      <c r="B26" s="43" t="s">
        <v>23</v>
      </c>
      <c r="C26" s="43"/>
      <c r="D26" s="44"/>
      <c r="E26" s="44"/>
      <c r="F26" s="44"/>
      <c r="G26" s="136">
        <f>G25</f>
        <v>33019254</v>
      </c>
      <c r="H26" s="137">
        <f>SUM(H25)</f>
        <v>8.2366958989667144E-2</v>
      </c>
      <c r="K26" s="121"/>
    </row>
    <row r="27" spans="1:11" ht="12.75" customHeight="1">
      <c r="A27" s="35"/>
      <c r="B27" s="36" t="s">
        <v>41</v>
      </c>
      <c r="C27" s="36"/>
      <c r="D27" s="37"/>
      <c r="E27" s="37"/>
      <c r="F27" s="37"/>
      <c r="G27" s="45">
        <f>G26+G23+1</f>
        <v>400879848</v>
      </c>
      <c r="H27" s="91">
        <f>H23+H26</f>
        <v>0.99999999750548696</v>
      </c>
    </row>
    <row r="29" spans="1:11" ht="12.75" customHeight="1">
      <c r="G29" s="92"/>
    </row>
    <row r="30" spans="1:11" ht="12.75" customHeight="1">
      <c r="A30" s="93"/>
      <c r="B30" s="93"/>
      <c r="C30" s="93"/>
      <c r="D30" s="138"/>
      <c r="E30" s="93"/>
      <c r="G30" s="92"/>
    </row>
    <row r="31" spans="1:11" ht="12.75" customHeight="1">
      <c r="A31" s="94"/>
      <c r="D31" s="92"/>
    </row>
  </sheetData>
  <mergeCells count="6">
    <mergeCell ref="A22:B22"/>
    <mergeCell ref="A1:H1"/>
    <mergeCell ref="A2:B2"/>
    <mergeCell ref="C2:H2"/>
    <mergeCell ref="A11:B11"/>
    <mergeCell ref="A16:B1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79995117038483843"/>
  </sheetPr>
  <dimension ref="A1:M41"/>
  <sheetViews>
    <sheetView topLeftCell="A31" workbookViewId="0">
      <selection activeCell="C16" sqref="C16"/>
    </sheetView>
  </sheetViews>
  <sheetFormatPr baseColWidth="10" defaultColWidth="11.42578125" defaultRowHeight="12.75" customHeight="1"/>
  <cols>
    <col min="1" max="1" width="8.7109375" style="3" customWidth="1"/>
    <col min="2" max="2" width="71.28515625" style="4" customWidth="1"/>
    <col min="3" max="3" width="17" style="4" customWidth="1"/>
    <col min="4" max="4" width="17.140625" style="4" customWidth="1"/>
    <col min="5" max="5" width="11.42578125" style="4" customWidth="1"/>
    <col min="6" max="6" width="15.42578125" style="4" customWidth="1"/>
    <col min="7" max="7" width="16" style="4" customWidth="1"/>
    <col min="8" max="8" width="10.28515625" style="46" customWidth="1"/>
    <col min="9" max="9" width="11.42578125" style="4"/>
    <col min="10" max="10" width="13.28515625" style="4" customWidth="1"/>
    <col min="11" max="11" width="13" style="4" customWidth="1"/>
    <col min="12" max="12" width="11.42578125" style="4"/>
    <col min="13" max="13" width="12.42578125" style="4" customWidth="1"/>
    <col min="14" max="16384" width="11.42578125" style="4"/>
  </cols>
  <sheetData>
    <row r="1" spans="1:13" ht="12.75" customHeight="1">
      <c r="A1" s="506" t="s">
        <v>0</v>
      </c>
      <c r="B1" s="506"/>
      <c r="C1" s="506"/>
      <c r="D1" s="506"/>
      <c r="E1" s="506"/>
      <c r="F1" s="506"/>
      <c r="G1" s="506"/>
      <c r="H1" s="506"/>
    </row>
    <row r="2" spans="1:13" ht="39" customHeight="1">
      <c r="A2" s="520" t="s">
        <v>1</v>
      </c>
      <c r="B2" s="520"/>
      <c r="C2" s="523" t="s">
        <v>233</v>
      </c>
      <c r="D2" s="524"/>
      <c r="E2" s="524"/>
      <c r="F2" s="524"/>
      <c r="G2" s="524"/>
      <c r="H2" s="525"/>
    </row>
    <row r="4" spans="1:13" s="55" customFormat="1" ht="12.75" customHeight="1">
      <c r="A4" s="5" t="s">
        <v>2</v>
      </c>
      <c r="B4" s="6" t="s">
        <v>3</v>
      </c>
      <c r="C4" s="6" t="s">
        <v>4</v>
      </c>
      <c r="D4" s="7" t="s">
        <v>5</v>
      </c>
      <c r="E4" s="7" t="s">
        <v>6</v>
      </c>
      <c r="F4" s="7" t="s">
        <v>7</v>
      </c>
      <c r="G4" s="7" t="s">
        <v>9</v>
      </c>
      <c r="H4" s="58" t="s">
        <v>11</v>
      </c>
    </row>
    <row r="5" spans="1:13" ht="12.75" customHeight="1">
      <c r="A5" s="59">
        <v>1</v>
      </c>
      <c r="B5" s="9" t="s">
        <v>12</v>
      </c>
      <c r="C5" s="9"/>
      <c r="D5" s="9"/>
      <c r="E5" s="9"/>
      <c r="F5" s="9"/>
      <c r="G5" s="9"/>
      <c r="H5" s="60"/>
    </row>
    <row r="6" spans="1:13" ht="12.75" customHeight="1">
      <c r="A6" s="61" t="s">
        <v>13</v>
      </c>
      <c r="B6" s="62" t="s">
        <v>78</v>
      </c>
      <c r="C6" s="63">
        <v>1</v>
      </c>
      <c r="D6" s="13">
        <v>0.5</v>
      </c>
      <c r="E6" s="64">
        <v>7.5</v>
      </c>
      <c r="F6" s="65">
        <v>14900000</v>
      </c>
      <c r="G6" s="65">
        <f>(E6*F6)*D6*C6</f>
        <v>55875000</v>
      </c>
      <c r="H6" s="66">
        <f t="shared" ref="H6:H22" si="0">G6*100%/$G$38</f>
        <v>2.3801398529626396E-2</v>
      </c>
      <c r="J6" s="115"/>
    </row>
    <row r="7" spans="1:13" ht="12.75" customHeight="1">
      <c r="A7" s="61" t="s">
        <v>15</v>
      </c>
      <c r="B7" s="62" t="s">
        <v>82</v>
      </c>
      <c r="C7" s="63">
        <v>1</v>
      </c>
      <c r="D7" s="13">
        <v>0.5</v>
      </c>
      <c r="E7" s="64">
        <v>7.5</v>
      </c>
      <c r="F7" s="65">
        <v>13000000</v>
      </c>
      <c r="G7" s="65">
        <f>(E7*F7)*D7*C7</f>
        <v>48750000</v>
      </c>
      <c r="H7" s="66">
        <f t="shared" si="0"/>
        <v>2.0766320864774708E-2</v>
      </c>
      <c r="J7" s="92"/>
    </row>
    <row r="8" spans="1:13" ht="12.75" customHeight="1">
      <c r="A8" s="61" t="s">
        <v>17</v>
      </c>
      <c r="B8" s="62" t="s">
        <v>83</v>
      </c>
      <c r="C8" s="63">
        <v>1</v>
      </c>
      <c r="D8" s="13">
        <v>0.5</v>
      </c>
      <c r="E8" s="64">
        <v>5</v>
      </c>
      <c r="F8" s="65">
        <v>13000000</v>
      </c>
      <c r="G8" s="65">
        <f t="shared" ref="G8:G9" si="1">(E8*F8)*D8</f>
        <v>32500000</v>
      </c>
      <c r="H8" s="66">
        <f t="shared" si="0"/>
        <v>1.3844213909849806E-2</v>
      </c>
      <c r="J8" s="92"/>
      <c r="M8" s="92"/>
    </row>
    <row r="9" spans="1:13" ht="12.75" customHeight="1">
      <c r="A9" s="61" t="s">
        <v>18</v>
      </c>
      <c r="B9" s="62" t="s">
        <v>109</v>
      </c>
      <c r="C9" s="63">
        <v>1</v>
      </c>
      <c r="D9" s="13">
        <v>1</v>
      </c>
      <c r="E9" s="64">
        <v>5</v>
      </c>
      <c r="F9" s="65">
        <v>6800000</v>
      </c>
      <c r="G9" s="65">
        <f t="shared" si="1"/>
        <v>34000000</v>
      </c>
      <c r="H9" s="66">
        <f t="shared" si="0"/>
        <v>1.4483177628765951E-2</v>
      </c>
      <c r="J9" s="115"/>
      <c r="M9" s="115"/>
    </row>
    <row r="10" spans="1:13" ht="12.75" customHeight="1">
      <c r="A10" s="61" t="s">
        <v>19</v>
      </c>
      <c r="B10" s="62" t="s">
        <v>153</v>
      </c>
      <c r="C10" s="63">
        <v>5</v>
      </c>
      <c r="D10" s="13">
        <v>1</v>
      </c>
      <c r="E10" s="64">
        <v>5</v>
      </c>
      <c r="F10" s="65">
        <v>2900000</v>
      </c>
      <c r="G10" s="65">
        <f>((E10*F10)*D10)*C10</f>
        <v>72500000</v>
      </c>
      <c r="H10" s="66">
        <f t="shared" si="0"/>
        <v>3.0883246414280335E-2</v>
      </c>
      <c r="J10" s="115"/>
    </row>
    <row r="11" spans="1:13" ht="12.75" customHeight="1">
      <c r="A11" s="61" t="s">
        <v>20</v>
      </c>
      <c r="B11" s="62" t="s">
        <v>96</v>
      </c>
      <c r="C11" s="63">
        <v>1</v>
      </c>
      <c r="D11" s="13">
        <v>0.5</v>
      </c>
      <c r="E11" s="64">
        <v>3</v>
      </c>
      <c r="F11" s="65">
        <v>8500000</v>
      </c>
      <c r="G11" s="65">
        <f t="shared" ref="G11:G22" si="2">((E11*F11)*D11)*C11</f>
        <v>12750000</v>
      </c>
      <c r="H11" s="66">
        <f t="shared" si="0"/>
        <v>5.4311916107872317E-3</v>
      </c>
      <c r="J11" s="115"/>
    </row>
    <row r="12" spans="1:13" ht="12.75" customHeight="1">
      <c r="A12" s="61" t="s">
        <v>21</v>
      </c>
      <c r="B12" s="62" t="s">
        <v>119</v>
      </c>
      <c r="C12" s="63">
        <v>2</v>
      </c>
      <c r="D12" s="13">
        <v>1</v>
      </c>
      <c r="E12" s="64">
        <v>7.5</v>
      </c>
      <c r="F12" s="65">
        <v>5800000</v>
      </c>
      <c r="G12" s="65">
        <f t="shared" si="2"/>
        <v>87000000</v>
      </c>
      <c r="H12" s="66">
        <f t="shared" si="0"/>
        <v>3.7059895697136407E-2</v>
      </c>
      <c r="J12" s="115"/>
    </row>
    <row r="13" spans="1:13" ht="12.75" customHeight="1">
      <c r="A13" s="61" t="s">
        <v>22</v>
      </c>
      <c r="B13" s="62" t="s">
        <v>150</v>
      </c>
      <c r="C13" s="63">
        <v>10</v>
      </c>
      <c r="D13" s="13">
        <v>1</v>
      </c>
      <c r="E13" s="64">
        <v>2</v>
      </c>
      <c r="F13" s="65">
        <v>3700000</v>
      </c>
      <c r="G13" s="65">
        <f t="shared" si="2"/>
        <v>74000000</v>
      </c>
      <c r="H13" s="66">
        <f t="shared" si="0"/>
        <v>3.1522210133196484E-2</v>
      </c>
      <c r="J13" s="115"/>
    </row>
    <row r="14" spans="1:13" ht="12.75" customHeight="1">
      <c r="A14" s="61" t="s">
        <v>378</v>
      </c>
      <c r="B14" s="62" t="s">
        <v>154</v>
      </c>
      <c r="C14" s="63">
        <v>98</v>
      </c>
      <c r="D14" s="13">
        <v>1</v>
      </c>
      <c r="E14" s="64">
        <v>2</v>
      </c>
      <c r="F14" s="65">
        <v>2900000</v>
      </c>
      <c r="G14" s="65">
        <f t="shared" si="2"/>
        <v>568400000</v>
      </c>
      <c r="H14" s="66">
        <f t="shared" si="0"/>
        <v>0.24212465188795784</v>
      </c>
      <c r="J14" s="115"/>
    </row>
    <row r="15" spans="1:13" ht="12.75" customHeight="1">
      <c r="A15" s="61" t="s">
        <v>379</v>
      </c>
      <c r="B15" s="62" t="s">
        <v>155</v>
      </c>
      <c r="C15" s="63">
        <v>1</v>
      </c>
      <c r="D15" s="13">
        <v>1</v>
      </c>
      <c r="E15" s="64">
        <v>7.5</v>
      </c>
      <c r="F15" s="65">
        <v>2900000</v>
      </c>
      <c r="G15" s="65">
        <f t="shared" si="2"/>
        <v>21750000</v>
      </c>
      <c r="H15" s="66">
        <f t="shared" si="0"/>
        <v>9.2649739242841016E-3</v>
      </c>
      <c r="J15" s="115"/>
    </row>
    <row r="16" spans="1:13" ht="12.75" customHeight="1">
      <c r="A16" s="61" t="s">
        <v>380</v>
      </c>
      <c r="B16" s="62" t="s">
        <v>126</v>
      </c>
      <c r="C16" s="63">
        <v>1</v>
      </c>
      <c r="D16" s="13">
        <v>1</v>
      </c>
      <c r="E16" s="64">
        <v>7.5</v>
      </c>
      <c r="F16" s="65">
        <v>4700000</v>
      </c>
      <c r="G16" s="65">
        <f t="shared" si="2"/>
        <v>35250000</v>
      </c>
      <c r="H16" s="66">
        <f t="shared" si="0"/>
        <v>1.5015647394529404E-2</v>
      </c>
      <c r="J16" s="115"/>
    </row>
    <row r="17" spans="1:10" ht="12.75" customHeight="1">
      <c r="A17" s="61" t="s">
        <v>381</v>
      </c>
      <c r="B17" s="62" t="s">
        <v>127</v>
      </c>
      <c r="C17" s="63">
        <v>1</v>
      </c>
      <c r="D17" s="13">
        <v>1</v>
      </c>
      <c r="E17" s="64">
        <v>3</v>
      </c>
      <c r="F17" s="65">
        <v>4500000</v>
      </c>
      <c r="G17" s="65">
        <f t="shared" si="2"/>
        <v>13500000</v>
      </c>
      <c r="H17" s="66">
        <f t="shared" si="0"/>
        <v>5.7506734702453041E-3</v>
      </c>
      <c r="J17" s="115"/>
    </row>
    <row r="18" spans="1:10" ht="12.75" customHeight="1">
      <c r="A18" s="61" t="s">
        <v>382</v>
      </c>
      <c r="B18" s="62" t="s">
        <v>125</v>
      </c>
      <c r="C18" s="63">
        <v>1</v>
      </c>
      <c r="D18" s="13">
        <v>1</v>
      </c>
      <c r="E18" s="64">
        <v>3</v>
      </c>
      <c r="F18" s="65">
        <v>4800000</v>
      </c>
      <c r="G18" s="65">
        <f t="shared" si="2"/>
        <v>14400000</v>
      </c>
      <c r="H18" s="66">
        <f t="shared" si="0"/>
        <v>6.134051701594991E-3</v>
      </c>
      <c r="J18" s="115"/>
    </row>
    <row r="19" spans="1:10" ht="12.75" customHeight="1">
      <c r="A19" s="61" t="s">
        <v>383</v>
      </c>
      <c r="B19" s="62" t="s">
        <v>84</v>
      </c>
      <c r="C19" s="63">
        <v>3</v>
      </c>
      <c r="D19" s="13">
        <v>0.5</v>
      </c>
      <c r="E19" s="64">
        <v>3</v>
      </c>
      <c r="F19" s="65">
        <v>13000000</v>
      </c>
      <c r="G19" s="65">
        <f t="shared" si="2"/>
        <v>58500000</v>
      </c>
      <c r="H19" s="66">
        <f t="shared" si="0"/>
        <v>2.491958503772965E-2</v>
      </c>
      <c r="J19" s="115"/>
    </row>
    <row r="20" spans="1:10" ht="12.75" customHeight="1">
      <c r="A20" s="61" t="s">
        <v>384</v>
      </c>
      <c r="B20" s="62" t="s">
        <v>128</v>
      </c>
      <c r="C20" s="63">
        <v>1</v>
      </c>
      <c r="D20" s="13">
        <v>1</v>
      </c>
      <c r="E20" s="64">
        <v>3</v>
      </c>
      <c r="F20" s="65">
        <v>4500000</v>
      </c>
      <c r="G20" s="65">
        <f t="shared" si="2"/>
        <v>13500000</v>
      </c>
      <c r="H20" s="66">
        <f t="shared" si="0"/>
        <v>5.7506734702453041E-3</v>
      </c>
      <c r="J20" s="115"/>
    </row>
    <row r="21" spans="1:10" ht="12.75" customHeight="1">
      <c r="A21" s="61" t="s">
        <v>385</v>
      </c>
      <c r="B21" s="62" t="s">
        <v>94</v>
      </c>
      <c r="C21" s="63">
        <v>1</v>
      </c>
      <c r="D21" s="13">
        <v>0.5</v>
      </c>
      <c r="E21" s="64">
        <v>2</v>
      </c>
      <c r="F21" s="65">
        <v>8900000</v>
      </c>
      <c r="G21" s="65">
        <f t="shared" si="2"/>
        <v>8900000</v>
      </c>
      <c r="H21" s="66">
        <f t="shared" si="0"/>
        <v>3.7911847322357928E-3</v>
      </c>
      <c r="J21" s="115"/>
    </row>
    <row r="22" spans="1:10" ht="12.75" customHeight="1">
      <c r="A22" s="61" t="s">
        <v>386</v>
      </c>
      <c r="B22" s="62" t="s">
        <v>95</v>
      </c>
      <c r="C22" s="63">
        <v>1</v>
      </c>
      <c r="D22" s="13">
        <v>0.5</v>
      </c>
      <c r="E22" s="64">
        <v>3</v>
      </c>
      <c r="F22" s="65">
        <v>8900000</v>
      </c>
      <c r="G22" s="65">
        <f t="shared" si="2"/>
        <v>13350000</v>
      </c>
      <c r="H22" s="66">
        <f t="shared" si="0"/>
        <v>5.6867770983536894E-3</v>
      </c>
      <c r="J22" s="115"/>
    </row>
    <row r="23" spans="1:10" s="46" customFormat="1" ht="12.75" customHeight="1">
      <c r="A23" s="526" t="s">
        <v>23</v>
      </c>
      <c r="B23" s="526"/>
      <c r="C23" s="67">
        <f>SUM(C6:C22)</f>
        <v>130</v>
      </c>
      <c r="D23" s="68"/>
      <c r="E23" s="53"/>
      <c r="F23" s="53">
        <f>SUM(F6:F22)</f>
        <v>123700000</v>
      </c>
      <c r="G23" s="53">
        <f>SUM(G6:G22)</f>
        <v>1164925000</v>
      </c>
      <c r="H23" s="48">
        <f>SUM(H6:H22)</f>
        <v>0.49622987350559344</v>
      </c>
      <c r="J23" s="116"/>
    </row>
    <row r="24" spans="1:10" s="56" customFormat="1" ht="12.75" customHeight="1">
      <c r="A24" s="33">
        <v>2</v>
      </c>
      <c r="B24" s="9" t="s">
        <v>372</v>
      </c>
      <c r="C24" s="67" t="s">
        <v>4</v>
      </c>
      <c r="D24" s="68"/>
      <c r="E24" s="53"/>
      <c r="F24" s="53" t="s">
        <v>24</v>
      </c>
      <c r="G24" s="53" t="s">
        <v>9</v>
      </c>
      <c r="H24" s="53" t="s">
        <v>11</v>
      </c>
    </row>
    <row r="25" spans="1:10" ht="12.75" customHeight="1">
      <c r="A25" s="10" t="s">
        <v>25</v>
      </c>
      <c r="B25" s="69" t="s">
        <v>202</v>
      </c>
      <c r="C25" s="63">
        <v>114</v>
      </c>
      <c r="D25" s="12" t="s">
        <v>26</v>
      </c>
      <c r="E25" s="12">
        <v>2</v>
      </c>
      <c r="F25" s="65">
        <v>142800</v>
      </c>
      <c r="G25" s="72">
        <f>C25*F25*E25</f>
        <v>32558400</v>
      </c>
      <c r="H25" s="66">
        <f>G25*100%/$G$38</f>
        <v>1.3869090897306275E-2</v>
      </c>
    </row>
    <row r="26" spans="1:10" ht="12.75" customHeight="1">
      <c r="A26" s="10" t="s">
        <v>27</v>
      </c>
      <c r="B26" s="69" t="s">
        <v>183</v>
      </c>
      <c r="C26" s="63">
        <v>1</v>
      </c>
      <c r="D26" s="12" t="s">
        <v>26</v>
      </c>
      <c r="E26" s="12">
        <v>5</v>
      </c>
      <c r="F26" s="65">
        <v>5831000</v>
      </c>
      <c r="G26" s="72">
        <f t="shared" ref="G26:G27" si="3">C26*F26*E26</f>
        <v>29155000</v>
      </c>
      <c r="H26" s="66">
        <f>G26*100%/$G$38</f>
        <v>1.2419324816666803E-2</v>
      </c>
    </row>
    <row r="27" spans="1:10" ht="12.75" customHeight="1">
      <c r="A27" s="10" t="s">
        <v>291</v>
      </c>
      <c r="B27" s="69" t="s">
        <v>169</v>
      </c>
      <c r="C27" s="63">
        <v>15</v>
      </c>
      <c r="D27" s="12" t="s">
        <v>26</v>
      </c>
      <c r="E27" s="12">
        <v>1</v>
      </c>
      <c r="F27" s="65">
        <v>3094000</v>
      </c>
      <c r="G27" s="72">
        <f t="shared" si="3"/>
        <v>46410000</v>
      </c>
      <c r="H27" s="66">
        <f>G27*100%/$G$38</f>
        <v>1.9769537463265523E-2</v>
      </c>
    </row>
    <row r="28" spans="1:10" s="46" customFormat="1" ht="12.75" customHeight="1">
      <c r="A28" s="526" t="s">
        <v>23</v>
      </c>
      <c r="B28" s="526"/>
      <c r="C28" s="67">
        <f>SUM(C25:C27)</f>
        <v>130</v>
      </c>
      <c r="D28" s="68"/>
      <c r="E28" s="53"/>
      <c r="F28" s="53"/>
      <c r="G28" s="53">
        <f>SUM(G25:G27)</f>
        <v>108123400</v>
      </c>
      <c r="H28" s="48">
        <f>SUM(H25:H27)</f>
        <v>4.6057953177238597E-2</v>
      </c>
    </row>
    <row r="29" spans="1:10" s="56" customFormat="1" ht="12.75" customHeight="1">
      <c r="A29" s="33">
        <v>3</v>
      </c>
      <c r="B29" s="43" t="s">
        <v>373</v>
      </c>
      <c r="C29" s="67" t="s">
        <v>4</v>
      </c>
      <c r="D29" s="68"/>
      <c r="E29" s="53" t="s">
        <v>387</v>
      </c>
      <c r="F29" s="53" t="s">
        <v>24</v>
      </c>
      <c r="G29" s="53" t="s">
        <v>9</v>
      </c>
      <c r="H29" s="53" t="s">
        <v>11</v>
      </c>
    </row>
    <row r="30" spans="1:10" ht="12.75" customHeight="1">
      <c r="A30" s="10" t="s">
        <v>29</v>
      </c>
      <c r="B30" s="69" t="s">
        <v>55</v>
      </c>
      <c r="C30" s="63">
        <v>114</v>
      </c>
      <c r="D30" s="12" t="s">
        <v>26</v>
      </c>
      <c r="E30" s="12">
        <v>2</v>
      </c>
      <c r="F30" s="65">
        <v>1142400</v>
      </c>
      <c r="G30" s="72">
        <f>C30*F30*E30</f>
        <v>260467200</v>
      </c>
      <c r="H30" s="66">
        <f>G30*100%/$G$38</f>
        <v>0.1109527271784502</v>
      </c>
    </row>
    <row r="31" spans="1:10" ht="12.75" customHeight="1">
      <c r="A31" s="10" t="s">
        <v>30</v>
      </c>
      <c r="B31" s="69" t="s">
        <v>56</v>
      </c>
      <c r="C31" s="63">
        <v>114</v>
      </c>
      <c r="D31" s="12" t="s">
        <v>26</v>
      </c>
      <c r="E31" s="12">
        <v>2</v>
      </c>
      <c r="F31" s="65">
        <v>2266435.9429824599</v>
      </c>
      <c r="G31" s="72">
        <f>C31*F31*E31</f>
        <v>516747395.00000083</v>
      </c>
      <c r="H31" s="66">
        <f>G31*100%/$G$38</f>
        <v>0.22012189149962041</v>
      </c>
    </row>
    <row r="32" spans="1:10" s="46" customFormat="1" ht="12.75" customHeight="1">
      <c r="A32" s="522" t="s">
        <v>23</v>
      </c>
      <c r="B32" s="522"/>
      <c r="C32" s="33">
        <f>SUM(C30:C31)</f>
        <v>228</v>
      </c>
      <c r="D32" s="53"/>
      <c r="E32" s="53"/>
      <c r="F32" s="53"/>
      <c r="G32" s="53">
        <f>SUM(G30:G31)</f>
        <v>777214595.00000083</v>
      </c>
      <c r="H32" s="48">
        <f>G32*100%/$G$38</f>
        <v>0.33107461867807059</v>
      </c>
    </row>
    <row r="33" spans="1:11" ht="12.75" customHeight="1">
      <c r="A33" s="81" t="s">
        <v>374</v>
      </c>
      <c r="B33" s="36" t="s">
        <v>375</v>
      </c>
      <c r="C33" s="36"/>
      <c r="D33" s="37"/>
      <c r="E33" s="37"/>
      <c r="F33" s="38"/>
      <c r="G33" s="82">
        <f>+G32+G28+G23+1</f>
        <v>2050262996.000001</v>
      </c>
      <c r="H33" s="83">
        <f>H32+H28+H23</f>
        <v>0.87336244536090257</v>
      </c>
      <c r="K33" s="92"/>
    </row>
    <row r="34" spans="1:11" ht="12.75" customHeight="1">
      <c r="A34" s="35"/>
      <c r="B34" s="36" t="s">
        <v>40</v>
      </c>
      <c r="C34" s="36"/>
      <c r="D34" s="37"/>
      <c r="E34" s="122"/>
      <c r="F34" s="123"/>
      <c r="G34" s="123"/>
      <c r="H34" s="124"/>
      <c r="K34" s="92"/>
    </row>
    <row r="35" spans="1:11" s="94" customFormat="1" ht="93.75" customHeight="1">
      <c r="A35" s="10">
        <v>4</v>
      </c>
      <c r="B35" s="85" t="s">
        <v>376</v>
      </c>
      <c r="C35" s="102" t="s">
        <v>377</v>
      </c>
      <c r="D35" s="69"/>
      <c r="E35" s="69"/>
      <c r="F35" s="134"/>
      <c r="G35" s="135">
        <v>153769724.69999999</v>
      </c>
      <c r="H35" s="66">
        <f>G35*100%/G38</f>
        <v>6.5502183434015843E-2</v>
      </c>
    </row>
    <row r="36" spans="1:11" ht="12.75" customHeight="1">
      <c r="A36" s="10">
        <v>5</v>
      </c>
      <c r="B36" s="85" t="s">
        <v>388</v>
      </c>
      <c r="C36" s="86"/>
      <c r="D36" s="40"/>
      <c r="E36" s="40"/>
      <c r="F36" s="87"/>
      <c r="G36" s="106">
        <v>143518409.72</v>
      </c>
      <c r="H36" s="89">
        <f>G36*100%/G38</f>
        <v>6.1135371205081467E-2</v>
      </c>
      <c r="K36" s="120"/>
    </row>
    <row r="37" spans="1:11" ht="12.75" customHeight="1">
      <c r="A37" s="42"/>
      <c r="B37" s="43" t="s">
        <v>23</v>
      </c>
      <c r="C37" s="43"/>
      <c r="D37" s="44"/>
      <c r="E37" s="107"/>
      <c r="F37" s="107"/>
      <c r="G37" s="125">
        <f>SUM(G35:G36)</f>
        <v>297288134.41999996</v>
      </c>
      <c r="H37" s="109">
        <f>SUM(H35:H36)</f>
        <v>0.12663755463909732</v>
      </c>
      <c r="K37" s="121"/>
    </row>
    <row r="38" spans="1:11" ht="12.75" customHeight="1">
      <c r="A38" s="35"/>
      <c r="B38" s="36" t="s">
        <v>389</v>
      </c>
      <c r="C38" s="36"/>
      <c r="D38" s="37"/>
      <c r="E38" s="37"/>
      <c r="F38" s="37"/>
      <c r="G38" s="45">
        <f>+G23+G28+G32+G37</f>
        <v>2347551129.420001</v>
      </c>
      <c r="H38" s="91">
        <f>H33+H37</f>
        <v>0.99999999999999989</v>
      </c>
    </row>
    <row r="39" spans="1:11" ht="12.75" customHeight="1">
      <c r="A39" s="10">
        <v>6</v>
      </c>
      <c r="B39" s="85" t="s">
        <v>390</v>
      </c>
      <c r="C39" s="86"/>
      <c r="D39" s="40"/>
      <c r="E39" s="40"/>
      <c r="F39" s="87"/>
      <c r="G39" s="106">
        <f>+G38*19%</f>
        <v>446034714.58980018</v>
      </c>
      <c r="H39" s="89"/>
    </row>
    <row r="40" spans="1:11" ht="12.75" customHeight="1">
      <c r="A40" s="42"/>
      <c r="B40" s="43" t="s">
        <v>23</v>
      </c>
      <c r="C40" s="43"/>
      <c r="D40" s="44"/>
      <c r="E40" s="107"/>
      <c r="F40" s="107"/>
      <c r="G40" s="125">
        <f>SUM(G39:G39)</f>
        <v>446034714.58980018</v>
      </c>
      <c r="H40" s="109"/>
    </row>
    <row r="41" spans="1:11" ht="12.75" customHeight="1">
      <c r="A41" s="35"/>
      <c r="B41" s="36" t="s">
        <v>391</v>
      </c>
      <c r="C41" s="36"/>
      <c r="D41" s="37"/>
      <c r="E41" s="37"/>
      <c r="F41" s="37"/>
      <c r="G41" s="45">
        <f>+G38+G40</f>
        <v>2793585844.0098014</v>
      </c>
      <c r="H41" s="91">
        <f>H38+H40</f>
        <v>0.99999999999999989</v>
      </c>
    </row>
  </sheetData>
  <mergeCells count="6">
    <mergeCell ref="A32:B32"/>
    <mergeCell ref="A1:H1"/>
    <mergeCell ref="A2:B2"/>
    <mergeCell ref="C2:H2"/>
    <mergeCell ref="A23:B23"/>
    <mergeCell ref="A28:B28"/>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9" tint="0.79995117038483843"/>
  </sheetPr>
  <dimension ref="A1:J34"/>
  <sheetViews>
    <sheetView tabSelected="1" topLeftCell="A6" workbookViewId="0">
      <selection activeCell="I27" sqref="I27"/>
    </sheetView>
  </sheetViews>
  <sheetFormatPr baseColWidth="10" defaultColWidth="10.85546875" defaultRowHeight="12.75" customHeight="1"/>
  <cols>
    <col min="1" max="1" width="10.85546875" style="1"/>
    <col min="2" max="2" width="50.140625" style="1" customWidth="1"/>
    <col min="3" max="3" width="10.85546875" style="1"/>
    <col min="4" max="4" width="12.28515625" style="1" customWidth="1"/>
    <col min="5" max="5" width="10.85546875" style="2"/>
    <col min="6" max="6" width="15" style="1" customWidth="1"/>
    <col min="7" max="7" width="14.85546875" style="1" customWidth="1"/>
    <col min="8" max="8" width="8" style="2" customWidth="1"/>
    <col min="9" max="9" width="11.42578125" style="1" customWidth="1"/>
    <col min="10" max="10" width="13.28515625" style="1" customWidth="1"/>
    <col min="11" max="16384" width="10.85546875" style="1"/>
  </cols>
  <sheetData>
    <row r="1" spans="1:8" ht="12.75" customHeight="1">
      <c r="A1" s="506" t="s">
        <v>0</v>
      </c>
      <c r="B1" s="506"/>
      <c r="C1" s="506"/>
      <c r="D1" s="506"/>
      <c r="E1" s="506"/>
      <c r="F1" s="506"/>
      <c r="G1" s="506"/>
      <c r="H1" s="506"/>
    </row>
    <row r="2" spans="1:8" ht="24.75" customHeight="1">
      <c r="A2" s="520" t="s">
        <v>1</v>
      </c>
      <c r="B2" s="520"/>
      <c r="C2" s="529" t="s">
        <v>238</v>
      </c>
      <c r="D2" s="529"/>
      <c r="E2" s="529"/>
      <c r="F2" s="529"/>
      <c r="G2" s="529"/>
      <c r="H2" s="529"/>
    </row>
    <row r="3" spans="1:8" ht="12.75" customHeight="1">
      <c r="A3" s="3"/>
      <c r="B3" s="4"/>
      <c r="C3" s="4"/>
      <c r="D3" s="4"/>
      <c r="E3" s="46"/>
      <c r="F3" s="4"/>
      <c r="G3" s="4"/>
      <c r="H3" s="46"/>
    </row>
    <row r="4" spans="1:8" ht="12.75" customHeight="1">
      <c r="A4" s="5" t="s">
        <v>2</v>
      </c>
      <c r="B4" s="6" t="s">
        <v>3</v>
      </c>
      <c r="C4" s="6" t="s">
        <v>4</v>
      </c>
      <c r="D4" s="7" t="s">
        <v>5</v>
      </c>
      <c r="E4" s="7" t="s">
        <v>6</v>
      </c>
      <c r="F4" s="7" t="s">
        <v>392</v>
      </c>
      <c r="G4" s="7" t="s">
        <v>9</v>
      </c>
      <c r="H4" s="7" t="s">
        <v>11</v>
      </c>
    </row>
    <row r="5" spans="1:8" ht="12.75" customHeight="1">
      <c r="A5" s="8">
        <v>1</v>
      </c>
      <c r="B5" s="9" t="s">
        <v>12</v>
      </c>
      <c r="C5" s="9"/>
      <c r="D5" s="9"/>
      <c r="E5" s="33"/>
      <c r="F5" s="9"/>
      <c r="G5" s="9"/>
      <c r="H5" s="33"/>
    </row>
    <row r="6" spans="1:8" ht="12.75" customHeight="1">
      <c r="A6" s="10" t="s">
        <v>13</v>
      </c>
      <c r="B6" s="11" t="s">
        <v>77</v>
      </c>
      <c r="C6" s="12">
        <v>1</v>
      </c>
      <c r="D6" s="13">
        <v>1</v>
      </c>
      <c r="E6" s="12">
        <v>8</v>
      </c>
      <c r="F6" s="14">
        <v>8000000</v>
      </c>
      <c r="G6" s="15">
        <f>C6*D6*E6*F6</f>
        <v>64000000</v>
      </c>
      <c r="H6" s="47">
        <f t="shared" ref="H6:H18" si="0">G6*100%/$G$32</f>
        <v>2.0707030282353295E-2</v>
      </c>
    </row>
    <row r="7" spans="1:8" ht="12.75" customHeight="1">
      <c r="A7" s="10" t="s">
        <v>15</v>
      </c>
      <c r="B7" s="11" t="s">
        <v>104</v>
      </c>
      <c r="C7" s="12">
        <v>4</v>
      </c>
      <c r="D7" s="13">
        <v>1</v>
      </c>
      <c r="E7" s="12">
        <v>8</v>
      </c>
      <c r="F7" s="14">
        <v>7000000</v>
      </c>
      <c r="G7" s="15">
        <f t="shared" ref="G7:G16" si="1">C7*D7*E7*F7</f>
        <v>224000000</v>
      </c>
      <c r="H7" s="47">
        <f t="shared" si="0"/>
        <v>7.2474605988236532E-2</v>
      </c>
    </row>
    <row r="8" spans="1:8" ht="12.75" customHeight="1">
      <c r="A8" s="10" t="s">
        <v>17</v>
      </c>
      <c r="B8" s="11" t="s">
        <v>105</v>
      </c>
      <c r="C8" s="12">
        <v>4</v>
      </c>
      <c r="D8" s="13">
        <v>1</v>
      </c>
      <c r="E8" s="12">
        <v>8</v>
      </c>
      <c r="F8" s="14">
        <v>7000000</v>
      </c>
      <c r="G8" s="15">
        <f t="shared" si="1"/>
        <v>224000000</v>
      </c>
      <c r="H8" s="47">
        <f t="shared" si="0"/>
        <v>7.2474605988236532E-2</v>
      </c>
    </row>
    <row r="9" spans="1:8" ht="12.75" customHeight="1">
      <c r="A9" s="10" t="s">
        <v>18</v>
      </c>
      <c r="B9" s="11" t="s">
        <v>106</v>
      </c>
      <c r="C9" s="12">
        <v>3</v>
      </c>
      <c r="D9" s="13">
        <v>1</v>
      </c>
      <c r="E9" s="12">
        <v>8</v>
      </c>
      <c r="F9" s="14">
        <v>7000000</v>
      </c>
      <c r="G9" s="15">
        <f t="shared" si="1"/>
        <v>168000000</v>
      </c>
      <c r="H9" s="47">
        <f t="shared" si="0"/>
        <v>5.4355954491177402E-2</v>
      </c>
    </row>
    <row r="10" spans="1:8" ht="12.75" customHeight="1">
      <c r="A10" s="10" t="s">
        <v>19</v>
      </c>
      <c r="B10" s="11" t="s">
        <v>115</v>
      </c>
      <c r="C10" s="12">
        <v>7</v>
      </c>
      <c r="D10" s="13">
        <v>1</v>
      </c>
      <c r="E10" s="12">
        <v>8</v>
      </c>
      <c r="F10" s="14">
        <v>6000000</v>
      </c>
      <c r="G10" s="15">
        <f t="shared" si="1"/>
        <v>336000000</v>
      </c>
      <c r="H10" s="47">
        <f t="shared" si="0"/>
        <v>0.1087119089823548</v>
      </c>
    </row>
    <row r="11" spans="1:8" ht="12.75" customHeight="1">
      <c r="A11" s="10" t="s">
        <v>20</v>
      </c>
      <c r="B11" s="11" t="s">
        <v>116</v>
      </c>
      <c r="C11" s="12">
        <v>3</v>
      </c>
      <c r="D11" s="13">
        <v>1</v>
      </c>
      <c r="E11" s="12">
        <v>8</v>
      </c>
      <c r="F11" s="14">
        <v>6000000</v>
      </c>
      <c r="G11" s="15">
        <f t="shared" si="1"/>
        <v>144000000</v>
      </c>
      <c r="H11" s="47">
        <f t="shared" si="0"/>
        <v>4.6590818135294913E-2</v>
      </c>
    </row>
    <row r="12" spans="1:8" ht="12.75" customHeight="1">
      <c r="A12" s="10" t="s">
        <v>21</v>
      </c>
      <c r="B12" s="11" t="s">
        <v>141</v>
      </c>
      <c r="C12" s="12">
        <v>4</v>
      </c>
      <c r="D12" s="13">
        <v>1</v>
      </c>
      <c r="E12" s="12">
        <v>8</v>
      </c>
      <c r="F12" s="14">
        <v>4000000</v>
      </c>
      <c r="G12" s="15">
        <f t="shared" si="1"/>
        <v>128000000</v>
      </c>
      <c r="H12" s="47">
        <f t="shared" si="0"/>
        <v>4.141406056470659E-2</v>
      </c>
    </row>
    <row r="13" spans="1:8" ht="12.75" customHeight="1">
      <c r="A13" s="10" t="s">
        <v>22</v>
      </c>
      <c r="B13" s="11" t="s">
        <v>121</v>
      </c>
      <c r="C13" s="12">
        <v>25</v>
      </c>
      <c r="D13" s="13">
        <v>1</v>
      </c>
      <c r="E13" s="12">
        <v>8</v>
      </c>
      <c r="F13" s="14">
        <v>5500000</v>
      </c>
      <c r="G13" s="15">
        <f t="shared" si="1"/>
        <v>1100000000</v>
      </c>
      <c r="H13" s="47">
        <f t="shared" si="0"/>
        <v>0.35590208297794729</v>
      </c>
    </row>
    <row r="14" spans="1:8" ht="12.75" customHeight="1">
      <c r="A14" s="10" t="s">
        <v>378</v>
      </c>
      <c r="B14" s="11" t="s">
        <v>129</v>
      </c>
      <c r="C14" s="12">
        <v>2</v>
      </c>
      <c r="D14" s="13">
        <v>1</v>
      </c>
      <c r="E14" s="12">
        <v>7</v>
      </c>
      <c r="F14" s="14">
        <v>4500000</v>
      </c>
      <c r="G14" s="15">
        <f t="shared" si="1"/>
        <v>63000000</v>
      </c>
      <c r="H14" s="47">
        <f t="shared" si="0"/>
        <v>2.0383482934191524E-2</v>
      </c>
    </row>
    <row r="15" spans="1:8" ht="12.75" customHeight="1">
      <c r="A15" s="10" t="s">
        <v>379</v>
      </c>
      <c r="B15" s="11" t="s">
        <v>130</v>
      </c>
      <c r="C15" s="12">
        <v>2</v>
      </c>
      <c r="D15" s="13">
        <v>1</v>
      </c>
      <c r="E15" s="12">
        <v>6</v>
      </c>
      <c r="F15" s="14">
        <v>4500000</v>
      </c>
      <c r="G15" s="15">
        <f t="shared" si="1"/>
        <v>54000000</v>
      </c>
      <c r="H15" s="47">
        <f t="shared" si="0"/>
        <v>1.7471556800735595E-2</v>
      </c>
    </row>
    <row r="16" spans="1:8" ht="12.75" customHeight="1">
      <c r="A16" s="10" t="s">
        <v>380</v>
      </c>
      <c r="B16" s="11" t="s">
        <v>131</v>
      </c>
      <c r="C16" s="12">
        <v>1</v>
      </c>
      <c r="D16" s="13">
        <v>1</v>
      </c>
      <c r="E16" s="12">
        <v>4</v>
      </c>
      <c r="F16" s="14">
        <v>4500000</v>
      </c>
      <c r="G16" s="15">
        <f t="shared" si="1"/>
        <v>18000000</v>
      </c>
      <c r="H16" s="47">
        <f t="shared" si="0"/>
        <v>5.8238522669118642E-3</v>
      </c>
    </row>
    <row r="17" spans="1:10" ht="12.75" customHeight="1">
      <c r="A17" s="10" t="s">
        <v>381</v>
      </c>
      <c r="B17" s="11" t="s">
        <v>142</v>
      </c>
      <c r="C17" s="12">
        <v>1</v>
      </c>
      <c r="D17" s="13">
        <v>1</v>
      </c>
      <c r="E17" s="12">
        <v>8</v>
      </c>
      <c r="F17" s="14">
        <v>4000000</v>
      </c>
      <c r="G17" s="15">
        <f t="shared" ref="G17:G18" si="2">C17*D17*E17*F17</f>
        <v>32000000</v>
      </c>
      <c r="H17" s="47">
        <f t="shared" si="0"/>
        <v>1.0353515141176647E-2</v>
      </c>
    </row>
    <row r="18" spans="1:10" ht="12.75" customHeight="1">
      <c r="A18" s="10" t="s">
        <v>382</v>
      </c>
      <c r="B18" s="11" t="s">
        <v>159</v>
      </c>
      <c r="C18" s="12">
        <v>1</v>
      </c>
      <c r="D18" s="13">
        <v>1</v>
      </c>
      <c r="E18" s="12">
        <v>8</v>
      </c>
      <c r="F18" s="14">
        <v>2500000</v>
      </c>
      <c r="G18" s="15">
        <f t="shared" si="2"/>
        <v>20000000</v>
      </c>
      <c r="H18" s="47">
        <f t="shared" si="0"/>
        <v>6.4709469632354046E-3</v>
      </c>
    </row>
    <row r="19" spans="1:10" ht="12.75" customHeight="1">
      <c r="A19" s="527" t="s">
        <v>23</v>
      </c>
      <c r="B19" s="528"/>
      <c r="C19" s="17"/>
      <c r="D19" s="17"/>
      <c r="E19" s="53"/>
      <c r="F19" s="128">
        <f>SUM(F6:F18)</f>
        <v>70500000</v>
      </c>
      <c r="G19" s="128">
        <f>SUM(G6:G18)</f>
        <v>2575000000</v>
      </c>
      <c r="H19" s="48">
        <f>SUM(H6:H18)</f>
        <v>0.83313442151655848</v>
      </c>
    </row>
    <row r="20" spans="1:10" ht="12.75" customHeight="1">
      <c r="A20" s="18">
        <v>2</v>
      </c>
      <c r="B20" s="19" t="s">
        <v>393</v>
      </c>
      <c r="C20" s="530" t="s">
        <v>4</v>
      </c>
      <c r="D20" s="531"/>
      <c r="E20" s="22" t="s">
        <v>6</v>
      </c>
      <c r="F20" s="19" t="s">
        <v>266</v>
      </c>
      <c r="G20" s="22" t="s">
        <v>274</v>
      </c>
      <c r="H20" s="22"/>
    </row>
    <row r="21" spans="1:10" ht="12.75" customHeight="1">
      <c r="A21" s="10" t="s">
        <v>25</v>
      </c>
      <c r="B21" s="23" t="s">
        <v>198</v>
      </c>
      <c r="C21" s="12">
        <v>1</v>
      </c>
      <c r="D21" s="12" t="s">
        <v>26</v>
      </c>
      <c r="E21" s="12">
        <v>8</v>
      </c>
      <c r="F21" s="25">
        <v>4603746</v>
      </c>
      <c r="G21" s="26">
        <f>(C21*E21*F21)-1</f>
        <v>36829967</v>
      </c>
      <c r="H21" s="49">
        <f t="shared" ref="H21:H26" si="3">G21*100%/$G$32</f>
        <v>1.1916238155735509E-2</v>
      </c>
    </row>
    <row r="22" spans="1:10" ht="12.75" customHeight="1">
      <c r="A22" s="27" t="s">
        <v>27</v>
      </c>
      <c r="B22" s="29" t="s">
        <v>199</v>
      </c>
      <c r="C22" s="30">
        <v>1677</v>
      </c>
      <c r="D22" s="12" t="s">
        <v>26</v>
      </c>
      <c r="E22" s="30">
        <v>1</v>
      </c>
      <c r="F22" s="31">
        <f>12000</f>
        <v>12000</v>
      </c>
      <c r="G22" s="32">
        <f>+C22*E22*F22</f>
        <v>20124000</v>
      </c>
      <c r="H22" s="49">
        <f t="shared" si="3"/>
        <v>6.5110668344074644E-3</v>
      </c>
    </row>
    <row r="23" spans="1:10" ht="12.75" customHeight="1">
      <c r="A23" s="27" t="s">
        <v>291</v>
      </c>
      <c r="B23" s="29" t="s">
        <v>191</v>
      </c>
      <c r="C23" s="30">
        <f>+C22</f>
        <v>1677</v>
      </c>
      <c r="D23" s="12" t="s">
        <v>26</v>
      </c>
      <c r="E23" s="30">
        <v>1</v>
      </c>
      <c r="F23" s="31">
        <v>30000</v>
      </c>
      <c r="G23" s="32">
        <f>F23*E23*C23</f>
        <v>50310000</v>
      </c>
      <c r="H23" s="49">
        <f t="shared" si="3"/>
        <v>1.627766708601866E-2</v>
      </c>
    </row>
    <row r="24" spans="1:10" ht="12.75" customHeight="1">
      <c r="A24" s="27" t="s">
        <v>28</v>
      </c>
      <c r="B24" s="29" t="s">
        <v>195</v>
      </c>
      <c r="C24" s="30">
        <v>7</v>
      </c>
      <c r="D24" s="12" t="s">
        <v>26</v>
      </c>
      <c r="E24" s="30">
        <v>1</v>
      </c>
      <c r="F24" s="31">
        <v>3000000</v>
      </c>
      <c r="G24" s="32">
        <f>F24*E24*C24</f>
        <v>21000000</v>
      </c>
      <c r="H24" s="49">
        <f t="shared" si="3"/>
        <v>6.7944943113971753E-3</v>
      </c>
    </row>
    <row r="25" spans="1:10" ht="12.75" customHeight="1">
      <c r="A25" s="27" t="s">
        <v>31</v>
      </c>
      <c r="B25" s="29" t="s">
        <v>178</v>
      </c>
      <c r="C25" s="30">
        <v>49</v>
      </c>
      <c r="D25" s="12" t="s">
        <v>26</v>
      </c>
      <c r="E25" s="30">
        <v>1</v>
      </c>
      <c r="F25" s="31">
        <v>850000</v>
      </c>
      <c r="G25" s="32">
        <f>F25*C25</f>
        <v>41650000</v>
      </c>
      <c r="H25" s="49">
        <f t="shared" si="3"/>
        <v>1.3475747050937731E-2</v>
      </c>
    </row>
    <row r="26" spans="1:10" ht="12.75" customHeight="1">
      <c r="A26" s="27" t="s">
        <v>32</v>
      </c>
      <c r="B26" s="29" t="s">
        <v>178</v>
      </c>
      <c r="C26" s="30">
        <v>49</v>
      </c>
      <c r="D26" s="12" t="s">
        <v>26</v>
      </c>
      <c r="E26" s="30">
        <v>3</v>
      </c>
      <c r="F26" s="31">
        <v>250000</v>
      </c>
      <c r="G26" s="32">
        <f>F26*E26*C26</f>
        <v>36750000</v>
      </c>
      <c r="H26" s="49">
        <f t="shared" si="3"/>
        <v>1.1890365044945056E-2</v>
      </c>
    </row>
    <row r="27" spans="1:10" ht="12.75" customHeight="1">
      <c r="A27" s="527" t="s">
        <v>23</v>
      </c>
      <c r="B27" s="528"/>
      <c r="C27" s="17"/>
      <c r="D27" s="17"/>
      <c r="E27" s="53"/>
      <c r="F27" s="34"/>
      <c r="G27" s="34">
        <f>SUM(G21:G26)</f>
        <v>206663967</v>
      </c>
      <c r="H27" s="48">
        <f>SUM(H21:H26)</f>
        <v>6.6865578483441601E-2</v>
      </c>
    </row>
    <row r="28" spans="1:10" ht="12.75" customHeight="1">
      <c r="A28" s="35" t="s">
        <v>394</v>
      </c>
      <c r="B28" s="36" t="s">
        <v>39</v>
      </c>
      <c r="C28" s="37"/>
      <c r="D28" s="37"/>
      <c r="E28" s="129"/>
      <c r="F28" s="38"/>
      <c r="G28" s="38">
        <f>G19+G27</f>
        <v>2781663967</v>
      </c>
      <c r="H28" s="50">
        <f>G28/G32*100%</f>
        <v>0.9</v>
      </c>
      <c r="I28" s="133"/>
      <c r="J28" s="132"/>
    </row>
    <row r="29" spans="1:10" ht="12.75" customHeight="1">
      <c r="A29" s="35"/>
      <c r="B29" s="36" t="s">
        <v>40</v>
      </c>
      <c r="C29" s="37"/>
      <c r="D29" s="37"/>
      <c r="E29" s="129"/>
      <c r="F29" s="38"/>
      <c r="G29" s="38"/>
      <c r="H29" s="51"/>
    </row>
    <row r="30" spans="1:10" ht="12.75" customHeight="1">
      <c r="A30" s="10">
        <v>3.1</v>
      </c>
      <c r="B30" s="39" t="s">
        <v>395</v>
      </c>
      <c r="C30" s="40"/>
      <c r="D30" s="40"/>
      <c r="E30" s="130"/>
      <c r="F30" s="41">
        <v>0.1</v>
      </c>
      <c r="G30" s="32">
        <f>+G28*0.1/0.9</f>
        <v>309073774.1111111</v>
      </c>
      <c r="H30" s="52">
        <f>G30/G32*100%</f>
        <v>9.9999999999999992E-2</v>
      </c>
    </row>
    <row r="31" spans="1:10" ht="12.75" customHeight="1">
      <c r="A31" s="42"/>
      <c r="B31" s="43" t="s">
        <v>23</v>
      </c>
      <c r="C31" s="44"/>
      <c r="D31" s="44"/>
      <c r="E31" s="131"/>
      <c r="F31" s="44"/>
      <c r="G31" s="17">
        <f>G30</f>
        <v>309073774.1111111</v>
      </c>
      <c r="H31" s="53"/>
    </row>
    <row r="32" spans="1:10" ht="12.75" customHeight="1">
      <c r="A32" s="35"/>
      <c r="B32" s="36" t="s">
        <v>41</v>
      </c>
      <c r="C32" s="37"/>
      <c r="D32" s="37"/>
      <c r="E32" s="129"/>
      <c r="F32" s="37"/>
      <c r="G32" s="45">
        <f>+G31+G27+G19</f>
        <v>3090737741.1111112</v>
      </c>
      <c r="H32" s="54">
        <f>H28+H30</f>
        <v>1</v>
      </c>
    </row>
    <row r="33" spans="1:8" ht="12.75" customHeight="1">
      <c r="A33" s="3"/>
      <c r="B33" s="4"/>
      <c r="C33" s="4"/>
      <c r="D33" s="4"/>
      <c r="E33" s="46"/>
      <c r="F33" s="4"/>
      <c r="G33" s="4"/>
      <c r="H33" s="46"/>
    </row>
    <row r="34" spans="1:8" ht="12.75" customHeight="1">
      <c r="G34" s="132"/>
    </row>
  </sheetData>
  <mergeCells count="6">
    <mergeCell ref="A27:B27"/>
    <mergeCell ref="A1:H1"/>
    <mergeCell ref="A2:B2"/>
    <mergeCell ref="C2:H2"/>
    <mergeCell ref="A19:B19"/>
    <mergeCell ref="C20:D20"/>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9" tint="0.79995117038483843"/>
  </sheetPr>
  <dimension ref="A1:M30"/>
  <sheetViews>
    <sheetView topLeftCell="A7" workbookViewId="0">
      <selection activeCell="C3" sqref="C3"/>
    </sheetView>
  </sheetViews>
  <sheetFormatPr baseColWidth="10" defaultColWidth="11.42578125" defaultRowHeight="12.75" customHeight="1"/>
  <cols>
    <col min="1" max="1" width="8.7109375" style="3" customWidth="1"/>
    <col min="2" max="2" width="71.28515625" style="4" customWidth="1"/>
    <col min="3" max="3" width="17" style="4" customWidth="1"/>
    <col min="4" max="4" width="17.140625" style="4" customWidth="1"/>
    <col min="5" max="5" width="11.42578125" style="4" customWidth="1"/>
    <col min="6" max="6" width="15.42578125" style="4" customWidth="1"/>
    <col min="7" max="7" width="16" style="4" customWidth="1"/>
    <col min="8" max="8" width="10.28515625" style="46" customWidth="1"/>
    <col min="9" max="9" width="14.140625" style="92" customWidth="1"/>
    <col min="10" max="10" width="13.28515625" style="4" customWidth="1"/>
    <col min="11" max="11" width="13" style="4" customWidth="1"/>
    <col min="12" max="12" width="11.42578125" style="4"/>
    <col min="13" max="13" width="12.42578125" style="4" customWidth="1"/>
    <col min="14" max="16384" width="11.42578125" style="4"/>
  </cols>
  <sheetData>
    <row r="1" spans="1:13" ht="12.75" customHeight="1">
      <c r="A1" s="506" t="s">
        <v>0</v>
      </c>
      <c r="B1" s="506"/>
      <c r="C1" s="506"/>
      <c r="D1" s="506"/>
      <c r="E1" s="506"/>
      <c r="F1" s="506"/>
      <c r="G1" s="506"/>
      <c r="H1" s="506"/>
    </row>
    <row r="2" spans="1:13" ht="39" customHeight="1">
      <c r="A2" s="520" t="s">
        <v>1</v>
      </c>
      <c r="B2" s="520"/>
      <c r="C2" s="523" t="s">
        <v>243</v>
      </c>
      <c r="D2" s="524"/>
      <c r="E2" s="524"/>
      <c r="F2" s="524"/>
      <c r="G2" s="524"/>
      <c r="H2" s="525"/>
    </row>
    <row r="4" spans="1:13" s="55" customFormat="1" ht="12.75" customHeight="1">
      <c r="A4" s="5" t="s">
        <v>2</v>
      </c>
      <c r="B4" s="6" t="s">
        <v>3</v>
      </c>
      <c r="C4" s="6" t="s">
        <v>4</v>
      </c>
      <c r="D4" s="7" t="s">
        <v>5</v>
      </c>
      <c r="E4" s="7" t="s">
        <v>6</v>
      </c>
      <c r="F4" s="7" t="s">
        <v>7</v>
      </c>
      <c r="G4" s="7" t="s">
        <v>9</v>
      </c>
      <c r="H4" s="58" t="s">
        <v>11</v>
      </c>
      <c r="I4" s="113"/>
    </row>
    <row r="5" spans="1:13" ht="12.75" customHeight="1">
      <c r="A5" s="59">
        <v>1</v>
      </c>
      <c r="B5" s="9" t="s">
        <v>12</v>
      </c>
      <c r="C5" s="9"/>
      <c r="D5" s="9"/>
      <c r="E5" s="9"/>
      <c r="F5" s="9"/>
      <c r="G5" s="9"/>
      <c r="H5" s="60"/>
    </row>
    <row r="6" spans="1:13" ht="12.75" customHeight="1">
      <c r="A6" s="61" t="s">
        <v>13</v>
      </c>
      <c r="B6" s="62" t="s">
        <v>87</v>
      </c>
      <c r="C6" s="63">
        <v>1</v>
      </c>
      <c r="D6" s="13">
        <v>1</v>
      </c>
      <c r="E6" s="64">
        <v>8</v>
      </c>
      <c r="F6" s="65">
        <v>12682076</v>
      </c>
      <c r="G6" s="65">
        <f>(E6*F6)*D6*C6</f>
        <v>101456608</v>
      </c>
      <c r="H6" s="66">
        <f t="shared" ref="H6:H19" si="0">G6*100%/$G$26</f>
        <v>6.9788074836209163E-2</v>
      </c>
      <c r="J6" s="115"/>
    </row>
    <row r="7" spans="1:13" ht="12.75" customHeight="1">
      <c r="A7" s="61" t="s">
        <v>15</v>
      </c>
      <c r="B7" s="62" t="s">
        <v>110</v>
      </c>
      <c r="C7" s="63">
        <v>1</v>
      </c>
      <c r="D7" s="13">
        <v>1</v>
      </c>
      <c r="E7" s="64">
        <v>8</v>
      </c>
      <c r="F7" s="65">
        <v>6776264</v>
      </c>
      <c r="G7" s="65">
        <f>(E7*F7)*D7*C7+86800</f>
        <v>54296912</v>
      </c>
      <c r="H7" s="66">
        <f t="shared" si="0"/>
        <v>3.7348744776003778E-2</v>
      </c>
      <c r="J7" s="115"/>
    </row>
    <row r="8" spans="1:13" ht="12.75" customHeight="1">
      <c r="A8" s="61" t="s">
        <v>17</v>
      </c>
      <c r="B8" s="62" t="s">
        <v>133</v>
      </c>
      <c r="C8" s="63">
        <v>1</v>
      </c>
      <c r="D8" s="13">
        <v>1</v>
      </c>
      <c r="E8" s="64">
        <v>8</v>
      </c>
      <c r="F8" s="65">
        <v>4182564</v>
      </c>
      <c r="G8" s="65">
        <f>(E8*F8)*D8+86800</f>
        <v>33547312</v>
      </c>
      <c r="H8" s="66">
        <f t="shared" si="0"/>
        <v>2.3075897830229626E-2</v>
      </c>
      <c r="J8" s="115"/>
      <c r="M8" s="92"/>
    </row>
    <row r="9" spans="1:13" ht="12.75" customHeight="1">
      <c r="A9" s="61" t="s">
        <v>18</v>
      </c>
      <c r="B9" s="62" t="s">
        <v>134</v>
      </c>
      <c r="C9" s="63">
        <v>1</v>
      </c>
      <c r="D9" s="13">
        <v>1</v>
      </c>
      <c r="E9" s="64">
        <v>8</v>
      </c>
      <c r="F9" s="65">
        <v>4182564</v>
      </c>
      <c r="G9" s="65">
        <f>(E9*F9)*D9+86800</f>
        <v>33547312</v>
      </c>
      <c r="H9" s="66">
        <f t="shared" si="0"/>
        <v>2.3075897830229626E-2</v>
      </c>
      <c r="J9" s="115"/>
      <c r="M9" s="115"/>
    </row>
    <row r="10" spans="1:13" ht="12.75" customHeight="1">
      <c r="A10" s="61" t="s">
        <v>19</v>
      </c>
      <c r="B10" s="62" t="s">
        <v>396</v>
      </c>
      <c r="C10" s="63">
        <v>3</v>
      </c>
      <c r="D10" s="13">
        <v>1</v>
      </c>
      <c r="E10" s="64">
        <v>8</v>
      </c>
      <c r="F10" s="65">
        <v>4182564</v>
      </c>
      <c r="G10" s="65">
        <f>((E10*F10)*D10)*C10+86800</f>
        <v>100468336</v>
      </c>
      <c r="H10" s="66">
        <f t="shared" si="0"/>
        <v>6.9108280768044275E-2</v>
      </c>
      <c r="J10" s="115"/>
    </row>
    <row r="11" spans="1:13" ht="12.75" customHeight="1">
      <c r="A11" s="61" t="s">
        <v>20</v>
      </c>
      <c r="B11" s="62" t="s">
        <v>397</v>
      </c>
      <c r="C11" s="63">
        <v>1</v>
      </c>
      <c r="D11" s="13">
        <v>1</v>
      </c>
      <c r="E11" s="64">
        <v>8</v>
      </c>
      <c r="F11" s="65">
        <v>4182564</v>
      </c>
      <c r="G11" s="65">
        <f>((E11*F11)*D11)*C11+86800</f>
        <v>33547312</v>
      </c>
      <c r="H11" s="66">
        <f t="shared" si="0"/>
        <v>2.3075897830229626E-2</v>
      </c>
      <c r="J11" s="115"/>
    </row>
    <row r="12" spans="1:13" ht="12.75" customHeight="1">
      <c r="A12" s="61" t="s">
        <v>21</v>
      </c>
      <c r="B12" s="62" t="s">
        <v>135</v>
      </c>
      <c r="C12" s="63">
        <v>2</v>
      </c>
      <c r="D12" s="13">
        <v>1</v>
      </c>
      <c r="E12" s="64">
        <v>8</v>
      </c>
      <c r="F12" s="65">
        <v>4182564</v>
      </c>
      <c r="G12" s="65">
        <f>((E12*F12)*D12)*C12+86800</f>
        <v>67007824</v>
      </c>
      <c r="H12" s="66">
        <f t="shared" si="0"/>
        <v>4.6092089299136954E-2</v>
      </c>
      <c r="J12" s="115"/>
    </row>
    <row r="13" spans="1:13" ht="12.75" customHeight="1">
      <c r="A13" s="61" t="s">
        <v>22</v>
      </c>
      <c r="B13" s="62" t="s">
        <v>136</v>
      </c>
      <c r="C13" s="63">
        <v>1</v>
      </c>
      <c r="D13" s="13">
        <v>1</v>
      </c>
      <c r="E13" s="64">
        <v>8</v>
      </c>
      <c r="F13" s="65">
        <v>4182564</v>
      </c>
      <c r="G13" s="65">
        <f>((E13*F13)*D13)*C13+86800</f>
        <v>33547312</v>
      </c>
      <c r="H13" s="66">
        <f t="shared" si="0"/>
        <v>2.3075897830229626E-2</v>
      </c>
      <c r="J13" s="115"/>
    </row>
    <row r="14" spans="1:13" ht="12.75" customHeight="1">
      <c r="A14" s="61" t="s">
        <v>378</v>
      </c>
      <c r="B14" s="62" t="s">
        <v>137</v>
      </c>
      <c r="C14" s="63">
        <v>1</v>
      </c>
      <c r="D14" s="13">
        <v>1</v>
      </c>
      <c r="E14" s="64">
        <v>8</v>
      </c>
      <c r="F14" s="65">
        <v>4182564</v>
      </c>
      <c r="G14" s="65">
        <f>((E14*F14)*D14)*C14+86800</f>
        <v>33547312</v>
      </c>
      <c r="H14" s="66">
        <f t="shared" si="0"/>
        <v>2.3075897830229626E-2</v>
      </c>
      <c r="J14" s="115"/>
    </row>
    <row r="15" spans="1:13" ht="12.75" customHeight="1">
      <c r="A15" s="61" t="s">
        <v>379</v>
      </c>
      <c r="B15" s="62" t="s">
        <v>156</v>
      </c>
      <c r="C15" s="63">
        <v>32</v>
      </c>
      <c r="D15" s="13">
        <v>1</v>
      </c>
      <c r="E15" s="64">
        <v>7</v>
      </c>
      <c r="F15" s="65">
        <v>2822428</v>
      </c>
      <c r="G15" s="65">
        <f>((E15*F15)*D15)*C15+86519</f>
        <v>632310391</v>
      </c>
      <c r="H15" s="66">
        <f t="shared" si="0"/>
        <v>0.43494185107017058</v>
      </c>
      <c r="J15" s="115"/>
    </row>
    <row r="16" spans="1:13" ht="12.75" customHeight="1">
      <c r="A16" s="61" t="s">
        <v>380</v>
      </c>
      <c r="B16" s="62" t="s">
        <v>152</v>
      </c>
      <c r="C16" s="63">
        <v>1</v>
      </c>
      <c r="D16" s="13">
        <v>1</v>
      </c>
      <c r="E16" s="64">
        <v>7</v>
      </c>
      <c r="F16" s="65">
        <v>3601189</v>
      </c>
      <c r="G16" s="65">
        <f>((E16*F16)*D16)*C16+86800</f>
        <v>25295123</v>
      </c>
      <c r="H16" s="66">
        <f t="shared" si="0"/>
        <v>1.7399536330991037E-2</v>
      </c>
      <c r="J16" s="115"/>
    </row>
    <row r="17" spans="1:11" ht="12.75" customHeight="1">
      <c r="A17" s="61" t="s">
        <v>381</v>
      </c>
      <c r="B17" s="62" t="s">
        <v>157</v>
      </c>
      <c r="C17" s="63">
        <v>2</v>
      </c>
      <c r="D17" s="13">
        <v>1</v>
      </c>
      <c r="E17" s="64">
        <v>8</v>
      </c>
      <c r="F17" s="65">
        <v>2822428</v>
      </c>
      <c r="G17" s="65">
        <f>((E17*F17)*D17)*C17+86801</f>
        <v>45245649</v>
      </c>
      <c r="H17" s="66">
        <f t="shared" si="0"/>
        <v>3.1122731191888974E-2</v>
      </c>
      <c r="J17" s="115"/>
    </row>
    <row r="18" spans="1:11" ht="12.75" customHeight="1">
      <c r="A18" s="61" t="s">
        <v>382</v>
      </c>
      <c r="B18" s="62" t="s">
        <v>158</v>
      </c>
      <c r="C18" s="63">
        <v>1</v>
      </c>
      <c r="D18" s="13">
        <v>1</v>
      </c>
      <c r="E18" s="64">
        <v>8</v>
      </c>
      <c r="F18" s="65">
        <v>2822428</v>
      </c>
      <c r="G18" s="65">
        <f>((E18*F18)*D18)*C18+86801</f>
        <v>22666225</v>
      </c>
      <c r="H18" s="66">
        <f t="shared" si="0"/>
        <v>1.5591219120536289E-2</v>
      </c>
      <c r="J18" s="115"/>
    </row>
    <row r="19" spans="1:11" ht="12.75" customHeight="1">
      <c r="A19" s="61" t="s">
        <v>383</v>
      </c>
      <c r="B19" s="62" t="s">
        <v>164</v>
      </c>
      <c r="C19" s="63">
        <v>1</v>
      </c>
      <c r="D19" s="13">
        <v>1</v>
      </c>
      <c r="E19" s="64">
        <v>3</v>
      </c>
      <c r="F19" s="65">
        <v>1594971</v>
      </c>
      <c r="G19" s="65">
        <f>((E19*F19)*D19)*C19+86800</f>
        <v>4871713</v>
      </c>
      <c r="H19" s="66">
        <f t="shared" si="0"/>
        <v>3.3510628644763392E-3</v>
      </c>
      <c r="J19" s="115"/>
    </row>
    <row r="20" spans="1:11" s="46" customFormat="1" ht="12.75" customHeight="1">
      <c r="A20" s="526" t="s">
        <v>23</v>
      </c>
      <c r="B20" s="526"/>
      <c r="C20" s="67">
        <f>SUM(C6:C19)</f>
        <v>49</v>
      </c>
      <c r="D20" s="68"/>
      <c r="E20" s="53"/>
      <c r="F20" s="53">
        <f>SUM(F6:F19)</f>
        <v>62399732</v>
      </c>
      <c r="G20" s="53">
        <f>SUM(G6:G19)-11085419</f>
        <v>1210269922</v>
      </c>
      <c r="H20" s="48">
        <f>SUM(H6:H19)</f>
        <v>0.84012307940860542</v>
      </c>
      <c r="I20" s="126"/>
      <c r="J20" s="115"/>
    </row>
    <row r="21" spans="1:11" s="56" customFormat="1" ht="12.75" customHeight="1">
      <c r="A21" s="33">
        <v>2</v>
      </c>
      <c r="B21" s="9" t="s">
        <v>372</v>
      </c>
      <c r="C21" s="67" t="s">
        <v>4</v>
      </c>
      <c r="D21" s="68"/>
      <c r="E21" s="53"/>
      <c r="F21" s="53" t="s">
        <v>24</v>
      </c>
      <c r="G21" s="53" t="s">
        <v>9</v>
      </c>
      <c r="H21" s="53" t="s">
        <v>11</v>
      </c>
      <c r="I21" s="127"/>
      <c r="J21" s="115"/>
    </row>
    <row r="22" spans="1:11" ht="12.75" customHeight="1">
      <c r="A22" s="10" t="s">
        <v>25</v>
      </c>
      <c r="B22" s="69" t="s">
        <v>398</v>
      </c>
      <c r="C22" s="63">
        <v>1</v>
      </c>
      <c r="D22" s="12" t="s">
        <v>26</v>
      </c>
      <c r="E22" s="12" t="s">
        <v>26</v>
      </c>
      <c r="F22" s="12" t="s">
        <v>26</v>
      </c>
      <c r="G22" s="12" t="s">
        <v>26</v>
      </c>
      <c r="H22" s="12" t="s">
        <v>26</v>
      </c>
      <c r="J22" s="115"/>
    </row>
    <row r="23" spans="1:11" ht="12.75" customHeight="1">
      <c r="A23" s="10" t="s">
        <v>27</v>
      </c>
      <c r="B23" s="69" t="s">
        <v>399</v>
      </c>
      <c r="C23" s="63">
        <v>1</v>
      </c>
      <c r="D23" s="12" t="s">
        <v>26</v>
      </c>
      <c r="E23" s="12" t="s">
        <v>26</v>
      </c>
      <c r="F23" s="12" t="s">
        <v>26</v>
      </c>
      <c r="G23" s="12" t="s">
        <v>26</v>
      </c>
      <c r="H23" s="12" t="s">
        <v>26</v>
      </c>
      <c r="J23" s="115"/>
    </row>
    <row r="24" spans="1:11" ht="12.75" customHeight="1">
      <c r="A24" s="10" t="s">
        <v>291</v>
      </c>
      <c r="B24" s="69" t="s">
        <v>181</v>
      </c>
      <c r="C24" s="63">
        <v>1</v>
      </c>
      <c r="D24" s="12" t="s">
        <v>26</v>
      </c>
      <c r="E24" s="12" t="s">
        <v>26</v>
      </c>
      <c r="F24" s="12" t="s">
        <v>26</v>
      </c>
      <c r="G24" s="12" t="s">
        <v>26</v>
      </c>
      <c r="H24" s="12" t="s">
        <v>26</v>
      </c>
      <c r="J24" s="115"/>
    </row>
    <row r="25" spans="1:11" s="46" customFormat="1" ht="12.75" customHeight="1">
      <c r="A25" s="526" t="s">
        <v>23</v>
      </c>
      <c r="B25" s="526"/>
      <c r="C25" s="67">
        <f>SUM(C22:C24)</f>
        <v>3</v>
      </c>
      <c r="D25" s="68"/>
      <c r="E25" s="53"/>
      <c r="F25" s="53"/>
      <c r="G25" s="53">
        <v>243511519</v>
      </c>
      <c r="H25" s="48">
        <f>G25*100%/G26</f>
        <v>0.16750215137737476</v>
      </c>
      <c r="I25" s="126"/>
      <c r="J25" s="115"/>
    </row>
    <row r="26" spans="1:11" ht="12.75" customHeight="1">
      <c r="A26" s="81" t="s">
        <v>374</v>
      </c>
      <c r="B26" s="36" t="s">
        <v>400</v>
      </c>
      <c r="C26" s="36"/>
      <c r="D26" s="37"/>
      <c r="E26" s="37"/>
      <c r="F26" s="38"/>
      <c r="G26" s="82">
        <f>+G20+G25</f>
        <v>1453781441</v>
      </c>
      <c r="H26" s="83">
        <f>+H20+H25-1%</f>
        <v>0.99762523078598009</v>
      </c>
      <c r="J26" s="115"/>
      <c r="K26" s="92"/>
    </row>
    <row r="27" spans="1:11" s="56" customFormat="1" ht="12.75" customHeight="1">
      <c r="A27" s="33"/>
      <c r="B27" s="9" t="s">
        <v>40</v>
      </c>
      <c r="C27" s="67"/>
      <c r="D27" s="68"/>
      <c r="E27" s="53"/>
      <c r="F27" s="53"/>
      <c r="G27" s="53"/>
      <c r="H27" s="53"/>
      <c r="I27" s="127"/>
      <c r="J27" s="115"/>
    </row>
    <row r="28" spans="1:11" ht="12.75" customHeight="1">
      <c r="A28" s="10">
        <v>4</v>
      </c>
      <c r="B28" s="85" t="s">
        <v>390</v>
      </c>
      <c r="C28" s="86"/>
      <c r="D28" s="40"/>
      <c r="E28" s="40"/>
      <c r="F28" s="87"/>
      <c r="G28" s="110">
        <f>+G26*19%</f>
        <v>276218473.79000002</v>
      </c>
      <c r="H28" s="89"/>
      <c r="J28" s="115"/>
    </row>
    <row r="29" spans="1:11" ht="12.75" customHeight="1">
      <c r="A29" s="42"/>
      <c r="B29" s="43" t="s">
        <v>23</v>
      </c>
      <c r="C29" s="43"/>
      <c r="D29" s="44"/>
      <c r="E29" s="107"/>
      <c r="F29" s="107"/>
      <c r="G29" s="108">
        <f>SUM(G28:G28)</f>
        <v>276218473.79000002</v>
      </c>
      <c r="H29" s="109"/>
      <c r="J29" s="115"/>
    </row>
    <row r="30" spans="1:11" ht="12.75" customHeight="1">
      <c r="A30" s="35"/>
      <c r="B30" s="36" t="s">
        <v>391</v>
      </c>
      <c r="C30" s="36"/>
      <c r="D30" s="37"/>
      <c r="E30" s="37"/>
      <c r="F30" s="37"/>
      <c r="G30" s="111">
        <f>+G26+G29</f>
        <v>1729999914.79</v>
      </c>
      <c r="H30" s="91"/>
      <c r="J30" s="115"/>
    </row>
  </sheetData>
  <mergeCells count="5">
    <mergeCell ref="A1:H1"/>
    <mergeCell ref="A2:B2"/>
    <mergeCell ref="C2:H2"/>
    <mergeCell ref="A20:B20"/>
    <mergeCell ref="A25:B25"/>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9" tint="0.79995117038483843"/>
  </sheetPr>
  <dimension ref="A1:M34"/>
  <sheetViews>
    <sheetView topLeftCell="A13" workbookViewId="0">
      <selection activeCell="H34" sqref="H34"/>
    </sheetView>
  </sheetViews>
  <sheetFormatPr baseColWidth="10" defaultColWidth="11.42578125" defaultRowHeight="12.75" customHeight="1"/>
  <cols>
    <col min="1" max="1" width="8.7109375" style="3" customWidth="1"/>
    <col min="2" max="2" width="71.28515625" style="4" customWidth="1"/>
    <col min="3" max="3" width="17" style="4" customWidth="1"/>
    <col min="4" max="4" width="17.140625" style="4" customWidth="1"/>
    <col min="5" max="5" width="11.42578125" style="4" customWidth="1"/>
    <col min="6" max="6" width="15.42578125" style="4" customWidth="1"/>
    <col min="7" max="7" width="16" style="4" customWidth="1"/>
    <col min="8" max="8" width="10.28515625" style="46" customWidth="1"/>
    <col min="9" max="9" width="14.140625" style="92" customWidth="1"/>
    <col min="10" max="10" width="13.28515625" style="4" customWidth="1"/>
    <col min="11" max="11" width="13" style="4" customWidth="1"/>
    <col min="12" max="12" width="11.42578125" style="4"/>
    <col min="13" max="13" width="12.42578125" style="4" customWidth="1"/>
    <col min="14" max="16384" width="11.42578125" style="4"/>
  </cols>
  <sheetData>
    <row r="1" spans="1:13" ht="12.75" customHeight="1">
      <c r="A1" s="506" t="s">
        <v>0</v>
      </c>
      <c r="B1" s="506"/>
      <c r="C1" s="506"/>
      <c r="D1" s="506"/>
      <c r="E1" s="506"/>
      <c r="F1" s="506"/>
      <c r="G1" s="506"/>
      <c r="H1" s="506"/>
    </row>
    <row r="2" spans="1:13" ht="39" customHeight="1">
      <c r="A2" s="520" t="s">
        <v>1</v>
      </c>
      <c r="B2" s="520"/>
      <c r="C2" s="523" t="s">
        <v>401</v>
      </c>
      <c r="D2" s="524"/>
      <c r="E2" s="524"/>
      <c r="F2" s="524"/>
      <c r="G2" s="524"/>
      <c r="H2" s="525"/>
    </row>
    <row r="4" spans="1:13" s="55" customFormat="1" ht="12.75" customHeight="1">
      <c r="A4" s="5" t="s">
        <v>2</v>
      </c>
      <c r="B4" s="6" t="s">
        <v>3</v>
      </c>
      <c r="C4" s="6" t="s">
        <v>4</v>
      </c>
      <c r="D4" s="7" t="s">
        <v>5</v>
      </c>
      <c r="E4" s="7" t="s">
        <v>6</v>
      </c>
      <c r="F4" s="7" t="s">
        <v>7</v>
      </c>
      <c r="G4" s="7" t="s">
        <v>9</v>
      </c>
      <c r="H4" s="58" t="s">
        <v>11</v>
      </c>
      <c r="I4" s="113"/>
    </row>
    <row r="5" spans="1:13" ht="12.75" customHeight="1">
      <c r="A5" s="59"/>
      <c r="B5" s="9" t="s">
        <v>402</v>
      </c>
      <c r="C5" s="9"/>
      <c r="D5" s="9"/>
      <c r="E5" s="9"/>
      <c r="F5" s="9"/>
      <c r="G5" s="9"/>
      <c r="H5" s="60"/>
    </row>
    <row r="6" spans="1:13" ht="12.75" customHeight="1">
      <c r="A6" s="61" t="s">
        <v>13</v>
      </c>
      <c r="B6" s="62" t="s">
        <v>89</v>
      </c>
      <c r="C6" s="63">
        <v>1</v>
      </c>
      <c r="D6" s="13">
        <v>1</v>
      </c>
      <c r="E6" s="64">
        <v>6.5</v>
      </c>
      <c r="F6" s="65">
        <v>10201393</v>
      </c>
      <c r="G6" s="96">
        <f>(E6*F6)*D6*C6+1</f>
        <v>66309055.5</v>
      </c>
      <c r="H6" s="66">
        <f>G6*100%/$G$26</f>
        <v>6.0767362117503103E-2</v>
      </c>
      <c r="J6" s="115"/>
    </row>
    <row r="7" spans="1:13" ht="12.75" customHeight="1">
      <c r="A7" s="61" t="s">
        <v>15</v>
      </c>
      <c r="B7" s="62" t="s">
        <v>92</v>
      </c>
      <c r="C7" s="63">
        <v>1</v>
      </c>
      <c r="D7" s="13">
        <v>1</v>
      </c>
      <c r="E7" s="64">
        <v>6.5</v>
      </c>
      <c r="F7" s="65">
        <v>8982273</v>
      </c>
      <c r="G7" s="65">
        <f>(E7*F7)*D7*C7</f>
        <v>58384774.5</v>
      </c>
      <c r="H7" s="66">
        <f>G7*100%/$G$26</f>
        <v>5.3505342632881585E-2</v>
      </c>
      <c r="J7" s="115"/>
    </row>
    <row r="8" spans="1:13" ht="12.75" customHeight="1">
      <c r="A8" s="61" t="s">
        <v>17</v>
      </c>
      <c r="B8" s="62" t="s">
        <v>112</v>
      </c>
      <c r="C8" s="63">
        <v>1</v>
      </c>
      <c r="D8" s="13">
        <v>1</v>
      </c>
      <c r="E8" s="64">
        <v>3</v>
      </c>
      <c r="F8" s="65">
        <v>6382022</v>
      </c>
      <c r="G8" s="65">
        <f>(E8*F8)*D8+1</f>
        <v>19146067</v>
      </c>
      <c r="H8" s="66">
        <f>G8*100%/$G$26</f>
        <v>1.754595926215502E-2</v>
      </c>
      <c r="J8" s="115"/>
      <c r="M8" s="92"/>
    </row>
    <row r="9" spans="1:13" ht="12.75" customHeight="1">
      <c r="A9" s="61" t="s">
        <v>18</v>
      </c>
      <c r="B9" s="62" t="s">
        <v>93</v>
      </c>
      <c r="C9" s="63">
        <v>1</v>
      </c>
      <c r="D9" s="13">
        <v>1</v>
      </c>
      <c r="E9" s="64">
        <v>6.5</v>
      </c>
      <c r="F9" s="65">
        <v>8982273</v>
      </c>
      <c r="G9" s="65">
        <f>(E9*F9)*D9</f>
        <v>58384774.5</v>
      </c>
      <c r="H9" s="66">
        <f>G9*100%/$G$26</f>
        <v>5.3505342632881585E-2</v>
      </c>
      <c r="J9" s="115"/>
      <c r="M9" s="115"/>
    </row>
    <row r="10" spans="1:13" ht="12.75" customHeight="1">
      <c r="A10" s="61" t="s">
        <v>19</v>
      </c>
      <c r="B10" s="62" t="s">
        <v>113</v>
      </c>
      <c r="C10" s="63">
        <v>1</v>
      </c>
      <c r="D10" s="13">
        <v>1</v>
      </c>
      <c r="E10" s="64">
        <v>6.5</v>
      </c>
      <c r="F10" s="65">
        <v>6382022</v>
      </c>
      <c r="G10" s="65">
        <f>((E10*F10)*D10)*C10+3</f>
        <v>41483146</v>
      </c>
      <c r="H10" s="66">
        <f>G10*100%/$G$26</f>
        <v>3.8016245831691123E-2</v>
      </c>
      <c r="J10" s="115"/>
    </row>
    <row r="11" spans="1:13" ht="12.75" customHeight="1">
      <c r="A11" s="59"/>
      <c r="B11" s="9" t="s">
        <v>403</v>
      </c>
      <c r="C11" s="9"/>
      <c r="D11" s="9"/>
      <c r="E11" s="9"/>
      <c r="F11" s="9"/>
      <c r="G11" s="9"/>
      <c r="H11" s="60"/>
    </row>
    <row r="12" spans="1:13" ht="12.75" customHeight="1">
      <c r="A12" s="61" t="s">
        <v>20</v>
      </c>
      <c r="B12" s="62" t="s">
        <v>97</v>
      </c>
      <c r="C12" s="63">
        <v>4</v>
      </c>
      <c r="D12" s="13">
        <v>1</v>
      </c>
      <c r="E12" s="64">
        <v>6.5</v>
      </c>
      <c r="F12" s="65">
        <v>8085311</v>
      </c>
      <c r="G12" s="65">
        <f>((E12*F12)*D12)*C12</f>
        <v>210218086</v>
      </c>
      <c r="H12" s="66">
        <f>G12*100%/$G$26</f>
        <v>0.19264938188737146</v>
      </c>
      <c r="J12" s="115"/>
    </row>
    <row r="13" spans="1:13" ht="12.75" customHeight="1">
      <c r="A13" s="61" t="s">
        <v>21</v>
      </c>
      <c r="B13" s="62" t="s">
        <v>138</v>
      </c>
      <c r="C13" s="63">
        <v>4</v>
      </c>
      <c r="D13" s="13">
        <v>1</v>
      </c>
      <c r="E13" s="64">
        <v>6.5</v>
      </c>
      <c r="F13" s="65">
        <v>4136374</v>
      </c>
      <c r="G13" s="65">
        <f>((E13*F13)*D13)*C13</f>
        <v>107545724</v>
      </c>
      <c r="H13" s="66">
        <f>G13*100%/$G$26</f>
        <v>9.8557729486842785E-2</v>
      </c>
      <c r="J13" s="115"/>
    </row>
    <row r="14" spans="1:13" ht="12.75" customHeight="1">
      <c r="A14" s="61" t="s">
        <v>22</v>
      </c>
      <c r="B14" s="62" t="s">
        <v>97</v>
      </c>
      <c r="C14" s="63">
        <v>4</v>
      </c>
      <c r="D14" s="13">
        <v>1</v>
      </c>
      <c r="E14" s="64">
        <v>6.5</v>
      </c>
      <c r="F14" s="65">
        <v>8085311</v>
      </c>
      <c r="G14" s="65">
        <f>((E14*F14)*D14)*C14</f>
        <v>210218086</v>
      </c>
      <c r="H14" s="66">
        <f>G14*100%/$G$26</f>
        <v>0.19264938188737146</v>
      </c>
      <c r="J14" s="115"/>
    </row>
    <row r="15" spans="1:13" ht="12.75" customHeight="1">
      <c r="A15" s="61" t="s">
        <v>378</v>
      </c>
      <c r="B15" s="62" t="s">
        <v>138</v>
      </c>
      <c r="C15" s="63">
        <v>5</v>
      </c>
      <c r="D15" s="13">
        <v>1</v>
      </c>
      <c r="E15" s="64">
        <v>6.5</v>
      </c>
      <c r="F15" s="65">
        <v>4136374</v>
      </c>
      <c r="G15" s="65">
        <f>((E15*F15)*D15)*C15-8</f>
        <v>134432147</v>
      </c>
      <c r="H15" s="66">
        <f>G15*100%/$G$26</f>
        <v>0.12319715452714311</v>
      </c>
      <c r="J15" s="115"/>
    </row>
    <row r="16" spans="1:13" ht="12.75" customHeight="1">
      <c r="A16" s="61" t="s">
        <v>379</v>
      </c>
      <c r="B16" s="62" t="s">
        <v>139</v>
      </c>
      <c r="C16" s="63">
        <v>8</v>
      </c>
      <c r="D16" s="13">
        <v>1</v>
      </c>
      <c r="E16" s="64">
        <v>4</v>
      </c>
      <c r="F16" s="65">
        <v>4136371</v>
      </c>
      <c r="G16" s="65">
        <f>((E16*F16)*D16)*C16</f>
        <v>132363872</v>
      </c>
      <c r="H16" s="66">
        <f>G16*100%/$G$26</f>
        <v>0.12130173292995901</v>
      </c>
      <c r="J16" s="115"/>
    </row>
    <row r="17" spans="1:11" s="46" customFormat="1" ht="12.75" customHeight="1">
      <c r="A17" s="526" t="s">
        <v>404</v>
      </c>
      <c r="B17" s="526"/>
      <c r="C17" s="67">
        <f>SUM(C6:C16)</f>
        <v>30</v>
      </c>
      <c r="D17" s="68"/>
      <c r="E17" s="53"/>
      <c r="F17" s="53">
        <f>SUM(F6:F16)</f>
        <v>69509724</v>
      </c>
      <c r="G17" s="53">
        <f>SUM(G6:G16)+77</f>
        <v>1038485809.5</v>
      </c>
      <c r="H17" s="48">
        <f>SUM(H6:H16)</f>
        <v>0.95169563319580031</v>
      </c>
      <c r="J17" s="116"/>
    </row>
    <row r="18" spans="1:11" s="56" customFormat="1" ht="12.75" customHeight="1">
      <c r="A18" s="33">
        <v>2</v>
      </c>
      <c r="B18" s="43" t="s">
        <v>373</v>
      </c>
      <c r="C18" s="67" t="s">
        <v>4</v>
      </c>
      <c r="D18" s="68"/>
      <c r="E18" s="53" t="s">
        <v>405</v>
      </c>
      <c r="F18" s="53" t="s">
        <v>24</v>
      </c>
      <c r="G18" s="53" t="s">
        <v>9</v>
      </c>
      <c r="H18" s="53" t="s">
        <v>11</v>
      </c>
      <c r="I18" s="114"/>
    </row>
    <row r="19" spans="1:11" s="56" customFormat="1" ht="12.75" customHeight="1">
      <c r="A19" s="5"/>
      <c r="B19" s="6" t="s">
        <v>403</v>
      </c>
      <c r="C19" s="6"/>
      <c r="D19" s="7"/>
      <c r="E19" s="7"/>
      <c r="F19" s="7"/>
      <c r="G19" s="7"/>
      <c r="H19" s="58"/>
      <c r="I19" s="114"/>
    </row>
    <row r="20" spans="1:11" ht="12.75" customHeight="1">
      <c r="A20" s="10" t="s">
        <v>25</v>
      </c>
      <c r="B20" s="69" t="s">
        <v>406</v>
      </c>
      <c r="C20" s="63">
        <v>31</v>
      </c>
      <c r="D20" s="12" t="s">
        <v>26</v>
      </c>
      <c r="E20" s="12">
        <v>1</v>
      </c>
      <c r="F20" s="65">
        <v>84377</v>
      </c>
      <c r="G20" s="72">
        <f>F20*C20*E20</f>
        <v>2615687</v>
      </c>
      <c r="H20" s="66">
        <f>G20*100%/$G$26</f>
        <v>2.3970843486836478E-3</v>
      </c>
      <c r="I20" s="4"/>
    </row>
    <row r="21" spans="1:11" ht="12.75" customHeight="1">
      <c r="A21" s="10" t="s">
        <v>27</v>
      </c>
      <c r="B21" s="69" t="s">
        <v>407</v>
      </c>
      <c r="C21" s="63">
        <v>31</v>
      </c>
      <c r="D21" s="12" t="s">
        <v>26</v>
      </c>
      <c r="E21" s="12">
        <v>1</v>
      </c>
      <c r="F21" s="65">
        <v>304830</v>
      </c>
      <c r="G21" s="72">
        <f>F21*C21*E21</f>
        <v>9449730</v>
      </c>
      <c r="H21" s="66">
        <f>G21*100%/$G$26</f>
        <v>8.6599810612991261E-3</v>
      </c>
      <c r="I21" s="4"/>
    </row>
    <row r="22" spans="1:11" s="56" customFormat="1" ht="12.75" customHeight="1">
      <c r="A22" s="5"/>
      <c r="B22" s="6" t="s">
        <v>408</v>
      </c>
      <c r="C22" s="6"/>
      <c r="D22" s="7"/>
      <c r="E22" s="7"/>
      <c r="F22" s="7"/>
      <c r="G22" s="7"/>
      <c r="H22" s="58"/>
      <c r="I22" s="114"/>
    </row>
    <row r="23" spans="1:11" ht="12.75" customHeight="1">
      <c r="A23" s="10" t="s">
        <v>291</v>
      </c>
      <c r="B23" s="23" t="s">
        <v>72</v>
      </c>
      <c r="C23" s="63">
        <v>8</v>
      </c>
      <c r="D23" s="12" t="s">
        <v>26</v>
      </c>
      <c r="E23" s="12">
        <v>2.5</v>
      </c>
      <c r="F23" s="65">
        <v>711271</v>
      </c>
      <c r="G23" s="72">
        <f>F23*C23*E23*2</f>
        <v>28450840</v>
      </c>
      <c r="H23" s="66">
        <f>G23*100%/$G$26</f>
        <v>2.6073097916877161E-2</v>
      </c>
      <c r="I23" s="4"/>
    </row>
    <row r="24" spans="1:11" ht="12.75" customHeight="1">
      <c r="A24" s="10" t="s">
        <v>28</v>
      </c>
      <c r="B24" s="23" t="s">
        <v>73</v>
      </c>
      <c r="C24" s="63">
        <v>8</v>
      </c>
      <c r="D24" s="12" t="s">
        <v>26</v>
      </c>
      <c r="E24" s="12">
        <v>2.5</v>
      </c>
      <c r="F24" s="65">
        <v>304830</v>
      </c>
      <c r="G24" s="72">
        <f>F24*C24*E24*2</f>
        <v>12193200</v>
      </c>
      <c r="H24" s="66">
        <f>G24*100%/$G$26</f>
        <v>1.117416911135371E-2</v>
      </c>
      <c r="I24" s="4"/>
    </row>
    <row r="25" spans="1:11" s="46" customFormat="1" ht="12.75" customHeight="1">
      <c r="A25" s="522" t="s">
        <v>404</v>
      </c>
      <c r="B25" s="522"/>
      <c r="C25" s="33">
        <f>SUM(C20:C24)</f>
        <v>78</v>
      </c>
      <c r="D25" s="53"/>
      <c r="E25" s="53"/>
      <c r="F25" s="53"/>
      <c r="G25" s="53">
        <f>SUM(G20:G24)</f>
        <v>52709457</v>
      </c>
      <c r="H25" s="48">
        <f>SUM(H23:H24)</f>
        <v>3.724726702823087E-2</v>
      </c>
    </row>
    <row r="26" spans="1:11" ht="12.75" customHeight="1">
      <c r="A26" s="81" t="s">
        <v>374</v>
      </c>
      <c r="B26" s="36" t="s">
        <v>375</v>
      </c>
      <c r="C26" s="36"/>
      <c r="D26" s="37"/>
      <c r="E26" s="37"/>
      <c r="F26" s="38"/>
      <c r="G26" s="82">
        <f>G25+G17-39.5</f>
        <v>1091195227</v>
      </c>
      <c r="H26" s="83">
        <f>+H25+H17+1%</f>
        <v>0.9989429002240312</v>
      </c>
      <c r="I26" s="4"/>
      <c r="K26" s="92"/>
    </row>
    <row r="27" spans="1:11" ht="12.75" customHeight="1">
      <c r="A27" s="35"/>
      <c r="B27" s="36" t="s">
        <v>40</v>
      </c>
      <c r="C27" s="36"/>
      <c r="D27" s="37"/>
      <c r="E27" s="122"/>
      <c r="F27" s="123"/>
      <c r="G27" s="123"/>
      <c r="H27" s="124"/>
      <c r="I27" s="121"/>
      <c r="K27" s="92"/>
    </row>
    <row r="28" spans="1:11" ht="12.75" customHeight="1">
      <c r="A28" s="10">
        <v>4</v>
      </c>
      <c r="B28" s="85" t="s">
        <v>376</v>
      </c>
      <c r="C28" s="86" t="s">
        <v>377</v>
      </c>
      <c r="D28" s="40"/>
      <c r="E28" s="40"/>
      <c r="F28" s="87"/>
      <c r="G28" s="106">
        <f>H28*G26</f>
        <v>76383665.890000001</v>
      </c>
      <c r="H28" s="89">
        <v>7.0000000000000007E-2</v>
      </c>
      <c r="I28" s="4"/>
      <c r="K28" s="120"/>
    </row>
    <row r="29" spans="1:11" ht="12.75" customHeight="1">
      <c r="A29" s="10">
        <v>5</v>
      </c>
      <c r="B29" s="85" t="s">
        <v>388</v>
      </c>
      <c r="C29" s="86"/>
      <c r="D29" s="40"/>
      <c r="E29" s="40"/>
      <c r="F29" s="87"/>
      <c r="G29" s="106">
        <f>H29*G26</f>
        <v>92751594.295000002</v>
      </c>
      <c r="H29" s="89">
        <v>8.5000000000000006E-2</v>
      </c>
      <c r="I29" s="4"/>
      <c r="K29" s="120"/>
    </row>
    <row r="30" spans="1:11" ht="12.75" customHeight="1">
      <c r="A30" s="42"/>
      <c r="B30" s="43" t="s">
        <v>23</v>
      </c>
      <c r="C30" s="43"/>
      <c r="D30" s="44"/>
      <c r="E30" s="107"/>
      <c r="F30" s="107"/>
      <c r="G30" s="125">
        <f>+G28+G29</f>
        <v>169135260.185</v>
      </c>
      <c r="H30" s="109"/>
      <c r="I30" s="4"/>
      <c r="K30" s="121"/>
    </row>
    <row r="31" spans="1:11" ht="12.75" customHeight="1">
      <c r="A31" s="35"/>
      <c r="B31" s="36" t="s">
        <v>389</v>
      </c>
      <c r="C31" s="36"/>
      <c r="D31" s="37"/>
      <c r="E31" s="37"/>
      <c r="F31" s="37"/>
      <c r="G31" s="82">
        <f>+G30+G26</f>
        <v>1260330487.1849999</v>
      </c>
      <c r="H31" s="91">
        <f>H26+H30</f>
        <v>0.9989429002240312</v>
      </c>
      <c r="I31" s="4"/>
    </row>
    <row r="32" spans="1:11" ht="12.75" customHeight="1">
      <c r="A32" s="10">
        <v>6</v>
      </c>
      <c r="B32" s="85" t="s">
        <v>390</v>
      </c>
      <c r="C32" s="86"/>
      <c r="D32" s="40"/>
      <c r="E32" s="40"/>
      <c r="F32" s="87"/>
      <c r="G32" s="106">
        <f>+G31*19%</f>
        <v>239462792.56514999</v>
      </c>
      <c r="H32" s="89"/>
      <c r="I32" s="4"/>
    </row>
    <row r="33" spans="1:9" ht="12.75" customHeight="1">
      <c r="A33" s="42"/>
      <c r="B33" s="43" t="s">
        <v>23</v>
      </c>
      <c r="C33" s="43"/>
      <c r="D33" s="44"/>
      <c r="E33" s="107"/>
      <c r="F33" s="107"/>
      <c r="G33" s="125">
        <f>SUM(G32:G32)</f>
        <v>239462792.56514999</v>
      </c>
      <c r="H33" s="109">
        <f>SUM(H32:H32)</f>
        <v>0</v>
      </c>
      <c r="I33" s="4"/>
    </row>
    <row r="34" spans="1:9" ht="12.75" customHeight="1">
      <c r="A34" s="35"/>
      <c r="B34" s="36" t="s">
        <v>391</v>
      </c>
      <c r="C34" s="36"/>
      <c r="D34" s="37"/>
      <c r="E34" s="37"/>
      <c r="F34" s="37"/>
      <c r="G34" s="82">
        <f>+G31+G33</f>
        <v>1499793279.75015</v>
      </c>
      <c r="H34" s="91">
        <f>H31+H33</f>
        <v>0.9989429002240312</v>
      </c>
      <c r="I34" s="4"/>
    </row>
  </sheetData>
  <mergeCells count="5">
    <mergeCell ref="A1:H1"/>
    <mergeCell ref="A2:B2"/>
    <mergeCell ref="C2:H2"/>
    <mergeCell ref="A17:B17"/>
    <mergeCell ref="A25:B25"/>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9" tint="0.79995117038483843"/>
  </sheetPr>
  <dimension ref="A1:M45"/>
  <sheetViews>
    <sheetView topLeftCell="A30" workbookViewId="0">
      <selection activeCell="B43" sqref="B43"/>
    </sheetView>
  </sheetViews>
  <sheetFormatPr baseColWidth="10" defaultColWidth="11.42578125" defaultRowHeight="12.75" customHeight="1"/>
  <cols>
    <col min="1" max="1" width="8.7109375" style="3" customWidth="1"/>
    <col min="2" max="2" width="71.28515625" style="4" customWidth="1"/>
    <col min="3" max="3" width="17" style="4" customWidth="1"/>
    <col min="4" max="4" width="17.140625" style="4" customWidth="1"/>
    <col min="5" max="5" width="11.42578125" style="4" customWidth="1"/>
    <col min="6" max="6" width="15.42578125" style="4" customWidth="1"/>
    <col min="7" max="7" width="16" style="4" customWidth="1"/>
    <col min="8" max="8" width="10.28515625" style="46" customWidth="1"/>
    <col min="9" max="9" width="14.140625" style="92" customWidth="1"/>
    <col min="10" max="10" width="14.140625" style="4" customWidth="1"/>
    <col min="11" max="11" width="13" style="4" customWidth="1"/>
    <col min="12" max="12" width="11.42578125" style="4"/>
    <col min="13" max="13" width="12.42578125" style="4" customWidth="1"/>
    <col min="14" max="16384" width="11.42578125" style="4"/>
  </cols>
  <sheetData>
    <row r="1" spans="1:13" ht="12.75" customHeight="1">
      <c r="A1" s="506" t="s">
        <v>0</v>
      </c>
      <c r="B1" s="506"/>
      <c r="C1" s="506"/>
      <c r="D1" s="506"/>
      <c r="E1" s="506"/>
      <c r="F1" s="506"/>
      <c r="G1" s="506"/>
      <c r="H1" s="506"/>
    </row>
    <row r="2" spans="1:13" ht="39" customHeight="1">
      <c r="A2" s="520" t="s">
        <v>1</v>
      </c>
      <c r="B2" s="520"/>
      <c r="C2" s="523" t="s">
        <v>253</v>
      </c>
      <c r="D2" s="524"/>
      <c r="E2" s="524"/>
      <c r="F2" s="524"/>
      <c r="G2" s="524"/>
      <c r="H2" s="525"/>
    </row>
    <row r="4" spans="1:13" s="55" customFormat="1" ht="12.75" customHeight="1">
      <c r="A4" s="5" t="s">
        <v>2</v>
      </c>
      <c r="B4" s="6" t="s">
        <v>3</v>
      </c>
      <c r="C4" s="6" t="s">
        <v>4</v>
      </c>
      <c r="D4" s="7" t="s">
        <v>5</v>
      </c>
      <c r="E4" s="7" t="s">
        <v>6</v>
      </c>
      <c r="F4" s="7" t="s">
        <v>7</v>
      </c>
      <c r="G4" s="7" t="s">
        <v>9</v>
      </c>
      <c r="H4" s="58" t="s">
        <v>11</v>
      </c>
      <c r="I4" s="113"/>
    </row>
    <row r="5" spans="1:13" s="56" customFormat="1" ht="12.75" customHeight="1">
      <c r="A5" s="33"/>
      <c r="B5" s="43" t="s">
        <v>409</v>
      </c>
      <c r="C5" s="67"/>
      <c r="D5" s="68"/>
      <c r="E5" s="53"/>
      <c r="F5" s="53"/>
      <c r="G5" s="53"/>
      <c r="H5" s="53"/>
      <c r="I5" s="114"/>
    </row>
    <row r="6" spans="1:13" ht="12.75" customHeight="1">
      <c r="A6" s="61" t="s">
        <v>13</v>
      </c>
      <c r="B6" s="62" t="s">
        <v>103</v>
      </c>
      <c r="C6" s="63">
        <v>1</v>
      </c>
      <c r="D6" s="13">
        <v>1</v>
      </c>
      <c r="E6" s="64">
        <v>5</v>
      </c>
      <c r="F6" s="65">
        <v>7040002</v>
      </c>
      <c r="G6" s="96">
        <f>(E6*F6)*D6*C6</f>
        <v>35200010</v>
      </c>
      <c r="H6" s="66">
        <f>G6*100%/$G$43</f>
        <v>2.0347745505426486E-2</v>
      </c>
      <c r="J6" s="115"/>
    </row>
    <row r="7" spans="1:13">
      <c r="A7" s="61" t="s">
        <v>15</v>
      </c>
      <c r="B7" s="62" t="s">
        <v>108</v>
      </c>
      <c r="C7" s="63">
        <v>1</v>
      </c>
      <c r="D7" s="13">
        <v>1</v>
      </c>
      <c r="E7" s="64">
        <v>6</v>
      </c>
      <c r="F7" s="65">
        <v>6868195</v>
      </c>
      <c r="G7" s="65">
        <f>(E7*F7)*D7*C7</f>
        <v>41209170</v>
      </c>
      <c r="H7" s="66">
        <f>G7*100%/$G$43</f>
        <v>2.3821405268062593E-2</v>
      </c>
      <c r="J7" s="115"/>
    </row>
    <row r="8" spans="1:13">
      <c r="A8" s="61" t="s">
        <v>17</v>
      </c>
      <c r="B8" s="62" t="s">
        <v>160</v>
      </c>
      <c r="C8" s="63">
        <v>1</v>
      </c>
      <c r="D8" s="13">
        <v>1</v>
      </c>
      <c r="E8" s="64">
        <v>6</v>
      </c>
      <c r="F8" s="65">
        <v>2486488</v>
      </c>
      <c r="G8" s="65">
        <f>(E8*F8)*D8</f>
        <v>14918928</v>
      </c>
      <c r="H8" s="66">
        <f>G8*100%/$G$43</f>
        <v>8.6240472703780872E-3</v>
      </c>
      <c r="J8" s="115"/>
    </row>
    <row r="9" spans="1:13" ht="12.75" customHeight="1">
      <c r="A9" s="61" t="s">
        <v>18</v>
      </c>
      <c r="B9" s="62" t="s">
        <v>163</v>
      </c>
      <c r="C9" s="63">
        <v>1</v>
      </c>
      <c r="D9" s="13">
        <v>1</v>
      </c>
      <c r="E9" s="64">
        <v>6</v>
      </c>
      <c r="F9" s="65">
        <v>2188815</v>
      </c>
      <c r="G9" s="65">
        <f>(E9*F9)*D9</f>
        <v>13132890</v>
      </c>
      <c r="H9" s="66">
        <f>G9*100%/$G$43</f>
        <v>7.5916087373486671E-3</v>
      </c>
      <c r="J9" s="115"/>
      <c r="M9" s="92"/>
    </row>
    <row r="10" spans="1:13" ht="12.75" customHeight="1">
      <c r="A10" s="61" t="s">
        <v>19</v>
      </c>
      <c r="B10" s="62" t="s">
        <v>124</v>
      </c>
      <c r="C10" s="63">
        <v>5</v>
      </c>
      <c r="D10" s="13">
        <v>1</v>
      </c>
      <c r="E10" s="64">
        <v>6</v>
      </c>
      <c r="F10" s="65">
        <v>5000000</v>
      </c>
      <c r="G10" s="65">
        <f>(E10*F10)*D10*C10</f>
        <v>150000000</v>
      </c>
      <c r="H10" s="66">
        <f>G10*100%/$G$43</f>
        <v>8.6709118145533851E-2</v>
      </c>
      <c r="J10" s="115"/>
      <c r="M10" s="115"/>
    </row>
    <row r="11" spans="1:13" s="56" customFormat="1" ht="12.75" customHeight="1">
      <c r="A11" s="33"/>
      <c r="B11" s="43" t="s">
        <v>410</v>
      </c>
      <c r="C11" s="67"/>
      <c r="D11" s="68"/>
      <c r="E11" s="53"/>
      <c r="F11" s="53"/>
      <c r="G11" s="53"/>
      <c r="H11" s="53"/>
      <c r="I11" s="114"/>
    </row>
    <row r="12" spans="1:13" ht="12.75" customHeight="1">
      <c r="A12" s="61" t="s">
        <v>20</v>
      </c>
      <c r="B12" s="62" t="s">
        <v>132</v>
      </c>
      <c r="C12" s="63">
        <v>3</v>
      </c>
      <c r="D12" s="13">
        <v>1</v>
      </c>
      <c r="E12" s="64">
        <v>6</v>
      </c>
      <c r="F12" s="65">
        <v>4222526</v>
      </c>
      <c r="G12" s="65">
        <f t="shared" ref="G12:G17" si="0">((E12*F12)*D12)*C12</f>
        <v>76005468</v>
      </c>
      <c r="H12" s="66">
        <f t="shared" ref="H12:H20" si="1">G12*100%/$G$43</f>
        <v>4.3935780696790612E-2</v>
      </c>
      <c r="J12" s="115"/>
    </row>
    <row r="13" spans="1:13" ht="12.75" customHeight="1">
      <c r="A13" s="61" t="s">
        <v>21</v>
      </c>
      <c r="B13" s="62" t="s">
        <v>166</v>
      </c>
      <c r="C13" s="63">
        <v>3</v>
      </c>
      <c r="D13" s="13">
        <v>1</v>
      </c>
      <c r="E13" s="64">
        <v>6</v>
      </c>
      <c r="F13" s="65">
        <v>1363997</v>
      </c>
      <c r="G13" s="65">
        <f t="shared" si="0"/>
        <v>24551946</v>
      </c>
      <c r="H13" s="66">
        <f t="shared" si="1"/>
        <v>1.4192517242778448E-2</v>
      </c>
      <c r="J13" s="115"/>
    </row>
    <row r="14" spans="1:13" ht="12.75" customHeight="1">
      <c r="A14" s="61" t="s">
        <v>22</v>
      </c>
      <c r="B14" s="62" t="s">
        <v>151</v>
      </c>
      <c r="C14" s="63">
        <v>2</v>
      </c>
      <c r="D14" s="13">
        <v>1</v>
      </c>
      <c r="E14" s="64">
        <v>6</v>
      </c>
      <c r="F14" s="65">
        <v>3636509</v>
      </c>
      <c r="G14" s="65">
        <f t="shared" si="0"/>
        <v>43638108</v>
      </c>
      <c r="H14" s="66">
        <f t="shared" si="1"/>
        <v>2.5225479081463772E-2</v>
      </c>
      <c r="J14" s="115"/>
    </row>
    <row r="15" spans="1:13" ht="12.75" customHeight="1">
      <c r="A15" s="61" t="s">
        <v>378</v>
      </c>
      <c r="B15" s="62" t="s">
        <v>146</v>
      </c>
      <c r="C15" s="63">
        <v>2</v>
      </c>
      <c r="D15" s="13">
        <v>1</v>
      </c>
      <c r="E15" s="64">
        <v>6</v>
      </c>
      <c r="F15" s="65">
        <v>3975078</v>
      </c>
      <c r="G15" s="65">
        <f t="shared" si="0"/>
        <v>47700936</v>
      </c>
      <c r="H15" s="66">
        <f t="shared" si="1"/>
        <v>2.7574040635176992E-2</v>
      </c>
      <c r="J15" s="115"/>
    </row>
    <row r="16" spans="1:13" ht="12.75" customHeight="1">
      <c r="A16" s="61" t="s">
        <v>379</v>
      </c>
      <c r="B16" s="62" t="s">
        <v>148</v>
      </c>
      <c r="C16" s="63">
        <v>1</v>
      </c>
      <c r="D16" s="13">
        <v>1</v>
      </c>
      <c r="E16" s="64">
        <v>6</v>
      </c>
      <c r="F16" s="65">
        <v>3802473</v>
      </c>
      <c r="G16" s="65">
        <f t="shared" si="0"/>
        <v>22814838</v>
      </c>
      <c r="H16" s="66">
        <f t="shared" si="1"/>
        <v>1.31883632240881E-2</v>
      </c>
      <c r="J16" s="115"/>
    </row>
    <row r="17" spans="1:10" ht="12.75" customHeight="1">
      <c r="A17" s="61" t="s">
        <v>380</v>
      </c>
      <c r="B17" s="62" t="s">
        <v>162</v>
      </c>
      <c r="C17" s="63">
        <v>1</v>
      </c>
      <c r="D17" s="13">
        <v>1</v>
      </c>
      <c r="E17" s="64">
        <v>6</v>
      </c>
      <c r="F17" s="65">
        <v>2299871</v>
      </c>
      <c r="G17" s="65">
        <f t="shared" si="0"/>
        <v>13799226</v>
      </c>
      <c r="H17" s="66">
        <f t="shared" si="1"/>
        <v>7.9767914503394832E-3</v>
      </c>
      <c r="J17" s="115"/>
    </row>
    <row r="18" spans="1:10" ht="12.75" customHeight="1">
      <c r="A18" s="61" t="s">
        <v>381</v>
      </c>
      <c r="B18" s="62" t="s">
        <v>161</v>
      </c>
      <c r="C18" s="63">
        <v>1</v>
      </c>
      <c r="D18" s="13">
        <v>1</v>
      </c>
      <c r="E18" s="64">
        <v>6</v>
      </c>
      <c r="F18" s="65">
        <v>2456095</v>
      </c>
      <c r="G18" s="65">
        <f t="shared" ref="G18:G20" si="2">((E18*F18)*D18)*C18</f>
        <v>14736570</v>
      </c>
      <c r="H18" s="66">
        <f t="shared" si="1"/>
        <v>8.5186332612661991E-3</v>
      </c>
      <c r="J18" s="115"/>
    </row>
    <row r="19" spans="1:10" ht="12.75" customHeight="1">
      <c r="A19" s="61" t="s">
        <v>382</v>
      </c>
      <c r="B19" s="62" t="s">
        <v>167</v>
      </c>
      <c r="C19" s="63">
        <v>1</v>
      </c>
      <c r="D19" s="13">
        <v>1</v>
      </c>
      <c r="E19" s="64">
        <v>6</v>
      </c>
      <c r="F19" s="65">
        <v>991824</v>
      </c>
      <c r="G19" s="65">
        <f t="shared" si="2"/>
        <v>5950944</v>
      </c>
      <c r="H19" s="66">
        <f t="shared" si="1"/>
        <v>3.4400073758230386E-3</v>
      </c>
      <c r="J19" s="115"/>
    </row>
    <row r="20" spans="1:10" ht="12.75" customHeight="1">
      <c r="A20" s="61" t="s">
        <v>383</v>
      </c>
      <c r="B20" s="62" t="s">
        <v>139</v>
      </c>
      <c r="C20" s="63">
        <v>36</v>
      </c>
      <c r="D20" s="13">
        <v>1</v>
      </c>
      <c r="E20" s="64">
        <v>5</v>
      </c>
      <c r="F20" s="65">
        <v>2300000</v>
      </c>
      <c r="G20" s="65">
        <f t="shared" si="2"/>
        <v>414000000</v>
      </c>
      <c r="H20" s="66">
        <f t="shared" si="1"/>
        <v>0.23931716608167342</v>
      </c>
      <c r="J20" s="115"/>
    </row>
    <row r="21" spans="1:10" s="46" customFormat="1" ht="12.75" customHeight="1">
      <c r="A21" s="535" t="s">
        <v>411</v>
      </c>
      <c r="B21" s="535"/>
      <c r="C21" s="67">
        <f>SUM(C6:C20)</f>
        <v>59</v>
      </c>
      <c r="D21" s="68"/>
      <c r="E21" s="53"/>
      <c r="F21" s="53">
        <f>SUM(F6:F20)</f>
        <v>48631873</v>
      </c>
      <c r="G21" s="53">
        <f>SUM(G6:G20)-5</f>
        <v>917659029</v>
      </c>
      <c r="H21" s="48">
        <f>SUM(H6:H20)</f>
        <v>0.53046270397614981</v>
      </c>
      <c r="J21" s="116"/>
    </row>
    <row r="22" spans="1:10" s="56" customFormat="1" ht="12.75" customHeight="1">
      <c r="A22" s="33">
        <v>2</v>
      </c>
      <c r="B22" s="97" t="s">
        <v>412</v>
      </c>
      <c r="C22" s="67" t="s">
        <v>413</v>
      </c>
      <c r="D22" s="68" t="s">
        <v>414</v>
      </c>
      <c r="E22" s="53" t="s">
        <v>6</v>
      </c>
      <c r="F22" s="53" t="s">
        <v>24</v>
      </c>
      <c r="G22" s="53" t="s">
        <v>9</v>
      </c>
      <c r="H22" s="53" t="s">
        <v>11</v>
      </c>
      <c r="I22" s="114"/>
    </row>
    <row r="23" spans="1:10" s="95" customFormat="1">
      <c r="A23" s="27" t="s">
        <v>25</v>
      </c>
      <c r="B23" s="23" t="s">
        <v>201</v>
      </c>
      <c r="C23" s="63" t="s">
        <v>415</v>
      </c>
      <c r="D23" s="63">
        <v>750</v>
      </c>
      <c r="E23" s="63">
        <v>1</v>
      </c>
      <c r="F23" s="98">
        <v>20000</v>
      </c>
      <c r="G23" s="99">
        <f>D23*F23*E23</f>
        <v>15000000</v>
      </c>
      <c r="H23" s="100">
        <f>G23*100%/$G$43</f>
        <v>8.6709118145533847E-3</v>
      </c>
    </row>
    <row r="24" spans="1:10" s="95" customFormat="1">
      <c r="A24" s="27" t="s">
        <v>291</v>
      </c>
      <c r="B24" s="23" t="s">
        <v>189</v>
      </c>
      <c r="C24" s="63" t="s">
        <v>416</v>
      </c>
      <c r="D24" s="63">
        <v>600</v>
      </c>
      <c r="E24" s="63">
        <v>1</v>
      </c>
      <c r="F24" s="98">
        <v>45000</v>
      </c>
      <c r="G24" s="99">
        <f t="shared" ref="G24:G31" si="3">D24*F24*E24</f>
        <v>27000000</v>
      </c>
      <c r="H24" s="100">
        <f t="shared" ref="H24:H31" si="4">G24*100%/$G$43</f>
        <v>1.5607641266196093E-2</v>
      </c>
    </row>
    <row r="25" spans="1:10" s="95" customFormat="1" ht="25.5">
      <c r="A25" s="27" t="s">
        <v>33</v>
      </c>
      <c r="B25" s="23" t="s">
        <v>170</v>
      </c>
      <c r="C25" s="63" t="s">
        <v>417</v>
      </c>
      <c r="D25" s="63">
        <v>212</v>
      </c>
      <c r="E25" s="63">
        <v>5</v>
      </c>
      <c r="F25" s="98">
        <v>75350</v>
      </c>
      <c r="G25" s="99">
        <f t="shared" si="3"/>
        <v>79871000</v>
      </c>
      <c r="H25" s="100">
        <f t="shared" si="4"/>
        <v>4.6170293169346226E-2</v>
      </c>
    </row>
    <row r="26" spans="1:10" s="95" customFormat="1">
      <c r="A26" s="27" t="s">
        <v>418</v>
      </c>
      <c r="B26" s="23" t="s">
        <v>172</v>
      </c>
      <c r="C26" s="63" t="s">
        <v>419</v>
      </c>
      <c r="D26" s="63">
        <v>22</v>
      </c>
      <c r="E26" s="63">
        <v>4</v>
      </c>
      <c r="F26" s="98">
        <v>600000</v>
      </c>
      <c r="G26" s="99">
        <f t="shared" si="3"/>
        <v>52800000</v>
      </c>
      <c r="H26" s="100">
        <f t="shared" si="4"/>
        <v>3.0521609587227914E-2</v>
      </c>
    </row>
    <row r="27" spans="1:10" s="95" customFormat="1">
      <c r="A27" s="27" t="s">
        <v>420</v>
      </c>
      <c r="B27" s="23" t="s">
        <v>196</v>
      </c>
      <c r="C27" s="63" t="s">
        <v>419</v>
      </c>
      <c r="D27" s="63">
        <v>180</v>
      </c>
      <c r="E27" s="63">
        <v>4</v>
      </c>
      <c r="F27" s="98">
        <v>12000</v>
      </c>
      <c r="G27" s="99">
        <f t="shared" si="3"/>
        <v>8640000</v>
      </c>
      <c r="H27" s="100">
        <f t="shared" si="4"/>
        <v>4.9944452051827494E-3</v>
      </c>
    </row>
    <row r="28" spans="1:10" s="95" customFormat="1">
      <c r="A28" s="27" t="s">
        <v>421</v>
      </c>
      <c r="B28" s="23" t="s">
        <v>190</v>
      </c>
      <c r="C28" s="63" t="s">
        <v>422</v>
      </c>
      <c r="D28" s="63">
        <v>4</v>
      </c>
      <c r="E28" s="63">
        <v>1</v>
      </c>
      <c r="F28" s="98">
        <v>50000</v>
      </c>
      <c r="G28" s="99">
        <f t="shared" si="3"/>
        <v>200000</v>
      </c>
      <c r="H28" s="100">
        <f t="shared" si="4"/>
        <v>1.1561215752737846E-4</v>
      </c>
    </row>
    <row r="29" spans="1:10" s="95" customFormat="1">
      <c r="A29" s="27" t="s">
        <v>423</v>
      </c>
      <c r="B29" s="23" t="s">
        <v>200</v>
      </c>
      <c r="C29" s="63" t="s">
        <v>424</v>
      </c>
      <c r="D29" s="63">
        <v>38</v>
      </c>
      <c r="E29" s="63">
        <v>1</v>
      </c>
      <c r="F29" s="98">
        <v>2200000</v>
      </c>
      <c r="G29" s="99">
        <f t="shared" si="3"/>
        <v>83600000</v>
      </c>
      <c r="H29" s="100">
        <f t="shared" si="4"/>
        <v>4.8325881846444201E-2</v>
      </c>
    </row>
    <row r="30" spans="1:10" s="95" customFormat="1">
      <c r="A30" s="27" t="s">
        <v>425</v>
      </c>
      <c r="B30" s="23" t="s">
        <v>174</v>
      </c>
      <c r="C30" s="63" t="s">
        <v>426</v>
      </c>
      <c r="D30" s="63">
        <v>13</v>
      </c>
      <c r="E30" s="63">
        <v>1</v>
      </c>
      <c r="F30" s="98">
        <v>1800000</v>
      </c>
      <c r="G30" s="99">
        <f t="shared" si="3"/>
        <v>23400000</v>
      </c>
      <c r="H30" s="100">
        <f t="shared" si="4"/>
        <v>1.3526622430703281E-2</v>
      </c>
    </row>
    <row r="31" spans="1:10" s="95" customFormat="1">
      <c r="A31" s="27" t="s">
        <v>427</v>
      </c>
      <c r="B31" s="23" t="s">
        <v>175</v>
      </c>
      <c r="C31" s="63" t="s">
        <v>428</v>
      </c>
      <c r="D31" s="63">
        <v>4</v>
      </c>
      <c r="E31" s="63">
        <v>11</v>
      </c>
      <c r="F31" s="98">
        <v>365000</v>
      </c>
      <c r="G31" s="99">
        <f t="shared" si="3"/>
        <v>16060000</v>
      </c>
      <c r="H31" s="100">
        <f t="shared" si="4"/>
        <v>9.2836562494484909E-3</v>
      </c>
    </row>
    <row r="32" spans="1:10" s="46" customFormat="1" ht="12.75" customHeight="1">
      <c r="A32" s="532" t="s">
        <v>411</v>
      </c>
      <c r="B32" s="532"/>
      <c r="C32" s="33"/>
      <c r="D32" s="53"/>
      <c r="E32" s="53"/>
      <c r="F32" s="53"/>
      <c r="G32" s="53">
        <f>SUM(G23:G31)</f>
        <v>306571000</v>
      </c>
      <c r="H32" s="48">
        <f>SUM(H23:H31)</f>
        <v>0.17721667372662969</v>
      </c>
    </row>
    <row r="33" spans="1:11" s="95" customFormat="1">
      <c r="A33" s="10" t="s">
        <v>29</v>
      </c>
      <c r="B33" s="23" t="s">
        <v>429</v>
      </c>
      <c r="C33" s="63" t="s">
        <v>430</v>
      </c>
      <c r="D33" s="63">
        <v>4</v>
      </c>
      <c r="E33" s="63">
        <v>11</v>
      </c>
      <c r="F33" s="98">
        <v>360000</v>
      </c>
      <c r="G33" s="72">
        <f>F33*E33*D33</f>
        <v>15840000</v>
      </c>
      <c r="H33" s="100">
        <f>+G33*100%/$G$43</f>
        <v>9.1564828761683745E-3</v>
      </c>
    </row>
    <row r="34" spans="1:11" s="95" customFormat="1">
      <c r="A34" s="27" t="s">
        <v>30</v>
      </c>
      <c r="B34" s="23" t="s">
        <v>64</v>
      </c>
      <c r="C34" s="63" t="s">
        <v>431</v>
      </c>
      <c r="D34" s="63">
        <v>4</v>
      </c>
      <c r="E34" s="63">
        <v>11</v>
      </c>
      <c r="F34" s="98">
        <v>360000</v>
      </c>
      <c r="G34" s="99">
        <f>F34*E34*D34</f>
        <v>15840000</v>
      </c>
      <c r="H34" s="100">
        <f>+G34*100%/$G$43</f>
        <v>9.1564828761683745E-3</v>
      </c>
    </row>
    <row r="35" spans="1:11" s="46" customFormat="1" ht="12.75" customHeight="1">
      <c r="A35" s="532" t="s">
        <v>411</v>
      </c>
      <c r="B35" s="532"/>
      <c r="C35" s="33"/>
      <c r="D35" s="53"/>
      <c r="E35" s="53"/>
      <c r="F35" s="53"/>
      <c r="G35" s="53">
        <f>+G33+G34</f>
        <v>31680000</v>
      </c>
      <c r="H35" s="48">
        <f>+H33+H34</f>
        <v>1.8312965752336749E-2</v>
      </c>
    </row>
    <row r="36" spans="1:11" ht="12" customHeight="1">
      <c r="A36" s="81" t="s">
        <v>394</v>
      </c>
      <c r="B36" s="36" t="s">
        <v>375</v>
      </c>
      <c r="C36" s="36"/>
      <c r="D36" s="37"/>
      <c r="E36" s="37"/>
      <c r="F36" s="38"/>
      <c r="G36" s="82">
        <f>+G21+G32+G35</f>
        <v>1255910029</v>
      </c>
      <c r="H36" s="83">
        <f>H21+H32+H35</f>
        <v>0.72599234345511621</v>
      </c>
      <c r="I36" s="117"/>
      <c r="K36" s="92"/>
    </row>
    <row r="37" spans="1:11" s="95" customFormat="1" ht="90.75" customHeight="1">
      <c r="A37" s="101">
        <v>4</v>
      </c>
      <c r="B37" s="102" t="s">
        <v>376</v>
      </c>
      <c r="C37" s="102" t="s">
        <v>377</v>
      </c>
      <c r="D37" s="23"/>
      <c r="E37" s="23"/>
      <c r="F37" s="103"/>
      <c r="G37" s="104">
        <v>128730778</v>
      </c>
      <c r="H37" s="105">
        <f>G37*100%/G36</f>
        <v>0.10250000002189648</v>
      </c>
      <c r="J37" s="118"/>
      <c r="K37" s="119"/>
    </row>
    <row r="38" spans="1:11" ht="12.75" customHeight="1">
      <c r="A38" s="10">
        <v>5</v>
      </c>
      <c r="B38" s="85" t="s">
        <v>388</v>
      </c>
      <c r="C38" s="86"/>
      <c r="D38" s="40"/>
      <c r="E38" s="40"/>
      <c r="F38" s="87"/>
      <c r="G38" s="106">
        <v>69075052</v>
      </c>
      <c r="H38" s="89">
        <f>G38*100%/G36</f>
        <v>5.5000000322475331E-2</v>
      </c>
      <c r="I38" s="4"/>
      <c r="K38" s="120"/>
    </row>
    <row r="39" spans="1:11" ht="12.75" customHeight="1">
      <c r="A39" s="533" t="s">
        <v>432</v>
      </c>
      <c r="B39" s="534"/>
      <c r="C39" s="43"/>
      <c r="D39" s="44"/>
      <c r="E39" s="107"/>
      <c r="F39" s="107"/>
      <c r="G39" s="108">
        <f>+G37+G38</f>
        <v>197805830</v>
      </c>
      <c r="H39" s="109">
        <f>+H37+H38</f>
        <v>0.15750000034437181</v>
      </c>
      <c r="I39" s="4"/>
      <c r="K39" s="121"/>
    </row>
    <row r="40" spans="1:11" ht="12.75" customHeight="1">
      <c r="A40" s="35"/>
      <c r="B40" s="36" t="s">
        <v>389</v>
      </c>
      <c r="C40" s="36"/>
      <c r="D40" s="37"/>
      <c r="E40" s="37"/>
      <c r="F40" s="37"/>
      <c r="G40" s="82">
        <f>+G36+G39</f>
        <v>1453715859</v>
      </c>
      <c r="H40" s="91">
        <f>H36+H39</f>
        <v>0.88349234379948804</v>
      </c>
      <c r="I40" s="4"/>
    </row>
    <row r="41" spans="1:11" ht="12.75" customHeight="1">
      <c r="A41" s="10">
        <v>6</v>
      </c>
      <c r="B41" s="85" t="s">
        <v>390</v>
      </c>
      <c r="C41" s="86"/>
      <c r="D41" s="40"/>
      <c r="E41" s="40"/>
      <c r="F41" s="87"/>
      <c r="G41" s="110">
        <f>+G40*19%</f>
        <v>276206013.20999998</v>
      </c>
      <c r="H41" s="89">
        <f>G41*100%/$G$43</f>
        <v>0.15966386554621848</v>
      </c>
      <c r="I41" s="4"/>
    </row>
    <row r="42" spans="1:11" ht="12.75" customHeight="1">
      <c r="A42" s="42"/>
      <c r="B42" s="43" t="s">
        <v>23</v>
      </c>
      <c r="C42" s="43"/>
      <c r="D42" s="44"/>
      <c r="E42" s="107"/>
      <c r="F42" s="107"/>
      <c r="G42" s="108">
        <f>SUM(G41:G41)</f>
        <v>276206013.20999998</v>
      </c>
      <c r="H42" s="109">
        <f>SUM(H41:H41)</f>
        <v>0.15966386554621848</v>
      </c>
      <c r="I42" s="4"/>
    </row>
    <row r="43" spans="1:11" ht="12.75" customHeight="1">
      <c r="A43" s="35"/>
      <c r="B43" s="36" t="s">
        <v>391</v>
      </c>
      <c r="C43" s="36"/>
      <c r="D43" s="37"/>
      <c r="E43" s="37"/>
      <c r="F43" s="37"/>
      <c r="G43" s="111">
        <f>+G36+G39+G42</f>
        <v>1729921872.21</v>
      </c>
      <c r="H43" s="91">
        <f>H40+H42-5%</f>
        <v>0.99315620934570648</v>
      </c>
      <c r="I43" s="4"/>
    </row>
    <row r="44" spans="1:11" ht="12.75" customHeight="1">
      <c r="G44" s="112"/>
    </row>
    <row r="45" spans="1:11" ht="12.75" customHeight="1">
      <c r="G45" s="112"/>
    </row>
  </sheetData>
  <mergeCells count="7">
    <mergeCell ref="A35:B35"/>
    <mergeCell ref="A39:B39"/>
    <mergeCell ref="A1:H1"/>
    <mergeCell ref="A2:B2"/>
    <mergeCell ref="C2:H2"/>
    <mergeCell ref="A21:B21"/>
    <mergeCell ref="A32:B32"/>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9" tint="0.79995117038483843"/>
  </sheetPr>
  <dimension ref="A1:H54"/>
  <sheetViews>
    <sheetView topLeftCell="A28" workbookViewId="0">
      <selection activeCell="D13" sqref="D13"/>
    </sheetView>
  </sheetViews>
  <sheetFormatPr baseColWidth="10" defaultColWidth="11.42578125" defaultRowHeight="12.75" customHeight="1"/>
  <cols>
    <col min="1" max="1" width="11.7109375" style="3" customWidth="1"/>
    <col min="2" max="2" width="37.28515625" style="4" customWidth="1"/>
    <col min="3" max="3" width="17" style="4" customWidth="1"/>
    <col min="4" max="4" width="17.140625" style="4" customWidth="1"/>
    <col min="5" max="5" width="11.42578125" style="4" customWidth="1"/>
    <col min="6" max="6" width="15.42578125" style="4" customWidth="1"/>
    <col min="7" max="7" width="16" style="4" customWidth="1"/>
    <col min="8" max="8" width="10.28515625" style="46" customWidth="1"/>
    <col min="9" max="16384" width="11.42578125" style="4"/>
  </cols>
  <sheetData>
    <row r="1" spans="1:8" ht="12.75" customHeight="1">
      <c r="A1" s="506" t="s">
        <v>0</v>
      </c>
      <c r="B1" s="506"/>
      <c r="C1" s="506"/>
      <c r="D1" s="506"/>
      <c r="E1" s="506"/>
      <c r="F1" s="506"/>
      <c r="G1" s="506"/>
      <c r="H1" s="506"/>
    </row>
    <row r="2" spans="1:8" ht="12.75" customHeight="1">
      <c r="A2" s="520" t="s">
        <v>1</v>
      </c>
      <c r="B2" s="520"/>
      <c r="C2" s="523" t="s">
        <v>257</v>
      </c>
      <c r="D2" s="524"/>
      <c r="E2" s="524"/>
      <c r="F2" s="524"/>
      <c r="G2" s="524"/>
      <c r="H2" s="525"/>
    </row>
    <row r="4" spans="1:8" s="55" customFormat="1" ht="12.75" customHeight="1">
      <c r="A4" s="5" t="s">
        <v>2</v>
      </c>
      <c r="B4" s="6" t="s">
        <v>3</v>
      </c>
      <c r="C4" s="6" t="s">
        <v>4</v>
      </c>
      <c r="D4" s="7" t="s">
        <v>5</v>
      </c>
      <c r="E4" s="7" t="s">
        <v>6</v>
      </c>
      <c r="F4" s="7" t="s">
        <v>7</v>
      </c>
      <c r="G4" s="7" t="s">
        <v>9</v>
      </c>
      <c r="H4" s="58" t="s">
        <v>11</v>
      </c>
    </row>
    <row r="5" spans="1:8" ht="12.75" customHeight="1">
      <c r="A5" s="59">
        <v>1</v>
      </c>
      <c r="B5" s="9" t="s">
        <v>12</v>
      </c>
      <c r="C5" s="9"/>
      <c r="D5" s="9"/>
      <c r="E5" s="9"/>
      <c r="F5" s="9"/>
      <c r="G5" s="9"/>
      <c r="H5" s="60"/>
    </row>
    <row r="6" spans="1:8" ht="12.75" customHeight="1">
      <c r="A6" s="61" t="s">
        <v>367</v>
      </c>
      <c r="B6" s="62" t="s">
        <v>14</v>
      </c>
      <c r="C6" s="63">
        <v>1</v>
      </c>
      <c r="D6" s="13">
        <v>1</v>
      </c>
      <c r="E6" s="64">
        <v>6.5</v>
      </c>
      <c r="F6" s="65">
        <v>8000000</v>
      </c>
      <c r="G6" s="65">
        <f>(E6*F6)*D6</f>
        <v>52000000</v>
      </c>
      <c r="H6" s="66">
        <f>G6*100%/$G$50</f>
        <v>3.041292792220238E-2</v>
      </c>
    </row>
    <row r="7" spans="1:8" ht="12.75" customHeight="1">
      <c r="A7" s="61" t="s">
        <v>368</v>
      </c>
      <c r="B7" s="62" t="s">
        <v>114</v>
      </c>
      <c r="C7" s="63">
        <v>1</v>
      </c>
      <c r="D7" s="13">
        <v>1</v>
      </c>
      <c r="E7" s="64">
        <v>6.5</v>
      </c>
      <c r="F7" s="65">
        <v>6000000</v>
      </c>
      <c r="G7" s="65">
        <f t="shared" ref="G7:G22" si="0">(E7*F7)*D7</f>
        <v>39000000</v>
      </c>
      <c r="H7" s="66">
        <f>G7*100%/$G$50</f>
        <v>2.2809695941651782E-2</v>
      </c>
    </row>
    <row r="8" spans="1:8" ht="12.75" customHeight="1">
      <c r="A8" s="61" t="s">
        <v>433</v>
      </c>
      <c r="B8" s="62" t="s">
        <v>117</v>
      </c>
      <c r="C8" s="63">
        <v>1</v>
      </c>
      <c r="D8" s="13">
        <v>0.5</v>
      </c>
      <c r="E8" s="64">
        <v>6</v>
      </c>
      <c r="F8" s="65">
        <v>6000000</v>
      </c>
      <c r="G8" s="65">
        <f t="shared" si="0"/>
        <v>18000000</v>
      </c>
      <c r="H8" s="66">
        <f t="shared" ref="H8:H45" si="1">G8*100%/$G$50</f>
        <v>1.0527551973070055E-2</v>
      </c>
    </row>
    <row r="9" spans="1:8" ht="12.75" customHeight="1">
      <c r="A9" s="61" t="s">
        <v>369</v>
      </c>
      <c r="B9" s="62" t="s">
        <v>111</v>
      </c>
      <c r="C9" s="63">
        <v>1</v>
      </c>
      <c r="D9" s="13">
        <v>0.5</v>
      </c>
      <c r="E9" s="64">
        <v>6</v>
      </c>
      <c r="F9" s="65">
        <v>5500000</v>
      </c>
      <c r="G9" s="65">
        <f t="shared" si="0"/>
        <v>16500000</v>
      </c>
      <c r="H9" s="66">
        <f t="shared" si="1"/>
        <v>9.6502559753142165E-3</v>
      </c>
    </row>
    <row r="10" spans="1:8" ht="12.75" customHeight="1">
      <c r="A10" s="61" t="s">
        <v>370</v>
      </c>
      <c r="B10" s="62" t="s">
        <v>111</v>
      </c>
      <c r="C10" s="63">
        <v>1</v>
      </c>
      <c r="D10" s="13">
        <v>0.5</v>
      </c>
      <c r="E10" s="64">
        <v>5</v>
      </c>
      <c r="F10" s="65">
        <v>5500000</v>
      </c>
      <c r="G10" s="65">
        <f t="shared" si="0"/>
        <v>13750000</v>
      </c>
      <c r="H10" s="66">
        <f t="shared" si="1"/>
        <v>8.041879979428514E-3</v>
      </c>
    </row>
    <row r="11" spans="1:8" ht="12.75" customHeight="1">
      <c r="A11" s="61" t="s">
        <v>371</v>
      </c>
      <c r="B11" s="62" t="s">
        <v>111</v>
      </c>
      <c r="C11" s="63">
        <v>3</v>
      </c>
      <c r="D11" s="13">
        <v>1</v>
      </c>
      <c r="E11" s="64">
        <v>6</v>
      </c>
      <c r="F11" s="65">
        <v>5000000</v>
      </c>
      <c r="G11" s="65">
        <f>((E11*F11)*D11)*C11</f>
        <v>90000000</v>
      </c>
      <c r="H11" s="66">
        <f t="shared" si="1"/>
        <v>5.263775986535027E-2</v>
      </c>
    </row>
    <row r="12" spans="1:8" ht="12.75" customHeight="1">
      <c r="A12" s="61" t="s">
        <v>434</v>
      </c>
      <c r="B12" s="62" t="s">
        <v>111</v>
      </c>
      <c r="C12" s="63">
        <v>3</v>
      </c>
      <c r="D12" s="13">
        <v>1</v>
      </c>
      <c r="E12" s="64">
        <v>6.5</v>
      </c>
      <c r="F12" s="65">
        <v>6500000</v>
      </c>
      <c r="G12" s="65">
        <f t="shared" ref="G12:G13" si="2">((E12*F12)*D12)*C12</f>
        <v>126750000</v>
      </c>
      <c r="H12" s="66">
        <f t="shared" si="1"/>
        <v>7.4131511810368297E-2</v>
      </c>
    </row>
    <row r="13" spans="1:8" ht="12.75" customHeight="1">
      <c r="A13" s="61" t="s">
        <v>435</v>
      </c>
      <c r="B13" s="62" t="s">
        <v>111</v>
      </c>
      <c r="C13" s="63">
        <v>3</v>
      </c>
      <c r="D13" s="13">
        <v>1</v>
      </c>
      <c r="E13" s="64">
        <v>6.5</v>
      </c>
      <c r="F13" s="65">
        <v>6500000</v>
      </c>
      <c r="G13" s="65">
        <f t="shared" si="2"/>
        <v>126750000</v>
      </c>
      <c r="H13" s="66">
        <f t="shared" si="1"/>
        <v>7.4131511810368297E-2</v>
      </c>
    </row>
    <row r="14" spans="1:8" ht="12.75" customHeight="1">
      <c r="A14" s="61" t="s">
        <v>436</v>
      </c>
      <c r="B14" s="62" t="s">
        <v>111</v>
      </c>
      <c r="C14" s="63">
        <v>1</v>
      </c>
      <c r="D14" s="13">
        <v>1</v>
      </c>
      <c r="E14" s="64">
        <v>6</v>
      </c>
      <c r="F14" s="65">
        <v>5500000</v>
      </c>
      <c r="G14" s="65">
        <f t="shared" si="0"/>
        <v>33000000</v>
      </c>
      <c r="H14" s="66">
        <f t="shared" si="1"/>
        <v>1.9300511950628433E-2</v>
      </c>
    </row>
    <row r="15" spans="1:8" ht="12.75" customHeight="1">
      <c r="A15" s="61" t="s">
        <v>437</v>
      </c>
      <c r="B15" s="62" t="s">
        <v>111</v>
      </c>
      <c r="C15" s="63">
        <v>1</v>
      </c>
      <c r="D15" s="13">
        <v>1</v>
      </c>
      <c r="E15" s="64">
        <v>6</v>
      </c>
      <c r="F15" s="65">
        <v>5500000</v>
      </c>
      <c r="G15" s="65">
        <f t="shared" si="0"/>
        <v>33000000</v>
      </c>
      <c r="H15" s="66">
        <f t="shared" si="1"/>
        <v>1.9300511950628433E-2</v>
      </c>
    </row>
    <row r="16" spans="1:8" ht="12.75" customHeight="1">
      <c r="A16" s="61" t="s">
        <v>438</v>
      </c>
      <c r="B16" s="62" t="s">
        <v>111</v>
      </c>
      <c r="C16" s="63">
        <v>1</v>
      </c>
      <c r="D16" s="13">
        <v>1</v>
      </c>
      <c r="E16" s="64">
        <v>6</v>
      </c>
      <c r="F16" s="65">
        <v>5500000</v>
      </c>
      <c r="G16" s="65">
        <f t="shared" si="0"/>
        <v>33000000</v>
      </c>
      <c r="H16" s="66">
        <f t="shared" si="1"/>
        <v>1.9300511950628433E-2</v>
      </c>
    </row>
    <row r="17" spans="1:8" ht="12.75" customHeight="1">
      <c r="A17" s="61" t="s">
        <v>439</v>
      </c>
      <c r="B17" s="62" t="s">
        <v>111</v>
      </c>
      <c r="C17" s="63">
        <v>1</v>
      </c>
      <c r="D17" s="13">
        <v>1</v>
      </c>
      <c r="E17" s="64">
        <v>6</v>
      </c>
      <c r="F17" s="65">
        <v>5500000</v>
      </c>
      <c r="G17" s="65">
        <f t="shared" si="0"/>
        <v>33000000</v>
      </c>
      <c r="H17" s="66">
        <f t="shared" si="1"/>
        <v>1.9300511950628433E-2</v>
      </c>
    </row>
    <row r="18" spans="1:8" ht="12.75" customHeight="1">
      <c r="A18" s="61" t="s">
        <v>440</v>
      </c>
      <c r="B18" s="62" t="s">
        <v>111</v>
      </c>
      <c r="C18" s="63">
        <v>1</v>
      </c>
      <c r="D18" s="13">
        <v>1</v>
      </c>
      <c r="E18" s="64">
        <v>6</v>
      </c>
      <c r="F18" s="65">
        <v>5500000</v>
      </c>
      <c r="G18" s="65">
        <f t="shared" si="0"/>
        <v>33000000</v>
      </c>
      <c r="H18" s="66">
        <f t="shared" si="1"/>
        <v>1.9300511950628433E-2</v>
      </c>
    </row>
    <row r="19" spans="1:8" ht="12.75" customHeight="1">
      <c r="A19" s="61" t="s">
        <v>441</v>
      </c>
      <c r="B19" s="62" t="s">
        <v>111</v>
      </c>
      <c r="C19" s="63">
        <v>1</v>
      </c>
      <c r="D19" s="13">
        <v>1</v>
      </c>
      <c r="E19" s="64">
        <v>6</v>
      </c>
      <c r="F19" s="65">
        <v>5500000</v>
      </c>
      <c r="G19" s="65">
        <f t="shared" si="0"/>
        <v>33000000</v>
      </c>
      <c r="H19" s="66">
        <f t="shared" si="1"/>
        <v>1.9300511950628433E-2</v>
      </c>
    </row>
    <row r="20" spans="1:8" ht="12.75" customHeight="1">
      <c r="A20" s="61" t="s">
        <v>442</v>
      </c>
      <c r="B20" s="62" t="s">
        <v>111</v>
      </c>
      <c r="C20" s="63">
        <v>1</v>
      </c>
      <c r="D20" s="13">
        <v>1</v>
      </c>
      <c r="E20" s="64">
        <v>6</v>
      </c>
      <c r="F20" s="65">
        <v>5500000</v>
      </c>
      <c r="G20" s="65">
        <f t="shared" si="0"/>
        <v>33000000</v>
      </c>
      <c r="H20" s="66">
        <f t="shared" si="1"/>
        <v>1.9300511950628433E-2</v>
      </c>
    </row>
    <row r="21" spans="1:8" ht="12.75" customHeight="1">
      <c r="A21" s="61" t="s">
        <v>443</v>
      </c>
      <c r="B21" s="62" t="s">
        <v>111</v>
      </c>
      <c r="C21" s="63">
        <v>1</v>
      </c>
      <c r="D21" s="13">
        <v>1</v>
      </c>
      <c r="E21" s="64">
        <v>6</v>
      </c>
      <c r="F21" s="65">
        <v>5500000</v>
      </c>
      <c r="G21" s="65">
        <f t="shared" si="0"/>
        <v>33000000</v>
      </c>
      <c r="H21" s="66">
        <f t="shared" si="1"/>
        <v>1.9300511950628433E-2</v>
      </c>
    </row>
    <row r="22" spans="1:8" ht="12.75" customHeight="1">
      <c r="A22" s="61" t="s">
        <v>386</v>
      </c>
      <c r="B22" s="62" t="s">
        <v>111</v>
      </c>
      <c r="C22" s="63">
        <v>1</v>
      </c>
      <c r="D22" s="13">
        <v>1</v>
      </c>
      <c r="E22" s="64">
        <v>6</v>
      </c>
      <c r="F22" s="65">
        <v>4000000</v>
      </c>
      <c r="G22" s="65">
        <f t="shared" si="0"/>
        <v>24000000</v>
      </c>
      <c r="H22" s="66">
        <f t="shared" si="1"/>
        <v>1.4036735964093406E-2</v>
      </c>
    </row>
    <row r="23" spans="1:8" s="46" customFormat="1" ht="12.75" customHeight="1">
      <c r="A23" s="526" t="s">
        <v>23</v>
      </c>
      <c r="B23" s="526"/>
      <c r="C23" s="67">
        <f>SUM(C6:C22)</f>
        <v>23</v>
      </c>
      <c r="D23" s="68"/>
      <c r="E23" s="53"/>
      <c r="F23" s="53">
        <f>SUM(F6:F22)</f>
        <v>97000000</v>
      </c>
      <c r="G23" s="53">
        <f>SUM(G6:G22)</f>
        <v>770750000</v>
      </c>
      <c r="H23" s="48">
        <f>SUM(H6:H22)</f>
        <v>0.45078392684687463</v>
      </c>
    </row>
    <row r="24" spans="1:8" s="56" customFormat="1" ht="12.75" customHeight="1">
      <c r="A24" s="526" t="s">
        <v>444</v>
      </c>
      <c r="B24" s="526"/>
      <c r="C24" s="67" t="s">
        <v>4</v>
      </c>
      <c r="D24" s="68"/>
      <c r="E24" s="53" t="s">
        <v>6</v>
      </c>
      <c r="F24" s="53" t="s">
        <v>24</v>
      </c>
      <c r="G24" s="53" t="s">
        <v>9</v>
      </c>
      <c r="H24" s="53" t="s">
        <v>11</v>
      </c>
    </row>
    <row r="25" spans="1:8" ht="12.75" customHeight="1">
      <c r="A25" s="10" t="s">
        <v>25</v>
      </c>
      <c r="B25" s="69" t="s">
        <v>197</v>
      </c>
      <c r="C25" s="12">
        <v>1</v>
      </c>
      <c r="D25" s="70" t="s">
        <v>26</v>
      </c>
      <c r="E25" s="71">
        <v>6</v>
      </c>
      <c r="F25" s="65">
        <v>4572450</v>
      </c>
      <c r="G25" s="72">
        <f>+E25*F25*C25</f>
        <v>27434700</v>
      </c>
      <c r="H25" s="66">
        <f t="shared" si="1"/>
        <v>1.6045568339754724E-2</v>
      </c>
    </row>
    <row r="26" spans="1:8" ht="12.75" customHeight="1">
      <c r="A26" s="10" t="s">
        <v>27</v>
      </c>
      <c r="B26" s="73" t="s">
        <v>171</v>
      </c>
      <c r="C26" s="12">
        <v>3</v>
      </c>
      <c r="D26" s="13" t="s">
        <v>26</v>
      </c>
      <c r="E26" s="71">
        <v>1</v>
      </c>
      <c r="F26" s="65">
        <v>25000000</v>
      </c>
      <c r="G26" s="72">
        <f>(E26*F26)*C26</f>
        <v>75000000</v>
      </c>
      <c r="H26" s="66">
        <f t="shared" si="1"/>
        <v>4.3864799887791892E-2</v>
      </c>
    </row>
    <row r="27" spans="1:8" ht="12.75" customHeight="1">
      <c r="A27" s="10" t="s">
        <v>291</v>
      </c>
      <c r="B27" s="74" t="s">
        <v>176</v>
      </c>
      <c r="C27" s="12">
        <v>5</v>
      </c>
      <c r="D27" s="13" t="s">
        <v>26</v>
      </c>
      <c r="E27" s="71">
        <v>1</v>
      </c>
      <c r="F27" s="65">
        <v>30000000</v>
      </c>
      <c r="G27" s="72">
        <f>(E27*F27)*C27</f>
        <v>150000000</v>
      </c>
      <c r="H27" s="66">
        <f t="shared" si="1"/>
        <v>8.7729599775583783E-2</v>
      </c>
    </row>
    <row r="28" spans="1:8" ht="12.75" customHeight="1">
      <c r="A28" s="10" t="s">
        <v>28</v>
      </c>
      <c r="B28" s="69" t="s">
        <v>177</v>
      </c>
      <c r="C28" s="63">
        <v>10</v>
      </c>
      <c r="D28" s="12" t="s">
        <v>26</v>
      </c>
      <c r="E28" s="75">
        <v>1</v>
      </c>
      <c r="F28" s="65">
        <v>5000000</v>
      </c>
      <c r="G28" s="72">
        <f>(E28*F28)*C28</f>
        <v>50000000</v>
      </c>
      <c r="H28" s="66">
        <f t="shared" si="1"/>
        <v>2.9243199925194596E-2</v>
      </c>
    </row>
    <row r="29" spans="1:8" s="46" customFormat="1" ht="12.75" customHeight="1">
      <c r="A29" s="526" t="s">
        <v>23</v>
      </c>
      <c r="B29" s="526"/>
      <c r="C29" s="67"/>
      <c r="D29" s="68"/>
      <c r="E29" s="53"/>
      <c r="F29" s="53"/>
      <c r="G29" s="53">
        <f>SUM(G25:G28)</f>
        <v>302434700</v>
      </c>
      <c r="H29" s="48">
        <f>SUM(H25:H28)</f>
        <v>0.17688316792832498</v>
      </c>
    </row>
    <row r="30" spans="1:8" s="56" customFormat="1" ht="12.75" customHeight="1">
      <c r="A30" s="526" t="s">
        <v>445</v>
      </c>
      <c r="B30" s="526" t="s">
        <v>446</v>
      </c>
      <c r="C30" s="67" t="s">
        <v>4</v>
      </c>
      <c r="D30" s="68"/>
      <c r="E30" s="53"/>
      <c r="F30" s="53" t="s">
        <v>24</v>
      </c>
      <c r="G30" s="53" t="s">
        <v>9</v>
      </c>
      <c r="H30" s="53" t="s">
        <v>11</v>
      </c>
    </row>
    <row r="31" spans="1:8" ht="12.75" customHeight="1">
      <c r="A31" s="10" t="s">
        <v>29</v>
      </c>
      <c r="B31" s="69" t="s">
        <v>447</v>
      </c>
      <c r="C31" s="63">
        <v>2000</v>
      </c>
      <c r="D31" s="12" t="s">
        <v>26</v>
      </c>
      <c r="E31" s="12" t="s">
        <v>26</v>
      </c>
      <c r="F31" s="65">
        <v>8000</v>
      </c>
      <c r="G31" s="72">
        <f>C31*F31</f>
        <v>16000000</v>
      </c>
      <c r="H31" s="66">
        <f t="shared" si="1"/>
        <v>9.3578239760622704E-3</v>
      </c>
    </row>
    <row r="32" spans="1:8" ht="12.75" customHeight="1">
      <c r="A32" s="10" t="s">
        <v>30</v>
      </c>
      <c r="B32" s="69" t="s">
        <v>448</v>
      </c>
      <c r="C32" s="63">
        <v>6750</v>
      </c>
      <c r="D32" s="12" t="s">
        <v>26</v>
      </c>
      <c r="E32" s="12" t="s">
        <v>26</v>
      </c>
      <c r="F32" s="65">
        <v>5500</v>
      </c>
      <c r="G32" s="72">
        <f t="shared" ref="G32:G36" si="3">C32*F32</f>
        <v>37125000</v>
      </c>
      <c r="H32" s="66">
        <f t="shared" si="1"/>
        <v>2.1713075944456987E-2</v>
      </c>
    </row>
    <row r="33" spans="1:8" ht="12.75" customHeight="1">
      <c r="A33" s="10" t="s">
        <v>341</v>
      </c>
      <c r="B33" s="69" t="s">
        <v>449</v>
      </c>
      <c r="C33" s="63">
        <v>2500</v>
      </c>
      <c r="D33" s="12" t="s">
        <v>26</v>
      </c>
      <c r="E33" s="12" t="s">
        <v>26</v>
      </c>
      <c r="F33" s="65">
        <v>5500</v>
      </c>
      <c r="G33" s="72">
        <f t="shared" si="3"/>
        <v>13750000</v>
      </c>
      <c r="H33" s="66">
        <f t="shared" si="1"/>
        <v>8.041879979428514E-3</v>
      </c>
    </row>
    <row r="34" spans="1:8" ht="12.75" customHeight="1">
      <c r="A34" s="10" t="s">
        <v>346</v>
      </c>
      <c r="B34" s="69" t="s">
        <v>450</v>
      </c>
      <c r="C34" s="63">
        <v>3000</v>
      </c>
      <c r="D34" s="12" t="s">
        <v>26</v>
      </c>
      <c r="E34" s="12" t="s">
        <v>26</v>
      </c>
      <c r="F34" s="65">
        <v>4200</v>
      </c>
      <c r="G34" s="72">
        <f t="shared" si="3"/>
        <v>12600000</v>
      </c>
      <c r="H34" s="66">
        <f t="shared" si="1"/>
        <v>7.3692863811490377E-3</v>
      </c>
    </row>
    <row r="35" spans="1:8" ht="12.75" customHeight="1">
      <c r="A35" s="10" t="s">
        <v>451</v>
      </c>
      <c r="B35" s="23" t="s">
        <v>452</v>
      </c>
      <c r="C35" s="63">
        <v>5</v>
      </c>
      <c r="D35" s="12" t="s">
        <v>26</v>
      </c>
      <c r="E35" s="12" t="s">
        <v>26</v>
      </c>
      <c r="F35" s="65">
        <v>6000000</v>
      </c>
      <c r="G35" s="72">
        <f t="shared" si="3"/>
        <v>30000000</v>
      </c>
      <c r="H35" s="66">
        <f t="shared" si="1"/>
        <v>1.7545919955116757E-2</v>
      </c>
    </row>
    <row r="36" spans="1:8" ht="12.75" customHeight="1">
      <c r="A36" s="10" t="s">
        <v>453</v>
      </c>
      <c r="B36" s="23" t="s">
        <v>454</v>
      </c>
      <c r="C36" s="63">
        <v>27</v>
      </c>
      <c r="D36" s="12" t="s">
        <v>26</v>
      </c>
      <c r="E36" s="12" t="s">
        <v>26</v>
      </c>
      <c r="F36" s="65">
        <v>6000000</v>
      </c>
      <c r="G36" s="72">
        <f t="shared" si="3"/>
        <v>162000000</v>
      </c>
      <c r="H36" s="66">
        <f t="shared" si="1"/>
        <v>9.4747967757630489E-2</v>
      </c>
    </row>
    <row r="37" spans="1:8" s="46" customFormat="1" ht="12.75" customHeight="1">
      <c r="A37" s="526" t="s">
        <v>23</v>
      </c>
      <c r="B37" s="526"/>
      <c r="C37" s="67"/>
      <c r="D37" s="68"/>
      <c r="E37" s="53"/>
      <c r="F37" s="53"/>
      <c r="G37" s="53">
        <f>SUM(G31:G36)</f>
        <v>271475000</v>
      </c>
      <c r="H37" s="48">
        <f>SUM(H31:H36)</f>
        <v>0.15877595399384403</v>
      </c>
    </row>
    <row r="38" spans="1:8" s="56" customFormat="1" ht="12.75" customHeight="1">
      <c r="A38" s="526" t="s">
        <v>455</v>
      </c>
      <c r="B38" s="526" t="s">
        <v>373</v>
      </c>
      <c r="C38" s="67" t="s">
        <v>4</v>
      </c>
      <c r="D38" s="68"/>
      <c r="E38" s="53"/>
      <c r="F38" s="53" t="s">
        <v>24</v>
      </c>
      <c r="G38" s="53" t="s">
        <v>9</v>
      </c>
      <c r="H38" s="53" t="s">
        <v>11</v>
      </c>
    </row>
    <row r="39" spans="1:8" ht="12.75" customHeight="1">
      <c r="A39" s="10" t="s">
        <v>34</v>
      </c>
      <c r="B39" s="69" t="s">
        <v>59</v>
      </c>
      <c r="C39" s="63">
        <v>74</v>
      </c>
      <c r="D39" s="12" t="s">
        <v>26</v>
      </c>
      <c r="E39" s="12" t="s">
        <v>26</v>
      </c>
      <c r="F39" s="65">
        <v>700000</v>
      </c>
      <c r="G39" s="72">
        <f>C39*F39</f>
        <v>51800000</v>
      </c>
      <c r="H39" s="66">
        <f t="shared" si="1"/>
        <v>3.0295955122501599E-2</v>
      </c>
    </row>
    <row r="40" spans="1:8" ht="12.75" customHeight="1">
      <c r="A40" s="10" t="s">
        <v>456</v>
      </c>
      <c r="B40" s="69" t="s">
        <v>60</v>
      </c>
      <c r="C40" s="63">
        <v>205</v>
      </c>
      <c r="D40" s="12" t="s">
        <v>26</v>
      </c>
      <c r="E40" s="12" t="s">
        <v>26</v>
      </c>
      <c r="F40" s="65">
        <v>300000</v>
      </c>
      <c r="G40" s="72">
        <f t="shared" ref="G40:G41" si="4">C40*F40</f>
        <v>61500000</v>
      </c>
      <c r="H40" s="66">
        <f t="shared" si="1"/>
        <v>3.596913590798935E-2</v>
      </c>
    </row>
    <row r="41" spans="1:8" ht="12.75" customHeight="1">
      <c r="A41" s="10" t="s">
        <v>36</v>
      </c>
      <c r="B41" s="69" t="s">
        <v>61</v>
      </c>
      <c r="C41" s="63">
        <v>105</v>
      </c>
      <c r="D41" s="12" t="s">
        <v>26</v>
      </c>
      <c r="E41" s="12" t="s">
        <v>26</v>
      </c>
      <c r="F41" s="65">
        <v>84377</v>
      </c>
      <c r="G41" s="72">
        <f t="shared" si="4"/>
        <v>8859585</v>
      </c>
      <c r="H41" s="66">
        <f t="shared" si="1"/>
        <v>5.1816523081851034E-3</v>
      </c>
    </row>
    <row r="42" spans="1:8" s="46" customFormat="1" ht="12.75" customHeight="1">
      <c r="A42" s="522" t="s">
        <v>23</v>
      </c>
      <c r="B42" s="522"/>
      <c r="C42" s="33"/>
      <c r="D42" s="53"/>
      <c r="E42" s="53"/>
      <c r="F42" s="53"/>
      <c r="G42" s="53">
        <f>SUM(G39:G41)</f>
        <v>122159585</v>
      </c>
      <c r="H42" s="48">
        <f t="shared" si="1"/>
        <v>7.1446743338676053E-2</v>
      </c>
    </row>
    <row r="43" spans="1:8" s="56" customFormat="1" ht="12.75" customHeight="1">
      <c r="A43" s="536" t="s">
        <v>457</v>
      </c>
      <c r="B43" s="537"/>
      <c r="C43" s="33"/>
      <c r="D43" s="53"/>
      <c r="E43" s="53"/>
      <c r="F43" s="53" t="s">
        <v>24</v>
      </c>
      <c r="G43" s="53" t="s">
        <v>9</v>
      </c>
      <c r="H43" s="53" t="s">
        <v>11</v>
      </c>
    </row>
    <row r="44" spans="1:8" s="57" customFormat="1" ht="12.75" customHeight="1">
      <c r="A44" s="76" t="s">
        <v>38</v>
      </c>
      <c r="B44" s="77" t="s">
        <v>458</v>
      </c>
      <c r="C44" s="78">
        <v>80</v>
      </c>
      <c r="D44" s="12" t="s">
        <v>26</v>
      </c>
      <c r="E44" s="12" t="s">
        <v>26</v>
      </c>
      <c r="F44" s="79">
        <v>900000</v>
      </c>
      <c r="G44" s="79">
        <f>F44*C44</f>
        <v>72000000</v>
      </c>
      <c r="H44" s="66">
        <f t="shared" si="1"/>
        <v>4.2110207892280219E-2</v>
      </c>
    </row>
    <row r="45" spans="1:8" ht="12.75" customHeight="1">
      <c r="A45" s="532" t="s">
        <v>23</v>
      </c>
      <c r="B45" s="532"/>
      <c r="C45" s="33"/>
      <c r="D45" s="17"/>
      <c r="E45" s="17"/>
      <c r="F45" s="17"/>
      <c r="G45" s="17">
        <f>+G44</f>
        <v>72000000</v>
      </c>
      <c r="H45" s="80">
        <f t="shared" si="1"/>
        <v>4.2110207892280219E-2</v>
      </c>
    </row>
    <row r="46" spans="1:8" ht="12.75" customHeight="1">
      <c r="A46" s="81" t="s">
        <v>459</v>
      </c>
      <c r="B46" s="36" t="s">
        <v>375</v>
      </c>
      <c r="C46" s="36"/>
      <c r="D46" s="37"/>
      <c r="E46" s="37"/>
      <c r="F46" s="38"/>
      <c r="G46" s="82">
        <f>+G45+G42+G37+G29+G23</f>
        <v>1538819285</v>
      </c>
      <c r="H46" s="83">
        <f>+H45+H42+H37+H29+H23</f>
        <v>0.89999999999999991</v>
      </c>
    </row>
    <row r="47" spans="1:8" ht="12.75" customHeight="1">
      <c r="A47" s="35"/>
      <c r="B47" s="36" t="s">
        <v>40</v>
      </c>
      <c r="C47" s="36"/>
      <c r="D47" s="37"/>
      <c r="E47" s="37"/>
      <c r="F47" s="38"/>
      <c r="G47" s="38"/>
      <c r="H47" s="84"/>
    </row>
    <row r="48" spans="1:8" ht="12.75" customHeight="1">
      <c r="A48" s="10">
        <v>3.1</v>
      </c>
      <c r="B48" s="85" t="s">
        <v>376</v>
      </c>
      <c r="C48" s="86" t="s">
        <v>377</v>
      </c>
      <c r="D48" s="40"/>
      <c r="E48" s="40"/>
      <c r="F48" s="87"/>
      <c r="G48" s="88">
        <f>+G46*0.1/0.9</f>
        <v>170979920.55555555</v>
      </c>
      <c r="H48" s="89">
        <v>0.1</v>
      </c>
    </row>
    <row r="49" spans="1:8" ht="12.75" customHeight="1">
      <c r="A49" s="42"/>
      <c r="B49" s="43" t="s">
        <v>23</v>
      </c>
      <c r="C49" s="43"/>
      <c r="D49" s="44"/>
      <c r="E49" s="44"/>
      <c r="F49" s="44"/>
      <c r="G49" s="17">
        <f>G48</f>
        <v>170979920.55555555</v>
      </c>
      <c r="H49" s="90">
        <v>0.1</v>
      </c>
    </row>
    <row r="50" spans="1:8" ht="12.75" customHeight="1">
      <c r="A50" s="35"/>
      <c r="B50" s="36" t="s">
        <v>41</v>
      </c>
      <c r="C50" s="36"/>
      <c r="D50" s="37"/>
      <c r="E50" s="37"/>
      <c r="F50" s="37"/>
      <c r="G50" s="45">
        <f>+G49+G46</f>
        <v>1709799205.5555556</v>
      </c>
      <c r="H50" s="91">
        <f t="shared" ref="H50" si="5">H46+H49</f>
        <v>0.99999999999999989</v>
      </c>
    </row>
    <row r="52" spans="1:8" ht="12.75" customHeight="1">
      <c r="G52" s="92"/>
    </row>
    <row r="53" spans="1:8" ht="12.75" customHeight="1">
      <c r="A53" s="93"/>
      <c r="B53" s="93"/>
      <c r="C53" s="93"/>
      <c r="D53" s="93"/>
      <c r="E53" s="93"/>
      <c r="G53" s="92"/>
    </row>
    <row r="54" spans="1:8" ht="12.75" customHeight="1">
      <c r="A54" s="94"/>
    </row>
  </sheetData>
  <mergeCells count="12">
    <mergeCell ref="A1:H1"/>
    <mergeCell ref="A2:B2"/>
    <mergeCell ref="C2:H2"/>
    <mergeCell ref="A23:B23"/>
    <mergeCell ref="A24:B24"/>
    <mergeCell ref="A43:B43"/>
    <mergeCell ref="A45:B45"/>
    <mergeCell ref="A29:B29"/>
    <mergeCell ref="A30:B30"/>
    <mergeCell ref="A37:B37"/>
    <mergeCell ref="A38:B38"/>
    <mergeCell ref="A42:B42"/>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9" tint="0.79995117038483843"/>
  </sheetPr>
  <dimension ref="A1:I29"/>
  <sheetViews>
    <sheetView topLeftCell="A16" workbookViewId="0">
      <selection activeCell="B9" sqref="B9"/>
    </sheetView>
  </sheetViews>
  <sheetFormatPr baseColWidth="10" defaultColWidth="10.85546875" defaultRowHeight="12.75"/>
  <cols>
    <col min="1" max="1" width="10.85546875" style="1"/>
    <col min="2" max="2" width="50.140625" style="1" customWidth="1"/>
    <col min="3" max="3" width="44.42578125" style="1" customWidth="1"/>
    <col min="4" max="4" width="10.85546875" style="1"/>
    <col min="5" max="5" width="12.28515625" style="1" customWidth="1"/>
    <col min="6" max="6" width="10.85546875" style="1"/>
    <col min="7" max="7" width="15" style="1" customWidth="1"/>
    <col min="8" max="8" width="14.85546875" style="1" customWidth="1"/>
    <col min="9" max="9" width="8" style="2" customWidth="1"/>
    <col min="10" max="16384" width="10.85546875" style="1"/>
  </cols>
  <sheetData>
    <row r="1" spans="1:9" ht="15" customHeight="1">
      <c r="A1" s="506" t="s">
        <v>0</v>
      </c>
      <c r="B1" s="506"/>
      <c r="C1" s="506"/>
      <c r="D1" s="506"/>
      <c r="E1" s="506"/>
      <c r="F1" s="506"/>
      <c r="G1" s="506"/>
      <c r="H1" s="506"/>
      <c r="I1" s="506"/>
    </row>
    <row r="2" spans="1:9">
      <c r="A2" s="520" t="s">
        <v>1</v>
      </c>
      <c r="B2" s="520"/>
      <c r="C2" s="529" t="s">
        <v>238</v>
      </c>
      <c r="D2" s="529"/>
      <c r="E2" s="529"/>
      <c r="F2" s="529"/>
      <c r="G2" s="529"/>
      <c r="H2" s="529"/>
      <c r="I2" s="529"/>
    </row>
    <row r="3" spans="1:9">
      <c r="A3" s="3"/>
      <c r="B3" s="4"/>
      <c r="C3" s="4"/>
      <c r="D3" s="4"/>
      <c r="E3" s="4"/>
      <c r="F3" s="4"/>
      <c r="G3" s="4"/>
      <c r="H3" s="4"/>
      <c r="I3" s="46"/>
    </row>
    <row r="4" spans="1:9" ht="25.5">
      <c r="A4" s="5" t="s">
        <v>2</v>
      </c>
      <c r="B4" s="6" t="s">
        <v>3</v>
      </c>
      <c r="C4" s="6" t="s">
        <v>460</v>
      </c>
      <c r="D4" s="6" t="s">
        <v>4</v>
      </c>
      <c r="E4" s="7" t="s">
        <v>5</v>
      </c>
      <c r="F4" s="7" t="s">
        <v>6</v>
      </c>
      <c r="G4" s="7" t="s">
        <v>392</v>
      </c>
      <c r="H4" s="7" t="s">
        <v>9</v>
      </c>
      <c r="I4" s="7" t="s">
        <v>11</v>
      </c>
    </row>
    <row r="5" spans="1:9">
      <c r="A5" s="8">
        <v>1</v>
      </c>
      <c r="B5" s="9" t="s">
        <v>12</v>
      </c>
      <c r="C5" s="9"/>
      <c r="D5" s="9"/>
      <c r="E5" s="9"/>
      <c r="F5" s="9"/>
      <c r="G5" s="9"/>
      <c r="H5" s="9"/>
      <c r="I5" s="33"/>
    </row>
    <row r="6" spans="1:9">
      <c r="A6" s="10" t="s">
        <v>13</v>
      </c>
      <c r="B6" s="11" t="s">
        <v>77</v>
      </c>
      <c r="C6" s="542" t="s">
        <v>461</v>
      </c>
      <c r="D6" s="12">
        <v>1</v>
      </c>
      <c r="E6" s="13">
        <v>1</v>
      </c>
      <c r="F6" s="12">
        <v>5</v>
      </c>
      <c r="G6" s="14">
        <v>8000000</v>
      </c>
      <c r="H6" s="15">
        <f>D6*E6*F6*G6</f>
        <v>40000000</v>
      </c>
      <c r="I6" s="47">
        <f>H6*100%/$H$28</f>
        <v>2.0093018452180703E-2</v>
      </c>
    </row>
    <row r="7" spans="1:9">
      <c r="A7" s="10" t="s">
        <v>15</v>
      </c>
      <c r="B7" s="11" t="s">
        <v>107</v>
      </c>
      <c r="C7" s="543"/>
      <c r="D7" s="12">
        <v>2</v>
      </c>
      <c r="E7" s="13">
        <v>1</v>
      </c>
      <c r="F7" s="12">
        <v>5</v>
      </c>
      <c r="G7" s="14">
        <v>7000000</v>
      </c>
      <c r="H7" s="15">
        <f t="shared" ref="H7:H16" si="0">D7*E7*F7*G7</f>
        <v>70000000</v>
      </c>
      <c r="I7" s="47">
        <f t="shared" ref="I7:I16" si="1">H7*100%/$H$28</f>
        <v>3.5162782291316232E-2</v>
      </c>
    </row>
    <row r="8" spans="1:9">
      <c r="A8" s="10" t="s">
        <v>17</v>
      </c>
      <c r="B8" s="11" t="s">
        <v>102</v>
      </c>
      <c r="C8" s="543"/>
      <c r="D8" s="12">
        <v>3</v>
      </c>
      <c r="E8" s="13">
        <v>0.5</v>
      </c>
      <c r="F8" s="12">
        <v>5</v>
      </c>
      <c r="G8" s="14">
        <v>8000000</v>
      </c>
      <c r="H8" s="15">
        <f t="shared" si="0"/>
        <v>60000000</v>
      </c>
      <c r="I8" s="47">
        <f t="shared" si="1"/>
        <v>3.0139527678271057E-2</v>
      </c>
    </row>
    <row r="9" spans="1:9">
      <c r="A9" s="10" t="s">
        <v>18</v>
      </c>
      <c r="B9" s="11" t="s">
        <v>122</v>
      </c>
      <c r="C9" s="543"/>
      <c r="D9" s="12">
        <v>43</v>
      </c>
      <c r="E9" s="13">
        <v>1</v>
      </c>
      <c r="F9" s="12">
        <v>5</v>
      </c>
      <c r="G9" s="14">
        <v>5500000</v>
      </c>
      <c r="H9" s="15">
        <f t="shared" si="0"/>
        <v>1182500000</v>
      </c>
      <c r="I9" s="47">
        <f t="shared" si="1"/>
        <v>0.59399985799259203</v>
      </c>
    </row>
    <row r="10" spans="1:9">
      <c r="A10" s="10" t="s">
        <v>19</v>
      </c>
      <c r="B10" s="11" t="s">
        <v>142</v>
      </c>
      <c r="C10" s="543"/>
      <c r="D10" s="12">
        <v>1</v>
      </c>
      <c r="E10" s="13">
        <v>1</v>
      </c>
      <c r="F10" s="12">
        <v>5</v>
      </c>
      <c r="G10" s="14">
        <v>4000000</v>
      </c>
      <c r="H10" s="15">
        <f t="shared" si="0"/>
        <v>20000000</v>
      </c>
      <c r="I10" s="47">
        <f t="shared" si="1"/>
        <v>1.0046509226090352E-2</v>
      </c>
    </row>
    <row r="11" spans="1:9">
      <c r="A11" s="10" t="s">
        <v>20</v>
      </c>
      <c r="B11" s="11" t="s">
        <v>159</v>
      </c>
      <c r="C11" s="543"/>
      <c r="D11" s="12">
        <v>1</v>
      </c>
      <c r="E11" s="13">
        <v>1</v>
      </c>
      <c r="F11" s="12">
        <v>5</v>
      </c>
      <c r="G11" s="14">
        <v>2500000</v>
      </c>
      <c r="H11" s="15">
        <f t="shared" si="0"/>
        <v>12500000</v>
      </c>
      <c r="I11" s="47">
        <f t="shared" si="1"/>
        <v>6.2790682663064704E-3</v>
      </c>
    </row>
    <row r="12" spans="1:9">
      <c r="A12" s="10" t="s">
        <v>21</v>
      </c>
      <c r="B12" s="11" t="s">
        <v>118</v>
      </c>
      <c r="C12" s="543"/>
      <c r="D12" s="12">
        <v>4</v>
      </c>
      <c r="E12" s="13">
        <v>1</v>
      </c>
      <c r="F12" s="12">
        <v>5</v>
      </c>
      <c r="G12" s="14">
        <v>6000000</v>
      </c>
      <c r="H12" s="15">
        <f t="shared" si="0"/>
        <v>120000000</v>
      </c>
      <c r="I12" s="47">
        <f t="shared" si="1"/>
        <v>6.0279055356542113E-2</v>
      </c>
    </row>
    <row r="13" spans="1:9">
      <c r="A13" s="10" t="s">
        <v>22</v>
      </c>
      <c r="B13" s="11" t="s">
        <v>116</v>
      </c>
      <c r="C13" s="543"/>
      <c r="D13" s="12">
        <v>1</v>
      </c>
      <c r="E13" s="13">
        <v>1</v>
      </c>
      <c r="F13" s="12">
        <v>5</v>
      </c>
      <c r="G13" s="14">
        <v>6000000</v>
      </c>
      <c r="H13" s="15">
        <f t="shared" si="0"/>
        <v>30000000</v>
      </c>
      <c r="I13" s="47">
        <f t="shared" si="1"/>
        <v>1.5069763839135528E-2</v>
      </c>
    </row>
    <row r="14" spans="1:9">
      <c r="A14" s="10" t="s">
        <v>378</v>
      </c>
      <c r="B14" s="11" t="s">
        <v>143</v>
      </c>
      <c r="C14" s="543"/>
      <c r="D14" s="12">
        <v>2</v>
      </c>
      <c r="E14" s="13">
        <v>1</v>
      </c>
      <c r="F14" s="12">
        <v>5</v>
      </c>
      <c r="G14" s="14">
        <v>4000000</v>
      </c>
      <c r="H14" s="15">
        <f t="shared" si="0"/>
        <v>40000000</v>
      </c>
      <c r="I14" s="47">
        <f t="shared" si="1"/>
        <v>2.0093018452180703E-2</v>
      </c>
    </row>
    <row r="15" spans="1:9">
      <c r="A15" s="10" t="s">
        <v>379</v>
      </c>
      <c r="B15" s="11" t="s">
        <v>144</v>
      </c>
      <c r="C15" s="543"/>
      <c r="D15" s="12">
        <v>2</v>
      </c>
      <c r="E15" s="13">
        <v>1</v>
      </c>
      <c r="F15" s="12">
        <v>5</v>
      </c>
      <c r="G15" s="14">
        <v>4000000</v>
      </c>
      <c r="H15" s="15">
        <f t="shared" si="0"/>
        <v>40000000</v>
      </c>
      <c r="I15" s="47">
        <f t="shared" si="1"/>
        <v>2.0093018452180703E-2</v>
      </c>
    </row>
    <row r="16" spans="1:9" ht="15" customHeight="1">
      <c r="A16" s="10" t="s">
        <v>380</v>
      </c>
      <c r="B16" s="11" t="s">
        <v>145</v>
      </c>
      <c r="C16" s="543"/>
      <c r="D16" s="12">
        <v>2</v>
      </c>
      <c r="E16" s="13">
        <v>1</v>
      </c>
      <c r="F16" s="12">
        <v>5</v>
      </c>
      <c r="G16" s="14">
        <v>4000000</v>
      </c>
      <c r="H16" s="15">
        <f t="shared" si="0"/>
        <v>40000000</v>
      </c>
      <c r="I16" s="47">
        <f t="shared" si="1"/>
        <v>2.0093018452180703E-2</v>
      </c>
    </row>
    <row r="17" spans="1:9">
      <c r="A17" s="527" t="s">
        <v>23</v>
      </c>
      <c r="B17" s="528"/>
      <c r="C17" s="16"/>
      <c r="D17" s="17"/>
      <c r="E17" s="17"/>
      <c r="F17" s="17"/>
      <c r="G17" s="17">
        <f>SUM(G6:G16)</f>
        <v>59000000</v>
      </c>
      <c r="H17" s="17">
        <f>SUM(H6:H16)</f>
        <v>1655000000</v>
      </c>
      <c r="I17" s="48">
        <f>SUM(I6:I16)</f>
        <v>0.83134863845897655</v>
      </c>
    </row>
    <row r="18" spans="1:9">
      <c r="A18" s="18">
        <v>2</v>
      </c>
      <c r="B18" s="19" t="s">
        <v>393</v>
      </c>
      <c r="C18" s="20" t="s">
        <v>460</v>
      </c>
      <c r="D18" s="530" t="s">
        <v>4</v>
      </c>
      <c r="E18" s="531"/>
      <c r="F18" s="19" t="s">
        <v>6</v>
      </c>
      <c r="G18" s="19" t="s">
        <v>266</v>
      </c>
      <c r="H18" s="22" t="s">
        <v>274</v>
      </c>
      <c r="I18" s="22"/>
    </row>
    <row r="19" spans="1:9" ht="114.75">
      <c r="A19" s="10" t="s">
        <v>25</v>
      </c>
      <c r="B19" s="23" t="s">
        <v>198</v>
      </c>
      <c r="C19" s="24" t="s">
        <v>462</v>
      </c>
      <c r="D19" s="538">
        <v>1</v>
      </c>
      <c r="E19" s="539"/>
      <c r="F19" s="12">
        <v>5</v>
      </c>
      <c r="G19" s="25">
        <v>4530800</v>
      </c>
      <c r="H19" s="26">
        <f>+D19*F19*G19</f>
        <v>22654000</v>
      </c>
      <c r="I19" s="49">
        <f>H19*100%/$H$28</f>
        <v>1.1379681000392541E-2</v>
      </c>
    </row>
    <row r="20" spans="1:9">
      <c r="A20" s="27" t="s">
        <v>27</v>
      </c>
      <c r="B20" s="28" t="s">
        <v>199</v>
      </c>
      <c r="C20" s="29" t="s">
        <v>463</v>
      </c>
      <c r="D20" s="540">
        <v>1700</v>
      </c>
      <c r="E20" s="541"/>
      <c r="F20" s="30">
        <v>1</v>
      </c>
      <c r="G20" s="31">
        <f>12000</f>
        <v>12000</v>
      </c>
      <c r="H20" s="32">
        <f>+D20*F20*G20</f>
        <v>20400000</v>
      </c>
      <c r="I20" s="49">
        <f t="shared" ref="I20:I22" si="2">H20*100%/$H$28</f>
        <v>1.0247439410612159E-2</v>
      </c>
    </row>
    <row r="21" spans="1:9">
      <c r="A21" s="10" t="s">
        <v>291</v>
      </c>
      <c r="B21" s="28" t="s">
        <v>185</v>
      </c>
      <c r="C21" s="29" t="s">
        <v>464</v>
      </c>
      <c r="D21" s="540">
        <f>45*10</f>
        <v>450</v>
      </c>
      <c r="E21" s="541"/>
      <c r="F21" s="30">
        <v>5</v>
      </c>
      <c r="G21" s="31">
        <v>40000</v>
      </c>
      <c r="H21" s="32">
        <f>+D21*F21*G21</f>
        <v>90000000</v>
      </c>
      <c r="I21" s="49">
        <f t="shared" si="2"/>
        <v>4.5209291517406582E-2</v>
      </c>
    </row>
    <row r="22" spans="1:9" ht="15" customHeight="1">
      <c r="A22" s="27" t="s">
        <v>28</v>
      </c>
      <c r="B22" s="28" t="s">
        <v>187</v>
      </c>
      <c r="C22" s="29" t="s">
        <v>465</v>
      </c>
      <c r="D22" s="540">
        <f>1700*15%</f>
        <v>255</v>
      </c>
      <c r="E22" s="541"/>
      <c r="F22" s="30">
        <v>1</v>
      </c>
      <c r="G22" s="31">
        <v>14169</v>
      </c>
      <c r="H22" s="32">
        <f>+D22*F22*G22</f>
        <v>3613095</v>
      </c>
      <c r="I22" s="49">
        <f t="shared" si="2"/>
        <v>1.8149496126120461E-3</v>
      </c>
    </row>
    <row r="23" spans="1:9">
      <c r="A23" s="527" t="s">
        <v>23</v>
      </c>
      <c r="B23" s="528"/>
      <c r="C23" s="33"/>
      <c r="D23" s="17"/>
      <c r="E23" s="17"/>
      <c r="F23" s="17"/>
      <c r="G23" s="34">
        <v>0</v>
      </c>
      <c r="H23" s="34">
        <f>SUM(H19:H22)</f>
        <v>136667095</v>
      </c>
      <c r="I23" s="48">
        <f>SUM(I19:I22)</f>
        <v>6.8651361541023317E-2</v>
      </c>
    </row>
    <row r="24" spans="1:9">
      <c r="A24" s="35" t="s">
        <v>394</v>
      </c>
      <c r="B24" s="36" t="s">
        <v>39</v>
      </c>
      <c r="C24" s="36"/>
      <c r="D24" s="37"/>
      <c r="E24" s="37"/>
      <c r="F24" s="37"/>
      <c r="G24" s="38"/>
      <c r="H24" s="38">
        <f>H17+H23</f>
        <v>1791667095</v>
      </c>
      <c r="I24" s="50">
        <f>H24/H28*100%</f>
        <v>0.89999999999999991</v>
      </c>
    </row>
    <row r="25" spans="1:9">
      <c r="A25" s="35"/>
      <c r="B25" s="36" t="s">
        <v>40</v>
      </c>
      <c r="C25" s="36"/>
      <c r="D25" s="37"/>
      <c r="E25" s="37"/>
      <c r="F25" s="37"/>
      <c r="G25" s="38"/>
      <c r="H25" s="38"/>
      <c r="I25" s="51"/>
    </row>
    <row r="26" spans="1:9">
      <c r="A26" s="10">
        <v>3.1</v>
      </c>
      <c r="B26" s="39" t="s">
        <v>466</v>
      </c>
      <c r="C26" s="39"/>
      <c r="D26" s="40"/>
      <c r="E26" s="40"/>
      <c r="F26" s="40"/>
      <c r="G26" s="41">
        <v>0.11</v>
      </c>
      <c r="H26" s="32">
        <f>+H24*0.1/0.9</f>
        <v>199074121.66666666</v>
      </c>
      <c r="I26" s="52">
        <f>H26/H28*100%</f>
        <v>9.9999999999999992E-2</v>
      </c>
    </row>
    <row r="27" spans="1:9">
      <c r="A27" s="42"/>
      <c r="B27" s="43" t="s">
        <v>23</v>
      </c>
      <c r="C27" s="43"/>
      <c r="D27" s="44"/>
      <c r="E27" s="44"/>
      <c r="F27" s="44"/>
      <c r="G27" s="44"/>
      <c r="H27" s="17">
        <f>H26</f>
        <v>199074121.66666666</v>
      </c>
      <c r="I27" s="53"/>
    </row>
    <row r="28" spans="1:9">
      <c r="A28" s="35"/>
      <c r="B28" s="36" t="s">
        <v>41</v>
      </c>
      <c r="C28" s="36"/>
      <c r="D28" s="37"/>
      <c r="E28" s="37"/>
      <c r="F28" s="37"/>
      <c r="G28" s="37"/>
      <c r="H28" s="45">
        <f>H24+H27</f>
        <v>1990741216.6666667</v>
      </c>
      <c r="I28" s="54">
        <f>I24+I26</f>
        <v>0.99999999999999989</v>
      </c>
    </row>
    <row r="29" spans="1:9">
      <c r="A29" s="3" t="s">
        <v>467</v>
      </c>
      <c r="B29" s="4"/>
      <c r="C29" s="4"/>
      <c r="D29" s="4"/>
      <c r="E29" s="4"/>
      <c r="F29" s="4"/>
      <c r="G29" s="4"/>
      <c r="H29" s="4"/>
      <c r="I29" s="46"/>
    </row>
  </sheetData>
  <mergeCells count="11">
    <mergeCell ref="A1:I1"/>
    <mergeCell ref="A2:B2"/>
    <mergeCell ref="C2:I2"/>
    <mergeCell ref="A17:B17"/>
    <mergeCell ref="D18:E18"/>
    <mergeCell ref="C6:C16"/>
    <mergeCell ref="D19:E19"/>
    <mergeCell ref="D20:E20"/>
    <mergeCell ref="D21:E21"/>
    <mergeCell ref="D22:E22"/>
    <mergeCell ref="A23:B23"/>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2136EE-BAAD-1D44-9512-A65CEA0BD785}">
  <dimension ref="A3:J74"/>
  <sheetViews>
    <sheetView workbookViewId="0">
      <selection activeCell="C5" sqref="C5:C16"/>
    </sheetView>
  </sheetViews>
  <sheetFormatPr baseColWidth="10" defaultColWidth="10.7109375" defaultRowHeight="15"/>
  <cols>
    <col min="10" max="10" width="25" customWidth="1"/>
  </cols>
  <sheetData>
    <row r="3" spans="1:10" ht="99">
      <c r="A3" s="257" t="s">
        <v>2</v>
      </c>
      <c r="B3" s="258" t="s">
        <v>3</v>
      </c>
      <c r="C3" s="258" t="s">
        <v>460</v>
      </c>
      <c r="D3" s="258" t="s">
        <v>4</v>
      </c>
      <c r="E3" s="259" t="s">
        <v>5</v>
      </c>
      <c r="F3" s="259" t="s">
        <v>6</v>
      </c>
      <c r="G3" s="260" t="s">
        <v>495</v>
      </c>
      <c r="H3" s="261" t="s">
        <v>496</v>
      </c>
      <c r="I3" s="262" t="s">
        <v>497</v>
      </c>
      <c r="J3" s="262" t="s">
        <v>274</v>
      </c>
    </row>
    <row r="4" spans="1:10" ht="16.5">
      <c r="A4" s="263">
        <v>1</v>
      </c>
      <c r="B4" s="264" t="s">
        <v>12</v>
      </c>
      <c r="C4" s="264"/>
      <c r="D4" s="265"/>
      <c r="E4" s="264"/>
      <c r="F4" s="264"/>
      <c r="G4" s="266"/>
      <c r="H4" s="267"/>
      <c r="I4" s="268"/>
      <c r="J4" s="268"/>
    </row>
    <row r="5" spans="1:10" ht="16.5">
      <c r="A5" s="269">
        <v>1.1000000000000001</v>
      </c>
      <c r="B5" s="270" t="s">
        <v>498</v>
      </c>
      <c r="C5" s="546" t="s">
        <v>499</v>
      </c>
      <c r="D5" s="271">
        <v>1</v>
      </c>
      <c r="E5" s="272">
        <v>1</v>
      </c>
      <c r="F5" s="271">
        <v>8</v>
      </c>
      <c r="G5" s="273">
        <v>4500000</v>
      </c>
      <c r="H5" s="274">
        <f>D5*E5*F5*G5</f>
        <v>36000000</v>
      </c>
      <c r="I5" s="275">
        <v>0</v>
      </c>
      <c r="J5" s="275">
        <f>I5+H5</f>
        <v>36000000</v>
      </c>
    </row>
    <row r="6" spans="1:10" ht="16.5">
      <c r="A6" s="269">
        <v>1.2</v>
      </c>
      <c r="B6" s="276" t="s">
        <v>500</v>
      </c>
      <c r="C6" s="547"/>
      <c r="D6" s="271">
        <v>2</v>
      </c>
      <c r="E6" s="272">
        <v>1</v>
      </c>
      <c r="F6" s="271">
        <v>8</v>
      </c>
      <c r="G6" s="273">
        <v>3500000</v>
      </c>
      <c r="H6" s="274">
        <f t="shared" ref="H6:H16" si="0">D6*E6*F6*G6</f>
        <v>56000000</v>
      </c>
      <c r="I6" s="275">
        <v>0</v>
      </c>
      <c r="J6" s="275">
        <f t="shared" ref="J6:J16" si="1">I6+H6</f>
        <v>56000000</v>
      </c>
    </row>
    <row r="7" spans="1:10" ht="148.5">
      <c r="A7" s="269">
        <v>1.3</v>
      </c>
      <c r="B7" s="277" t="s">
        <v>501</v>
      </c>
      <c r="C7" s="547"/>
      <c r="D7" s="271">
        <v>1</v>
      </c>
      <c r="E7" s="272">
        <v>1</v>
      </c>
      <c r="F7" s="271">
        <v>5</v>
      </c>
      <c r="G7" s="273">
        <v>3500000</v>
      </c>
      <c r="H7" s="274">
        <f t="shared" si="0"/>
        <v>17500000</v>
      </c>
      <c r="I7" s="275">
        <v>0</v>
      </c>
      <c r="J7" s="275">
        <f t="shared" si="1"/>
        <v>17500000</v>
      </c>
    </row>
    <row r="8" spans="1:10" ht="115.5">
      <c r="A8" s="269">
        <v>1.4</v>
      </c>
      <c r="B8" s="277" t="s">
        <v>502</v>
      </c>
      <c r="C8" s="547"/>
      <c r="D8" s="271">
        <v>1</v>
      </c>
      <c r="E8" s="272">
        <v>1</v>
      </c>
      <c r="F8" s="271">
        <v>5</v>
      </c>
      <c r="G8" s="273">
        <v>3500000</v>
      </c>
      <c r="H8" s="274">
        <f t="shared" si="0"/>
        <v>17500000</v>
      </c>
      <c r="I8" s="275">
        <v>0</v>
      </c>
      <c r="J8" s="275">
        <f t="shared" si="1"/>
        <v>17500000</v>
      </c>
    </row>
    <row r="9" spans="1:10" ht="16.5">
      <c r="A9" s="269">
        <v>1.5</v>
      </c>
      <c r="B9" s="270" t="s">
        <v>503</v>
      </c>
      <c r="C9" s="547"/>
      <c r="D9" s="271">
        <v>2</v>
      </c>
      <c r="E9" s="272">
        <v>1</v>
      </c>
      <c r="F9" s="271">
        <v>3</v>
      </c>
      <c r="G9" s="273">
        <v>3000000</v>
      </c>
      <c r="H9" s="274">
        <f t="shared" si="0"/>
        <v>18000000</v>
      </c>
      <c r="I9" s="275">
        <v>0</v>
      </c>
      <c r="J9" s="275">
        <f t="shared" si="1"/>
        <v>18000000</v>
      </c>
    </row>
    <row r="10" spans="1:10" ht="16.5">
      <c r="A10" s="549">
        <v>1.6</v>
      </c>
      <c r="B10" s="278" t="s">
        <v>504</v>
      </c>
      <c r="C10" s="547"/>
      <c r="D10" s="271">
        <v>2</v>
      </c>
      <c r="E10" s="272">
        <v>1</v>
      </c>
      <c r="F10" s="271">
        <v>3</v>
      </c>
      <c r="G10" s="273">
        <v>2500000</v>
      </c>
      <c r="H10" s="274">
        <f t="shared" si="0"/>
        <v>15000000</v>
      </c>
      <c r="I10" s="275">
        <v>0</v>
      </c>
      <c r="J10" s="275">
        <f t="shared" si="1"/>
        <v>15000000</v>
      </c>
    </row>
    <row r="11" spans="1:10" ht="33">
      <c r="A11" s="550"/>
      <c r="B11" s="277" t="s">
        <v>505</v>
      </c>
      <c r="C11" s="547"/>
      <c r="D11" s="271">
        <v>3</v>
      </c>
      <c r="E11" s="272">
        <v>1</v>
      </c>
      <c r="F11" s="271">
        <v>5</v>
      </c>
      <c r="G11" s="273">
        <v>3500000</v>
      </c>
      <c r="H11" s="274">
        <f t="shared" si="0"/>
        <v>52500000</v>
      </c>
      <c r="I11" s="275">
        <v>0</v>
      </c>
      <c r="J11" s="275">
        <f t="shared" si="1"/>
        <v>52500000</v>
      </c>
    </row>
    <row r="12" spans="1:10" ht="16.5">
      <c r="A12" s="269">
        <v>1.7</v>
      </c>
      <c r="B12" s="278" t="s">
        <v>506</v>
      </c>
      <c r="C12" s="547"/>
      <c r="D12" s="271">
        <v>24</v>
      </c>
      <c r="E12" s="272">
        <v>1</v>
      </c>
      <c r="F12" s="271">
        <v>5</v>
      </c>
      <c r="G12" s="273">
        <v>2500000</v>
      </c>
      <c r="H12" s="274">
        <f t="shared" si="0"/>
        <v>300000000</v>
      </c>
      <c r="I12" s="275">
        <v>0</v>
      </c>
      <c r="J12" s="275">
        <f t="shared" si="1"/>
        <v>300000000</v>
      </c>
    </row>
    <row r="13" spans="1:10" ht="16.5">
      <c r="A13" s="549">
        <v>1.8</v>
      </c>
      <c r="B13" s="551" t="s">
        <v>507</v>
      </c>
      <c r="C13" s="547"/>
      <c r="D13" s="271">
        <v>3</v>
      </c>
      <c r="E13" s="272">
        <v>1</v>
      </c>
      <c r="F13" s="271">
        <v>8</v>
      </c>
      <c r="G13" s="273">
        <v>2500000</v>
      </c>
      <c r="H13" s="274">
        <f t="shared" si="0"/>
        <v>60000000</v>
      </c>
      <c r="I13" s="275">
        <v>0</v>
      </c>
      <c r="J13" s="275">
        <f t="shared" si="1"/>
        <v>60000000</v>
      </c>
    </row>
    <row r="14" spans="1:10" ht="16.5">
      <c r="A14" s="550"/>
      <c r="B14" s="552"/>
      <c r="C14" s="547"/>
      <c r="D14" s="271">
        <v>1</v>
      </c>
      <c r="E14" s="272">
        <v>1</v>
      </c>
      <c r="F14" s="271">
        <v>5</v>
      </c>
      <c r="G14" s="273">
        <v>2500000</v>
      </c>
      <c r="H14" s="274">
        <f t="shared" si="0"/>
        <v>12500000</v>
      </c>
      <c r="I14" s="275">
        <v>0</v>
      </c>
      <c r="J14" s="275">
        <f t="shared" si="1"/>
        <v>12500000</v>
      </c>
    </row>
    <row r="15" spans="1:10" ht="16.5">
      <c r="A15" s="279">
        <v>1.9</v>
      </c>
      <c r="B15" s="280" t="s">
        <v>508</v>
      </c>
      <c r="C15" s="547"/>
      <c r="D15" s="271">
        <v>3</v>
      </c>
      <c r="E15" s="272">
        <v>1</v>
      </c>
      <c r="F15" s="271">
        <v>8</v>
      </c>
      <c r="G15" s="273">
        <v>2500000</v>
      </c>
      <c r="H15" s="274">
        <f t="shared" si="0"/>
        <v>60000000</v>
      </c>
      <c r="I15" s="275">
        <v>0</v>
      </c>
      <c r="J15" s="275">
        <f t="shared" si="1"/>
        <v>60000000</v>
      </c>
    </row>
    <row r="16" spans="1:10" ht="16.5">
      <c r="A16" s="279">
        <v>1.1000000000000001</v>
      </c>
      <c r="B16" s="280" t="s">
        <v>509</v>
      </c>
      <c r="C16" s="548"/>
      <c r="D16" s="271">
        <v>1</v>
      </c>
      <c r="E16" s="272">
        <v>1</v>
      </c>
      <c r="F16" s="271">
        <v>8</v>
      </c>
      <c r="G16" s="273">
        <v>2000000</v>
      </c>
      <c r="H16" s="274">
        <f t="shared" si="0"/>
        <v>16000000</v>
      </c>
      <c r="I16" s="275">
        <v>0</v>
      </c>
      <c r="J16" s="275">
        <f t="shared" si="1"/>
        <v>16000000</v>
      </c>
    </row>
    <row r="17" spans="1:10" ht="16.5">
      <c r="A17" s="544" t="s">
        <v>23</v>
      </c>
      <c r="B17" s="545"/>
      <c r="C17" s="281"/>
      <c r="D17" s="282">
        <f>SUM(D5:D16)</f>
        <v>44</v>
      </c>
      <c r="E17" s="283"/>
      <c r="F17" s="283"/>
      <c r="G17" s="284">
        <f>SUM(G5:G16)</f>
        <v>36000000</v>
      </c>
      <c r="H17" s="285">
        <f>SUM(H5:H16)</f>
        <v>661000000</v>
      </c>
      <c r="I17" s="286"/>
      <c r="J17" s="287">
        <f>SUM(J5:J16)</f>
        <v>661000000</v>
      </c>
    </row>
    <row r="18" spans="1:10" ht="16.5">
      <c r="A18" s="544" t="s">
        <v>510</v>
      </c>
      <c r="B18" s="545"/>
      <c r="C18" s="281"/>
      <c r="D18" s="288"/>
      <c r="E18" s="283"/>
      <c r="F18" s="283"/>
      <c r="G18" s="284"/>
      <c r="H18" s="285"/>
      <c r="I18" s="287"/>
      <c r="J18" s="287"/>
    </row>
    <row r="19" spans="1:10" ht="16.5">
      <c r="A19" s="289">
        <v>2</v>
      </c>
      <c r="B19" s="290"/>
      <c r="C19" s="291" t="s">
        <v>460</v>
      </c>
      <c r="D19" s="291" t="s">
        <v>511</v>
      </c>
      <c r="E19" s="555"/>
      <c r="F19" s="556"/>
      <c r="G19" s="292"/>
      <c r="H19" s="293"/>
      <c r="I19" s="294"/>
      <c r="J19" s="294"/>
    </row>
    <row r="20" spans="1:10" ht="49.5">
      <c r="A20" s="549">
        <v>2.1</v>
      </c>
      <c r="B20" s="546" t="s">
        <v>512</v>
      </c>
      <c r="C20" s="295" t="s">
        <v>513</v>
      </c>
      <c r="D20" s="271">
        <v>20</v>
      </c>
      <c r="E20" s="553" t="s">
        <v>26</v>
      </c>
      <c r="F20" s="554"/>
      <c r="G20" s="296">
        <v>200000</v>
      </c>
      <c r="H20" s="297">
        <f t="shared" ref="H20:H52" si="2">G20*D20</f>
        <v>4000000</v>
      </c>
      <c r="I20" s="275">
        <v>0</v>
      </c>
      <c r="J20" s="275">
        <f t="shared" ref="J20:J67" si="3">I20+H20</f>
        <v>4000000</v>
      </c>
    </row>
    <row r="21" spans="1:10" ht="148.5">
      <c r="A21" s="557"/>
      <c r="B21" s="547"/>
      <c r="C21" s="295" t="s">
        <v>514</v>
      </c>
      <c r="D21" s="271">
        <v>54</v>
      </c>
      <c r="E21" s="553" t="s">
        <v>26</v>
      </c>
      <c r="F21" s="554"/>
      <c r="G21" s="296">
        <f>+((157000+199900+219900)/3)</f>
        <v>192266.66666666666</v>
      </c>
      <c r="H21" s="297">
        <f t="shared" si="2"/>
        <v>10382400</v>
      </c>
      <c r="I21" s="275">
        <v>0</v>
      </c>
      <c r="J21" s="275">
        <f t="shared" si="3"/>
        <v>10382400</v>
      </c>
    </row>
    <row r="22" spans="1:10" ht="33">
      <c r="A22" s="557"/>
      <c r="B22" s="547"/>
      <c r="C22" s="295" t="s">
        <v>515</v>
      </c>
      <c r="D22" s="271">
        <v>200</v>
      </c>
      <c r="E22" s="553" t="s">
        <v>26</v>
      </c>
      <c r="F22" s="554"/>
      <c r="G22" s="298">
        <f>+((34900+49900+29900)/3)</f>
        <v>38233.333333333336</v>
      </c>
      <c r="H22" s="297">
        <f t="shared" si="2"/>
        <v>7646666.666666667</v>
      </c>
      <c r="I22" s="275">
        <v>0</v>
      </c>
      <c r="J22" s="275">
        <f t="shared" si="3"/>
        <v>7646666.666666667</v>
      </c>
    </row>
    <row r="23" spans="1:10" ht="264">
      <c r="A23" s="557"/>
      <c r="B23" s="547"/>
      <c r="C23" s="295" t="s">
        <v>516</v>
      </c>
      <c r="D23" s="271">
        <v>140</v>
      </c>
      <c r="E23" s="553" t="s">
        <v>26</v>
      </c>
      <c r="F23" s="554"/>
      <c r="G23" s="298">
        <v>102000</v>
      </c>
      <c r="H23" s="297">
        <f t="shared" si="2"/>
        <v>14280000</v>
      </c>
      <c r="I23" s="275">
        <v>0</v>
      </c>
      <c r="J23" s="275">
        <f t="shared" si="3"/>
        <v>14280000</v>
      </c>
    </row>
    <row r="24" spans="1:10" ht="66">
      <c r="A24" s="557"/>
      <c r="B24" s="547"/>
      <c r="C24" s="295" t="s">
        <v>517</v>
      </c>
      <c r="D24" s="271">
        <v>140</v>
      </c>
      <c r="E24" s="553" t="s">
        <v>26</v>
      </c>
      <c r="F24" s="554"/>
      <c r="G24" s="298">
        <v>15000</v>
      </c>
      <c r="H24" s="297">
        <f t="shared" si="2"/>
        <v>2100000</v>
      </c>
      <c r="I24" s="275">
        <v>0</v>
      </c>
      <c r="J24" s="275">
        <f t="shared" si="3"/>
        <v>2100000</v>
      </c>
    </row>
    <row r="25" spans="1:10" ht="132">
      <c r="A25" s="557"/>
      <c r="B25" s="547"/>
      <c r="C25" s="295" t="s">
        <v>518</v>
      </c>
      <c r="D25" s="271">
        <v>2000</v>
      </c>
      <c r="E25" s="553" t="s">
        <v>26</v>
      </c>
      <c r="F25" s="554"/>
      <c r="G25" s="298">
        <v>2000</v>
      </c>
      <c r="H25" s="297">
        <f t="shared" si="2"/>
        <v>4000000</v>
      </c>
      <c r="I25" s="275">
        <v>0</v>
      </c>
      <c r="J25" s="275">
        <f t="shared" si="3"/>
        <v>4000000</v>
      </c>
    </row>
    <row r="26" spans="1:10" ht="82.5">
      <c r="A26" s="557"/>
      <c r="B26" s="547"/>
      <c r="C26" s="295" t="s">
        <v>519</v>
      </c>
      <c r="D26" s="271">
        <v>6</v>
      </c>
      <c r="E26" s="553" t="s">
        <v>26</v>
      </c>
      <c r="F26" s="554"/>
      <c r="G26" s="298">
        <v>59900</v>
      </c>
      <c r="H26" s="297">
        <f t="shared" si="2"/>
        <v>359400</v>
      </c>
      <c r="I26" s="275">
        <v>0</v>
      </c>
      <c r="J26" s="275">
        <f t="shared" si="3"/>
        <v>359400</v>
      </c>
    </row>
    <row r="27" spans="1:10" ht="49.5">
      <c r="A27" s="557"/>
      <c r="B27" s="547"/>
      <c r="C27" s="295" t="s">
        <v>520</v>
      </c>
      <c r="D27" s="271">
        <v>10</v>
      </c>
      <c r="E27" s="553" t="s">
        <v>26</v>
      </c>
      <c r="F27" s="554"/>
      <c r="G27" s="298">
        <v>24900</v>
      </c>
      <c r="H27" s="297">
        <f t="shared" si="2"/>
        <v>249000</v>
      </c>
      <c r="I27" s="275">
        <v>0</v>
      </c>
      <c r="J27" s="275">
        <f t="shared" si="3"/>
        <v>249000</v>
      </c>
    </row>
    <row r="28" spans="1:10" ht="66">
      <c r="A28" s="557"/>
      <c r="B28" s="547"/>
      <c r="C28" s="295" t="s">
        <v>521</v>
      </c>
      <c r="D28" s="271">
        <v>50</v>
      </c>
      <c r="E28" s="553" t="s">
        <v>26</v>
      </c>
      <c r="F28" s="554"/>
      <c r="G28" s="298">
        <v>5000</v>
      </c>
      <c r="H28" s="297">
        <f t="shared" si="2"/>
        <v>250000</v>
      </c>
      <c r="I28" s="275">
        <v>0</v>
      </c>
      <c r="J28" s="275">
        <f t="shared" si="3"/>
        <v>250000</v>
      </c>
    </row>
    <row r="29" spans="1:10" ht="49.5">
      <c r="A29" s="557"/>
      <c r="B29" s="547"/>
      <c r="C29" s="295" t="s">
        <v>522</v>
      </c>
      <c r="D29" s="271">
        <v>3</v>
      </c>
      <c r="E29" s="553" t="s">
        <v>26</v>
      </c>
      <c r="F29" s="554"/>
      <c r="G29" s="298">
        <v>37000</v>
      </c>
      <c r="H29" s="297">
        <f t="shared" si="2"/>
        <v>111000</v>
      </c>
      <c r="I29" s="275">
        <v>0</v>
      </c>
      <c r="J29" s="275">
        <f t="shared" si="3"/>
        <v>111000</v>
      </c>
    </row>
    <row r="30" spans="1:10" ht="99">
      <c r="A30" s="557"/>
      <c r="B30" s="547"/>
      <c r="C30" s="295" t="s">
        <v>523</v>
      </c>
      <c r="D30" s="271">
        <v>7</v>
      </c>
      <c r="E30" s="553" t="s">
        <v>26</v>
      </c>
      <c r="F30" s="554"/>
      <c r="G30" s="298">
        <v>165000</v>
      </c>
      <c r="H30" s="297">
        <f t="shared" si="2"/>
        <v>1155000</v>
      </c>
      <c r="I30" s="275">
        <v>0</v>
      </c>
      <c r="J30" s="275">
        <f t="shared" si="3"/>
        <v>1155000</v>
      </c>
    </row>
    <row r="31" spans="1:10" ht="66">
      <c r="A31" s="557"/>
      <c r="B31" s="547"/>
      <c r="C31" s="295" t="s">
        <v>524</v>
      </c>
      <c r="D31" s="271">
        <v>7</v>
      </c>
      <c r="E31" s="553" t="s">
        <v>26</v>
      </c>
      <c r="F31" s="554"/>
      <c r="G31" s="298">
        <v>85000</v>
      </c>
      <c r="H31" s="297">
        <f t="shared" si="2"/>
        <v>595000</v>
      </c>
      <c r="I31" s="275">
        <v>0</v>
      </c>
      <c r="J31" s="275">
        <f t="shared" si="3"/>
        <v>595000</v>
      </c>
    </row>
    <row r="32" spans="1:10" ht="82.5">
      <c r="A32" s="557"/>
      <c r="B32" s="547"/>
      <c r="C32" s="295" t="s">
        <v>525</v>
      </c>
      <c r="D32" s="271">
        <v>7</v>
      </c>
      <c r="E32" s="553" t="s">
        <v>26</v>
      </c>
      <c r="F32" s="554"/>
      <c r="G32" s="298">
        <v>620000</v>
      </c>
      <c r="H32" s="297">
        <f t="shared" si="2"/>
        <v>4340000</v>
      </c>
      <c r="I32" s="275">
        <v>0</v>
      </c>
      <c r="J32" s="275">
        <f t="shared" si="3"/>
        <v>4340000</v>
      </c>
    </row>
    <row r="33" spans="1:10" ht="33">
      <c r="A33" s="557"/>
      <c r="B33" s="547"/>
      <c r="C33" s="295" t="s">
        <v>526</v>
      </c>
      <c r="D33" s="271">
        <v>7</v>
      </c>
      <c r="E33" s="553" t="s">
        <v>26</v>
      </c>
      <c r="F33" s="554"/>
      <c r="G33" s="298">
        <v>30000</v>
      </c>
      <c r="H33" s="297">
        <f t="shared" si="2"/>
        <v>210000</v>
      </c>
      <c r="I33" s="275">
        <v>0</v>
      </c>
      <c r="J33" s="275">
        <f t="shared" si="3"/>
        <v>210000</v>
      </c>
    </row>
    <row r="34" spans="1:10" ht="82.5">
      <c r="A34" s="557"/>
      <c r="B34" s="547"/>
      <c r="C34" s="295" t="s">
        <v>527</v>
      </c>
      <c r="D34" s="271">
        <v>7</v>
      </c>
      <c r="E34" s="553" t="s">
        <v>26</v>
      </c>
      <c r="F34" s="554"/>
      <c r="G34" s="298">
        <v>18000</v>
      </c>
      <c r="H34" s="297">
        <f t="shared" si="2"/>
        <v>126000</v>
      </c>
      <c r="I34" s="275">
        <v>0</v>
      </c>
      <c r="J34" s="275">
        <f t="shared" si="3"/>
        <v>126000</v>
      </c>
    </row>
    <row r="35" spans="1:10" ht="49.5">
      <c r="A35" s="557"/>
      <c r="B35" s="547"/>
      <c r="C35" s="295" t="s">
        <v>528</v>
      </c>
      <c r="D35" s="271">
        <v>7</v>
      </c>
      <c r="E35" s="553" t="s">
        <v>26</v>
      </c>
      <c r="F35" s="554"/>
      <c r="G35" s="298">
        <v>55000</v>
      </c>
      <c r="H35" s="297">
        <f t="shared" si="2"/>
        <v>385000</v>
      </c>
      <c r="I35" s="275">
        <v>0</v>
      </c>
      <c r="J35" s="275">
        <f t="shared" si="3"/>
        <v>385000</v>
      </c>
    </row>
    <row r="36" spans="1:10" ht="33">
      <c r="A36" s="557"/>
      <c r="B36" s="547"/>
      <c r="C36" s="295" t="s">
        <v>529</v>
      </c>
      <c r="D36" s="271">
        <v>7</v>
      </c>
      <c r="E36" s="553" t="s">
        <v>26</v>
      </c>
      <c r="F36" s="554"/>
      <c r="G36" s="298">
        <v>500000</v>
      </c>
      <c r="H36" s="297">
        <f t="shared" si="2"/>
        <v>3500000</v>
      </c>
      <c r="I36" s="275">
        <v>0</v>
      </c>
      <c r="J36" s="275">
        <f t="shared" si="3"/>
        <v>3500000</v>
      </c>
    </row>
    <row r="37" spans="1:10" ht="33">
      <c r="A37" s="557"/>
      <c r="B37" s="547"/>
      <c r="C37" s="295" t="s">
        <v>530</v>
      </c>
      <c r="D37" s="271">
        <v>7</v>
      </c>
      <c r="E37" s="553" t="s">
        <v>26</v>
      </c>
      <c r="F37" s="554"/>
      <c r="G37" s="298">
        <v>400000</v>
      </c>
      <c r="H37" s="297">
        <f t="shared" si="2"/>
        <v>2800000</v>
      </c>
      <c r="I37" s="275">
        <v>0</v>
      </c>
      <c r="J37" s="275">
        <f t="shared" si="3"/>
        <v>2800000</v>
      </c>
    </row>
    <row r="38" spans="1:10" ht="49.5">
      <c r="A38" s="557"/>
      <c r="B38" s="547"/>
      <c r="C38" s="295" t="s">
        <v>531</v>
      </c>
      <c r="D38" s="271">
        <v>48</v>
      </c>
      <c r="E38" s="553" t="s">
        <v>26</v>
      </c>
      <c r="F38" s="554"/>
      <c r="G38" s="298">
        <v>15000</v>
      </c>
      <c r="H38" s="297">
        <f t="shared" si="2"/>
        <v>720000</v>
      </c>
      <c r="I38" s="275">
        <v>0</v>
      </c>
      <c r="J38" s="275">
        <f t="shared" si="3"/>
        <v>720000</v>
      </c>
    </row>
    <row r="39" spans="1:10" ht="99">
      <c r="A39" s="557"/>
      <c r="B39" s="547"/>
      <c r="C39" s="295" t="s">
        <v>532</v>
      </c>
      <c r="D39" s="271">
        <v>24</v>
      </c>
      <c r="E39" s="553" t="s">
        <v>26</v>
      </c>
      <c r="F39" s="554"/>
      <c r="G39" s="298">
        <v>50000</v>
      </c>
      <c r="H39" s="297">
        <f t="shared" si="2"/>
        <v>1200000</v>
      </c>
      <c r="I39" s="275">
        <v>0</v>
      </c>
      <c r="J39" s="275">
        <f t="shared" si="3"/>
        <v>1200000</v>
      </c>
    </row>
    <row r="40" spans="1:10" ht="49.5">
      <c r="A40" s="557"/>
      <c r="B40" s="547"/>
      <c r="C40" s="295" t="s">
        <v>533</v>
      </c>
      <c r="D40" s="271">
        <v>48</v>
      </c>
      <c r="E40" s="553" t="s">
        <v>26</v>
      </c>
      <c r="F40" s="554"/>
      <c r="G40" s="298">
        <v>10500</v>
      </c>
      <c r="H40" s="297">
        <f t="shared" si="2"/>
        <v>504000</v>
      </c>
      <c r="I40" s="275">
        <v>0</v>
      </c>
      <c r="J40" s="275">
        <f t="shared" si="3"/>
        <v>504000</v>
      </c>
    </row>
    <row r="41" spans="1:10" ht="379.5">
      <c r="A41" s="557"/>
      <c r="B41" s="547"/>
      <c r="C41" s="295" t="s">
        <v>534</v>
      </c>
      <c r="D41" s="271">
        <v>40</v>
      </c>
      <c r="E41" s="553" t="s">
        <v>26</v>
      </c>
      <c r="F41" s="554"/>
      <c r="G41" s="298">
        <v>120000</v>
      </c>
      <c r="H41" s="297">
        <f t="shared" si="2"/>
        <v>4800000</v>
      </c>
      <c r="I41" s="275">
        <v>0</v>
      </c>
      <c r="J41" s="275">
        <f t="shared" si="3"/>
        <v>4800000</v>
      </c>
    </row>
    <row r="42" spans="1:10" ht="33">
      <c r="A42" s="557"/>
      <c r="B42" s="547"/>
      <c r="C42" s="295" t="s">
        <v>535</v>
      </c>
      <c r="D42" s="271">
        <v>45</v>
      </c>
      <c r="E42" s="553" t="s">
        <v>26</v>
      </c>
      <c r="F42" s="554"/>
      <c r="G42" s="298">
        <v>2000</v>
      </c>
      <c r="H42" s="297">
        <f t="shared" si="2"/>
        <v>90000</v>
      </c>
      <c r="I42" s="275">
        <v>0</v>
      </c>
      <c r="J42" s="275">
        <f t="shared" si="3"/>
        <v>90000</v>
      </c>
    </row>
    <row r="43" spans="1:10" ht="49.5">
      <c r="A43" s="557"/>
      <c r="B43" s="547"/>
      <c r="C43" s="295" t="s">
        <v>536</v>
      </c>
      <c r="D43" s="271">
        <v>15</v>
      </c>
      <c r="E43" s="553" t="s">
        <v>26</v>
      </c>
      <c r="F43" s="554"/>
      <c r="G43" s="298">
        <v>40000</v>
      </c>
      <c r="H43" s="297">
        <f t="shared" si="2"/>
        <v>600000</v>
      </c>
      <c r="I43" s="275">
        <v>0</v>
      </c>
      <c r="J43" s="275">
        <f t="shared" si="3"/>
        <v>600000</v>
      </c>
    </row>
    <row r="44" spans="1:10" ht="33">
      <c r="A44" s="557"/>
      <c r="B44" s="547"/>
      <c r="C44" s="295" t="s">
        <v>537</v>
      </c>
      <c r="D44" s="271">
        <v>15</v>
      </c>
      <c r="E44" s="553" t="s">
        <v>26</v>
      </c>
      <c r="F44" s="554"/>
      <c r="G44" s="298">
        <v>11900</v>
      </c>
      <c r="H44" s="297">
        <f t="shared" si="2"/>
        <v>178500</v>
      </c>
      <c r="I44" s="275">
        <v>0</v>
      </c>
      <c r="J44" s="275">
        <f t="shared" si="3"/>
        <v>178500</v>
      </c>
    </row>
    <row r="45" spans="1:10" ht="49.5">
      <c r="A45" s="557"/>
      <c r="B45" s="547"/>
      <c r="C45" s="295" t="s">
        <v>538</v>
      </c>
      <c r="D45" s="271">
        <v>10</v>
      </c>
      <c r="E45" s="553" t="s">
        <v>26</v>
      </c>
      <c r="F45" s="554"/>
      <c r="G45" s="298">
        <v>250000</v>
      </c>
      <c r="H45" s="297">
        <f t="shared" si="2"/>
        <v>2500000</v>
      </c>
      <c r="I45" s="275">
        <v>0</v>
      </c>
      <c r="J45" s="275">
        <f t="shared" si="3"/>
        <v>2500000</v>
      </c>
    </row>
    <row r="46" spans="1:10" ht="49.5">
      <c r="A46" s="557"/>
      <c r="B46" s="547"/>
      <c r="C46" s="295" t="s">
        <v>539</v>
      </c>
      <c r="D46" s="271">
        <v>50</v>
      </c>
      <c r="E46" s="553" t="s">
        <v>26</v>
      </c>
      <c r="F46" s="554"/>
      <c r="G46" s="298">
        <v>4900</v>
      </c>
      <c r="H46" s="297">
        <f t="shared" si="2"/>
        <v>245000</v>
      </c>
      <c r="I46" s="275">
        <v>0</v>
      </c>
      <c r="J46" s="275">
        <f t="shared" si="3"/>
        <v>245000</v>
      </c>
    </row>
    <row r="47" spans="1:10" ht="33">
      <c r="A47" s="557"/>
      <c r="B47" s="547"/>
      <c r="C47" s="295" t="s">
        <v>540</v>
      </c>
      <c r="D47" s="271">
        <v>5</v>
      </c>
      <c r="E47" s="553" t="s">
        <v>26</v>
      </c>
      <c r="F47" s="554"/>
      <c r="G47" s="298">
        <v>40525</v>
      </c>
      <c r="H47" s="297">
        <f t="shared" si="2"/>
        <v>202625</v>
      </c>
      <c r="I47" s="275">
        <v>0</v>
      </c>
      <c r="J47" s="275">
        <f t="shared" si="3"/>
        <v>202625</v>
      </c>
    </row>
    <row r="48" spans="1:10" ht="33">
      <c r="A48" s="557"/>
      <c r="B48" s="547"/>
      <c r="C48" s="295" t="s">
        <v>541</v>
      </c>
      <c r="D48" s="271">
        <v>60</v>
      </c>
      <c r="E48" s="553" t="s">
        <v>26</v>
      </c>
      <c r="F48" s="554"/>
      <c r="G48" s="298">
        <v>7800</v>
      </c>
      <c r="H48" s="297">
        <f t="shared" si="2"/>
        <v>468000</v>
      </c>
      <c r="I48" s="275">
        <v>0</v>
      </c>
      <c r="J48" s="275">
        <f t="shared" si="3"/>
        <v>468000</v>
      </c>
    </row>
    <row r="49" spans="1:10" ht="115.5">
      <c r="A49" s="557"/>
      <c r="B49" s="547"/>
      <c r="C49" s="295" t="s">
        <v>542</v>
      </c>
      <c r="D49" s="271">
        <v>10</v>
      </c>
      <c r="E49" s="553" t="s">
        <v>26</v>
      </c>
      <c r="F49" s="554"/>
      <c r="G49" s="298">
        <f>(3959000+2879900+2889900)/3</f>
        <v>3242933.3333333335</v>
      </c>
      <c r="H49" s="297">
        <f t="shared" si="2"/>
        <v>32429333.333333336</v>
      </c>
      <c r="I49" s="275">
        <v>0</v>
      </c>
      <c r="J49" s="275">
        <f t="shared" si="3"/>
        <v>32429333.333333336</v>
      </c>
    </row>
    <row r="50" spans="1:10" ht="115.5">
      <c r="A50" s="557"/>
      <c r="B50" s="547"/>
      <c r="C50" s="295" t="s">
        <v>543</v>
      </c>
      <c r="D50" s="271">
        <v>10</v>
      </c>
      <c r="E50" s="553" t="s">
        <v>26</v>
      </c>
      <c r="F50" s="554"/>
      <c r="G50" s="298">
        <f>(3699900+2748959)/2</f>
        <v>3224429.5</v>
      </c>
      <c r="H50" s="297">
        <f t="shared" si="2"/>
        <v>32244295</v>
      </c>
      <c r="I50" s="275">
        <v>0</v>
      </c>
      <c r="J50" s="275">
        <f t="shared" si="3"/>
        <v>32244295</v>
      </c>
    </row>
    <row r="51" spans="1:10" ht="132">
      <c r="A51" s="557"/>
      <c r="B51" s="547"/>
      <c r="C51" s="295" t="s">
        <v>544</v>
      </c>
      <c r="D51" s="271">
        <v>10</v>
      </c>
      <c r="E51" s="553" t="s">
        <v>26</v>
      </c>
      <c r="F51" s="554"/>
      <c r="G51" s="298">
        <f>(577000+360000+392900)/3</f>
        <v>443300</v>
      </c>
      <c r="H51" s="297">
        <f t="shared" si="2"/>
        <v>4433000</v>
      </c>
      <c r="I51" s="275">
        <v>0</v>
      </c>
      <c r="J51" s="275">
        <f t="shared" si="3"/>
        <v>4433000</v>
      </c>
    </row>
    <row r="52" spans="1:10" ht="49.5">
      <c r="A52" s="550"/>
      <c r="B52" s="548"/>
      <c r="C52" s="295" t="s">
        <v>545</v>
      </c>
      <c r="D52" s="271">
        <v>9</v>
      </c>
      <c r="E52" s="553" t="s">
        <v>26</v>
      </c>
      <c r="F52" s="554"/>
      <c r="G52" s="298">
        <v>0</v>
      </c>
      <c r="H52" s="297">
        <f t="shared" si="2"/>
        <v>0</v>
      </c>
      <c r="I52" s="275" t="e">
        <v>#REF!</v>
      </c>
      <c r="J52" s="275" t="e">
        <f>I52+H52</f>
        <v>#REF!</v>
      </c>
    </row>
    <row r="53" spans="1:10" ht="165">
      <c r="A53" s="269">
        <v>2.2000000000000002</v>
      </c>
      <c r="B53" s="276" t="s">
        <v>546</v>
      </c>
      <c r="C53" s="299" t="s">
        <v>547</v>
      </c>
      <c r="D53" s="271">
        <v>270</v>
      </c>
      <c r="E53" s="553" t="s">
        <v>26</v>
      </c>
      <c r="F53" s="554"/>
      <c r="G53" s="254">
        <v>90000</v>
      </c>
      <c r="H53" s="300">
        <f>D53*G53</f>
        <v>24300000</v>
      </c>
      <c r="I53" s="275">
        <v>0</v>
      </c>
      <c r="J53" s="275">
        <f t="shared" si="3"/>
        <v>24300000</v>
      </c>
    </row>
    <row r="54" spans="1:10" ht="165">
      <c r="A54" s="269">
        <v>2.2999999999999998</v>
      </c>
      <c r="B54" s="276" t="s">
        <v>546</v>
      </c>
      <c r="C54" s="299" t="s">
        <v>548</v>
      </c>
      <c r="D54" s="271">
        <v>34</v>
      </c>
      <c r="E54" s="553" t="s">
        <v>26</v>
      </c>
      <c r="F54" s="554"/>
      <c r="G54" s="301">
        <v>7000000</v>
      </c>
      <c r="H54" s="297">
        <f t="shared" ref="H54:H62" si="4">G54*D54</f>
        <v>238000000</v>
      </c>
      <c r="I54" s="275">
        <v>0</v>
      </c>
      <c r="J54" s="275">
        <f t="shared" si="3"/>
        <v>238000000</v>
      </c>
    </row>
    <row r="55" spans="1:10" ht="409.5">
      <c r="A55" s="269">
        <v>2.4</v>
      </c>
      <c r="B55" s="276" t="s">
        <v>546</v>
      </c>
      <c r="C55" s="299" t="s">
        <v>549</v>
      </c>
      <c r="D55" s="271">
        <v>8</v>
      </c>
      <c r="E55" s="553" t="s">
        <v>26</v>
      </c>
      <c r="F55" s="561"/>
      <c r="G55" s="302">
        <v>9303125</v>
      </c>
      <c r="H55" s="297">
        <f t="shared" si="4"/>
        <v>74425000</v>
      </c>
      <c r="I55" s="275">
        <v>0</v>
      </c>
      <c r="J55" s="275">
        <f t="shared" si="3"/>
        <v>74425000</v>
      </c>
    </row>
    <row r="56" spans="1:10" ht="247.5">
      <c r="A56" s="269">
        <v>2.5</v>
      </c>
      <c r="B56" s="558" t="s">
        <v>550</v>
      </c>
      <c r="C56" s="299" t="s">
        <v>551</v>
      </c>
      <c r="D56" s="271">
        <v>12</v>
      </c>
      <c r="E56" s="303" t="s">
        <v>26</v>
      </c>
      <c r="F56" s="304"/>
      <c r="G56" s="302">
        <v>3240000</v>
      </c>
      <c r="H56" s="297">
        <f t="shared" si="4"/>
        <v>38880000</v>
      </c>
      <c r="I56" s="275">
        <v>0</v>
      </c>
      <c r="J56" s="275">
        <f t="shared" si="3"/>
        <v>38880000</v>
      </c>
    </row>
    <row r="57" spans="1:10" ht="165">
      <c r="A57" s="269">
        <v>2.6</v>
      </c>
      <c r="B57" s="558"/>
      <c r="C57" s="299" t="s">
        <v>552</v>
      </c>
      <c r="D57" s="271">
        <v>320</v>
      </c>
      <c r="E57" s="553" t="s">
        <v>26</v>
      </c>
      <c r="F57" s="554"/>
      <c r="G57" s="302">
        <v>1375000</v>
      </c>
      <c r="H57" s="297">
        <f t="shared" si="4"/>
        <v>440000000</v>
      </c>
      <c r="I57" s="275" t="e">
        <v>#REF!</v>
      </c>
      <c r="J57" s="275" t="e">
        <f>I57+H57</f>
        <v>#REF!</v>
      </c>
    </row>
    <row r="58" spans="1:10" ht="115.5">
      <c r="A58" s="269">
        <v>2.7</v>
      </c>
      <c r="B58" s="559"/>
      <c r="C58" s="299" t="s">
        <v>553</v>
      </c>
      <c r="D58" s="271">
        <v>8</v>
      </c>
      <c r="E58" s="553" t="s">
        <v>26</v>
      </c>
      <c r="F58" s="561"/>
      <c r="G58" s="302">
        <v>7100000</v>
      </c>
      <c r="H58" s="297">
        <f t="shared" si="4"/>
        <v>56800000</v>
      </c>
      <c r="I58" s="275">
        <v>0</v>
      </c>
      <c r="J58" s="275">
        <f t="shared" si="3"/>
        <v>56800000</v>
      </c>
    </row>
    <row r="59" spans="1:10" ht="132">
      <c r="A59" s="269">
        <v>2.8</v>
      </c>
      <c r="B59" s="559"/>
      <c r="C59" s="299" t="s">
        <v>554</v>
      </c>
      <c r="D59" s="271">
        <v>1</v>
      </c>
      <c r="E59" s="553" t="s">
        <v>26</v>
      </c>
      <c r="F59" s="561"/>
      <c r="G59" s="302">
        <v>1050000</v>
      </c>
      <c r="H59" s="297">
        <f t="shared" si="4"/>
        <v>1050000</v>
      </c>
      <c r="I59" s="275">
        <v>0</v>
      </c>
      <c r="J59" s="275">
        <f t="shared" si="3"/>
        <v>1050000</v>
      </c>
    </row>
    <row r="60" spans="1:10" ht="396">
      <c r="A60" s="269">
        <v>2.9</v>
      </c>
      <c r="B60" s="559"/>
      <c r="C60" s="299" t="s">
        <v>555</v>
      </c>
      <c r="D60" s="271">
        <v>5</v>
      </c>
      <c r="E60" s="303" t="s">
        <v>26</v>
      </c>
      <c r="F60" s="304"/>
      <c r="G60" s="302">
        <v>9200000</v>
      </c>
      <c r="H60" s="297">
        <f t="shared" si="4"/>
        <v>46000000</v>
      </c>
      <c r="I60" s="275">
        <v>0</v>
      </c>
      <c r="J60" s="275">
        <f t="shared" si="3"/>
        <v>46000000</v>
      </c>
    </row>
    <row r="61" spans="1:10" ht="247.5">
      <c r="A61" s="305" t="s">
        <v>556</v>
      </c>
      <c r="B61" s="560"/>
      <c r="C61" s="299" t="s">
        <v>557</v>
      </c>
      <c r="D61" s="271">
        <v>60</v>
      </c>
      <c r="E61" s="303" t="s">
        <v>26</v>
      </c>
      <c r="F61" s="304"/>
      <c r="G61" s="302">
        <v>1375000</v>
      </c>
      <c r="H61" s="297">
        <f t="shared" si="4"/>
        <v>82500000</v>
      </c>
      <c r="I61" s="275">
        <v>0</v>
      </c>
      <c r="J61" s="275">
        <f t="shared" si="3"/>
        <v>82500000</v>
      </c>
    </row>
    <row r="62" spans="1:10" ht="165">
      <c r="A62" s="269">
        <v>2.11</v>
      </c>
      <c r="B62" s="270" t="s">
        <v>558</v>
      </c>
      <c r="C62" s="306" t="s">
        <v>559</v>
      </c>
      <c r="D62" s="271">
        <v>1</v>
      </c>
      <c r="E62" s="553" t="s">
        <v>26</v>
      </c>
      <c r="F62" s="554"/>
      <c r="G62" s="302">
        <v>178000000</v>
      </c>
      <c r="H62" s="297">
        <f t="shared" si="4"/>
        <v>178000000</v>
      </c>
      <c r="I62" s="275">
        <v>0</v>
      </c>
      <c r="J62" s="275">
        <f>I62+H62</f>
        <v>178000000</v>
      </c>
    </row>
    <row r="63" spans="1:10" ht="16.5">
      <c r="A63" s="307">
        <v>3</v>
      </c>
      <c r="B63" s="308" t="s">
        <v>510</v>
      </c>
      <c r="C63" s="308"/>
      <c r="D63" s="309" t="s">
        <v>511</v>
      </c>
      <c r="E63" s="281"/>
      <c r="F63" s="281"/>
      <c r="G63" s="310" t="s">
        <v>560</v>
      </c>
      <c r="H63" s="311">
        <f>SUM(H20:H62)</f>
        <v>1317059220</v>
      </c>
      <c r="I63" s="287" t="e">
        <f>SUM(I20:I62)</f>
        <v>#REF!</v>
      </c>
      <c r="J63" s="287" t="e">
        <f>SUM(J20:J62)</f>
        <v>#REF!</v>
      </c>
    </row>
    <row r="64" spans="1:10" ht="409.5">
      <c r="A64" s="269">
        <v>3.1</v>
      </c>
      <c r="B64" s="295" t="s">
        <v>561</v>
      </c>
      <c r="C64" s="306" t="s">
        <v>562</v>
      </c>
      <c r="D64" s="271">
        <v>45</v>
      </c>
      <c r="E64" s="553" t="s">
        <v>26</v>
      </c>
      <c r="F64" s="554"/>
      <c r="G64" s="254">
        <f>50000+30000+35000+134385</f>
        <v>249385</v>
      </c>
      <c r="H64" s="297">
        <f>G64*D64</f>
        <v>11222325</v>
      </c>
      <c r="I64" s="275">
        <v>0</v>
      </c>
      <c r="J64" s="275">
        <f t="shared" si="3"/>
        <v>11222325</v>
      </c>
    </row>
    <row r="65" spans="1:10" ht="313.5">
      <c r="A65" s="269">
        <v>3.2</v>
      </c>
      <c r="B65" s="295" t="s">
        <v>563</v>
      </c>
      <c r="C65" s="306" t="s">
        <v>564</v>
      </c>
      <c r="D65" s="271">
        <v>8</v>
      </c>
      <c r="E65" s="553" t="s">
        <v>26</v>
      </c>
      <c r="F65" s="554"/>
      <c r="G65" s="254">
        <f>200000</f>
        <v>200000</v>
      </c>
      <c r="H65" s="297">
        <f>G65*D65</f>
        <v>1600000</v>
      </c>
      <c r="I65" s="275">
        <v>0</v>
      </c>
      <c r="J65" s="275">
        <f t="shared" si="3"/>
        <v>1600000</v>
      </c>
    </row>
    <row r="66" spans="1:10" ht="82.5">
      <c r="A66" s="269">
        <v>3.3</v>
      </c>
      <c r="B66" s="295" t="s">
        <v>565</v>
      </c>
      <c r="C66" s="295" t="s">
        <v>566</v>
      </c>
      <c r="D66" s="271" t="s">
        <v>567</v>
      </c>
      <c r="E66" s="553" t="s">
        <v>26</v>
      </c>
      <c r="F66" s="554"/>
      <c r="G66" s="254">
        <f>29441000</f>
        <v>29441000</v>
      </c>
      <c r="H66" s="312">
        <f>+G66</f>
        <v>29441000</v>
      </c>
      <c r="I66" s="275">
        <v>0</v>
      </c>
      <c r="J66" s="275">
        <f t="shared" si="3"/>
        <v>29441000</v>
      </c>
    </row>
    <row r="67" spans="1:10" ht="231">
      <c r="A67" s="269">
        <v>3.4</v>
      </c>
      <c r="B67" s="295" t="s">
        <v>568</v>
      </c>
      <c r="C67" s="306" t="s">
        <v>569</v>
      </c>
      <c r="D67" s="271" t="s">
        <v>567</v>
      </c>
      <c r="E67" s="553" t="s">
        <v>26</v>
      </c>
      <c r="F67" s="554"/>
      <c r="G67" s="254">
        <v>25132000</v>
      </c>
      <c r="H67" s="312">
        <f>+G67</f>
        <v>25132000</v>
      </c>
      <c r="I67" s="275">
        <v>0</v>
      </c>
      <c r="J67" s="275">
        <f t="shared" si="3"/>
        <v>25132000</v>
      </c>
    </row>
    <row r="68" spans="1:10" ht="115.5">
      <c r="A68" s="269">
        <v>3.5</v>
      </c>
      <c r="B68" s="295" t="s">
        <v>570</v>
      </c>
      <c r="C68" s="306" t="s">
        <v>570</v>
      </c>
      <c r="D68" s="271" t="s">
        <v>567</v>
      </c>
      <c r="E68" s="553" t="s">
        <v>26</v>
      </c>
      <c r="F68" s="554"/>
      <c r="G68" s="254">
        <v>0</v>
      </c>
      <c r="H68" s="312">
        <f>+G68</f>
        <v>0</v>
      </c>
      <c r="I68" s="275" t="e">
        <v>#REF!</v>
      </c>
      <c r="J68" s="275" t="e">
        <f>I68+H68</f>
        <v>#REF!</v>
      </c>
    </row>
    <row r="69" spans="1:10" ht="16.5">
      <c r="A69" s="281" t="s">
        <v>23</v>
      </c>
      <c r="B69" s="281"/>
      <c r="C69" s="281"/>
      <c r="D69" s="313"/>
      <c r="E69" s="281"/>
      <c r="F69" s="281"/>
      <c r="G69" s="314"/>
      <c r="H69" s="285">
        <f>SUM(H64:H68)</f>
        <v>67395325</v>
      </c>
      <c r="I69" s="287" t="e">
        <f>SUM(I64:I68)</f>
        <v>#REF!</v>
      </c>
      <c r="J69" s="287" t="e">
        <f>SUM(J64:J68)</f>
        <v>#REF!</v>
      </c>
    </row>
    <row r="70" spans="1:10" ht="16.5">
      <c r="A70" s="315"/>
      <c r="B70" s="316" t="s">
        <v>400</v>
      </c>
      <c r="C70" s="316"/>
      <c r="D70" s="317"/>
      <c r="E70" s="318"/>
      <c r="F70" s="318"/>
      <c r="G70" s="319"/>
      <c r="H70" s="320">
        <f>H17+H63+H69</f>
        <v>2045454545</v>
      </c>
      <c r="I70" s="321" t="e">
        <f>I17+I63+I69</f>
        <v>#REF!</v>
      </c>
      <c r="J70" s="321" t="e">
        <f>J17+J63+J69</f>
        <v>#REF!</v>
      </c>
    </row>
    <row r="71" spans="1:10" ht="16.5">
      <c r="A71" s="315"/>
      <c r="B71" s="316" t="s">
        <v>40</v>
      </c>
      <c r="C71" s="316"/>
      <c r="D71" s="317"/>
      <c r="E71" s="318"/>
      <c r="F71" s="318"/>
      <c r="G71" s="319"/>
      <c r="H71" s="322"/>
      <c r="I71" s="323"/>
      <c r="J71" s="323"/>
    </row>
    <row r="72" spans="1:10" ht="16.5">
      <c r="A72" s="263">
        <v>3</v>
      </c>
      <c r="B72" s="324" t="s">
        <v>571</v>
      </c>
      <c r="C72" s="324"/>
      <c r="D72" s="325"/>
      <c r="E72" s="326"/>
      <c r="F72" s="326"/>
      <c r="G72" s="327"/>
      <c r="H72" s="328"/>
      <c r="I72" s="329"/>
      <c r="J72" s="329"/>
    </row>
    <row r="73" spans="1:10" ht="16.5">
      <c r="A73" s="269">
        <v>3.1</v>
      </c>
      <c r="B73" s="330" t="s">
        <v>395</v>
      </c>
      <c r="C73" s="330" t="s">
        <v>572</v>
      </c>
      <c r="D73" s="331"/>
      <c r="E73" s="270"/>
      <c r="F73" s="270"/>
      <c r="G73" s="332">
        <v>0.1</v>
      </c>
      <c r="H73" s="333">
        <f>H70*G73</f>
        <v>204545454.5</v>
      </c>
      <c r="I73" s="275">
        <v>0</v>
      </c>
      <c r="J73" s="275">
        <f>I73+H73</f>
        <v>204545454.5</v>
      </c>
    </row>
    <row r="74" spans="1:10" ht="16.5">
      <c r="A74" s="315"/>
      <c r="B74" s="316" t="s">
        <v>41</v>
      </c>
      <c r="C74" s="316"/>
      <c r="D74" s="317"/>
      <c r="E74" s="318"/>
      <c r="F74" s="318"/>
      <c r="G74" s="334"/>
      <c r="H74" s="335">
        <f>H70+H73</f>
        <v>2249999999.5</v>
      </c>
      <c r="I74" s="336" t="e">
        <f>I70+I73</f>
        <v>#REF!</v>
      </c>
      <c r="J74" s="336" t="e">
        <f>J70+J73</f>
        <v>#REF!</v>
      </c>
    </row>
  </sheetData>
  <mergeCells count="55">
    <mergeCell ref="E68:F68"/>
    <mergeCell ref="E51:F51"/>
    <mergeCell ref="E52:F52"/>
    <mergeCell ref="E53:F53"/>
    <mergeCell ref="E54:F54"/>
    <mergeCell ref="E55:F55"/>
    <mergeCell ref="E62:F62"/>
    <mergeCell ref="E64:F64"/>
    <mergeCell ref="E65:F65"/>
    <mergeCell ref="E66:F66"/>
    <mergeCell ref="E67:F67"/>
    <mergeCell ref="B56:B61"/>
    <mergeCell ref="E57:F57"/>
    <mergeCell ref="E58:F58"/>
    <mergeCell ref="E59:F59"/>
    <mergeCell ref="E45:F45"/>
    <mergeCell ref="E46:F46"/>
    <mergeCell ref="E47:F47"/>
    <mergeCell ref="E48:F48"/>
    <mergeCell ref="E49:F49"/>
    <mergeCell ref="E50:F50"/>
    <mergeCell ref="E44:F44"/>
    <mergeCell ref="E33:F33"/>
    <mergeCell ref="E34:F34"/>
    <mergeCell ref="E35:F35"/>
    <mergeCell ref="E36:F36"/>
    <mergeCell ref="E37:F37"/>
    <mergeCell ref="E38:F38"/>
    <mergeCell ref="E39:F39"/>
    <mergeCell ref="E40:F40"/>
    <mergeCell ref="E41:F41"/>
    <mergeCell ref="E42:F42"/>
    <mergeCell ref="E43:F43"/>
    <mergeCell ref="E32:F32"/>
    <mergeCell ref="E19:F19"/>
    <mergeCell ref="A20:A52"/>
    <mergeCell ref="B20:B52"/>
    <mergeCell ref="E20:F20"/>
    <mergeCell ref="E21:F21"/>
    <mergeCell ref="E22:F22"/>
    <mergeCell ref="E23:F23"/>
    <mergeCell ref="E24:F24"/>
    <mergeCell ref="E25:F25"/>
    <mergeCell ref="E26:F26"/>
    <mergeCell ref="E27:F27"/>
    <mergeCell ref="E28:F28"/>
    <mergeCell ref="E29:F29"/>
    <mergeCell ref="E30:F30"/>
    <mergeCell ref="E31:F31"/>
    <mergeCell ref="A18:B18"/>
    <mergeCell ref="C5:C16"/>
    <mergeCell ref="A10:A11"/>
    <mergeCell ref="A13:A14"/>
    <mergeCell ref="B13:B14"/>
    <mergeCell ref="A17:B17"/>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C5FBE-FFB2-1946-8923-472586BBCCC2}">
  <dimension ref="A1:H35"/>
  <sheetViews>
    <sheetView topLeftCell="A15" workbookViewId="0">
      <selection activeCell="C20" sqref="C20"/>
    </sheetView>
  </sheetViews>
  <sheetFormatPr baseColWidth="10" defaultColWidth="10.7109375" defaultRowHeight="15"/>
  <cols>
    <col min="7" max="8" width="49" customWidth="1"/>
  </cols>
  <sheetData>
    <row r="1" spans="1:8" ht="15.75">
      <c r="A1" s="562" t="s">
        <v>0</v>
      </c>
      <c r="B1" s="562"/>
      <c r="C1" s="562"/>
      <c r="D1" s="562"/>
      <c r="E1" s="562"/>
      <c r="F1" s="562"/>
      <c r="G1" s="562"/>
      <c r="H1" s="562"/>
    </row>
    <row r="2" spans="1:8">
      <c r="A2" s="563" t="s">
        <v>1</v>
      </c>
      <c r="B2" s="563"/>
      <c r="C2" s="564"/>
      <c r="D2" s="565"/>
      <c r="E2" s="565"/>
      <c r="F2" s="565"/>
      <c r="G2" s="565"/>
      <c r="H2" s="566"/>
    </row>
    <row r="3" spans="1:8">
      <c r="A3" s="563"/>
      <c r="B3" s="563"/>
      <c r="C3" s="567"/>
      <c r="D3" s="568"/>
      <c r="E3" s="568"/>
      <c r="F3" s="568"/>
      <c r="G3" s="568"/>
      <c r="H3" s="569"/>
    </row>
    <row r="4" spans="1:8" ht="15.75">
      <c r="A4" s="357"/>
      <c r="B4" s="358"/>
      <c r="C4" s="358"/>
      <c r="D4" s="358"/>
      <c r="E4" s="358"/>
      <c r="F4" s="358"/>
      <c r="G4" s="358"/>
      <c r="H4" s="358"/>
    </row>
    <row r="5" spans="1:8" ht="15.75">
      <c r="A5" s="359" t="s">
        <v>2</v>
      </c>
      <c r="B5" s="337" t="s">
        <v>3</v>
      </c>
      <c r="C5" s="337" t="s">
        <v>460</v>
      </c>
      <c r="D5" s="337" t="s">
        <v>4</v>
      </c>
      <c r="E5" s="337" t="s">
        <v>5</v>
      </c>
      <c r="F5" s="337" t="s">
        <v>6</v>
      </c>
      <c r="G5" s="337" t="s">
        <v>392</v>
      </c>
      <c r="H5" s="337" t="s">
        <v>9</v>
      </c>
    </row>
    <row r="6" spans="1:8" ht="15.75">
      <c r="A6" s="360">
        <v>1</v>
      </c>
      <c r="B6" s="338" t="s">
        <v>12</v>
      </c>
      <c r="C6" s="338"/>
      <c r="D6" s="338"/>
      <c r="E6" s="338"/>
      <c r="F6" s="338"/>
      <c r="G6" s="338"/>
      <c r="H6" s="338"/>
    </row>
    <row r="7" spans="1:8" ht="15.75">
      <c r="A7" s="339">
        <v>1.1000000000000001</v>
      </c>
      <c r="B7" s="361" t="e">
        <v>#REF!</v>
      </c>
      <c r="C7" s="570" t="s">
        <v>573</v>
      </c>
      <c r="D7" s="340" t="e">
        <v>#REF!</v>
      </c>
      <c r="E7" s="362" t="e">
        <v>#REF!</v>
      </c>
      <c r="F7" s="340" t="e">
        <v>#REF!</v>
      </c>
      <c r="G7" s="363" t="e">
        <v>#REF!</v>
      </c>
      <c r="H7" s="364" t="e">
        <f>D7*E7*F7*G7</f>
        <v>#REF!</v>
      </c>
    </row>
    <row r="8" spans="1:8" ht="15.75">
      <c r="A8" s="339">
        <v>1.2</v>
      </c>
      <c r="B8" s="361" t="e">
        <v>#REF!</v>
      </c>
      <c r="C8" s="571"/>
      <c r="D8" s="340" t="e">
        <v>#REF!</v>
      </c>
      <c r="E8" s="362" t="e">
        <v>#REF!</v>
      </c>
      <c r="F8" s="340" t="e">
        <v>#REF!</v>
      </c>
      <c r="G8" s="363" t="e">
        <v>#REF!</v>
      </c>
      <c r="H8" s="364" t="e">
        <f t="shared" ref="H8:H14" si="0">D8*E8*F8*G8</f>
        <v>#REF!</v>
      </c>
    </row>
    <row r="9" spans="1:8" ht="15.75">
      <c r="A9" s="339">
        <v>1.3</v>
      </c>
      <c r="B9" s="361" t="e">
        <v>#REF!</v>
      </c>
      <c r="C9" s="571"/>
      <c r="D9" s="340" t="e">
        <v>#REF!</v>
      </c>
      <c r="E9" s="362" t="e">
        <v>#REF!</v>
      </c>
      <c r="F9" s="340" t="e">
        <v>#REF!</v>
      </c>
      <c r="G9" s="363" t="e">
        <v>#REF!</v>
      </c>
      <c r="H9" s="364" t="e">
        <f t="shared" si="0"/>
        <v>#REF!</v>
      </c>
    </row>
    <row r="10" spans="1:8" ht="15.75">
      <c r="A10" s="339">
        <v>1.4</v>
      </c>
      <c r="B10" s="361" t="e">
        <v>#REF!</v>
      </c>
      <c r="C10" s="571"/>
      <c r="D10" s="340" t="e">
        <v>#REF!</v>
      </c>
      <c r="E10" s="362" t="e">
        <v>#REF!</v>
      </c>
      <c r="F10" s="340" t="e">
        <v>#REF!</v>
      </c>
      <c r="G10" s="363">
        <v>2500000</v>
      </c>
      <c r="H10" s="364" t="e">
        <f t="shared" si="0"/>
        <v>#REF!</v>
      </c>
    </row>
    <row r="11" spans="1:8" ht="15.75">
      <c r="A11" s="339">
        <v>1.5</v>
      </c>
      <c r="B11" s="361" t="e">
        <v>#REF!</v>
      </c>
      <c r="C11" s="571"/>
      <c r="D11" s="340" t="e">
        <v>#REF!</v>
      </c>
      <c r="E11" s="362" t="e">
        <v>#REF!</v>
      </c>
      <c r="F11" s="340" t="e">
        <v>#REF!</v>
      </c>
      <c r="G11" s="363" t="e">
        <v>#REF!</v>
      </c>
      <c r="H11" s="364" t="e">
        <f>D11*E11*F11*G11</f>
        <v>#REF!</v>
      </c>
    </row>
    <row r="12" spans="1:8" ht="15.75">
      <c r="A12" s="339">
        <v>1.6</v>
      </c>
      <c r="B12" s="365" t="s">
        <v>574</v>
      </c>
      <c r="C12" s="571"/>
      <c r="D12" s="340" t="e">
        <v>#REF!</v>
      </c>
      <c r="E12" s="362">
        <v>1</v>
      </c>
      <c r="F12" s="340">
        <v>2</v>
      </c>
      <c r="G12" s="363">
        <v>4000000</v>
      </c>
      <c r="H12" s="364" t="e">
        <f t="shared" si="0"/>
        <v>#REF!</v>
      </c>
    </row>
    <row r="13" spans="1:8" ht="15.75">
      <c r="A13" s="339">
        <v>1.7</v>
      </c>
      <c r="B13" s="366" t="s">
        <v>575</v>
      </c>
      <c r="C13" s="571"/>
      <c r="D13" s="340">
        <v>1</v>
      </c>
      <c r="E13" s="362">
        <v>1</v>
      </c>
      <c r="F13" s="340">
        <v>3</v>
      </c>
      <c r="G13" s="363">
        <v>2500000</v>
      </c>
      <c r="H13" s="364">
        <f>G13*F13*D13</f>
        <v>7500000</v>
      </c>
    </row>
    <row r="14" spans="1:8" ht="15.75">
      <c r="A14" s="341">
        <v>1.8</v>
      </c>
      <c r="B14" s="365" t="s">
        <v>576</v>
      </c>
      <c r="C14" s="572"/>
      <c r="D14" s="340" t="e">
        <v>#REF!</v>
      </c>
      <c r="E14" s="362">
        <v>1</v>
      </c>
      <c r="F14" s="340">
        <v>2</v>
      </c>
      <c r="G14" s="363">
        <v>2500000</v>
      </c>
      <c r="H14" s="364" t="e">
        <f t="shared" si="0"/>
        <v>#REF!</v>
      </c>
    </row>
    <row r="15" spans="1:8" ht="15.75">
      <c r="A15" s="573" t="s">
        <v>510</v>
      </c>
      <c r="B15" s="574"/>
      <c r="C15" s="342"/>
      <c r="D15" s="367"/>
      <c r="E15" s="367"/>
      <c r="F15" s="367"/>
      <c r="G15" s="367" t="e">
        <f>SUM(G7:G14)</f>
        <v>#REF!</v>
      </c>
      <c r="H15" s="367" t="e">
        <f>SUM(H7:H14)</f>
        <v>#REF!</v>
      </c>
    </row>
    <row r="16" spans="1:8" ht="15.75">
      <c r="A16" s="368">
        <v>2</v>
      </c>
      <c r="B16" s="369" t="s">
        <v>577</v>
      </c>
      <c r="C16" s="343" t="s">
        <v>460</v>
      </c>
      <c r="D16" s="369" t="s">
        <v>578</v>
      </c>
      <c r="E16" s="370"/>
      <c r="F16" s="370"/>
      <c r="G16" s="370"/>
      <c r="H16" s="370"/>
    </row>
    <row r="17" spans="1:8" ht="15.75">
      <c r="A17" s="339">
        <v>2.1</v>
      </c>
      <c r="B17" s="344" t="s">
        <v>579</v>
      </c>
      <c r="C17" s="345" t="s">
        <v>580</v>
      </c>
      <c r="D17" s="346">
        <v>55</v>
      </c>
      <c r="E17" s="346" t="s">
        <v>581</v>
      </c>
      <c r="F17" s="346" t="s">
        <v>581</v>
      </c>
      <c r="G17" s="347">
        <f>30000+60000</f>
        <v>90000</v>
      </c>
      <c r="H17" s="348">
        <f>+D17*G17</f>
        <v>4950000</v>
      </c>
    </row>
    <row r="18" spans="1:8" ht="15.75">
      <c r="A18" s="339"/>
      <c r="B18" s="344" t="s">
        <v>579</v>
      </c>
      <c r="C18" s="345" t="s">
        <v>582</v>
      </c>
      <c r="D18" s="346">
        <v>7</v>
      </c>
      <c r="E18" s="346" t="s">
        <v>581</v>
      </c>
      <c r="F18" s="346" t="s">
        <v>581</v>
      </c>
      <c r="G18" s="347">
        <v>120000</v>
      </c>
      <c r="H18" s="348">
        <f>+D18*G18</f>
        <v>840000</v>
      </c>
    </row>
    <row r="19" spans="1:8" ht="15.75">
      <c r="A19" s="339">
        <v>2.2000000000000002</v>
      </c>
      <c r="B19" s="344" t="s">
        <v>583</v>
      </c>
      <c r="C19" s="349" t="s">
        <v>584</v>
      </c>
      <c r="D19" s="346">
        <v>242</v>
      </c>
      <c r="E19" s="346" t="s">
        <v>581</v>
      </c>
      <c r="F19" s="346" t="s">
        <v>581</v>
      </c>
      <c r="G19" s="371">
        <v>790599.17355371895</v>
      </c>
      <c r="H19" s="372">
        <f t="shared" ref="H19:H24" si="1">+G19*D19</f>
        <v>191325000</v>
      </c>
    </row>
    <row r="20" spans="1:8" ht="15.75">
      <c r="A20" s="339">
        <v>2.2999999999999998</v>
      </c>
      <c r="B20" s="344" t="s">
        <v>585</v>
      </c>
      <c r="C20" s="349" t="s">
        <v>586</v>
      </c>
      <c r="D20" s="346">
        <v>7</v>
      </c>
      <c r="E20" s="346" t="s">
        <v>581</v>
      </c>
      <c r="F20" s="346" t="s">
        <v>581</v>
      </c>
      <c r="G20" s="371">
        <v>2314285.7142857099</v>
      </c>
      <c r="H20" s="372">
        <f t="shared" si="1"/>
        <v>16199999.99999997</v>
      </c>
    </row>
    <row r="21" spans="1:8" ht="15.75">
      <c r="A21" s="339"/>
      <c r="B21" s="344" t="s">
        <v>585</v>
      </c>
      <c r="C21" s="349" t="s">
        <v>587</v>
      </c>
      <c r="D21" s="346">
        <v>31</v>
      </c>
      <c r="E21" s="346" t="s">
        <v>581</v>
      </c>
      <c r="F21" s="346" t="s">
        <v>581</v>
      </c>
      <c r="G21" s="371">
        <v>220000</v>
      </c>
      <c r="H21" s="372">
        <f t="shared" si="1"/>
        <v>6820000</v>
      </c>
    </row>
    <row r="22" spans="1:8" ht="15.75">
      <c r="A22" s="339"/>
      <c r="B22" s="344" t="s">
        <v>585</v>
      </c>
      <c r="C22" s="349" t="s">
        <v>588</v>
      </c>
      <c r="D22" s="346">
        <v>1</v>
      </c>
      <c r="E22" s="346" t="s">
        <v>581</v>
      </c>
      <c r="F22" s="346" t="s">
        <v>581</v>
      </c>
      <c r="G22" s="371">
        <v>7000000</v>
      </c>
      <c r="H22" s="372">
        <f t="shared" si="1"/>
        <v>7000000</v>
      </c>
    </row>
    <row r="23" spans="1:8" ht="15.75">
      <c r="A23" s="339"/>
      <c r="B23" s="344" t="s">
        <v>585</v>
      </c>
      <c r="C23" s="349" t="s">
        <v>589</v>
      </c>
      <c r="D23" s="346">
        <v>50</v>
      </c>
      <c r="E23" s="346" t="s">
        <v>581</v>
      </c>
      <c r="F23" s="346" t="s">
        <v>581</v>
      </c>
      <c r="G23" s="371">
        <v>5000</v>
      </c>
      <c r="H23" s="372">
        <f t="shared" si="1"/>
        <v>250000</v>
      </c>
    </row>
    <row r="24" spans="1:8" ht="15.75">
      <c r="A24" s="339"/>
      <c r="B24" s="344" t="s">
        <v>585</v>
      </c>
      <c r="C24" s="349" t="s">
        <v>590</v>
      </c>
      <c r="D24" s="346">
        <v>1</v>
      </c>
      <c r="E24" s="346" t="s">
        <v>581</v>
      </c>
      <c r="F24" s="346" t="s">
        <v>581</v>
      </c>
      <c r="G24" s="372">
        <v>59950000</v>
      </c>
      <c r="H24" s="372">
        <f t="shared" si="1"/>
        <v>59950000</v>
      </c>
    </row>
    <row r="25" spans="1:8" ht="15.75">
      <c r="A25" s="339">
        <v>2.4</v>
      </c>
      <c r="B25" s="344" t="s">
        <v>488</v>
      </c>
      <c r="C25" s="361" t="s">
        <v>591</v>
      </c>
      <c r="D25" s="346" t="s">
        <v>592</v>
      </c>
      <c r="E25" s="346" t="s">
        <v>581</v>
      </c>
      <c r="F25" s="346" t="s">
        <v>581</v>
      </c>
      <c r="G25" s="371">
        <v>15474750</v>
      </c>
      <c r="H25" s="372">
        <v>15474750</v>
      </c>
    </row>
    <row r="26" spans="1:8" ht="15.75">
      <c r="A26" s="339">
        <v>2.5</v>
      </c>
      <c r="B26" s="344" t="s">
        <v>593</v>
      </c>
      <c r="C26" s="361" t="s">
        <v>594</v>
      </c>
      <c r="D26" s="346">
        <v>183</v>
      </c>
      <c r="E26" s="346" t="s">
        <v>581</v>
      </c>
      <c r="F26" s="346" t="s">
        <v>581</v>
      </c>
      <c r="G26" s="373">
        <v>36956.284153005501</v>
      </c>
      <c r="H26" s="372">
        <f>+G26*D26</f>
        <v>6763000.0000000065</v>
      </c>
    </row>
    <row r="27" spans="1:8" ht="15.75">
      <c r="A27" s="339">
        <v>2.6</v>
      </c>
      <c r="B27" s="361" t="s">
        <v>595</v>
      </c>
      <c r="C27" s="361" t="s">
        <v>596</v>
      </c>
      <c r="D27" s="346">
        <v>705</v>
      </c>
      <c r="E27" s="346" t="s">
        <v>581</v>
      </c>
      <c r="F27" s="346" t="s">
        <v>581</v>
      </c>
      <c r="G27" s="373">
        <v>422450</v>
      </c>
      <c r="H27" s="372">
        <f>+G27*D27</f>
        <v>297827250</v>
      </c>
    </row>
    <row r="28" spans="1:8" ht="15.75">
      <c r="A28" s="350"/>
      <c r="B28" s="350" t="s">
        <v>596</v>
      </c>
      <c r="C28" s="350"/>
      <c r="D28" s="374"/>
      <c r="E28" s="374"/>
      <c r="F28" s="374"/>
      <c r="G28" s="375">
        <f>+SUM(G17:G27)</f>
        <v>86424041.171992436</v>
      </c>
      <c r="H28" s="376">
        <f>+SUM(H16:H27)</f>
        <v>607400000</v>
      </c>
    </row>
    <row r="29" spans="1:8" ht="15.75">
      <c r="A29" s="351" t="s">
        <v>597</v>
      </c>
      <c r="B29" s="377" t="s">
        <v>400</v>
      </c>
      <c r="C29" s="377"/>
      <c r="D29" s="378"/>
      <c r="E29" s="378"/>
      <c r="F29" s="378"/>
      <c r="G29" s="379" t="e">
        <f>+G28+G15</f>
        <v>#REF!</v>
      </c>
      <c r="H29" s="379" t="e">
        <f>+H28+H15</f>
        <v>#REF!</v>
      </c>
    </row>
    <row r="30" spans="1:8" ht="15.75">
      <c r="A30" s="351"/>
      <c r="B30" s="377" t="s">
        <v>40</v>
      </c>
      <c r="C30" s="377"/>
      <c r="D30" s="378"/>
      <c r="E30" s="378"/>
      <c r="F30" s="378"/>
      <c r="G30" s="379"/>
      <c r="H30" s="379"/>
    </row>
    <row r="31" spans="1:8" ht="15.75">
      <c r="A31" s="360">
        <v>3</v>
      </c>
      <c r="B31" s="380" t="s">
        <v>598</v>
      </c>
      <c r="C31" s="380"/>
      <c r="D31" s="381"/>
      <c r="E31" s="381"/>
      <c r="F31" s="381"/>
      <c r="G31" s="381"/>
      <c r="H31" s="381"/>
    </row>
    <row r="32" spans="1:8" ht="15.75">
      <c r="A32" s="339">
        <v>3.1</v>
      </c>
      <c r="B32" s="344" t="s">
        <v>599</v>
      </c>
      <c r="C32" s="382"/>
      <c r="D32" s="383">
        <v>0.1</v>
      </c>
      <c r="E32" s="361"/>
      <c r="F32" s="361"/>
      <c r="G32" s="352"/>
      <c r="H32" s="353">
        <v>115000000</v>
      </c>
    </row>
    <row r="33" spans="1:8" ht="15.75">
      <c r="A33" s="354"/>
      <c r="B33" s="380" t="s">
        <v>600</v>
      </c>
      <c r="C33" s="380"/>
      <c r="D33" s="381"/>
      <c r="E33" s="381"/>
      <c r="F33" s="381"/>
      <c r="G33" s="381"/>
      <c r="H33" s="367" t="e">
        <f>+H29+H32</f>
        <v>#REF!</v>
      </c>
    </row>
    <row r="34" spans="1:8" ht="15.75">
      <c r="A34" s="360">
        <v>4</v>
      </c>
      <c r="B34" s="361" t="s">
        <v>601</v>
      </c>
      <c r="C34" s="361"/>
      <c r="D34" s="355" t="s">
        <v>26</v>
      </c>
      <c r="E34" s="361"/>
      <c r="F34" s="361"/>
      <c r="G34" s="356"/>
      <c r="H34" s="384" t="e">
        <f>+G34*H33</f>
        <v>#REF!</v>
      </c>
    </row>
    <row r="35" spans="1:8" ht="15.75">
      <c r="A35" s="351"/>
      <c r="B35" s="377" t="s">
        <v>41</v>
      </c>
      <c r="C35" s="377"/>
      <c r="D35" s="378"/>
      <c r="E35" s="378"/>
      <c r="F35" s="378"/>
      <c r="G35" s="378"/>
      <c r="H35" s="385" t="e">
        <f>+H34+H33</f>
        <v>#REF!</v>
      </c>
    </row>
  </sheetData>
  <mergeCells count="5">
    <mergeCell ref="A1:H1"/>
    <mergeCell ref="A2:B3"/>
    <mergeCell ref="C2:H3"/>
    <mergeCell ref="C7:C14"/>
    <mergeCell ref="A15:B15"/>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18D005-499E-4C77-9F1C-E96BDCB9ED69}">
  <dimension ref="A1:E34"/>
  <sheetViews>
    <sheetView topLeftCell="A15" workbookViewId="0">
      <selection activeCell="G15" sqref="G15"/>
    </sheetView>
  </sheetViews>
  <sheetFormatPr baseColWidth="10" defaultColWidth="10.7109375" defaultRowHeight="15"/>
  <cols>
    <col min="1" max="1" width="43.7109375" customWidth="1"/>
    <col min="2" max="2" width="13.85546875" customWidth="1"/>
  </cols>
  <sheetData>
    <row r="1" spans="1:5" ht="16.5" thickTop="1" thickBot="1">
      <c r="A1" s="578" t="s">
        <v>661</v>
      </c>
      <c r="B1" s="578"/>
      <c r="C1" s="578"/>
      <c r="D1" s="578"/>
      <c r="E1" s="578"/>
    </row>
    <row r="2" spans="1:5" ht="27" thickTop="1" thickBot="1">
      <c r="A2" s="429" t="s">
        <v>651</v>
      </c>
      <c r="B2" s="429" t="s">
        <v>652</v>
      </c>
      <c r="C2" s="429" t="s">
        <v>662</v>
      </c>
      <c r="D2" s="430" t="s">
        <v>653</v>
      </c>
      <c r="E2" s="430" t="s">
        <v>654</v>
      </c>
    </row>
    <row r="3" spans="1:5" ht="16.5" thickTop="1" thickBot="1">
      <c r="A3" s="579" t="s">
        <v>602</v>
      </c>
      <c r="B3" s="579"/>
      <c r="C3" s="579"/>
      <c r="D3" s="579"/>
      <c r="E3" s="579"/>
    </row>
    <row r="4" spans="1:5" ht="16.5" thickTop="1" thickBot="1">
      <c r="A4" s="431" t="s">
        <v>663</v>
      </c>
      <c r="B4" s="432">
        <v>1</v>
      </c>
      <c r="C4" s="433">
        <v>4</v>
      </c>
      <c r="D4" s="434">
        <v>4800000</v>
      </c>
      <c r="E4" s="434">
        <f t="shared" ref="E4:E11" si="0">B4*C4*D4</f>
        <v>19200000</v>
      </c>
    </row>
    <row r="5" spans="1:5" ht="16.5" thickTop="1" thickBot="1">
      <c r="A5" s="431" t="s">
        <v>664</v>
      </c>
      <c r="B5" s="433">
        <v>1</v>
      </c>
      <c r="C5" s="433">
        <v>4</v>
      </c>
      <c r="D5" s="434">
        <v>5600000</v>
      </c>
      <c r="E5" s="434">
        <f t="shared" si="0"/>
        <v>22400000</v>
      </c>
    </row>
    <row r="6" spans="1:5" ht="16.5" thickTop="1" thickBot="1">
      <c r="A6" s="431" t="s">
        <v>636</v>
      </c>
      <c r="B6" s="433">
        <v>1</v>
      </c>
      <c r="C6" s="433">
        <v>4</v>
      </c>
      <c r="D6" s="434">
        <v>5600000</v>
      </c>
      <c r="E6" s="434">
        <f t="shared" si="0"/>
        <v>22400000</v>
      </c>
    </row>
    <row r="7" spans="1:5" ht="39.75" thickTop="1" thickBot="1">
      <c r="A7" s="431" t="s">
        <v>665</v>
      </c>
      <c r="B7" s="433">
        <v>2</v>
      </c>
      <c r="C7" s="433">
        <v>4</v>
      </c>
      <c r="D7" s="434">
        <v>5600000</v>
      </c>
      <c r="E7" s="434">
        <f t="shared" si="0"/>
        <v>44800000</v>
      </c>
    </row>
    <row r="8" spans="1:5" ht="27" thickTop="1" thickBot="1">
      <c r="A8" s="431" t="s">
        <v>666</v>
      </c>
      <c r="B8" s="433">
        <v>1</v>
      </c>
      <c r="C8" s="433">
        <v>4</v>
      </c>
      <c r="D8" s="434">
        <v>5600000</v>
      </c>
      <c r="E8" s="434">
        <f t="shared" si="0"/>
        <v>22400000</v>
      </c>
    </row>
    <row r="9" spans="1:5" ht="52.5" thickTop="1" thickBot="1">
      <c r="A9" s="431" t="s">
        <v>667</v>
      </c>
      <c r="B9" s="435">
        <v>1</v>
      </c>
      <c r="C9" s="433">
        <v>4</v>
      </c>
      <c r="D9" s="434">
        <v>5600000</v>
      </c>
      <c r="E9" s="434">
        <f t="shared" si="0"/>
        <v>22400000</v>
      </c>
    </row>
    <row r="10" spans="1:5" ht="27" thickTop="1" thickBot="1">
      <c r="A10" s="431" t="s">
        <v>668</v>
      </c>
      <c r="B10" s="435">
        <v>1</v>
      </c>
      <c r="C10" s="433">
        <v>4</v>
      </c>
      <c r="D10" s="434">
        <v>5600000</v>
      </c>
      <c r="E10" s="434">
        <f t="shared" si="0"/>
        <v>22400000</v>
      </c>
    </row>
    <row r="11" spans="1:5" ht="16.5" thickTop="1" thickBot="1">
      <c r="A11" s="431" t="s">
        <v>669</v>
      </c>
      <c r="B11" s="435">
        <v>2</v>
      </c>
      <c r="C11" s="433">
        <v>4</v>
      </c>
      <c r="D11" s="436">
        <v>3000000</v>
      </c>
      <c r="E11" s="434">
        <f t="shared" si="0"/>
        <v>24000000</v>
      </c>
    </row>
    <row r="12" spans="1:5" ht="16.5" thickTop="1" thickBot="1">
      <c r="A12" s="576" t="s">
        <v>655</v>
      </c>
      <c r="B12" s="576"/>
      <c r="C12" s="576"/>
      <c r="D12" s="576"/>
      <c r="E12" s="437">
        <f>SUM(E4:E11)</f>
        <v>200000000</v>
      </c>
    </row>
    <row r="13" spans="1:5" ht="16.5" thickTop="1" thickBot="1">
      <c r="A13" s="580" t="s">
        <v>670</v>
      </c>
      <c r="B13" s="580"/>
      <c r="C13" s="580"/>
      <c r="D13" s="580"/>
      <c r="E13" s="580"/>
    </row>
    <row r="14" spans="1:5" ht="129" thickTop="1" thickBot="1">
      <c r="A14" s="438" t="s">
        <v>671</v>
      </c>
      <c r="B14" s="433">
        <v>12</v>
      </c>
      <c r="C14" s="433">
        <v>1</v>
      </c>
      <c r="D14" s="434">
        <v>5200000</v>
      </c>
      <c r="E14" s="439">
        <f>B14*C14*D14</f>
        <v>62400000</v>
      </c>
    </row>
    <row r="15" spans="1:5" ht="78" thickTop="1" thickBot="1">
      <c r="A15" s="438" t="s">
        <v>672</v>
      </c>
      <c r="B15" s="433">
        <v>1</v>
      </c>
      <c r="C15" s="433">
        <v>1</v>
      </c>
      <c r="D15" s="434">
        <v>17300000</v>
      </c>
      <c r="E15" s="439">
        <f>B15*C15*D15</f>
        <v>17300000</v>
      </c>
    </row>
    <row r="16" spans="1:5" ht="39.75" thickTop="1" thickBot="1">
      <c r="A16" s="438" t="s">
        <v>673</v>
      </c>
      <c r="B16" s="433">
        <v>8</v>
      </c>
      <c r="C16" s="433">
        <v>1</v>
      </c>
      <c r="D16" s="434">
        <v>2000000</v>
      </c>
      <c r="E16" s="439">
        <f>B16*C16*D16</f>
        <v>16000000</v>
      </c>
    </row>
    <row r="17" spans="1:5" ht="16.5" thickTop="1" thickBot="1">
      <c r="A17" s="576" t="s">
        <v>674</v>
      </c>
      <c r="B17" s="576"/>
      <c r="C17" s="576"/>
      <c r="D17" s="576"/>
      <c r="E17" s="437">
        <f>SUM(E14:E16)</f>
        <v>95700000</v>
      </c>
    </row>
    <row r="18" spans="1:5" ht="16.5" thickTop="1" thickBot="1">
      <c r="A18" s="575" t="s">
        <v>488</v>
      </c>
      <c r="B18" s="575"/>
      <c r="C18" s="575"/>
      <c r="D18" s="575"/>
      <c r="E18" s="575"/>
    </row>
    <row r="19" spans="1:5" ht="16.5" thickTop="1" thickBot="1">
      <c r="A19" s="432" t="s">
        <v>656</v>
      </c>
      <c r="B19" s="433">
        <v>30</v>
      </c>
      <c r="C19" s="433">
        <v>1</v>
      </c>
      <c r="D19" s="440">
        <v>11000</v>
      </c>
      <c r="E19" s="434">
        <f>B19*C19*D19</f>
        <v>330000</v>
      </c>
    </row>
    <row r="20" spans="1:5" ht="16.5" thickTop="1" thickBot="1">
      <c r="A20" s="432" t="s">
        <v>657</v>
      </c>
      <c r="B20" s="433">
        <v>20</v>
      </c>
      <c r="C20" s="433">
        <v>1</v>
      </c>
      <c r="D20" s="440">
        <v>13000</v>
      </c>
      <c r="E20" s="434">
        <f>B20*C20*D20</f>
        <v>260000</v>
      </c>
    </row>
    <row r="21" spans="1:5" ht="27" thickTop="1" thickBot="1">
      <c r="A21" s="441" t="s">
        <v>675</v>
      </c>
      <c r="B21" s="433">
        <v>1</v>
      </c>
      <c r="C21" s="433">
        <v>1</v>
      </c>
      <c r="D21" s="440">
        <v>960000</v>
      </c>
      <c r="E21" s="434">
        <f>B21*C21*D21</f>
        <v>960000</v>
      </c>
    </row>
    <row r="22" spans="1:5" ht="16.5" thickTop="1" thickBot="1">
      <c r="A22" s="432" t="s">
        <v>469</v>
      </c>
      <c r="B22" s="433">
        <v>5</v>
      </c>
      <c r="C22" s="433">
        <v>1</v>
      </c>
      <c r="D22" s="440">
        <v>150000</v>
      </c>
      <c r="E22" s="434">
        <f>B22*C22*D22</f>
        <v>750000</v>
      </c>
    </row>
    <row r="23" spans="1:5" ht="16.5" thickTop="1" thickBot="1">
      <c r="A23" s="441" t="s">
        <v>470</v>
      </c>
      <c r="B23" s="433">
        <v>1</v>
      </c>
      <c r="C23" s="433">
        <v>1</v>
      </c>
      <c r="D23" s="440">
        <v>2000000</v>
      </c>
      <c r="E23" s="434">
        <f>B23*C23*D23</f>
        <v>2000000</v>
      </c>
    </row>
    <row r="24" spans="1:5" ht="16.5" thickTop="1" thickBot="1">
      <c r="A24" s="576" t="s">
        <v>674</v>
      </c>
      <c r="B24" s="576"/>
      <c r="C24" s="576"/>
      <c r="D24" s="576"/>
      <c r="E24" s="437">
        <f>SUM(E19:E23)</f>
        <v>4300000</v>
      </c>
    </row>
    <row r="25" spans="1:5" ht="16.5" thickTop="1" thickBot="1">
      <c r="A25" s="442" t="s">
        <v>659</v>
      </c>
      <c r="B25" s="443"/>
      <c r="C25" s="444"/>
      <c r="D25" s="444"/>
      <c r="E25" s="445"/>
    </row>
    <row r="26" spans="1:5" ht="16.5" thickTop="1" thickBot="1">
      <c r="A26" s="432" t="s">
        <v>618</v>
      </c>
      <c r="B26" s="433">
        <v>4</v>
      </c>
      <c r="C26" s="432">
        <v>1</v>
      </c>
      <c r="D26" s="446">
        <v>3295200</v>
      </c>
      <c r="E26" s="434">
        <f>B26*D26</f>
        <v>13180800</v>
      </c>
    </row>
    <row r="27" spans="1:5" ht="16.5" thickTop="1" thickBot="1">
      <c r="A27" s="432" t="s">
        <v>471</v>
      </c>
      <c r="B27" s="433">
        <v>4</v>
      </c>
      <c r="C27" s="432">
        <v>1</v>
      </c>
      <c r="D27" s="446">
        <v>2140000</v>
      </c>
      <c r="E27" s="434">
        <f>B27*D27</f>
        <v>8560000</v>
      </c>
    </row>
    <row r="28" spans="1:5" ht="27" thickTop="1" thickBot="1">
      <c r="A28" s="441" t="s">
        <v>472</v>
      </c>
      <c r="B28" s="433">
        <v>5</v>
      </c>
      <c r="C28" s="432" t="s">
        <v>658</v>
      </c>
      <c r="D28" s="446">
        <v>2500000</v>
      </c>
      <c r="E28" s="434">
        <f>B28*D28</f>
        <v>12500000</v>
      </c>
    </row>
    <row r="29" spans="1:5" ht="39.75" thickTop="1" thickBot="1">
      <c r="A29" s="441" t="s">
        <v>676</v>
      </c>
      <c r="B29" s="433">
        <v>5</v>
      </c>
      <c r="C29" s="432" t="s">
        <v>658</v>
      </c>
      <c r="D29" s="446">
        <v>1500000</v>
      </c>
      <c r="E29" s="434">
        <f t="shared" ref="E29:E31" si="1">B29*D29</f>
        <v>7500000</v>
      </c>
    </row>
    <row r="30" spans="1:5" ht="27" thickTop="1" thickBot="1">
      <c r="A30" s="441" t="s">
        <v>660</v>
      </c>
      <c r="B30" s="433">
        <v>1</v>
      </c>
      <c r="C30" s="432" t="s">
        <v>658</v>
      </c>
      <c r="D30" s="446">
        <v>15000000</v>
      </c>
      <c r="E30" s="434">
        <f t="shared" si="1"/>
        <v>15000000</v>
      </c>
    </row>
    <row r="31" spans="1:5" ht="27" thickTop="1" thickBot="1">
      <c r="A31" s="441" t="s">
        <v>677</v>
      </c>
      <c r="B31" s="433">
        <v>1</v>
      </c>
      <c r="C31" s="432" t="s">
        <v>658</v>
      </c>
      <c r="D31" s="446">
        <v>5435200</v>
      </c>
      <c r="E31" s="434">
        <f t="shared" si="1"/>
        <v>5435200</v>
      </c>
    </row>
    <row r="32" spans="1:5" ht="16.5" thickTop="1" thickBot="1">
      <c r="A32" s="576" t="s">
        <v>674</v>
      </c>
      <c r="B32" s="576"/>
      <c r="C32" s="576"/>
      <c r="D32" s="576"/>
      <c r="E32" s="437">
        <f>SUM(E26:E31)</f>
        <v>62176000</v>
      </c>
    </row>
    <row r="33" spans="1:5" ht="16.5" thickTop="1" thickBot="1">
      <c r="A33" s="577" t="s">
        <v>678</v>
      </c>
      <c r="B33" s="577"/>
      <c r="C33" s="577"/>
      <c r="D33" s="577"/>
      <c r="E33" s="447">
        <f>E12+E17+E24+E32</f>
        <v>362176000</v>
      </c>
    </row>
    <row r="34" spans="1:5" ht="15.75" thickTop="1"/>
  </sheetData>
  <mergeCells count="9">
    <mergeCell ref="A18:E18"/>
    <mergeCell ref="A24:D24"/>
    <mergeCell ref="A32:D32"/>
    <mergeCell ref="A33:D33"/>
    <mergeCell ref="A1:E1"/>
    <mergeCell ref="A3:E3"/>
    <mergeCell ref="A12:D12"/>
    <mergeCell ref="A13:E13"/>
    <mergeCell ref="A17:D17"/>
  </mergeCells>
  <pageMargins left="0.7" right="0.7" top="0.75" bottom="0.75" header="0.3" footer="0.3"/>
  <pageSetup paperSize="9" orientation="portrait"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CABA3B-0082-4B62-A971-F38173CEEE61}">
  <dimension ref="A1:P55"/>
  <sheetViews>
    <sheetView workbookViewId="0">
      <selection activeCell="F57" sqref="F57"/>
    </sheetView>
  </sheetViews>
  <sheetFormatPr baseColWidth="10" defaultColWidth="11.42578125" defaultRowHeight="12.75"/>
  <cols>
    <col min="1" max="1" width="11.7109375" style="230" customWidth="1"/>
    <col min="2" max="2" width="47.42578125" style="231" customWidth="1"/>
    <col min="3" max="3" width="15.42578125" style="226" customWidth="1"/>
    <col min="4" max="4" width="17.140625" style="226" customWidth="1"/>
    <col min="5" max="5" width="11.42578125" style="226"/>
    <col min="6" max="6" width="15.42578125" style="226" customWidth="1"/>
    <col min="7" max="7" width="17.28515625" style="226" customWidth="1"/>
    <col min="8" max="10" width="16" style="229" customWidth="1"/>
    <col min="11" max="11" width="10.28515625" style="226" customWidth="1"/>
    <col min="12" max="13" width="14.140625" style="226" customWidth="1"/>
    <col min="14" max="14" width="13" style="226" customWidth="1"/>
    <col min="15" max="16384" width="11.42578125" style="226"/>
  </cols>
  <sheetData>
    <row r="1" spans="1:13" ht="15.75" customHeight="1">
      <c r="A1" s="506" t="s">
        <v>0</v>
      </c>
      <c r="B1" s="506"/>
      <c r="C1" s="506"/>
      <c r="D1" s="506"/>
      <c r="E1" s="506"/>
      <c r="F1" s="506"/>
      <c r="G1" s="506"/>
      <c r="H1" s="506"/>
      <c r="I1" s="506"/>
      <c r="J1" s="506"/>
      <c r="K1" s="506"/>
    </row>
    <row r="2" spans="1:13" ht="15.75" customHeight="1">
      <c r="A2" s="499" t="s">
        <v>1</v>
      </c>
      <c r="B2" s="499"/>
      <c r="C2" s="500" t="s">
        <v>606</v>
      </c>
      <c r="D2" s="501"/>
      <c r="E2" s="501"/>
      <c r="F2" s="501"/>
      <c r="G2" s="501"/>
      <c r="H2" s="501"/>
      <c r="I2" s="501"/>
      <c r="J2" s="501"/>
      <c r="K2" s="502"/>
    </row>
    <row r="3" spans="1:13" ht="19.5" customHeight="1">
      <c r="A3" s="499"/>
      <c r="B3" s="499"/>
      <c r="C3" s="503"/>
      <c r="D3" s="504"/>
      <c r="E3" s="504"/>
      <c r="F3" s="504"/>
      <c r="G3" s="504"/>
      <c r="H3" s="504"/>
      <c r="I3" s="504"/>
      <c r="J3" s="504"/>
      <c r="K3" s="505"/>
    </row>
    <row r="5" spans="1:13" s="224" customFormat="1" ht="25.5">
      <c r="A5" s="5" t="s">
        <v>2</v>
      </c>
      <c r="B5" s="7" t="s">
        <v>3</v>
      </c>
      <c r="C5" s="7" t="s">
        <v>4</v>
      </c>
      <c r="D5" s="7" t="s">
        <v>5</v>
      </c>
      <c r="E5" s="7" t="s">
        <v>6</v>
      </c>
      <c r="F5" s="7" t="s">
        <v>7</v>
      </c>
      <c r="G5" s="7" t="s">
        <v>8</v>
      </c>
      <c r="H5" s="228" t="s">
        <v>9</v>
      </c>
      <c r="I5" s="228" t="s">
        <v>10</v>
      </c>
      <c r="J5" s="228" t="s">
        <v>468</v>
      </c>
      <c r="K5" s="58" t="s">
        <v>11</v>
      </c>
    </row>
    <row r="6" spans="1:13">
      <c r="A6" s="59">
        <v>1</v>
      </c>
      <c r="B6" s="232" t="s">
        <v>12</v>
      </c>
      <c r="C6" s="232"/>
      <c r="D6" s="232"/>
      <c r="E6" s="232"/>
      <c r="F6" s="232"/>
      <c r="G6" s="232"/>
      <c r="H6" s="233"/>
      <c r="I6" s="233"/>
      <c r="J6" s="233"/>
      <c r="K6" s="241"/>
    </row>
    <row r="7" spans="1:13">
      <c r="A7" s="215" t="s">
        <v>13</v>
      </c>
      <c r="B7" s="62" t="s">
        <v>607</v>
      </c>
      <c r="C7" s="63">
        <v>1</v>
      </c>
      <c r="D7" s="13">
        <v>1</v>
      </c>
      <c r="E7" s="63">
        <v>6</v>
      </c>
      <c r="F7" s="234">
        <v>7000000</v>
      </c>
      <c r="G7" s="234">
        <v>9930336</v>
      </c>
      <c r="H7" s="235">
        <f t="shared" ref="H7:H19" si="0">F7*E7*D7*C7</f>
        <v>42000000</v>
      </c>
      <c r="I7" s="242">
        <f t="shared" ref="I7:I17" si="1">+H7</f>
        <v>42000000</v>
      </c>
      <c r="J7" s="242"/>
      <c r="K7" s="100">
        <f t="shared" ref="K7:K19" si="2">H7*100%/$H$52</f>
        <v>4.5995661513984432E-2</v>
      </c>
      <c r="M7" s="243"/>
    </row>
    <row r="8" spans="1:13">
      <c r="A8" s="215" t="s">
        <v>15</v>
      </c>
      <c r="B8" s="62" t="s">
        <v>608</v>
      </c>
      <c r="C8" s="63">
        <v>1</v>
      </c>
      <c r="D8" s="13">
        <v>1</v>
      </c>
      <c r="E8" s="63">
        <v>6</v>
      </c>
      <c r="F8" s="234">
        <v>7000000</v>
      </c>
      <c r="G8" s="234">
        <v>9930336</v>
      </c>
      <c r="H8" s="235">
        <f t="shared" si="0"/>
        <v>42000000</v>
      </c>
      <c r="I8" s="242">
        <f t="shared" si="1"/>
        <v>42000000</v>
      </c>
      <c r="J8" s="242"/>
      <c r="K8" s="100">
        <f t="shared" si="2"/>
        <v>4.5995661513984432E-2</v>
      </c>
      <c r="M8" s="243"/>
    </row>
    <row r="9" spans="1:13">
      <c r="A9" s="215" t="s">
        <v>17</v>
      </c>
      <c r="B9" s="62" t="s">
        <v>609</v>
      </c>
      <c r="C9" s="63">
        <v>2</v>
      </c>
      <c r="D9" s="13">
        <v>1</v>
      </c>
      <c r="E9" s="63">
        <v>3</v>
      </c>
      <c r="F9" s="234">
        <v>5000000</v>
      </c>
      <c r="G9" s="234">
        <v>4758391</v>
      </c>
      <c r="H9" s="235">
        <f t="shared" si="0"/>
        <v>30000000</v>
      </c>
      <c r="I9" s="242">
        <f t="shared" si="1"/>
        <v>30000000</v>
      </c>
      <c r="J9" s="242"/>
      <c r="K9" s="100">
        <f t="shared" si="2"/>
        <v>3.2854043938560312E-2</v>
      </c>
      <c r="M9" s="243"/>
    </row>
    <row r="10" spans="1:13" ht="25.5">
      <c r="A10" s="215" t="s">
        <v>18</v>
      </c>
      <c r="B10" s="62" t="s">
        <v>610</v>
      </c>
      <c r="C10" s="63">
        <v>1</v>
      </c>
      <c r="D10" s="13">
        <v>1</v>
      </c>
      <c r="E10" s="63">
        <v>6</v>
      </c>
      <c r="F10" s="234">
        <v>7000000</v>
      </c>
      <c r="G10" s="234">
        <v>9930336</v>
      </c>
      <c r="H10" s="235">
        <f t="shared" si="0"/>
        <v>42000000</v>
      </c>
      <c r="I10" s="242">
        <f t="shared" si="1"/>
        <v>42000000</v>
      </c>
      <c r="J10" s="242"/>
      <c r="K10" s="100">
        <f t="shared" si="2"/>
        <v>4.5995661513984432E-2</v>
      </c>
      <c r="M10" s="243"/>
    </row>
    <row r="11" spans="1:13">
      <c r="A11" s="215" t="s">
        <v>19</v>
      </c>
      <c r="B11" s="62" t="s">
        <v>611</v>
      </c>
      <c r="C11" s="63">
        <v>1</v>
      </c>
      <c r="D11" s="13">
        <v>1</v>
      </c>
      <c r="E11" s="63">
        <v>6</v>
      </c>
      <c r="F11" s="234">
        <v>7000000</v>
      </c>
      <c r="G11" s="234">
        <v>9930336</v>
      </c>
      <c r="H11" s="235">
        <f t="shared" si="0"/>
        <v>42000000</v>
      </c>
      <c r="I11" s="242">
        <f t="shared" si="1"/>
        <v>42000000</v>
      </c>
      <c r="J11" s="242"/>
      <c r="K11" s="100">
        <f t="shared" si="2"/>
        <v>4.5995661513984432E-2</v>
      </c>
      <c r="M11" s="243"/>
    </row>
    <row r="12" spans="1:13">
      <c r="A12" s="215" t="s">
        <v>20</v>
      </c>
      <c r="B12" s="62" t="s">
        <v>612</v>
      </c>
      <c r="C12" s="63">
        <v>1</v>
      </c>
      <c r="D12" s="13">
        <v>1</v>
      </c>
      <c r="E12" s="63">
        <v>6</v>
      </c>
      <c r="F12" s="234">
        <v>5000000</v>
      </c>
      <c r="G12" s="234">
        <v>4758391</v>
      </c>
      <c r="H12" s="235">
        <f t="shared" si="0"/>
        <v>30000000</v>
      </c>
      <c r="I12" s="242">
        <f t="shared" si="1"/>
        <v>30000000</v>
      </c>
      <c r="J12" s="242"/>
      <c r="K12" s="100">
        <f t="shared" si="2"/>
        <v>3.2854043938560312E-2</v>
      </c>
      <c r="M12" s="243"/>
    </row>
    <row r="13" spans="1:13" ht="25.5">
      <c r="A13" s="215" t="s">
        <v>21</v>
      </c>
      <c r="B13" s="62" t="s">
        <v>613</v>
      </c>
      <c r="C13" s="63">
        <v>2</v>
      </c>
      <c r="D13" s="13">
        <v>1</v>
      </c>
      <c r="E13" s="63">
        <v>6</v>
      </c>
      <c r="F13" s="234">
        <v>7000000</v>
      </c>
      <c r="G13" s="234">
        <v>9930336</v>
      </c>
      <c r="H13" s="235">
        <f t="shared" si="0"/>
        <v>84000000</v>
      </c>
      <c r="I13" s="242">
        <f t="shared" si="1"/>
        <v>84000000</v>
      </c>
      <c r="J13" s="242"/>
      <c r="K13" s="100">
        <f t="shared" si="2"/>
        <v>9.1991323027968863E-2</v>
      </c>
      <c r="M13" s="243"/>
    </row>
    <row r="14" spans="1:13">
      <c r="A14" s="215" t="s">
        <v>22</v>
      </c>
      <c r="B14" s="62" t="s">
        <v>614</v>
      </c>
      <c r="C14" s="63">
        <v>1</v>
      </c>
      <c r="D14" s="13">
        <v>1</v>
      </c>
      <c r="E14" s="63">
        <v>6</v>
      </c>
      <c r="F14" s="234">
        <v>7000000</v>
      </c>
      <c r="G14" s="234">
        <v>9930336</v>
      </c>
      <c r="H14" s="235">
        <f t="shared" si="0"/>
        <v>42000000</v>
      </c>
      <c r="I14" s="242">
        <f t="shared" si="1"/>
        <v>42000000</v>
      </c>
      <c r="J14" s="242"/>
      <c r="K14" s="100">
        <f t="shared" si="2"/>
        <v>4.5995661513984432E-2</v>
      </c>
      <c r="M14" s="243"/>
    </row>
    <row r="15" spans="1:13">
      <c r="A15" s="215" t="s">
        <v>378</v>
      </c>
      <c r="B15" s="62" t="s">
        <v>615</v>
      </c>
      <c r="C15" s="63">
        <v>1</v>
      </c>
      <c r="D15" s="13">
        <v>1</v>
      </c>
      <c r="E15" s="63">
        <v>6</v>
      </c>
      <c r="F15" s="234">
        <v>7000000</v>
      </c>
      <c r="G15" s="234">
        <v>9930336</v>
      </c>
      <c r="H15" s="235">
        <f t="shared" si="0"/>
        <v>42000000</v>
      </c>
      <c r="I15" s="242">
        <f t="shared" si="1"/>
        <v>42000000</v>
      </c>
      <c r="J15" s="242"/>
      <c r="K15" s="100">
        <f t="shared" si="2"/>
        <v>4.5995661513984432E-2</v>
      </c>
      <c r="M15" s="243"/>
    </row>
    <row r="16" spans="1:13">
      <c r="A16" s="215" t="s">
        <v>379</v>
      </c>
      <c r="B16" s="62" t="s">
        <v>616</v>
      </c>
      <c r="C16" s="63">
        <v>2</v>
      </c>
      <c r="D16" s="13">
        <v>1</v>
      </c>
      <c r="E16" s="63">
        <v>6</v>
      </c>
      <c r="F16" s="234">
        <v>7000000</v>
      </c>
      <c r="G16" s="234">
        <v>9930336</v>
      </c>
      <c r="H16" s="235">
        <f t="shared" si="0"/>
        <v>84000000</v>
      </c>
      <c r="I16" s="242">
        <f t="shared" si="1"/>
        <v>84000000</v>
      </c>
      <c r="J16" s="242"/>
      <c r="K16" s="100">
        <f t="shared" si="2"/>
        <v>9.1991323027968863E-2</v>
      </c>
      <c r="M16" s="243"/>
    </row>
    <row r="17" spans="1:16" ht="25.5">
      <c r="A17" s="215" t="s">
        <v>380</v>
      </c>
      <c r="B17" s="62" t="s">
        <v>617</v>
      </c>
      <c r="C17" s="63">
        <v>3</v>
      </c>
      <c r="D17" s="13">
        <v>1</v>
      </c>
      <c r="E17" s="63">
        <v>5</v>
      </c>
      <c r="F17" s="234">
        <v>3000000</v>
      </c>
      <c r="G17" s="234">
        <v>2514089</v>
      </c>
      <c r="H17" s="235">
        <f t="shared" si="0"/>
        <v>45000000</v>
      </c>
      <c r="I17" s="242">
        <f t="shared" si="1"/>
        <v>45000000</v>
      </c>
      <c r="J17" s="242"/>
      <c r="K17" s="100">
        <f t="shared" si="2"/>
        <v>4.9281065907840461E-2</v>
      </c>
      <c r="M17" s="243"/>
    </row>
    <row r="18" spans="1:16">
      <c r="A18" s="215" t="s">
        <v>381</v>
      </c>
      <c r="B18" s="62" t="s">
        <v>618</v>
      </c>
      <c r="C18" s="63">
        <v>1</v>
      </c>
      <c r="D18" s="13">
        <v>1</v>
      </c>
      <c r="E18" s="63">
        <v>6</v>
      </c>
      <c r="F18" s="234">
        <v>3295200</v>
      </c>
      <c r="G18" s="234">
        <v>2514089</v>
      </c>
      <c r="H18" s="235">
        <f t="shared" si="0"/>
        <v>19771200</v>
      </c>
      <c r="I18" s="242"/>
      <c r="J18" s="242">
        <f t="shared" ref="J18:J19" si="3">+H18</f>
        <v>19771200</v>
      </c>
      <c r="K18" s="100">
        <f t="shared" si="2"/>
        <v>2.1652129117268788E-2</v>
      </c>
      <c r="M18" s="243"/>
    </row>
    <row r="19" spans="1:16" ht="15.75" customHeight="1">
      <c r="A19" s="215" t="s">
        <v>382</v>
      </c>
      <c r="B19" s="62" t="s">
        <v>471</v>
      </c>
      <c r="C19" s="63">
        <v>1</v>
      </c>
      <c r="D19" s="13">
        <v>1</v>
      </c>
      <c r="E19" s="63">
        <v>6</v>
      </c>
      <c r="F19" s="234">
        <v>2140000</v>
      </c>
      <c r="G19" s="234">
        <v>2514089</v>
      </c>
      <c r="H19" s="235">
        <f t="shared" si="0"/>
        <v>12840000</v>
      </c>
      <c r="I19" s="242"/>
      <c r="J19" s="242">
        <f t="shared" si="3"/>
        <v>12840000</v>
      </c>
      <c r="K19" s="100">
        <f t="shared" si="2"/>
        <v>1.4061530805703812E-2</v>
      </c>
      <c r="M19" s="243"/>
    </row>
    <row r="20" spans="1:16" s="225" customFormat="1">
      <c r="A20" s="497" t="s">
        <v>23</v>
      </c>
      <c r="B20" s="497"/>
      <c r="C20" s="232">
        <f>SUM(C7:C19)</f>
        <v>18</v>
      </c>
      <c r="D20" s="387"/>
      <c r="E20" s="387"/>
      <c r="F20" s="388"/>
      <c r="G20" s="388"/>
      <c r="H20" s="389">
        <f>SUM(H7:H19)</f>
        <v>557611200</v>
      </c>
      <c r="I20" s="389">
        <f>SUM(I7:I19)</f>
        <v>525000000</v>
      </c>
      <c r="J20" s="389">
        <f>SUM(J7:J19)</f>
        <v>32611200</v>
      </c>
      <c r="K20" s="390">
        <f>SUM(K7:K17)</f>
        <v>0.57494576892480542</v>
      </c>
      <c r="N20" s="391"/>
    </row>
    <row r="21" spans="1:16" s="225" customFormat="1" ht="24" customHeight="1">
      <c r="A21" s="232">
        <v>2</v>
      </c>
      <c r="B21" s="232" t="s">
        <v>619</v>
      </c>
      <c r="C21" s="232" t="s">
        <v>4</v>
      </c>
      <c r="D21" s="387"/>
      <c r="E21" s="387" t="s">
        <v>6</v>
      </c>
      <c r="F21" s="387" t="s">
        <v>24</v>
      </c>
      <c r="G21" s="387" t="s">
        <v>8</v>
      </c>
      <c r="H21" s="392" t="s">
        <v>9</v>
      </c>
      <c r="I21" s="393" t="s">
        <v>10</v>
      </c>
      <c r="J21" s="393" t="s">
        <v>468</v>
      </c>
      <c r="K21" s="387" t="s">
        <v>11</v>
      </c>
      <c r="N21" s="391"/>
    </row>
    <row r="22" spans="1:16" s="225" customFormat="1">
      <c r="A22" s="27" t="s">
        <v>25</v>
      </c>
      <c r="B22" s="62" t="s">
        <v>620</v>
      </c>
      <c r="C22" s="63">
        <v>3</v>
      </c>
      <c r="D22" s="394" t="s">
        <v>26</v>
      </c>
      <c r="E22" s="63">
        <v>1</v>
      </c>
      <c r="F22" s="234">
        <v>6000000</v>
      </c>
      <c r="G22" s="234">
        <v>5552143</v>
      </c>
      <c r="H22" s="395">
        <f>+F22*C22</f>
        <v>18000000</v>
      </c>
      <c r="I22" s="242">
        <f t="shared" ref="I22:I28" si="4">+H22</f>
        <v>18000000</v>
      </c>
      <c r="J22" s="396"/>
      <c r="K22" s="100">
        <f t="shared" ref="K22:K31" si="5">H22*100%/$H$52</f>
        <v>1.9712426363136186E-2</v>
      </c>
      <c r="N22" s="397"/>
    </row>
    <row r="23" spans="1:16" s="225" customFormat="1">
      <c r="A23" s="27" t="s">
        <v>27</v>
      </c>
      <c r="B23" s="62" t="s">
        <v>621</v>
      </c>
      <c r="C23" s="63">
        <v>5</v>
      </c>
      <c r="D23" s="394" t="s">
        <v>26</v>
      </c>
      <c r="E23" s="63">
        <v>6</v>
      </c>
      <c r="F23" s="234">
        <v>6800000</v>
      </c>
      <c r="G23" s="234">
        <v>5552143</v>
      </c>
      <c r="H23" s="395">
        <f t="shared" ref="H23:H31" si="6">+F23*C23</f>
        <v>34000000</v>
      </c>
      <c r="I23" s="242">
        <f t="shared" si="4"/>
        <v>34000000</v>
      </c>
      <c r="J23" s="396"/>
      <c r="K23" s="100">
        <f t="shared" si="5"/>
        <v>3.723458313036835E-2</v>
      </c>
      <c r="N23" s="397"/>
    </row>
    <row r="24" spans="1:16" s="225" customFormat="1">
      <c r="A24" s="27" t="s">
        <v>291</v>
      </c>
      <c r="B24" s="62" t="s">
        <v>622</v>
      </c>
      <c r="C24" s="63">
        <v>5</v>
      </c>
      <c r="D24" s="394" t="s">
        <v>26</v>
      </c>
      <c r="E24" s="63">
        <v>6</v>
      </c>
      <c r="F24" s="234">
        <v>6800000</v>
      </c>
      <c r="G24" s="234">
        <v>5552143</v>
      </c>
      <c r="H24" s="395">
        <f t="shared" si="6"/>
        <v>34000000</v>
      </c>
      <c r="I24" s="242">
        <f t="shared" si="4"/>
        <v>34000000</v>
      </c>
      <c r="J24" s="396"/>
      <c r="K24" s="100">
        <f t="shared" si="5"/>
        <v>3.723458313036835E-2</v>
      </c>
      <c r="N24" s="397"/>
    </row>
    <row r="25" spans="1:16" s="225" customFormat="1">
      <c r="A25" s="27" t="s">
        <v>28</v>
      </c>
      <c r="B25" s="62" t="s">
        <v>623</v>
      </c>
      <c r="C25" s="63">
        <v>6</v>
      </c>
      <c r="D25" s="394" t="s">
        <v>26</v>
      </c>
      <c r="E25" s="63">
        <v>6</v>
      </c>
      <c r="F25" s="234">
        <v>6800000</v>
      </c>
      <c r="G25" s="234">
        <v>5552143</v>
      </c>
      <c r="H25" s="395">
        <f t="shared" si="6"/>
        <v>40800000</v>
      </c>
      <c r="I25" s="242">
        <f t="shared" si="4"/>
        <v>40800000</v>
      </c>
      <c r="J25" s="396"/>
      <c r="K25" s="100">
        <f t="shared" si="5"/>
        <v>4.468149975644202E-2</v>
      </c>
      <c r="N25" s="397"/>
    </row>
    <row r="26" spans="1:16" s="225" customFormat="1">
      <c r="A26" s="27" t="s">
        <v>31</v>
      </c>
      <c r="B26" s="62" t="s">
        <v>624</v>
      </c>
      <c r="C26" s="63">
        <v>3</v>
      </c>
      <c r="D26" s="394" t="s">
        <v>26</v>
      </c>
      <c r="E26" s="63">
        <v>6</v>
      </c>
      <c r="F26" s="234">
        <v>5000000</v>
      </c>
      <c r="G26" s="234">
        <v>671908</v>
      </c>
      <c r="H26" s="395">
        <f t="shared" si="6"/>
        <v>15000000</v>
      </c>
      <c r="I26" s="242">
        <f t="shared" si="4"/>
        <v>15000000</v>
      </c>
      <c r="J26" s="396"/>
      <c r="K26" s="100">
        <f t="shared" si="5"/>
        <v>1.6427021969280156E-2</v>
      </c>
      <c r="N26" s="397"/>
    </row>
    <row r="27" spans="1:16" s="225" customFormat="1">
      <c r="A27" s="27" t="s">
        <v>32</v>
      </c>
      <c r="B27" s="62" t="s">
        <v>625</v>
      </c>
      <c r="C27" s="63">
        <v>1</v>
      </c>
      <c r="D27" s="394" t="s">
        <v>26</v>
      </c>
      <c r="E27" s="63">
        <v>5</v>
      </c>
      <c r="F27" s="234">
        <v>6500000</v>
      </c>
      <c r="G27" s="234">
        <v>5552143</v>
      </c>
      <c r="H27" s="395">
        <f t="shared" si="6"/>
        <v>6500000</v>
      </c>
      <c r="I27" s="242">
        <f t="shared" si="4"/>
        <v>6500000</v>
      </c>
      <c r="J27" s="396"/>
      <c r="K27" s="100">
        <f t="shared" si="5"/>
        <v>7.118376186688067E-3</v>
      </c>
      <c r="N27" s="397"/>
    </row>
    <row r="28" spans="1:16" s="225" customFormat="1">
      <c r="A28" s="27" t="s">
        <v>33</v>
      </c>
      <c r="B28" s="62" t="s">
        <v>626</v>
      </c>
      <c r="C28" s="63">
        <v>1</v>
      </c>
      <c r="D28" s="394" t="s">
        <v>26</v>
      </c>
      <c r="E28" s="394">
        <v>6</v>
      </c>
      <c r="F28" s="234">
        <v>6000000</v>
      </c>
      <c r="G28" s="234">
        <v>5552143</v>
      </c>
      <c r="H28" s="395">
        <f t="shared" si="6"/>
        <v>6000000</v>
      </c>
      <c r="I28" s="242">
        <f t="shared" si="4"/>
        <v>6000000</v>
      </c>
      <c r="J28" s="242"/>
      <c r="K28" s="100">
        <f t="shared" si="5"/>
        <v>6.5708087877120623E-3</v>
      </c>
      <c r="M28" s="398"/>
      <c r="N28" s="391"/>
    </row>
    <row r="29" spans="1:16" s="225" customFormat="1">
      <c r="A29" s="27" t="s">
        <v>418</v>
      </c>
      <c r="B29" s="62" t="s">
        <v>627</v>
      </c>
      <c r="C29" s="63">
        <v>2</v>
      </c>
      <c r="D29" s="394" t="s">
        <v>26</v>
      </c>
      <c r="E29" s="394">
        <v>6</v>
      </c>
      <c r="F29" s="234">
        <v>5000000</v>
      </c>
      <c r="G29" s="234">
        <v>5552143</v>
      </c>
      <c r="H29" s="395">
        <f t="shared" si="6"/>
        <v>10000000</v>
      </c>
      <c r="I29" s="242">
        <f>+H29</f>
        <v>10000000</v>
      </c>
      <c r="J29" s="242"/>
      <c r="K29" s="100">
        <f t="shared" si="5"/>
        <v>1.0951347979520102E-2</v>
      </c>
      <c r="M29" s="399"/>
      <c r="N29" s="391"/>
    </row>
    <row r="30" spans="1:16" s="225" customFormat="1" ht="25.5">
      <c r="A30" s="27" t="s">
        <v>420</v>
      </c>
      <c r="B30" s="62" t="s">
        <v>472</v>
      </c>
      <c r="C30" s="63">
        <v>1</v>
      </c>
      <c r="D30" s="394" t="s">
        <v>26</v>
      </c>
      <c r="E30" s="452">
        <v>1</v>
      </c>
      <c r="F30" s="234">
        <v>5000000</v>
      </c>
      <c r="G30" s="234"/>
      <c r="H30" s="395">
        <f t="shared" si="6"/>
        <v>5000000</v>
      </c>
      <c r="I30" s="242"/>
      <c r="J30" s="242">
        <f>+H30</f>
        <v>5000000</v>
      </c>
      <c r="K30" s="100">
        <f t="shared" si="5"/>
        <v>5.4756739897600512E-3</v>
      </c>
      <c r="N30" s="400"/>
      <c r="O30" s="398"/>
      <c r="P30" s="398">
        <f>+O30*M30</f>
        <v>0</v>
      </c>
    </row>
    <row r="31" spans="1:16" s="225" customFormat="1">
      <c r="A31" s="27" t="s">
        <v>421</v>
      </c>
      <c r="B31" s="401" t="s">
        <v>628</v>
      </c>
      <c r="C31" s="63">
        <v>1</v>
      </c>
      <c r="D31" s="394" t="s">
        <v>26</v>
      </c>
      <c r="E31" s="452">
        <v>1</v>
      </c>
      <c r="F31" s="234">
        <v>5000000</v>
      </c>
      <c r="G31" s="234"/>
      <c r="H31" s="395">
        <f t="shared" si="6"/>
        <v>5000000</v>
      </c>
      <c r="I31" s="242"/>
      <c r="J31" s="242">
        <f>+H31</f>
        <v>5000000</v>
      </c>
      <c r="K31" s="100">
        <f t="shared" si="5"/>
        <v>5.4756739897600512E-3</v>
      </c>
      <c r="N31" s="400"/>
      <c r="O31" s="398"/>
      <c r="P31" s="398"/>
    </row>
    <row r="32" spans="1:16" s="225" customFormat="1">
      <c r="A32" s="507" t="s">
        <v>23</v>
      </c>
      <c r="B32" s="507"/>
      <c r="C32" s="232"/>
      <c r="D32" s="387"/>
      <c r="E32" s="387"/>
      <c r="F32" s="388"/>
      <c r="G32" s="388"/>
      <c r="H32" s="402">
        <f>SUM(H22:H31)</f>
        <v>174300000</v>
      </c>
      <c r="I32" s="402">
        <f t="shared" ref="I32:J32" si="7">SUM(I22:I31)</f>
        <v>164300000</v>
      </c>
      <c r="J32" s="402">
        <f t="shared" si="7"/>
        <v>10000000</v>
      </c>
      <c r="K32" s="390">
        <f>SUM(K28:K30)</f>
        <v>2.2997830756992216E-2</v>
      </c>
      <c r="N32" s="391"/>
    </row>
    <row r="33" spans="1:15" ht="24" customHeight="1">
      <c r="A33" s="232">
        <v>3</v>
      </c>
      <c r="B33" s="232" t="s">
        <v>686</v>
      </c>
      <c r="C33" s="232" t="s">
        <v>4</v>
      </c>
      <c r="D33" s="387"/>
      <c r="E33" s="387"/>
      <c r="F33" s="387" t="s">
        <v>24</v>
      </c>
      <c r="G33" s="387" t="s">
        <v>8</v>
      </c>
      <c r="H33" s="392" t="s">
        <v>9</v>
      </c>
      <c r="I33" s="392" t="s">
        <v>10</v>
      </c>
      <c r="J33" s="392" t="s">
        <v>468</v>
      </c>
      <c r="K33" s="387" t="s">
        <v>11</v>
      </c>
      <c r="M33" s="453"/>
      <c r="N33" s="403"/>
    </row>
    <row r="34" spans="1:15" s="225" customFormat="1">
      <c r="A34" s="454" t="s">
        <v>29</v>
      </c>
      <c r="B34" s="455" t="s">
        <v>603</v>
      </c>
      <c r="C34" s="454">
        <v>1</v>
      </c>
      <c r="D34" s="394" t="s">
        <v>26</v>
      </c>
      <c r="E34" s="394" t="s">
        <v>26</v>
      </c>
      <c r="F34" s="234">
        <v>28580000</v>
      </c>
      <c r="G34" s="234">
        <v>671908</v>
      </c>
      <c r="H34" s="456">
        <f>F34*C34</f>
        <v>28580000</v>
      </c>
      <c r="I34" s="457">
        <f>+F34</f>
        <v>28580000</v>
      </c>
      <c r="J34" s="457"/>
      <c r="K34" s="100">
        <f>H34*100%/$H$52</f>
        <v>3.1298952525468451E-2</v>
      </c>
      <c r="M34" s="398"/>
      <c r="N34" s="458"/>
      <c r="O34" s="459"/>
    </row>
    <row r="35" spans="1:15" s="225" customFormat="1">
      <c r="A35" s="583" t="s">
        <v>23</v>
      </c>
      <c r="B35" s="583"/>
      <c r="C35" s="460">
        <f>SUM(C34:C34)</f>
        <v>1</v>
      </c>
      <c r="D35" s="461"/>
      <c r="E35" s="461"/>
      <c r="F35" s="462">
        <f>AVERAGE(F34:F34)</f>
        <v>28580000</v>
      </c>
      <c r="G35" s="462">
        <f>AVERAGE(G34:G34)</f>
        <v>671908</v>
      </c>
      <c r="H35" s="463">
        <f>SUM(H34:H34)</f>
        <v>28580000</v>
      </c>
      <c r="I35" s="463">
        <f>SUM(I34:I34)</f>
        <v>28580000</v>
      </c>
      <c r="J35" s="463">
        <f>SUM(J34:J34)</f>
        <v>0</v>
      </c>
      <c r="K35" s="464">
        <f>SUM(K34:K34)</f>
        <v>3.1298952525468451E-2</v>
      </c>
      <c r="N35" s="391"/>
    </row>
    <row r="36" spans="1:15" s="225" customFormat="1" ht="24" customHeight="1">
      <c r="A36" s="232">
        <v>4</v>
      </c>
      <c r="B36" s="232" t="s">
        <v>687</v>
      </c>
      <c r="C36" s="450" t="s">
        <v>4</v>
      </c>
      <c r="D36" s="461"/>
      <c r="E36" s="461" t="s">
        <v>6</v>
      </c>
      <c r="F36" s="387" t="s">
        <v>24</v>
      </c>
      <c r="G36" s="387" t="s">
        <v>8</v>
      </c>
      <c r="H36" s="392" t="s">
        <v>9</v>
      </c>
      <c r="I36" s="393" t="s">
        <v>10</v>
      </c>
      <c r="J36" s="393" t="s">
        <v>468</v>
      </c>
      <c r="K36" s="387" t="s">
        <v>11</v>
      </c>
      <c r="N36" s="391"/>
    </row>
    <row r="37" spans="1:15" s="225" customFormat="1" ht="24.75">
      <c r="A37" s="465" t="s">
        <v>34</v>
      </c>
      <c r="B37" s="62" t="s">
        <v>688</v>
      </c>
      <c r="C37" s="466">
        <v>25</v>
      </c>
      <c r="D37" s="466"/>
      <c r="E37" s="467">
        <v>1</v>
      </c>
      <c r="F37" s="234">
        <v>1600000</v>
      </c>
      <c r="G37" s="234">
        <v>5552143</v>
      </c>
      <c r="H37" s="235">
        <f>F37*C37</f>
        <v>40000000</v>
      </c>
      <c r="I37" s="242">
        <f>+H37</f>
        <v>40000000</v>
      </c>
      <c r="J37" s="242"/>
      <c r="K37" s="100">
        <f>H37*100%/$H$52</f>
        <v>4.3805391918080409E-2</v>
      </c>
      <c r="N37" s="391"/>
    </row>
    <row r="38" spans="1:15" s="225" customFormat="1" ht="25.5">
      <c r="A38" s="465" t="s">
        <v>35</v>
      </c>
      <c r="B38" s="62" t="s">
        <v>629</v>
      </c>
      <c r="C38" s="466">
        <v>1</v>
      </c>
      <c r="D38" s="466"/>
      <c r="E38" s="467">
        <v>1</v>
      </c>
      <c r="F38" s="234">
        <v>25000000</v>
      </c>
      <c r="G38" s="234"/>
      <c r="H38" s="235">
        <f>F38*C38</f>
        <v>25000000</v>
      </c>
      <c r="I38" s="242"/>
      <c r="J38" s="242">
        <f>+H38</f>
        <v>25000000</v>
      </c>
      <c r="K38" s="100">
        <f>H38*100%/$H$52</f>
        <v>2.7378369948800257E-2</v>
      </c>
      <c r="N38" s="391"/>
    </row>
    <row r="39" spans="1:15" s="225" customFormat="1">
      <c r="A39" s="232" t="s">
        <v>23</v>
      </c>
      <c r="B39" s="468"/>
      <c r="C39" s="469"/>
      <c r="D39" s="470"/>
      <c r="E39" s="404"/>
      <c r="F39" s="461"/>
      <c r="G39" s="461"/>
      <c r="H39" s="463">
        <f>SUM(H37:H38)</f>
        <v>65000000</v>
      </c>
      <c r="I39" s="463">
        <f>SUM(I37:I38)</f>
        <v>40000000</v>
      </c>
      <c r="J39" s="463">
        <f>SUM(J37:J38)</f>
        <v>25000000</v>
      </c>
      <c r="K39" s="464">
        <f>SUM(K37:K38)</f>
        <v>7.1183761866880663E-2</v>
      </c>
      <c r="N39" s="391"/>
    </row>
    <row r="40" spans="1:15" ht="24" customHeight="1">
      <c r="A40" s="232">
        <v>5</v>
      </c>
      <c r="B40" s="232" t="s">
        <v>605</v>
      </c>
      <c r="C40" s="232" t="s">
        <v>4</v>
      </c>
      <c r="D40" s="387"/>
      <c r="E40" s="387"/>
      <c r="F40" s="387" t="s">
        <v>24</v>
      </c>
      <c r="G40" s="387" t="s">
        <v>8</v>
      </c>
      <c r="H40" s="392" t="s">
        <v>9</v>
      </c>
      <c r="I40" s="392" t="s">
        <v>10</v>
      </c>
      <c r="J40" s="392" t="s">
        <v>468</v>
      </c>
      <c r="K40" s="387" t="s">
        <v>11</v>
      </c>
      <c r="N40" s="403"/>
    </row>
    <row r="41" spans="1:15">
      <c r="A41" s="63" t="s">
        <v>38</v>
      </c>
      <c r="B41" s="386" t="s">
        <v>656</v>
      </c>
      <c r="C41" s="227">
        <v>40</v>
      </c>
      <c r="D41" s="13" t="s">
        <v>26</v>
      </c>
      <c r="E41" s="13" t="s">
        <v>26</v>
      </c>
      <c r="F41" s="234">
        <v>11000</v>
      </c>
      <c r="G41" s="237">
        <v>440000</v>
      </c>
      <c r="H41" s="405">
        <f t="shared" ref="H41:H46" si="8">C41*F41</f>
        <v>440000</v>
      </c>
      <c r="I41" s="405">
        <f t="shared" ref="I41:I46" si="9">+H41</f>
        <v>440000</v>
      </c>
      <c r="J41" s="405"/>
      <c r="K41" s="100">
        <f t="shared" ref="K41:K48" si="10">H41*100%/$H$52</f>
        <v>4.8185931109888456E-4</v>
      </c>
      <c r="L41" s="244"/>
      <c r="M41" s="406"/>
      <c r="N41" s="403"/>
    </row>
    <row r="42" spans="1:15">
      <c r="A42" s="63" t="s">
        <v>689</v>
      </c>
      <c r="B42" s="386" t="s">
        <v>657</v>
      </c>
      <c r="C42" s="227">
        <v>40</v>
      </c>
      <c r="D42" s="13" t="s">
        <v>26</v>
      </c>
      <c r="E42" s="13" t="s">
        <v>26</v>
      </c>
      <c r="F42" s="234">
        <v>13000</v>
      </c>
      <c r="G42" s="237">
        <v>520000</v>
      </c>
      <c r="H42" s="405">
        <f t="shared" si="8"/>
        <v>520000</v>
      </c>
      <c r="I42" s="405">
        <f t="shared" si="9"/>
        <v>520000</v>
      </c>
      <c r="J42" s="405"/>
      <c r="K42" s="100">
        <f t="shared" si="10"/>
        <v>5.6947009493504537E-4</v>
      </c>
      <c r="L42" s="406"/>
      <c r="M42" s="406"/>
      <c r="N42" s="403"/>
    </row>
    <row r="43" spans="1:15" ht="51">
      <c r="A43" s="63" t="s">
        <v>690</v>
      </c>
      <c r="B43" s="386" t="s">
        <v>691</v>
      </c>
      <c r="C43" s="227">
        <v>2</v>
      </c>
      <c r="D43" s="13" t="s">
        <v>26</v>
      </c>
      <c r="E43" s="13" t="s">
        <v>26</v>
      </c>
      <c r="F43" s="234">
        <v>1200000</v>
      </c>
      <c r="G43" s="237">
        <v>2400000</v>
      </c>
      <c r="H43" s="405">
        <f t="shared" si="8"/>
        <v>2400000</v>
      </c>
      <c r="I43" s="405">
        <f t="shared" si="9"/>
        <v>2400000</v>
      </c>
      <c r="J43" s="405"/>
      <c r="K43" s="100">
        <f t="shared" si="10"/>
        <v>2.6283235150848247E-3</v>
      </c>
      <c r="L43" s="244"/>
      <c r="M43" s="406"/>
      <c r="N43" s="403"/>
    </row>
    <row r="44" spans="1:15" s="410" customFormat="1">
      <c r="A44" s="227" t="s">
        <v>692</v>
      </c>
      <c r="B44" s="386" t="s">
        <v>469</v>
      </c>
      <c r="C44" s="227">
        <v>6</v>
      </c>
      <c r="D44" s="407" t="s">
        <v>26</v>
      </c>
      <c r="E44" s="407" t="s">
        <v>26</v>
      </c>
      <c r="F44" s="408">
        <v>160000</v>
      </c>
      <c r="G44" s="237">
        <v>960000</v>
      </c>
      <c r="H44" s="405">
        <f t="shared" si="8"/>
        <v>960000</v>
      </c>
      <c r="I44" s="405">
        <f t="shared" si="9"/>
        <v>960000</v>
      </c>
      <c r="J44" s="405"/>
      <c r="K44" s="409">
        <f t="shared" si="10"/>
        <v>1.0513294060339299E-3</v>
      </c>
      <c r="M44" s="411"/>
      <c r="N44" s="412"/>
    </row>
    <row r="45" spans="1:15">
      <c r="A45" s="63" t="s">
        <v>693</v>
      </c>
      <c r="B45" s="386" t="s">
        <v>470</v>
      </c>
      <c r="C45" s="227">
        <v>3</v>
      </c>
      <c r="D45" s="13" t="s">
        <v>26</v>
      </c>
      <c r="E45" s="13" t="s">
        <v>26</v>
      </c>
      <c r="F45" s="234">
        <v>2600000</v>
      </c>
      <c r="G45" s="247">
        <v>7800000</v>
      </c>
      <c r="H45" s="405">
        <f t="shared" si="8"/>
        <v>7800000</v>
      </c>
      <c r="I45" s="405">
        <f t="shared" si="9"/>
        <v>7800000</v>
      </c>
      <c r="J45" s="405"/>
      <c r="K45" s="100">
        <f t="shared" si="10"/>
        <v>8.542051424025681E-3</v>
      </c>
      <c r="M45" s="406"/>
      <c r="N45" s="403"/>
    </row>
    <row r="46" spans="1:15">
      <c r="A46" s="63" t="s">
        <v>694</v>
      </c>
      <c r="B46" s="386" t="s">
        <v>630</v>
      </c>
      <c r="C46" s="227">
        <v>1</v>
      </c>
      <c r="D46" s="13" t="s">
        <v>26</v>
      </c>
      <c r="E46" s="13" t="s">
        <v>26</v>
      </c>
      <c r="F46" s="234">
        <v>30000000</v>
      </c>
      <c r="G46" s="234">
        <v>30000000</v>
      </c>
      <c r="H46" s="405">
        <f t="shared" si="8"/>
        <v>30000000</v>
      </c>
      <c r="I46" s="405">
        <f t="shared" si="9"/>
        <v>30000000</v>
      </c>
      <c r="J46" s="405"/>
      <c r="K46" s="100">
        <f t="shared" si="10"/>
        <v>3.2854043938560312E-2</v>
      </c>
      <c r="M46" s="406"/>
      <c r="N46" s="403"/>
    </row>
    <row r="47" spans="1:15" s="225" customFormat="1" ht="51">
      <c r="A47" s="63" t="s">
        <v>695</v>
      </c>
      <c r="B47" s="386" t="s">
        <v>631</v>
      </c>
      <c r="C47" s="227">
        <v>1</v>
      </c>
      <c r="D47" s="13" t="s">
        <v>26</v>
      </c>
      <c r="E47" s="13" t="s">
        <v>26</v>
      </c>
      <c r="F47" s="234">
        <v>30000000</v>
      </c>
      <c r="G47" s="234">
        <v>30000000</v>
      </c>
      <c r="H47" s="405">
        <f>+F47*C47</f>
        <v>30000000</v>
      </c>
      <c r="I47" s="405"/>
      <c r="J47" s="405">
        <f>+H47</f>
        <v>30000000</v>
      </c>
      <c r="K47" s="100">
        <f t="shared" si="10"/>
        <v>3.2854043938560312E-2</v>
      </c>
      <c r="L47" s="458"/>
      <c r="M47" s="458"/>
      <c r="N47" s="391"/>
    </row>
    <row r="48" spans="1:15" s="225" customFormat="1" ht="38.25">
      <c r="A48" s="227" t="s">
        <v>696</v>
      </c>
      <c r="B48" s="471" t="s">
        <v>632</v>
      </c>
      <c r="C48" s="227">
        <v>1</v>
      </c>
      <c r="D48" s="246" t="s">
        <v>26</v>
      </c>
      <c r="E48" s="246" t="s">
        <v>26</v>
      </c>
      <c r="F48" s="413">
        <v>15518400</v>
      </c>
      <c r="G48" s="413"/>
      <c r="H48" s="414">
        <f>+F48*C48</f>
        <v>15518400</v>
      </c>
      <c r="I48" s="414"/>
      <c r="J48" s="414">
        <f>+H48</f>
        <v>15518400</v>
      </c>
      <c r="K48" s="415">
        <f t="shared" si="10"/>
        <v>1.6994739848538477E-2</v>
      </c>
      <c r="L48" s="458"/>
      <c r="M48" s="458"/>
      <c r="N48" s="391"/>
    </row>
    <row r="49" spans="1:14" s="225" customFormat="1">
      <c r="A49" s="581" t="s">
        <v>23</v>
      </c>
      <c r="B49" s="581"/>
      <c r="C49" s="236"/>
      <c r="D49" s="404"/>
      <c r="E49" s="404"/>
      <c r="F49" s="404"/>
      <c r="G49" s="404"/>
      <c r="H49" s="416">
        <f>SUM(H41:H48)</f>
        <v>87638400</v>
      </c>
      <c r="I49" s="416">
        <f>SUM(I41:I47)</f>
        <v>42120000</v>
      </c>
      <c r="J49" s="416">
        <f>SUM(J41:J48)</f>
        <v>45518400</v>
      </c>
      <c r="K49" s="417">
        <f>SUM(K41:K48)</f>
        <v>9.5975861476837454E-2</v>
      </c>
      <c r="N49" s="391"/>
    </row>
    <row r="50" spans="1:14" s="225" customFormat="1">
      <c r="A50" s="5">
        <v>1</v>
      </c>
      <c r="B50" s="238" t="s">
        <v>39</v>
      </c>
      <c r="C50" s="7"/>
      <c r="D50" s="7"/>
      <c r="E50" s="7"/>
      <c r="F50" s="418"/>
      <c r="G50" s="418"/>
      <c r="H50" s="419">
        <f>+H20</f>
        <v>557611200</v>
      </c>
      <c r="I50" s="419">
        <f>+I20</f>
        <v>525000000</v>
      </c>
      <c r="J50" s="419">
        <f>+J20</f>
        <v>32611200</v>
      </c>
      <c r="K50" s="420">
        <f>+K20</f>
        <v>0.57494576892480542</v>
      </c>
    </row>
    <row r="51" spans="1:14" s="230" customFormat="1">
      <c r="A51" s="27" t="s">
        <v>697</v>
      </c>
      <c r="B51" s="421" t="s">
        <v>40</v>
      </c>
      <c r="C51" s="30"/>
      <c r="D51" s="30"/>
      <c r="E51" s="30"/>
      <c r="F51" s="422"/>
      <c r="G51" s="422"/>
      <c r="H51" s="423">
        <f>+H32+H35+H39+H49</f>
        <v>355518400</v>
      </c>
      <c r="I51" s="423">
        <f t="shared" ref="I51" si="11">+I32+I35+I39+I49</f>
        <v>275000000</v>
      </c>
      <c r="J51" s="423">
        <f>+J32+J35+J39+J49</f>
        <v>80518400</v>
      </c>
      <c r="K51" s="423">
        <f t="shared" ref="K51" si="12">+K32+K35+K39+K49</f>
        <v>0.22145640662617877</v>
      </c>
      <c r="L51" s="424"/>
      <c r="M51" s="425"/>
    </row>
    <row r="52" spans="1:14" s="225" customFormat="1">
      <c r="A52" s="239"/>
      <c r="B52" s="238" t="s">
        <v>41</v>
      </c>
      <c r="C52" s="7"/>
      <c r="D52" s="7"/>
      <c r="E52" s="7"/>
      <c r="F52" s="7"/>
      <c r="G52" s="7"/>
      <c r="H52" s="419">
        <f>+H50+H51</f>
        <v>913129600</v>
      </c>
      <c r="I52" s="419">
        <f t="shared" ref="I52:J52" si="13">+I50+I51</f>
        <v>800000000</v>
      </c>
      <c r="J52" s="419">
        <f t="shared" si="13"/>
        <v>113129600</v>
      </c>
      <c r="K52" s="426">
        <f>+K50+K51</f>
        <v>0.79640217555098425</v>
      </c>
      <c r="L52" s="245"/>
    </row>
    <row r="53" spans="1:14">
      <c r="B53" s="240"/>
      <c r="C53" s="224"/>
      <c r="D53" s="224"/>
    </row>
    <row r="54" spans="1:14">
      <c r="A54" s="225"/>
      <c r="B54" s="240" t="s">
        <v>42</v>
      </c>
      <c r="C54" s="224" t="s">
        <v>43</v>
      </c>
      <c r="D54" s="224"/>
      <c r="E54" s="225"/>
      <c r="I54" s="427"/>
      <c r="J54" s="427"/>
    </row>
    <row r="55" spans="1:14">
      <c r="A55" s="226"/>
      <c r="B55" s="582" t="s">
        <v>494</v>
      </c>
      <c r="C55" s="582"/>
      <c r="D55" s="582"/>
      <c r="E55" s="582"/>
      <c r="F55" s="229"/>
    </row>
  </sheetData>
  <mergeCells count="8">
    <mergeCell ref="A49:B49"/>
    <mergeCell ref="B55:E55"/>
    <mergeCell ref="A1:K1"/>
    <mergeCell ref="A2:B3"/>
    <mergeCell ref="C2:K3"/>
    <mergeCell ref="A20:B20"/>
    <mergeCell ref="A32:B32"/>
    <mergeCell ref="A35:B35"/>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1908C2-B0C2-4226-B174-E9198A943709}">
  <dimension ref="A1:K23"/>
  <sheetViews>
    <sheetView workbookViewId="0">
      <selection activeCell="F8" sqref="F8"/>
    </sheetView>
  </sheetViews>
  <sheetFormatPr baseColWidth="10" defaultColWidth="10.7109375" defaultRowHeight="15"/>
  <sheetData>
    <row r="1" spans="1:11">
      <c r="A1" s="506" t="s">
        <v>0</v>
      </c>
      <c r="B1" s="506"/>
      <c r="C1" s="506"/>
      <c r="D1" s="506"/>
      <c r="E1" s="506"/>
      <c r="F1" s="506"/>
      <c r="G1" s="506"/>
      <c r="H1" s="506"/>
      <c r="I1" s="506"/>
      <c r="J1" s="506"/>
      <c r="K1" s="506"/>
    </row>
    <row r="2" spans="1:11">
      <c r="A2" s="499" t="s">
        <v>1</v>
      </c>
      <c r="B2" s="499"/>
      <c r="C2" s="500" t="s">
        <v>726</v>
      </c>
      <c r="D2" s="501"/>
      <c r="E2" s="501"/>
      <c r="F2" s="501"/>
      <c r="G2" s="501"/>
      <c r="H2" s="501"/>
      <c r="I2" s="501"/>
      <c r="J2" s="501"/>
      <c r="K2" s="502"/>
    </row>
    <row r="3" spans="1:11" ht="43.5" customHeight="1">
      <c r="A3" s="499"/>
      <c r="B3" s="499"/>
      <c r="C3" s="503"/>
      <c r="D3" s="504"/>
      <c r="E3" s="504"/>
      <c r="F3" s="504"/>
      <c r="G3" s="504"/>
      <c r="H3" s="504"/>
      <c r="I3" s="504"/>
      <c r="J3" s="504"/>
      <c r="K3" s="505"/>
    </row>
    <row r="4" spans="1:11">
      <c r="A4" s="230"/>
      <c r="B4" s="231"/>
      <c r="C4" s="226"/>
      <c r="D4" s="226"/>
      <c r="E4" s="226"/>
      <c r="F4" s="226"/>
      <c r="G4" s="226"/>
      <c r="H4" s="229"/>
      <c r="I4" s="229"/>
      <c r="J4" s="229"/>
      <c r="K4" s="226"/>
    </row>
    <row r="5" spans="1:11" ht="51">
      <c r="A5" s="5" t="s">
        <v>2</v>
      </c>
      <c r="B5" s="7" t="s">
        <v>3</v>
      </c>
      <c r="C5" s="7" t="s">
        <v>4</v>
      </c>
      <c r="D5" s="7" t="s">
        <v>5</v>
      </c>
      <c r="E5" s="7" t="s">
        <v>6</v>
      </c>
      <c r="F5" s="7" t="s">
        <v>7</v>
      </c>
      <c r="G5" s="7" t="s">
        <v>8</v>
      </c>
      <c r="H5" s="228" t="s">
        <v>9</v>
      </c>
      <c r="I5" s="228" t="s">
        <v>10</v>
      </c>
      <c r="J5" s="228" t="s">
        <v>468</v>
      </c>
      <c r="K5" s="58" t="s">
        <v>11</v>
      </c>
    </row>
    <row r="6" spans="1:11" ht="51">
      <c r="A6" s="59">
        <v>1</v>
      </c>
      <c r="B6" s="232" t="s">
        <v>12</v>
      </c>
      <c r="C6" s="232"/>
      <c r="D6" s="232"/>
      <c r="E6" s="232"/>
      <c r="F6" s="232"/>
      <c r="G6" s="232"/>
      <c r="H6" s="233"/>
      <c r="I6" s="233"/>
      <c r="J6" s="233"/>
      <c r="K6" s="241"/>
    </row>
    <row r="7" spans="1:11" ht="25.5">
      <c r="A7" s="215" t="s">
        <v>13</v>
      </c>
      <c r="B7" s="62" t="s">
        <v>715</v>
      </c>
      <c r="C7" s="63">
        <v>1</v>
      </c>
      <c r="D7" s="13">
        <v>1</v>
      </c>
      <c r="E7" s="63">
        <v>4.5</v>
      </c>
      <c r="F7" s="234">
        <v>7000000</v>
      </c>
      <c r="G7" s="234">
        <f>+'[2]Analisis de Mercado-Salarios'!E59</f>
        <v>9870137.5192307699</v>
      </c>
      <c r="H7" s="235">
        <f t="shared" ref="H7:H13" si="0">F7*E7*D7*C7</f>
        <v>31500000</v>
      </c>
      <c r="I7" s="242">
        <f t="shared" ref="I7:I12" si="1">+H7</f>
        <v>31500000</v>
      </c>
      <c r="J7" s="242"/>
      <c r="K7" s="100">
        <f t="shared" ref="K7:K13" si="2">H7*100%/$H$23</f>
        <v>6.7021276596814172E-2</v>
      </c>
    </row>
    <row r="8" spans="1:11" ht="38.25">
      <c r="A8" s="215" t="s">
        <v>15</v>
      </c>
      <c r="B8" s="62" t="s">
        <v>716</v>
      </c>
      <c r="C8" s="63">
        <v>1</v>
      </c>
      <c r="D8" s="13">
        <v>1</v>
      </c>
      <c r="E8" s="63">
        <v>4.5</v>
      </c>
      <c r="F8" s="234">
        <v>6500000</v>
      </c>
      <c r="G8" s="234">
        <v>6935464.5</v>
      </c>
      <c r="H8" s="235">
        <f t="shared" si="0"/>
        <v>29250000</v>
      </c>
      <c r="I8" s="242">
        <f t="shared" si="1"/>
        <v>29250000</v>
      </c>
      <c r="J8" s="242"/>
      <c r="K8" s="100">
        <f t="shared" si="2"/>
        <v>6.2234042554184583E-2</v>
      </c>
    </row>
    <row r="9" spans="1:11" ht="25.5">
      <c r="A9" s="215" t="s">
        <v>17</v>
      </c>
      <c r="B9" s="62" t="s">
        <v>717</v>
      </c>
      <c r="C9" s="63">
        <v>1</v>
      </c>
      <c r="D9" s="13">
        <v>1</v>
      </c>
      <c r="E9" s="63">
        <v>4.5</v>
      </c>
      <c r="F9" s="234">
        <v>6500000</v>
      </c>
      <c r="G9" s="234">
        <f>+'[2]Analisis de Mercado-Salarios'!E74</f>
        <v>6935464.5</v>
      </c>
      <c r="H9" s="235">
        <f t="shared" si="0"/>
        <v>29250000</v>
      </c>
      <c r="I9" s="242">
        <f t="shared" si="1"/>
        <v>29250000</v>
      </c>
      <c r="J9" s="242"/>
      <c r="K9" s="100">
        <f t="shared" si="2"/>
        <v>6.2234042554184583E-2</v>
      </c>
    </row>
    <row r="10" spans="1:11" ht="25.5">
      <c r="A10" s="215" t="s">
        <v>18</v>
      </c>
      <c r="B10" s="62" t="s">
        <v>718</v>
      </c>
      <c r="C10" s="63">
        <v>1</v>
      </c>
      <c r="D10" s="13">
        <v>1</v>
      </c>
      <c r="E10" s="63">
        <v>4.5</v>
      </c>
      <c r="F10" s="234">
        <v>6500000</v>
      </c>
      <c r="G10" s="234">
        <f>+G9</f>
        <v>6935464.5</v>
      </c>
      <c r="H10" s="235">
        <f t="shared" si="0"/>
        <v>29250000</v>
      </c>
      <c r="I10" s="242">
        <f t="shared" si="1"/>
        <v>29250000</v>
      </c>
      <c r="J10" s="242"/>
      <c r="K10" s="100">
        <f t="shared" si="2"/>
        <v>6.2234042554184583E-2</v>
      </c>
    </row>
    <row r="11" spans="1:11" ht="25.5">
      <c r="A11" s="215" t="s">
        <v>19</v>
      </c>
      <c r="B11" s="62" t="s">
        <v>719</v>
      </c>
      <c r="C11" s="63">
        <v>2</v>
      </c>
      <c r="D11" s="13">
        <v>1</v>
      </c>
      <c r="E11" s="63">
        <v>4.5</v>
      </c>
      <c r="F11" s="234">
        <v>6500000</v>
      </c>
      <c r="G11" s="234">
        <f>+G10</f>
        <v>6935464.5</v>
      </c>
      <c r="H11" s="235">
        <f t="shared" si="0"/>
        <v>58500000</v>
      </c>
      <c r="I11" s="242">
        <f t="shared" si="1"/>
        <v>58500000</v>
      </c>
      <c r="J11" s="242"/>
      <c r="K11" s="100">
        <f t="shared" si="2"/>
        <v>0.12446808510836917</v>
      </c>
    </row>
    <row r="12" spans="1:11" ht="25.5">
      <c r="A12" s="215" t="s">
        <v>20</v>
      </c>
      <c r="B12" s="62" t="s">
        <v>720</v>
      </c>
      <c r="C12" s="63">
        <v>2</v>
      </c>
      <c r="D12" s="13">
        <v>1</v>
      </c>
      <c r="E12" s="63">
        <v>4.5</v>
      </c>
      <c r="F12" s="234">
        <v>4000000</v>
      </c>
      <c r="G12" s="234">
        <f>+'[2]Analisis de Mercado-Salarios'!E82</f>
        <v>3021963.4285714286</v>
      </c>
      <c r="H12" s="235">
        <f t="shared" si="0"/>
        <v>36000000</v>
      </c>
      <c r="I12" s="242">
        <f t="shared" si="1"/>
        <v>36000000</v>
      </c>
      <c r="J12" s="242"/>
      <c r="K12" s="100">
        <f t="shared" si="2"/>
        <v>7.6595744682073336E-2</v>
      </c>
    </row>
    <row r="13" spans="1:11" ht="25.5">
      <c r="A13" s="215" t="s">
        <v>21</v>
      </c>
      <c r="B13" s="62" t="s">
        <v>721</v>
      </c>
      <c r="C13" s="63">
        <v>5</v>
      </c>
      <c r="D13" s="13">
        <v>1</v>
      </c>
      <c r="E13" s="63">
        <v>4.5</v>
      </c>
      <c r="F13" s="234">
        <v>3333333.3330000001</v>
      </c>
      <c r="G13" s="234">
        <v>3021963.4285714286</v>
      </c>
      <c r="H13" s="235">
        <f t="shared" si="0"/>
        <v>74999999.992500007</v>
      </c>
      <c r="I13" s="229"/>
      <c r="J13" s="242">
        <f>+H13</f>
        <v>74999999.992500007</v>
      </c>
      <c r="K13" s="100">
        <f t="shared" si="2"/>
        <v>0.15957446807169534</v>
      </c>
    </row>
    <row r="14" spans="1:11">
      <c r="A14" s="497" t="s">
        <v>23</v>
      </c>
      <c r="B14" s="497"/>
      <c r="C14" s="232">
        <f>SUM(C7:C13)</f>
        <v>13</v>
      </c>
      <c r="D14" s="387"/>
      <c r="E14" s="387"/>
      <c r="F14" s="388"/>
      <c r="G14" s="388"/>
      <c r="H14" s="389">
        <f>SUM(H7:H13)</f>
        <v>288749999.99250001</v>
      </c>
      <c r="I14" s="389">
        <f>SUM(I7:I13)</f>
        <v>213750000</v>
      </c>
      <c r="J14" s="389">
        <f>SUM(J7:J13)</f>
        <v>74999999.992500007</v>
      </c>
      <c r="K14" s="390">
        <f>SUM(K7:K13)</f>
        <v>0.61436170212150576</v>
      </c>
    </row>
    <row r="15" spans="1:11" ht="63.75">
      <c r="A15" s="232">
        <v>2</v>
      </c>
      <c r="B15" s="232" t="s">
        <v>727</v>
      </c>
      <c r="C15" s="232" t="s">
        <v>4</v>
      </c>
      <c r="D15" s="387"/>
      <c r="E15" s="387" t="s">
        <v>6</v>
      </c>
      <c r="F15" s="387" t="s">
        <v>24</v>
      </c>
      <c r="G15" s="387" t="s">
        <v>8</v>
      </c>
      <c r="H15" s="392" t="s">
        <v>9</v>
      </c>
      <c r="I15" s="393" t="s">
        <v>10</v>
      </c>
      <c r="J15" s="393" t="s">
        <v>468</v>
      </c>
      <c r="K15" s="387" t="s">
        <v>11</v>
      </c>
    </row>
    <row r="16" spans="1:11" ht="76.5">
      <c r="A16" s="27" t="s">
        <v>25</v>
      </c>
      <c r="B16" s="62" t="s">
        <v>723</v>
      </c>
      <c r="C16" s="63">
        <v>1</v>
      </c>
      <c r="D16" s="394" t="s">
        <v>26</v>
      </c>
      <c r="E16" s="63">
        <v>4.5</v>
      </c>
      <c r="F16" s="234">
        <v>5111111.111111111</v>
      </c>
      <c r="G16" s="234">
        <v>7972162.5</v>
      </c>
      <c r="H16" s="395">
        <f>+F16*C16*E16</f>
        <v>23000000</v>
      </c>
      <c r="I16" s="225"/>
      <c r="J16" s="242">
        <f>+F16*E16*C16</f>
        <v>23000000</v>
      </c>
      <c r="K16" s="100">
        <f>H16*100%/$H$23</f>
        <v>4.8936170213546855E-2</v>
      </c>
    </row>
    <row r="17" spans="1:11" ht="38.25">
      <c r="A17" s="27" t="s">
        <v>27</v>
      </c>
      <c r="B17" s="62" t="s">
        <v>722</v>
      </c>
      <c r="C17" s="63">
        <v>5</v>
      </c>
      <c r="D17" s="394" t="s">
        <v>26</v>
      </c>
      <c r="E17" s="480">
        <v>4.5</v>
      </c>
      <c r="F17" s="234">
        <v>6055555.555555555</v>
      </c>
      <c r="G17" s="234">
        <v>7972162.5</v>
      </c>
      <c r="H17" s="395">
        <f>+F17*E17*C17</f>
        <v>136249999.99999997</v>
      </c>
      <c r="I17" s="242">
        <f t="shared" ref="I17" si="3">+H17</f>
        <v>136249999.99999997</v>
      </c>
      <c r="J17" s="242"/>
      <c r="K17" s="100">
        <f>H17*100%/$H$23</f>
        <v>0.28989361702590249</v>
      </c>
    </row>
    <row r="18" spans="1:11" ht="63.75">
      <c r="A18" s="27" t="s">
        <v>291</v>
      </c>
      <c r="B18" s="401" t="s">
        <v>724</v>
      </c>
      <c r="C18" s="63">
        <v>1</v>
      </c>
      <c r="D18" s="394" t="s">
        <v>26</v>
      </c>
      <c r="E18" s="481">
        <v>1</v>
      </c>
      <c r="F18" s="234">
        <v>6000000</v>
      </c>
      <c r="G18" s="234">
        <f>+'[2]Analisis de Mercado-Actividades'!E29</f>
        <v>7354365</v>
      </c>
      <c r="H18" s="234">
        <f>+F18*E18</f>
        <v>6000000</v>
      </c>
      <c r="I18" s="467"/>
      <c r="J18" s="242">
        <f>+H18</f>
        <v>6000000</v>
      </c>
      <c r="K18" s="100">
        <f t="shared" ref="K18:K19" si="4">H18*100%/$H$23</f>
        <v>1.2765957447012222E-2</v>
      </c>
    </row>
    <row r="19" spans="1:11" ht="51">
      <c r="A19" s="27" t="s">
        <v>28</v>
      </c>
      <c r="B19" s="401" t="s">
        <v>725</v>
      </c>
      <c r="C19" s="63">
        <v>1</v>
      </c>
      <c r="D19" s="394" t="s">
        <v>26</v>
      </c>
      <c r="E19" s="480">
        <v>4.5</v>
      </c>
      <c r="F19" s="234">
        <v>3555555.5555555555</v>
      </c>
      <c r="G19" s="234">
        <v>7972162.5</v>
      </c>
      <c r="H19" s="234">
        <f>+F19*C19*E19</f>
        <v>16000000</v>
      </c>
      <c r="I19" s="467"/>
      <c r="J19" s="242">
        <f>+H19</f>
        <v>16000000</v>
      </c>
      <c r="K19" s="100">
        <f t="shared" si="4"/>
        <v>3.4042553192032594E-2</v>
      </c>
    </row>
    <row r="20" spans="1:11">
      <c r="A20" s="507" t="s">
        <v>23</v>
      </c>
      <c r="B20" s="507"/>
      <c r="C20" s="232"/>
      <c r="D20" s="387"/>
      <c r="E20" s="387"/>
      <c r="F20" s="388"/>
      <c r="G20" s="388"/>
      <c r="H20" s="402">
        <f>SUM(H16:H19)</f>
        <v>181249999.99999997</v>
      </c>
      <c r="I20" s="402">
        <f>SUM(I16:I19)</f>
        <v>136249999.99999997</v>
      </c>
      <c r="J20" s="402">
        <f>SUM(J16:J19)</f>
        <v>45000000</v>
      </c>
      <c r="K20" s="390">
        <f>SUM(K17:K17)</f>
        <v>0.28989361702590249</v>
      </c>
    </row>
    <row r="21" spans="1:11" ht="63.75">
      <c r="A21" s="5">
        <v>1</v>
      </c>
      <c r="B21" s="238" t="s">
        <v>39</v>
      </c>
      <c r="C21" s="7"/>
      <c r="D21" s="7"/>
      <c r="E21" s="7"/>
      <c r="F21" s="418"/>
      <c r="G21" s="418"/>
      <c r="H21" s="419">
        <f>+H14</f>
        <v>288749999.99250001</v>
      </c>
      <c r="I21" s="419">
        <f>+I14</f>
        <v>213750000</v>
      </c>
      <c r="J21" s="419">
        <f>+J14</f>
        <v>74999999.992500007</v>
      </c>
      <c r="K21" s="420">
        <f>+K14</f>
        <v>0.61436170212150576</v>
      </c>
    </row>
    <row r="22" spans="1:11" ht="51">
      <c r="A22" s="27">
        <v>2</v>
      </c>
      <c r="B22" s="421" t="s">
        <v>40</v>
      </c>
      <c r="C22" s="30"/>
      <c r="D22" s="30"/>
      <c r="E22" s="30"/>
      <c r="F22" s="422"/>
      <c r="G22" s="422"/>
      <c r="H22" s="423">
        <f>+H20</f>
        <v>181249999.99999997</v>
      </c>
      <c r="I22" s="423">
        <f>+I20</f>
        <v>136249999.99999997</v>
      </c>
      <c r="J22" s="423">
        <f>+J20</f>
        <v>45000000</v>
      </c>
      <c r="K22" s="420" t="str">
        <f t="shared" ref="K22:K23" si="5">+K15</f>
        <v>%</v>
      </c>
    </row>
    <row r="23" spans="1:11" ht="38.25">
      <c r="A23" s="239"/>
      <c r="B23" s="238" t="s">
        <v>41</v>
      </c>
      <c r="C23" s="7"/>
      <c r="D23" s="7"/>
      <c r="E23" s="7"/>
      <c r="F23" s="7"/>
      <c r="G23" s="7"/>
      <c r="H23" s="419">
        <f>+I23+J23</f>
        <v>469999999.99250001</v>
      </c>
      <c r="I23" s="419">
        <f t="shared" ref="I23:J23" si="6">+I21+I22</f>
        <v>350000000</v>
      </c>
      <c r="J23" s="419">
        <f t="shared" si="6"/>
        <v>119999999.99250001</v>
      </c>
      <c r="K23" s="420">
        <f t="shared" si="5"/>
        <v>4.8936170213546855E-2</v>
      </c>
    </row>
  </sheetData>
  <mergeCells count="5">
    <mergeCell ref="A1:K1"/>
    <mergeCell ref="A2:B3"/>
    <mergeCell ref="C2:K3"/>
    <mergeCell ref="A14:B14"/>
    <mergeCell ref="A20:B20"/>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89479-5DF4-40D3-9F25-20B605B42AA5}">
  <dimension ref="A1:K28"/>
  <sheetViews>
    <sheetView topLeftCell="A4" workbookViewId="0">
      <selection activeCell="C4" sqref="C4"/>
    </sheetView>
  </sheetViews>
  <sheetFormatPr baseColWidth="10" defaultColWidth="10.7109375" defaultRowHeight="15"/>
  <cols>
    <col min="2" max="2" width="25.140625" customWidth="1"/>
  </cols>
  <sheetData>
    <row r="1" spans="1:11">
      <c r="A1" s="506" t="s">
        <v>0</v>
      </c>
      <c r="B1" s="506"/>
      <c r="C1" s="506"/>
      <c r="D1" s="506"/>
      <c r="E1" s="506"/>
      <c r="F1" s="506"/>
      <c r="G1" s="506"/>
      <c r="H1" s="506"/>
      <c r="I1" s="506"/>
      <c r="J1" s="506"/>
      <c r="K1" s="506"/>
    </row>
    <row r="2" spans="1:11">
      <c r="A2" s="499" t="s">
        <v>1</v>
      </c>
      <c r="B2" s="499"/>
      <c r="C2" s="500" t="s">
        <v>752</v>
      </c>
      <c r="D2" s="501"/>
      <c r="E2" s="501"/>
      <c r="F2" s="501"/>
      <c r="G2" s="501"/>
      <c r="H2" s="501"/>
      <c r="I2" s="501"/>
      <c r="J2" s="501"/>
      <c r="K2" s="502"/>
    </row>
    <row r="3" spans="1:11" ht="38.25" customHeight="1">
      <c r="A3" s="499"/>
      <c r="B3" s="499"/>
      <c r="C3" s="503"/>
      <c r="D3" s="504"/>
      <c r="E3" s="504"/>
      <c r="F3" s="504"/>
      <c r="G3" s="504"/>
      <c r="H3" s="504"/>
      <c r="I3" s="504"/>
      <c r="J3" s="504"/>
      <c r="K3" s="505"/>
    </row>
    <row r="4" spans="1:11">
      <c r="A4" s="230"/>
      <c r="B4" s="231"/>
      <c r="C4" s="226"/>
      <c r="D4" s="226"/>
      <c r="E4" s="226"/>
      <c r="F4" s="226"/>
      <c r="G4" s="226"/>
      <c r="H4" s="229"/>
      <c r="I4" s="229"/>
      <c r="J4" s="229"/>
      <c r="K4" s="226"/>
    </row>
    <row r="5" spans="1:11" ht="51">
      <c r="A5" s="5" t="s">
        <v>2</v>
      </c>
      <c r="B5" s="7" t="s">
        <v>3</v>
      </c>
      <c r="C5" s="7" t="s">
        <v>4</v>
      </c>
      <c r="D5" s="7" t="s">
        <v>5</v>
      </c>
      <c r="E5" s="7" t="s">
        <v>6</v>
      </c>
      <c r="F5" s="7" t="s">
        <v>7</v>
      </c>
      <c r="G5" s="7" t="s">
        <v>8</v>
      </c>
      <c r="H5" s="228" t="s">
        <v>9</v>
      </c>
      <c r="I5" s="228" t="s">
        <v>10</v>
      </c>
      <c r="J5" s="228" t="s">
        <v>698</v>
      </c>
      <c r="K5" s="58" t="s">
        <v>11</v>
      </c>
    </row>
    <row r="6" spans="1:11" ht="25.5">
      <c r="A6" s="59">
        <v>1</v>
      </c>
      <c r="B6" s="232" t="s">
        <v>12</v>
      </c>
      <c r="C6" s="232"/>
      <c r="D6" s="232"/>
      <c r="E6" s="232"/>
      <c r="F6" s="232"/>
      <c r="G6" s="232"/>
      <c r="H6" s="233"/>
      <c r="I6" s="233"/>
      <c r="J6" s="233"/>
      <c r="K6" s="241"/>
    </row>
    <row r="7" spans="1:11" ht="76.5">
      <c r="A7" s="215" t="s">
        <v>13</v>
      </c>
      <c r="B7" s="62" t="s">
        <v>740</v>
      </c>
      <c r="C7" s="63">
        <v>1</v>
      </c>
      <c r="D7" s="13">
        <v>1</v>
      </c>
      <c r="E7" s="63">
        <v>3.8</v>
      </c>
      <c r="F7" s="234">
        <v>9473684.2105263155</v>
      </c>
      <c r="G7" s="234">
        <f>+'[3]Analisis de Mercado-Salarios'!E60</f>
        <v>9815983.9811320752</v>
      </c>
      <c r="H7" s="235">
        <f t="shared" ref="H7:H12" si="0">F7*E7*D7*C7</f>
        <v>36000000</v>
      </c>
      <c r="I7" s="242">
        <f t="shared" ref="I7:I12" si="1">+H7</f>
        <v>36000000</v>
      </c>
      <c r="J7" s="242"/>
      <c r="K7" s="100">
        <f t="shared" ref="K7:K12" si="2">H7*100%/$H$28</f>
        <v>7.8133478024959305E-2</v>
      </c>
    </row>
    <row r="8" spans="1:11" ht="76.5">
      <c r="A8" s="215" t="s">
        <v>15</v>
      </c>
      <c r="B8" s="62" t="s">
        <v>741</v>
      </c>
      <c r="C8" s="63">
        <v>1</v>
      </c>
      <c r="D8" s="13">
        <v>1</v>
      </c>
      <c r="E8" s="63">
        <v>3.8</v>
      </c>
      <c r="F8" s="234">
        <v>6513157.8947368423</v>
      </c>
      <c r="G8" s="234">
        <f>+'[3]Analisis de Mercado-Salarios'!E82</f>
        <v>6861738.2380952379</v>
      </c>
      <c r="H8" s="235">
        <f t="shared" si="0"/>
        <v>24750000</v>
      </c>
      <c r="I8" s="242">
        <f t="shared" si="1"/>
        <v>24750000</v>
      </c>
      <c r="J8" s="242"/>
      <c r="K8" s="100">
        <f t="shared" si="2"/>
        <v>5.3716766142159519E-2</v>
      </c>
    </row>
    <row r="9" spans="1:11" ht="76.5">
      <c r="A9" s="215" t="s">
        <v>17</v>
      </c>
      <c r="B9" s="62" t="s">
        <v>742</v>
      </c>
      <c r="C9" s="63">
        <v>1</v>
      </c>
      <c r="D9" s="13">
        <v>1</v>
      </c>
      <c r="E9" s="63">
        <v>3.8</v>
      </c>
      <c r="F9" s="234">
        <v>6513157.8947368423</v>
      </c>
      <c r="G9" s="234">
        <f>+'[3]Analisis de Mercado-Salarios'!E82</f>
        <v>6861738.2380952379</v>
      </c>
      <c r="H9" s="235">
        <f t="shared" si="0"/>
        <v>24750000</v>
      </c>
      <c r="I9" s="242">
        <f t="shared" si="1"/>
        <v>24750000</v>
      </c>
      <c r="J9" s="242"/>
      <c r="K9" s="100">
        <f t="shared" si="2"/>
        <v>5.3716766142159519E-2</v>
      </c>
    </row>
    <row r="10" spans="1:11" ht="76.5">
      <c r="A10" s="215" t="s">
        <v>18</v>
      </c>
      <c r="B10" s="62" t="s">
        <v>743</v>
      </c>
      <c r="C10" s="63">
        <v>2</v>
      </c>
      <c r="D10" s="13">
        <v>1</v>
      </c>
      <c r="E10" s="63">
        <v>3.8</v>
      </c>
      <c r="F10" s="234">
        <v>3789473.6842105263</v>
      </c>
      <c r="G10" s="234">
        <f>+'[3]Analisis de Mercado-Salarios'!E92</f>
        <v>3110441.4444444445</v>
      </c>
      <c r="H10" s="235">
        <f t="shared" si="0"/>
        <v>28800000</v>
      </c>
      <c r="I10" s="242">
        <f t="shared" si="1"/>
        <v>28800000</v>
      </c>
      <c r="J10" s="242"/>
      <c r="K10" s="100">
        <f t="shared" si="2"/>
        <v>6.2506782419967447E-2</v>
      </c>
    </row>
    <row r="11" spans="1:11" ht="51">
      <c r="A11" s="215" t="s">
        <v>19</v>
      </c>
      <c r="B11" s="62" t="s">
        <v>744</v>
      </c>
      <c r="C11" s="63">
        <v>4</v>
      </c>
      <c r="D11" s="13">
        <v>1</v>
      </c>
      <c r="E11" s="63">
        <v>3.8</v>
      </c>
      <c r="F11" s="234">
        <v>9236842.1052631587</v>
      </c>
      <c r="G11" s="234">
        <f>+G7</f>
        <v>9815983.9811320752</v>
      </c>
      <c r="H11" s="235">
        <f t="shared" si="0"/>
        <v>140400000</v>
      </c>
      <c r="I11" s="242">
        <f t="shared" si="1"/>
        <v>140400000</v>
      </c>
      <c r="J11" s="242"/>
      <c r="K11" s="100">
        <f t="shared" si="2"/>
        <v>0.30472056429734129</v>
      </c>
    </row>
    <row r="12" spans="1:11" ht="63.75">
      <c r="A12" s="215" t="s">
        <v>20</v>
      </c>
      <c r="B12" s="62" t="s">
        <v>745</v>
      </c>
      <c r="C12" s="63">
        <v>2</v>
      </c>
      <c r="D12" s="13">
        <v>1</v>
      </c>
      <c r="E12" s="63">
        <v>3.8</v>
      </c>
      <c r="F12" s="234">
        <v>5921052.6315789474</v>
      </c>
      <c r="G12" s="234">
        <f>+G8</f>
        <v>6861738.2380952379</v>
      </c>
      <c r="H12" s="235">
        <f t="shared" si="0"/>
        <v>45000000</v>
      </c>
      <c r="I12" s="242">
        <f t="shared" si="1"/>
        <v>45000000</v>
      </c>
      <c r="J12" s="242"/>
      <c r="K12" s="100">
        <f t="shared" si="2"/>
        <v>9.7666847531199127E-2</v>
      </c>
    </row>
    <row r="13" spans="1:11">
      <c r="A13" s="497" t="s">
        <v>23</v>
      </c>
      <c r="B13" s="497"/>
      <c r="C13" s="232">
        <f>SUM(C7:C12)</f>
        <v>11</v>
      </c>
      <c r="D13" s="387"/>
      <c r="E13" s="387"/>
      <c r="F13" s="388"/>
      <c r="G13" s="388"/>
      <c r="H13" s="389">
        <f>SUM(H7:H12)</f>
        <v>299700000</v>
      </c>
      <c r="I13" s="389">
        <f>SUM(I7:I12)</f>
        <v>299700000</v>
      </c>
      <c r="J13" s="389">
        <f>SUM(J7:J12)</f>
        <v>0</v>
      </c>
      <c r="K13" s="390">
        <f>SUM(K7:K12)</f>
        <v>0.65046120455778622</v>
      </c>
    </row>
    <row r="14" spans="1:11" ht="38.25">
      <c r="A14" s="232">
        <v>2</v>
      </c>
      <c r="B14" s="232" t="s">
        <v>699</v>
      </c>
      <c r="C14" s="232" t="s">
        <v>4</v>
      </c>
      <c r="D14" s="387"/>
      <c r="E14" s="387" t="s">
        <v>6</v>
      </c>
      <c r="F14" s="387" t="s">
        <v>24</v>
      </c>
      <c r="G14" s="387" t="s">
        <v>8</v>
      </c>
      <c r="H14" s="392" t="s">
        <v>9</v>
      </c>
      <c r="I14" s="393" t="s">
        <v>10</v>
      </c>
      <c r="J14" s="393" t="s">
        <v>698</v>
      </c>
      <c r="K14" s="387" t="s">
        <v>11</v>
      </c>
    </row>
    <row r="15" spans="1:11" ht="140.25">
      <c r="A15" s="27" t="s">
        <v>25</v>
      </c>
      <c r="B15" s="62" t="s">
        <v>746</v>
      </c>
      <c r="C15" s="63">
        <v>2</v>
      </c>
      <c r="D15" s="394" t="s">
        <v>26</v>
      </c>
      <c r="E15" s="63">
        <v>1</v>
      </c>
      <c r="F15" s="234">
        <v>12500000</v>
      </c>
      <c r="G15" s="234">
        <f>+'[3]Analisis de Mercado-Actividades'!E32</f>
        <v>6844080.9523809524</v>
      </c>
      <c r="H15" s="395">
        <f>+F15*C15</f>
        <v>25000000</v>
      </c>
      <c r="I15" s="242">
        <f t="shared" ref="I15" si="3">+H15</f>
        <v>25000000</v>
      </c>
      <c r="J15" s="396"/>
      <c r="K15" s="100">
        <f>H15*100%/$H$28</f>
        <v>5.425935973955507E-2</v>
      </c>
    </row>
    <row r="16" spans="1:11" ht="25.5">
      <c r="A16" s="27" t="s">
        <v>27</v>
      </c>
      <c r="B16" s="62" t="s">
        <v>747</v>
      </c>
      <c r="C16" s="63">
        <v>10</v>
      </c>
      <c r="D16" s="394" t="s">
        <v>26</v>
      </c>
      <c r="E16" s="63">
        <v>3.8</v>
      </c>
      <c r="F16" s="234">
        <v>592105.26315789472</v>
      </c>
      <c r="G16" s="234">
        <f>+G15</f>
        <v>6844080.9523809524</v>
      </c>
      <c r="H16" s="395">
        <f>+F16*C16*E16</f>
        <v>22500000</v>
      </c>
      <c r="I16" s="467"/>
      <c r="J16" s="242">
        <f>+H16</f>
        <v>22500000</v>
      </c>
      <c r="K16" s="100">
        <f>H16*100%/$H$28</f>
        <v>4.8833423765599564E-2</v>
      </c>
    </row>
    <row r="17" spans="1:11" ht="25.5">
      <c r="A17" s="27" t="s">
        <v>291</v>
      </c>
      <c r="B17" s="62" t="s">
        <v>748</v>
      </c>
      <c r="C17" s="63">
        <v>5</v>
      </c>
      <c r="D17" s="394" t="s">
        <v>26</v>
      </c>
      <c r="E17" s="63">
        <v>3.8</v>
      </c>
      <c r="F17" s="234">
        <v>4144736.8421052634</v>
      </c>
      <c r="G17" s="234">
        <f>+G16</f>
        <v>6844080.9523809524</v>
      </c>
      <c r="H17" s="395">
        <f>+F17*C17*E17</f>
        <v>78750000</v>
      </c>
      <c r="I17" s="467"/>
      <c r="J17" s="242">
        <f>+H17</f>
        <v>78750000</v>
      </c>
      <c r="K17" s="100">
        <f>H17*100%/$H$28</f>
        <v>0.17091698317959847</v>
      </c>
    </row>
    <row r="18" spans="1:11">
      <c r="A18" s="507" t="s">
        <v>23</v>
      </c>
      <c r="B18" s="507"/>
      <c r="C18" s="232"/>
      <c r="D18" s="387"/>
      <c r="E18" s="387"/>
      <c r="F18" s="388"/>
      <c r="G18" s="388"/>
      <c r="H18" s="402">
        <f>SUM(H15:H17)</f>
        <v>126250000</v>
      </c>
      <c r="I18" s="402">
        <f>SUM(I15:I17)</f>
        <v>25000000</v>
      </c>
      <c r="J18" s="402">
        <f>SUM(J15:J17)</f>
        <v>101250000</v>
      </c>
      <c r="K18" s="390">
        <f>SUM(K15:K17)</f>
        <v>0.27400976668475308</v>
      </c>
    </row>
    <row r="19" spans="1:11" ht="38.25">
      <c r="A19" s="232">
        <v>3</v>
      </c>
      <c r="B19" s="232" t="s">
        <v>749</v>
      </c>
      <c r="C19" s="232" t="s">
        <v>4</v>
      </c>
      <c r="D19" s="387"/>
      <c r="E19" s="387"/>
      <c r="F19" s="387" t="s">
        <v>24</v>
      </c>
      <c r="G19" s="387" t="s">
        <v>8</v>
      </c>
      <c r="H19" s="392" t="s">
        <v>9</v>
      </c>
      <c r="I19" s="392" t="s">
        <v>10</v>
      </c>
      <c r="J19" s="392" t="s">
        <v>698</v>
      </c>
      <c r="K19" s="387" t="s">
        <v>11</v>
      </c>
    </row>
    <row r="20" spans="1:11" ht="25.5">
      <c r="A20" s="63" t="s">
        <v>29</v>
      </c>
      <c r="B20" s="386" t="s">
        <v>750</v>
      </c>
      <c r="C20" s="227">
        <v>1</v>
      </c>
      <c r="D20" s="13" t="s">
        <v>26</v>
      </c>
      <c r="E20" s="13" t="s">
        <v>26</v>
      </c>
      <c r="F20" s="234">
        <v>20000000</v>
      </c>
      <c r="G20" s="234">
        <f>+'[3]Analisis de Mercado-Actividades'!E51</f>
        <v>58853535.714285716</v>
      </c>
      <c r="H20" s="405">
        <f>+F20*C20</f>
        <v>20000000</v>
      </c>
      <c r="I20" s="405">
        <f>+H20</f>
        <v>20000000</v>
      </c>
      <c r="J20" s="405"/>
      <c r="K20" s="100">
        <f>H20*100%/$H$28</f>
        <v>4.3407487791644057E-2</v>
      </c>
    </row>
    <row r="21" spans="1:11">
      <c r="A21" s="507" t="s">
        <v>23</v>
      </c>
      <c r="B21" s="507"/>
      <c r="C21" s="232"/>
      <c r="D21" s="387"/>
      <c r="E21" s="387"/>
      <c r="F21" s="388"/>
      <c r="G21" s="388"/>
      <c r="H21" s="402">
        <f>SUM(H20:H20)</f>
        <v>20000000</v>
      </c>
      <c r="I21" s="402">
        <f>SUM(I20:I20)</f>
        <v>20000000</v>
      </c>
      <c r="J21" s="402">
        <f>SUM(J20:J20)</f>
        <v>0</v>
      </c>
      <c r="K21" s="390">
        <f>SUM(K20)</f>
        <v>4.3407487791644057E-2</v>
      </c>
    </row>
    <row r="22" spans="1:11" ht="38.25">
      <c r="A22" s="232">
        <v>4</v>
      </c>
      <c r="B22" s="232" t="s">
        <v>604</v>
      </c>
      <c r="C22" s="232" t="s">
        <v>4</v>
      </c>
      <c r="D22" s="387"/>
      <c r="E22" s="387"/>
      <c r="F22" s="387" t="s">
        <v>24</v>
      </c>
      <c r="G22" s="387" t="s">
        <v>8</v>
      </c>
      <c r="H22" s="392" t="s">
        <v>9</v>
      </c>
      <c r="I22" s="392" t="s">
        <v>10</v>
      </c>
      <c r="J22" s="392" t="s">
        <v>698</v>
      </c>
      <c r="K22" s="387" t="s">
        <v>11</v>
      </c>
    </row>
    <row r="23" spans="1:11">
      <c r="A23" s="63" t="s">
        <v>34</v>
      </c>
      <c r="B23" s="386" t="s">
        <v>493</v>
      </c>
      <c r="C23" s="227">
        <v>1</v>
      </c>
      <c r="D23" s="13" t="s">
        <v>26</v>
      </c>
      <c r="E23" s="13" t="s">
        <v>26</v>
      </c>
      <c r="F23" s="234">
        <v>10300000</v>
      </c>
      <c r="G23" s="473">
        <f>+'[3]Analisis de Mercado-Actividades'!E38</f>
        <v>11111350</v>
      </c>
      <c r="H23" s="405">
        <f t="shared" ref="H23" si="4">C23*F23</f>
        <v>10300000</v>
      </c>
      <c r="I23" s="472">
        <v>5300000</v>
      </c>
      <c r="J23" s="405">
        <v>5000000</v>
      </c>
      <c r="K23" s="100">
        <f>H23*100%/$H$28</f>
        <v>2.2354856212696689E-2</v>
      </c>
    </row>
    <row r="24" spans="1:11" ht="38.25">
      <c r="A24" s="227" t="s">
        <v>35</v>
      </c>
      <c r="B24" s="386" t="s">
        <v>751</v>
      </c>
      <c r="C24" s="227">
        <v>1</v>
      </c>
      <c r="D24" s="407" t="s">
        <v>26</v>
      </c>
      <c r="E24" s="63">
        <v>3.8</v>
      </c>
      <c r="F24" s="408">
        <v>1184210.5263157894</v>
      </c>
      <c r="G24" s="473">
        <f>+'[3]Analisis de Mercado-Actividades'!E43</f>
        <v>5755773.75</v>
      </c>
      <c r="H24" s="405">
        <f>C24*F24*E24</f>
        <v>4500000</v>
      </c>
      <c r="I24" s="227"/>
      <c r="J24" s="405">
        <f>+H24</f>
        <v>4500000</v>
      </c>
      <c r="K24" s="409">
        <f>H24*100%/$H$28</f>
        <v>9.7666847531199131E-3</v>
      </c>
    </row>
    <row r="25" spans="1:11">
      <c r="A25" s="581" t="s">
        <v>23</v>
      </c>
      <c r="B25" s="581"/>
      <c r="C25" s="236"/>
      <c r="D25" s="404"/>
      <c r="E25" s="404"/>
      <c r="F25" s="404"/>
      <c r="G25" s="404"/>
      <c r="H25" s="416">
        <f>SUM(H23:H24)</f>
        <v>14800000</v>
      </c>
      <c r="I25" s="402">
        <f>SUM(I23:I24)</f>
        <v>5300000</v>
      </c>
      <c r="J25" s="416">
        <f>SUM(J23:J24)</f>
        <v>9500000</v>
      </c>
      <c r="K25" s="417">
        <f>SUM(K23:K24)</f>
        <v>3.2121540965816604E-2</v>
      </c>
    </row>
    <row r="26" spans="1:11" ht="25.5">
      <c r="A26" s="5">
        <v>1</v>
      </c>
      <c r="B26" s="238" t="s">
        <v>39</v>
      </c>
      <c r="C26" s="7"/>
      <c r="D26" s="7"/>
      <c r="E26" s="7"/>
      <c r="F26" s="418"/>
      <c r="G26" s="418"/>
      <c r="H26" s="419">
        <f>+H13</f>
        <v>299700000</v>
      </c>
      <c r="I26" s="419">
        <f>+I13</f>
        <v>299700000</v>
      </c>
      <c r="J26" s="419">
        <f>+J13</f>
        <v>0</v>
      </c>
      <c r="K26" s="420">
        <f>+K13</f>
        <v>0.65046120455778622</v>
      </c>
    </row>
    <row r="27" spans="1:11" ht="25.5">
      <c r="A27" s="27" t="s">
        <v>650</v>
      </c>
      <c r="B27" s="421" t="s">
        <v>40</v>
      </c>
      <c r="C27" s="30"/>
      <c r="D27" s="30"/>
      <c r="E27" s="30"/>
      <c r="F27" s="422"/>
      <c r="G27" s="422"/>
      <c r="H27" s="423">
        <f>+H25+H21+H18</f>
        <v>161050000</v>
      </c>
      <c r="I27" s="423">
        <f>+I25+I21+I18</f>
        <v>50300000</v>
      </c>
      <c r="J27" s="423">
        <f>+J25+J21+J18</f>
        <v>110750000</v>
      </c>
      <c r="K27" s="423">
        <f>+K18+K25</f>
        <v>0.30613130765056967</v>
      </c>
    </row>
    <row r="28" spans="1:11">
      <c r="A28" s="239"/>
      <c r="B28" s="238" t="s">
        <v>41</v>
      </c>
      <c r="C28" s="7"/>
      <c r="D28" s="7"/>
      <c r="E28" s="7"/>
      <c r="F28" s="7"/>
      <c r="G28" s="7"/>
      <c r="H28" s="419">
        <f>+I28+J28</f>
        <v>460750000</v>
      </c>
      <c r="I28" s="419">
        <f t="shared" ref="I28:J28" si="5">+I26+I27</f>
        <v>350000000</v>
      </c>
      <c r="J28" s="419">
        <f t="shared" si="5"/>
        <v>110750000</v>
      </c>
      <c r="K28" s="426">
        <f>K25+K21+K18+K13</f>
        <v>1</v>
      </c>
    </row>
  </sheetData>
  <mergeCells count="7">
    <mergeCell ref="A25:B25"/>
    <mergeCell ref="A1:K1"/>
    <mergeCell ref="A2:B3"/>
    <mergeCell ref="C2:K3"/>
    <mergeCell ref="A13:B13"/>
    <mergeCell ref="A18:B18"/>
    <mergeCell ref="A21:B2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D780F4-B65E-4240-A994-8113DEC0F55C}">
  <dimension ref="A1:K29"/>
  <sheetViews>
    <sheetView workbookViewId="0">
      <selection activeCell="F8" sqref="F8"/>
    </sheetView>
  </sheetViews>
  <sheetFormatPr baseColWidth="10" defaultColWidth="10.7109375" defaultRowHeight="15"/>
  <sheetData>
    <row r="1" spans="1:11">
      <c r="A1" s="506" t="s">
        <v>0</v>
      </c>
      <c r="B1" s="506"/>
      <c r="C1" s="506"/>
      <c r="D1" s="506"/>
      <c r="E1" s="506"/>
      <c r="F1" s="506"/>
      <c r="G1" s="506"/>
      <c r="H1" s="506"/>
      <c r="I1" s="506"/>
      <c r="J1" s="506"/>
      <c r="K1" s="506"/>
    </row>
    <row r="2" spans="1:11">
      <c r="A2" s="499" t="s">
        <v>1</v>
      </c>
      <c r="B2" s="499"/>
      <c r="C2" s="500" t="s">
        <v>700</v>
      </c>
      <c r="D2" s="501"/>
      <c r="E2" s="501"/>
      <c r="F2" s="501"/>
      <c r="G2" s="501"/>
      <c r="H2" s="501"/>
      <c r="I2" s="501"/>
      <c r="J2" s="501"/>
      <c r="K2" s="502"/>
    </row>
    <row r="3" spans="1:11">
      <c r="A3" s="499"/>
      <c r="B3" s="499"/>
      <c r="C3" s="503"/>
      <c r="D3" s="504"/>
      <c r="E3" s="504"/>
      <c r="F3" s="504"/>
      <c r="G3" s="504"/>
      <c r="H3" s="504"/>
      <c r="I3" s="504"/>
      <c r="J3" s="504"/>
      <c r="K3" s="505"/>
    </row>
    <row r="4" spans="1:11">
      <c r="A4" s="230"/>
      <c r="B4" s="231"/>
      <c r="C4" s="226"/>
      <c r="D4" s="226"/>
      <c r="E4" s="226"/>
      <c r="F4" s="226"/>
      <c r="G4" s="226"/>
      <c r="H4" s="229"/>
      <c r="I4" s="229"/>
      <c r="J4" s="229"/>
      <c r="K4" s="226"/>
    </row>
    <row r="5" spans="1:11" ht="51">
      <c r="A5" s="5" t="s">
        <v>2</v>
      </c>
      <c r="B5" s="7" t="s">
        <v>3</v>
      </c>
      <c r="C5" s="7" t="s">
        <v>4</v>
      </c>
      <c r="D5" s="7" t="s">
        <v>5</v>
      </c>
      <c r="E5" s="7" t="s">
        <v>6</v>
      </c>
      <c r="F5" s="7" t="s">
        <v>7</v>
      </c>
      <c r="G5" s="7" t="s">
        <v>8</v>
      </c>
      <c r="H5" s="228" t="s">
        <v>9</v>
      </c>
      <c r="I5" s="228" t="s">
        <v>10</v>
      </c>
      <c r="J5" s="228" t="s">
        <v>698</v>
      </c>
      <c r="K5" s="58" t="s">
        <v>11</v>
      </c>
    </row>
    <row r="6" spans="1:11" ht="51">
      <c r="A6" s="59">
        <v>1</v>
      </c>
      <c r="B6" s="232" t="s">
        <v>12</v>
      </c>
      <c r="C6" s="232"/>
      <c r="D6" s="232"/>
      <c r="E6" s="232"/>
      <c r="F6" s="232"/>
      <c r="G6" s="232"/>
      <c r="H6" s="233"/>
      <c r="I6" s="233"/>
      <c r="J6" s="233"/>
      <c r="K6" s="241"/>
    </row>
    <row r="7" spans="1:11" ht="25.5">
      <c r="A7" s="215" t="s">
        <v>13</v>
      </c>
      <c r="B7" s="62" t="s">
        <v>701</v>
      </c>
      <c r="C7" s="63">
        <v>1</v>
      </c>
      <c r="D7" s="13">
        <v>1</v>
      </c>
      <c r="E7" s="63">
        <v>4.5</v>
      </c>
      <c r="F7" s="234">
        <v>3800000</v>
      </c>
      <c r="G7" s="234">
        <f>+'[4]Analisis de Mercado-Salarios'!E60</f>
        <v>9815983.9811320752</v>
      </c>
      <c r="H7" s="474">
        <f>C7*E7*F7</f>
        <v>17100000</v>
      </c>
      <c r="I7" s="242">
        <f t="shared" ref="I7:I12" si="0">+H7</f>
        <v>17100000</v>
      </c>
      <c r="J7" s="242"/>
      <c r="K7" s="100">
        <f t="shared" ref="K7:K12" si="1">H7*100%/$H$29</f>
        <v>6.7322834645669294E-2</v>
      </c>
    </row>
    <row r="8" spans="1:11" ht="25.5">
      <c r="A8" s="215" t="s">
        <v>15</v>
      </c>
      <c r="B8" s="62" t="s">
        <v>761</v>
      </c>
      <c r="C8" s="63">
        <v>2</v>
      </c>
      <c r="D8" s="13">
        <v>1</v>
      </c>
      <c r="E8" s="63">
        <v>4.5</v>
      </c>
      <c r="F8" s="234">
        <v>3500000</v>
      </c>
      <c r="G8" s="234">
        <f>+'[4]Analisis de Mercado-Salarios'!E82</f>
        <v>6861738.2380952379</v>
      </c>
      <c r="H8" s="235">
        <f t="shared" ref="H8:H12" si="2">F8*E8*D8*C8</f>
        <v>31500000</v>
      </c>
      <c r="I8" s="242">
        <f t="shared" si="0"/>
        <v>31500000</v>
      </c>
      <c r="J8" s="242"/>
      <c r="K8" s="100">
        <f t="shared" si="1"/>
        <v>0.12401574803149606</v>
      </c>
    </row>
    <row r="9" spans="1:11">
      <c r="A9" s="215" t="s">
        <v>17</v>
      </c>
      <c r="B9" s="62" t="s">
        <v>762</v>
      </c>
      <c r="C9" s="63">
        <v>1</v>
      </c>
      <c r="D9" s="13">
        <v>1</v>
      </c>
      <c r="E9" s="63">
        <v>4.5</v>
      </c>
      <c r="F9" s="234">
        <v>3200000</v>
      </c>
      <c r="G9" s="234">
        <f>+'[4]Analisis de Mercado-Salarios'!E82</f>
        <v>6861738.2380952379</v>
      </c>
      <c r="H9" s="235">
        <f t="shared" si="2"/>
        <v>14400000</v>
      </c>
      <c r="I9" s="242">
        <f t="shared" si="0"/>
        <v>14400000</v>
      </c>
      <c r="J9" s="242"/>
      <c r="K9" s="100">
        <f t="shared" si="1"/>
        <v>5.6692913385826771E-2</v>
      </c>
    </row>
    <row r="10" spans="1:11" ht="25.5">
      <c r="A10" s="215" t="s">
        <v>18</v>
      </c>
      <c r="B10" s="62" t="s">
        <v>763</v>
      </c>
      <c r="C10" s="63">
        <v>1</v>
      </c>
      <c r="D10" s="13">
        <v>1</v>
      </c>
      <c r="E10" s="63">
        <v>4.5</v>
      </c>
      <c r="F10" s="234">
        <v>3200000</v>
      </c>
      <c r="G10" s="234">
        <f>+'[4]Analisis de Mercado-Salarios'!E92</f>
        <v>3110441.4444444445</v>
      </c>
      <c r="H10" s="235">
        <f t="shared" si="2"/>
        <v>14400000</v>
      </c>
      <c r="I10" s="242">
        <f t="shared" si="0"/>
        <v>14400000</v>
      </c>
      <c r="J10" s="242"/>
      <c r="K10" s="100">
        <f t="shared" si="1"/>
        <v>5.6692913385826771E-2</v>
      </c>
    </row>
    <row r="11" spans="1:11" ht="38.25">
      <c r="A11" s="215" t="s">
        <v>19</v>
      </c>
      <c r="B11" s="62" t="s">
        <v>764</v>
      </c>
      <c r="C11" s="63">
        <v>1</v>
      </c>
      <c r="D11" s="13">
        <v>1</v>
      </c>
      <c r="E11" s="63">
        <v>4.5</v>
      </c>
      <c r="F11" s="234">
        <v>2500000</v>
      </c>
      <c r="G11" s="234">
        <f>+G7</f>
        <v>9815983.9811320752</v>
      </c>
      <c r="H11" s="235">
        <f t="shared" si="2"/>
        <v>11250000</v>
      </c>
      <c r="I11" s="242">
        <f t="shared" si="0"/>
        <v>11250000</v>
      </c>
      <c r="J11" s="242"/>
      <c r="K11" s="100">
        <f t="shared" si="1"/>
        <v>4.4291338582677163E-2</v>
      </c>
    </row>
    <row r="12" spans="1:11" ht="25.5">
      <c r="A12" s="215" t="s">
        <v>20</v>
      </c>
      <c r="B12" s="62" t="s">
        <v>765</v>
      </c>
      <c r="C12" s="63">
        <v>1</v>
      </c>
      <c r="D12" s="13">
        <v>1</v>
      </c>
      <c r="E12" s="63">
        <v>4.5</v>
      </c>
      <c r="F12" s="234">
        <v>2500000</v>
      </c>
      <c r="G12" s="234">
        <f>+G10</f>
        <v>3110441.4444444445</v>
      </c>
      <c r="H12" s="235">
        <f t="shared" si="2"/>
        <v>11250000</v>
      </c>
      <c r="I12" s="242">
        <f t="shared" si="0"/>
        <v>11250000</v>
      </c>
      <c r="J12" s="242"/>
      <c r="K12" s="100">
        <f t="shared" si="1"/>
        <v>4.4291338582677163E-2</v>
      </c>
    </row>
    <row r="13" spans="1:11">
      <c r="A13" s="497" t="s">
        <v>23</v>
      </c>
      <c r="B13" s="497"/>
      <c r="C13" s="232">
        <f>SUM(C7:C12)</f>
        <v>7</v>
      </c>
      <c r="D13" s="387"/>
      <c r="E13" s="387"/>
      <c r="F13" s="388"/>
      <c r="G13" s="388"/>
      <c r="H13" s="389">
        <f>SUM(H7:H12)</f>
        <v>99900000</v>
      </c>
      <c r="I13" s="389">
        <f>SUM(I7:I12)</f>
        <v>99900000</v>
      </c>
      <c r="J13" s="389">
        <f>SUM(J7:J12)</f>
        <v>0</v>
      </c>
      <c r="K13" s="390">
        <f>SUM(K7:K12)</f>
        <v>0.39330708661417318</v>
      </c>
    </row>
    <row r="14" spans="1:11" ht="38.25">
      <c r="A14" s="232">
        <v>2</v>
      </c>
      <c r="B14" s="232" t="s">
        <v>699</v>
      </c>
      <c r="C14" s="232" t="s">
        <v>4</v>
      </c>
      <c r="D14" s="387"/>
      <c r="E14" s="387" t="s">
        <v>6</v>
      </c>
      <c r="F14" s="387" t="s">
        <v>24</v>
      </c>
      <c r="G14" s="387" t="s">
        <v>8</v>
      </c>
      <c r="H14" s="392" t="s">
        <v>9</v>
      </c>
      <c r="I14" s="393" t="s">
        <v>10</v>
      </c>
      <c r="J14" s="393" t="s">
        <v>707</v>
      </c>
      <c r="K14" s="387" t="s">
        <v>11</v>
      </c>
    </row>
    <row r="15" spans="1:11" ht="89.25">
      <c r="A15" s="27" t="s">
        <v>25</v>
      </c>
      <c r="B15" s="62" t="s">
        <v>704</v>
      </c>
      <c r="C15" s="63">
        <v>1</v>
      </c>
      <c r="D15" s="394" t="s">
        <v>26</v>
      </c>
      <c r="E15" s="63">
        <v>1</v>
      </c>
      <c r="F15" s="234">
        <v>30740000</v>
      </c>
      <c r="G15" s="234">
        <f>+'[4]Analisis de Mercado-Actividades'!E32</f>
        <v>6844080.9523809524</v>
      </c>
      <c r="H15" s="395">
        <f>+F15*C15</f>
        <v>30740000</v>
      </c>
      <c r="I15" s="242">
        <f t="shared" ref="I15" si="3">+H15</f>
        <v>30740000</v>
      </c>
      <c r="J15" s="396"/>
      <c r="K15" s="100">
        <f>H15*100%/$H$29</f>
        <v>0.12102362204724409</v>
      </c>
    </row>
    <row r="16" spans="1:11" ht="102">
      <c r="A16" s="27" t="s">
        <v>27</v>
      </c>
      <c r="B16" s="62" t="s">
        <v>705</v>
      </c>
      <c r="C16" s="63">
        <v>1</v>
      </c>
      <c r="D16" s="394" t="s">
        <v>26</v>
      </c>
      <c r="E16" s="63">
        <v>1</v>
      </c>
      <c r="F16" s="234">
        <v>36800000</v>
      </c>
      <c r="G16" s="234">
        <f>+G15</f>
        <v>6844080.9523809524</v>
      </c>
      <c r="H16" s="395">
        <f>+F16*C16*E16</f>
        <v>36800000</v>
      </c>
      <c r="I16" s="234">
        <v>36800000</v>
      </c>
      <c r="J16" s="242"/>
      <c r="K16" s="100">
        <f>H16*100%/$H$29</f>
        <v>0.14488188976377953</v>
      </c>
    </row>
    <row r="17" spans="1:11" ht="89.25">
      <c r="A17" s="27" t="s">
        <v>766</v>
      </c>
      <c r="B17" s="62" t="s">
        <v>706</v>
      </c>
      <c r="C17" s="63">
        <v>1</v>
      </c>
      <c r="D17" s="394" t="s">
        <v>26</v>
      </c>
      <c r="E17" s="63">
        <v>1</v>
      </c>
      <c r="F17" s="234">
        <v>28800000</v>
      </c>
      <c r="G17" s="234">
        <f>+G16</f>
        <v>6844080.9523809524</v>
      </c>
      <c r="H17" s="395">
        <f>+F17*C17*E17</f>
        <v>28800000</v>
      </c>
      <c r="I17" s="234">
        <v>28800000</v>
      </c>
      <c r="J17" s="242"/>
      <c r="K17" s="100">
        <f>H17*100%/$H$29</f>
        <v>0.11338582677165354</v>
      </c>
    </row>
    <row r="18" spans="1:11">
      <c r="A18" s="507" t="s">
        <v>23</v>
      </c>
      <c r="B18" s="507"/>
      <c r="C18" s="232"/>
      <c r="D18" s="387"/>
      <c r="E18" s="387"/>
      <c r="F18" s="388"/>
      <c r="G18" s="388"/>
      <c r="H18" s="402">
        <f>SUM(H15:H17)</f>
        <v>96340000</v>
      </c>
      <c r="I18" s="402">
        <f>SUM(I15:I17)</f>
        <v>96340000</v>
      </c>
      <c r="J18" s="402">
        <f>SUM(J15:J17)</f>
        <v>0</v>
      </c>
      <c r="K18" s="476">
        <f>H18*100%/$H$29</f>
        <v>0.37929133858267716</v>
      </c>
    </row>
    <row r="19" spans="1:11" ht="51">
      <c r="A19" s="232">
        <v>4</v>
      </c>
      <c r="B19" s="450" t="s">
        <v>767</v>
      </c>
      <c r="C19" s="232" t="s">
        <v>4</v>
      </c>
      <c r="D19" s="387"/>
      <c r="E19" s="387"/>
      <c r="F19" s="387" t="s">
        <v>24</v>
      </c>
      <c r="G19" s="387" t="s">
        <v>8</v>
      </c>
      <c r="H19" s="392" t="s">
        <v>9</v>
      </c>
      <c r="I19" s="392" t="s">
        <v>10</v>
      </c>
      <c r="J19" s="392" t="s">
        <v>707</v>
      </c>
      <c r="K19" s="387" t="s">
        <v>11</v>
      </c>
    </row>
    <row r="20" spans="1:11" ht="38.25">
      <c r="A20" s="475" t="s">
        <v>34</v>
      </c>
      <c r="B20" s="62" t="s">
        <v>708</v>
      </c>
      <c r="C20" s="451">
        <v>1</v>
      </c>
      <c r="D20" s="13" t="s">
        <v>26</v>
      </c>
      <c r="E20" s="13" t="s">
        <v>26</v>
      </c>
      <c r="F20" s="234">
        <v>10000000</v>
      </c>
      <c r="G20" s="473">
        <f>+'[4]Analisis de Mercado-Actividades'!E38</f>
        <v>11111350</v>
      </c>
      <c r="H20" s="234">
        <v>10000000</v>
      </c>
      <c r="I20" s="472"/>
      <c r="J20" s="234">
        <v>10000000</v>
      </c>
      <c r="K20" s="100">
        <f>H20*100%/$H$29</f>
        <v>3.937007874015748E-2</v>
      </c>
    </row>
    <row r="21" spans="1:11" ht="63.75">
      <c r="A21" s="475" t="s">
        <v>35</v>
      </c>
      <c r="B21" s="62" t="s">
        <v>768</v>
      </c>
      <c r="C21" s="451">
        <v>1</v>
      </c>
      <c r="D21" s="13" t="s">
        <v>26</v>
      </c>
      <c r="E21" s="13" t="s">
        <v>26</v>
      </c>
      <c r="F21" s="234">
        <v>11000000</v>
      </c>
      <c r="G21" s="473"/>
      <c r="H21" s="234">
        <v>11000000</v>
      </c>
      <c r="I21" s="472"/>
      <c r="J21" s="234">
        <v>11000000</v>
      </c>
      <c r="K21" s="100">
        <f t="shared" ref="K21:K25" si="4">H21*100%/$H$29</f>
        <v>4.3307086614173228E-2</v>
      </c>
    </row>
    <row r="22" spans="1:11" ht="76.5">
      <c r="A22" s="475" t="s">
        <v>36</v>
      </c>
      <c r="B22" s="62" t="s">
        <v>769</v>
      </c>
      <c r="C22" s="451">
        <v>1</v>
      </c>
      <c r="D22" s="13" t="s">
        <v>26</v>
      </c>
      <c r="E22" s="13" t="s">
        <v>26</v>
      </c>
      <c r="F22" s="234">
        <v>30000000</v>
      </c>
      <c r="G22" s="473"/>
      <c r="H22" s="234">
        <v>30000000</v>
      </c>
      <c r="I22" s="472"/>
      <c r="J22" s="234">
        <v>30000000</v>
      </c>
      <c r="K22" s="100">
        <f t="shared" si="4"/>
        <v>0.11811023622047244</v>
      </c>
    </row>
    <row r="23" spans="1:11" ht="25.5">
      <c r="A23" s="475" t="s">
        <v>37</v>
      </c>
      <c r="B23" s="62" t="s">
        <v>709</v>
      </c>
      <c r="C23" s="451">
        <v>1</v>
      </c>
      <c r="D23" s="13" t="s">
        <v>26</v>
      </c>
      <c r="E23" s="13" t="s">
        <v>26</v>
      </c>
      <c r="F23" s="234">
        <v>3000000</v>
      </c>
      <c r="G23" s="473"/>
      <c r="H23" s="234">
        <v>3000000</v>
      </c>
      <c r="I23" s="472"/>
      <c r="J23" s="234">
        <v>3000000</v>
      </c>
      <c r="K23" s="100">
        <f t="shared" si="4"/>
        <v>1.1811023622047244E-2</v>
      </c>
    </row>
    <row r="24" spans="1:11" ht="38.25">
      <c r="A24" s="475" t="s">
        <v>702</v>
      </c>
      <c r="B24" s="23" t="s">
        <v>710</v>
      </c>
      <c r="C24" s="451">
        <v>1</v>
      </c>
      <c r="D24" s="13" t="s">
        <v>26</v>
      </c>
      <c r="E24" s="13" t="s">
        <v>26</v>
      </c>
      <c r="F24" s="234">
        <v>2000000</v>
      </c>
      <c r="G24" s="473"/>
      <c r="H24" s="234">
        <v>2000000</v>
      </c>
      <c r="I24" s="234">
        <v>2000000</v>
      </c>
      <c r="J24" s="405"/>
      <c r="K24" s="100">
        <f t="shared" si="4"/>
        <v>7.874015748031496E-3</v>
      </c>
    </row>
    <row r="25" spans="1:11" ht="25.5">
      <c r="A25" s="63" t="s">
        <v>703</v>
      </c>
      <c r="B25" s="62" t="s">
        <v>711</v>
      </c>
      <c r="C25" s="451">
        <v>1</v>
      </c>
      <c r="D25" s="13" t="s">
        <v>26</v>
      </c>
      <c r="E25" s="13" t="s">
        <v>26</v>
      </c>
      <c r="F25" s="234">
        <v>1760000</v>
      </c>
      <c r="G25" s="473"/>
      <c r="H25" s="234">
        <v>1760000</v>
      </c>
      <c r="I25" s="234">
        <v>1760000</v>
      </c>
      <c r="J25" s="405"/>
      <c r="K25" s="100">
        <f t="shared" si="4"/>
        <v>6.929133858267717E-3</v>
      </c>
    </row>
    <row r="26" spans="1:11">
      <c r="A26" s="497" t="s">
        <v>23</v>
      </c>
      <c r="B26" s="497"/>
      <c r="C26" s="236"/>
      <c r="D26" s="404"/>
      <c r="E26" s="404"/>
      <c r="F26" s="404"/>
      <c r="G26" s="404"/>
      <c r="H26" s="416">
        <f>SUM(H20:H25)</f>
        <v>57760000</v>
      </c>
      <c r="I26" s="402">
        <f>SUM(I20:I25)</f>
        <v>3760000</v>
      </c>
      <c r="J26" s="416">
        <f>SUM(J20:J25)</f>
        <v>54000000</v>
      </c>
      <c r="K26" s="417">
        <f>SUM(K20:K25)</f>
        <v>0.2274015748031496</v>
      </c>
    </row>
    <row r="27" spans="1:11" ht="63.75">
      <c r="A27" s="5">
        <v>1</v>
      </c>
      <c r="B27" s="238" t="s">
        <v>39</v>
      </c>
      <c r="C27" s="7"/>
      <c r="D27" s="7"/>
      <c r="E27" s="7"/>
      <c r="F27" s="418"/>
      <c r="G27" s="418"/>
      <c r="H27" s="419">
        <f>H18+H13</f>
        <v>196240000</v>
      </c>
      <c r="I27" s="419">
        <f t="shared" ref="I27:J27" si="5">I18+I13</f>
        <v>196240000</v>
      </c>
      <c r="J27" s="419">
        <f t="shared" si="5"/>
        <v>0</v>
      </c>
      <c r="K27" s="420">
        <f>K18+K13</f>
        <v>0.77259842519685029</v>
      </c>
    </row>
    <row r="28" spans="1:11" ht="51">
      <c r="A28" s="27" t="s">
        <v>650</v>
      </c>
      <c r="B28" s="421" t="s">
        <v>40</v>
      </c>
      <c r="C28" s="30"/>
      <c r="D28" s="30"/>
      <c r="E28" s="30"/>
      <c r="F28" s="422"/>
      <c r="G28" s="422"/>
      <c r="H28" s="423">
        <f>H26</f>
        <v>57760000</v>
      </c>
      <c r="I28" s="423">
        <f t="shared" ref="I28:J28" si="6">I26</f>
        <v>3760000</v>
      </c>
      <c r="J28" s="423">
        <f t="shared" si="6"/>
        <v>54000000</v>
      </c>
      <c r="K28" s="417">
        <v>0.22739999999999999</v>
      </c>
    </row>
    <row r="29" spans="1:11" ht="38.25">
      <c r="A29" s="239"/>
      <c r="B29" s="238" t="s">
        <v>41</v>
      </c>
      <c r="C29" s="7"/>
      <c r="D29" s="7"/>
      <c r="E29" s="7"/>
      <c r="F29" s="7"/>
      <c r="G29" s="7"/>
      <c r="H29" s="419">
        <f>+I29+J29</f>
        <v>254000000</v>
      </c>
      <c r="I29" s="419">
        <f t="shared" ref="I29:J29" si="7">+I27+I28</f>
        <v>200000000</v>
      </c>
      <c r="J29" s="419">
        <f t="shared" si="7"/>
        <v>54000000</v>
      </c>
      <c r="K29" s="420">
        <f>K27+K28</f>
        <v>0.99999842519685034</v>
      </c>
    </row>
  </sheetData>
  <mergeCells count="6">
    <mergeCell ref="A26:B26"/>
    <mergeCell ref="A1:K1"/>
    <mergeCell ref="A2:B3"/>
    <mergeCell ref="C2:K3"/>
    <mergeCell ref="A13:B13"/>
    <mergeCell ref="A18:B1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166EBD8A2D0C744F844E428C43BE96C0" ma:contentTypeVersion="14" ma:contentTypeDescription="Crear nuevo documento." ma:contentTypeScope="" ma:versionID="7c58b1c18e9735e61a258247c3cb6fa2">
  <xsd:schema xmlns:xsd="http://www.w3.org/2001/XMLSchema" xmlns:xs="http://www.w3.org/2001/XMLSchema" xmlns:p="http://schemas.microsoft.com/office/2006/metadata/properties" xmlns:ns3="a6a091b7-d50f-4f98-8487-50de2803c319" xmlns:ns4="9083606c-14b8-458a-b968-46dccf4f8bf2" targetNamespace="http://schemas.microsoft.com/office/2006/metadata/properties" ma:root="true" ma:fieldsID="35f448526fa0c79ad49cee050a618845" ns3:_="" ns4:_="">
    <xsd:import namespace="a6a091b7-d50f-4f98-8487-50de2803c319"/>
    <xsd:import namespace="9083606c-14b8-458a-b968-46dccf4f8bf2"/>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4:SharedWithUsers" minOccurs="0"/>
                <xsd:element ref="ns4:SharedWithDetails" minOccurs="0"/>
                <xsd:element ref="ns4:SharingHintHash"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ServiceLocatio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a091b7-d50f-4f98-8487-50de2803c31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083606c-14b8-458a-b968-46dccf4f8bf2"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SharingHintHash" ma:index="14"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5802FE3-CC4E-4373-9D7A-CCBCD49C009D}">
  <ds:schemaRefs>
    <ds:schemaRef ds:uri="http://schemas.microsoft.com/sharepoint/v3/contenttype/forms"/>
  </ds:schemaRefs>
</ds:datastoreItem>
</file>

<file path=customXml/itemProps2.xml><?xml version="1.0" encoding="utf-8"?>
<ds:datastoreItem xmlns:ds="http://schemas.openxmlformats.org/officeDocument/2006/customXml" ds:itemID="{89CED6D5-94A9-4AF7-90FA-BD7A56AA70B7}">
  <ds:schemaRefs>
    <ds:schemaRef ds:uri="http://schemas.microsoft.com/office/2006/metadata/properties"/>
    <ds:schemaRef ds:uri="http://www.w3.org/2000/xmlns/"/>
    <ds:schemaRef ds:uri="http://schemas.microsoft.com/office/infopath/2007/PartnerControls"/>
  </ds:schemaRefs>
</ds:datastoreItem>
</file>

<file path=customXml/itemProps3.xml><?xml version="1.0" encoding="utf-8"?>
<ds:datastoreItem xmlns:ds="http://schemas.openxmlformats.org/officeDocument/2006/customXml" ds:itemID="{9C724D77-D52B-4B6C-BCA8-11D52AD560C0}">
  <ds:schemaRefs>
    <ds:schemaRef ds:uri="http://schemas.microsoft.com/office/2006/metadata/contentType"/>
    <ds:schemaRef ds:uri="http://schemas.microsoft.com/office/2006/metadata/properties/metaAttributes"/>
    <ds:schemaRef ds:uri="http://www.w3.org/2000/xmlns/"/>
    <ds:schemaRef ds:uri="http://www.w3.org/2001/XMLSchema"/>
    <ds:schemaRef ds:uri="a6a091b7-d50f-4f98-8487-50de2803c319"/>
    <ds:schemaRef ds:uri="9083606c-14b8-458a-b968-46dccf4f8bf2"/>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Hojas de cálculo</vt:lpstr>
      </vt:variant>
      <vt:variant>
        <vt:i4>20</vt:i4>
      </vt:variant>
    </vt:vector>
  </HeadingPairs>
  <TitlesOfParts>
    <vt:vector size="20" baseType="lpstr">
      <vt:lpstr>Presupuesto</vt:lpstr>
      <vt:lpstr>Analisis de Mercado-Salarios</vt:lpstr>
      <vt:lpstr>Analisis de Mercado-Actividades</vt:lpstr>
      <vt:lpstr>Contratos de Comparación</vt:lpstr>
      <vt:lpstr>CO1.PCCNTR.2808033 APCA U.T. LA</vt:lpstr>
      <vt:lpstr>CO1.PCCNTR.2713913 Comite Cafet</vt:lpstr>
      <vt:lpstr>CO1.PCCNTR.2559252 PROYECTAMOS </vt:lpstr>
      <vt:lpstr>CO1.PCCNTR.2473858 Salle 2021</vt:lpstr>
      <vt:lpstr>CO1.PCCNTR.2417016 FUND PLAN</vt:lpstr>
      <vt:lpstr>CO1.PCCNTR.2546507 INCAP BETA</vt:lpstr>
      <vt:lpstr>CO1.PCCNTR.2580977 CONSEJO NORU</vt:lpstr>
      <vt:lpstr>CO1.PCCNTR.2559557 Caldas 2021</vt:lpstr>
      <vt:lpstr>CO1.PCCNTR.1839020 Salle 2020</vt:lpstr>
      <vt:lpstr>CO1.PCCNTR.2386594 </vt:lpstr>
      <vt:lpstr>CO1.PCCNTR.3787396 2020</vt:lpstr>
      <vt:lpstr>CO1.PCCNTR.4017345</vt:lpstr>
      <vt:lpstr>CO1.PCCNTR.50110688</vt:lpstr>
      <vt:lpstr>CO1.PCCNTR.5335465</vt:lpstr>
      <vt:lpstr>CO1.PCCNTR.5338882</vt:lpstr>
      <vt:lpstr>CO1.PCCNTR.5337144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Milena Pinzon Farfan</dc:creator>
  <cp:lastModifiedBy>Maria Fernanda Cuervo Peña</cp:lastModifiedBy>
  <dcterms:created xsi:type="dcterms:W3CDTF">2019-10-10T15:26:00Z</dcterms:created>
  <dcterms:modified xsi:type="dcterms:W3CDTF">2025-06-20T19:20:05Z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0x010100166EBD8A2D0C744F844E428C43BE96C0</vt:lpwstr>
  </property>
  <property fmtid="{D5CDD505-2E9C-101B-9397-08002B2CF9AE}" pid="3" name="ICV">
    <vt:lpwstr>A6F9FA357BB6465D8FBC1B1B2BD416D4</vt:lpwstr>
  </property>
  <property fmtid="{D5CDD505-2E9C-101B-9397-08002B2CF9AE}" pid="4" name="KSOProductBuildVer">
    <vt:lpwstr>1033-11.2.0.10426</vt:lpwstr>
  </property>
</Properties>
</file>