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6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Ana Maria Alonso\Documents\"/>
    </mc:Choice>
  </mc:AlternateContent>
  <xr:revisionPtr revIDLastSave="0" documentId="13_ncr:1_{C28F04B5-87A6-4F3A-AD3A-E82231249703}" xr6:coauthVersionLast="40" xr6:coauthVersionMax="47" xr10:uidLastSave="{00000000-0000-0000-0000-000000000000}"/>
  <bookViews>
    <workbookView xWindow="0" yWindow="0" windowWidth="28800" windowHeight="11145" activeTab="5" xr2:uid="{00000000-000D-0000-FFFF-FFFF00000000}"/>
  </bookViews>
  <sheets>
    <sheet name="Cronograma" sheetId="1" r:id="rId1"/>
    <sheet name="Cuadro Resumen" sheetId="2" r:id="rId2"/>
    <sheet name="2.1 Mobiliario de Servicios" sheetId="3" r:id="rId3"/>
    <sheet name="3.1 Arrendamientos" sheetId="4" r:id="rId4"/>
    <sheet name="3.2 Servicios Públicos " sheetId="5" r:id="rId5"/>
    <sheet name="3.3 Internet" sheetId="6" r:id="rId6"/>
    <sheet name="3.4 Control de Plagas" sheetId="7" r:id="rId7"/>
    <sheet name="3.5, 3.6 Personal" sheetId="8" r:id="rId8"/>
    <sheet name="3.7 Unidad Movil Veterinaria" sheetId="9" r:id="rId9"/>
    <sheet name="4.4 Insumos de Laboratorio" sheetId="10" r:id="rId10"/>
    <sheet name="4.1 4.2 INSUMOS - Medicamentos" sheetId="11" r:id="rId11"/>
    <sheet name="4.3 Instrumental" sheetId="12" r:id="rId12"/>
    <sheet name="4.5 Equipos Biomedicos " sheetId="13" r:id="rId13"/>
    <sheet name="4.6 Tercer Nivel" sheetId="14" r:id="rId14"/>
    <sheet name="5.6 Aseo y Cafeteria" sheetId="15" r:id="rId15"/>
    <sheet name="5.7 Papeleria" sheetId="16" r:id="rId16"/>
    <sheet name="5.1 Operacion y Mantenimi CBA" sheetId="17" r:id="rId17"/>
    <sheet name="5.2 Alimentacion " sheetId="18" r:id="rId18"/>
    <sheet name="6.1 - 7.1 Vehiculos " sheetId="19" r:id="rId19"/>
    <sheet name="8.1 Alimento Fundaciones" sheetId="20" r:id="rId20"/>
  </sheets>
  <calcPr calcId="191029"/>
  <extLst>
    <ext uri="GoogleSheetsCustomDataVersion2">
      <go:sheetsCustomData xmlns:go="http://customooxmlschemas.google.com/" r:id="rId24" roundtripDataChecksum="ArqYAvEYPGHiBrIvsKQYsDs/qtrAKQalLBKrTLM+cXU="/>
    </ext>
  </extLst>
</workbook>
</file>

<file path=xl/calcChain.xml><?xml version="1.0" encoding="utf-8"?>
<calcChain xmlns="http://schemas.openxmlformats.org/spreadsheetml/2006/main">
  <c r="D28" i="2" l="1"/>
  <c r="D14" i="2" s="1"/>
  <c r="E15" i="2"/>
  <c r="D26" i="2"/>
  <c r="D21" i="2"/>
  <c r="D7" i="2"/>
  <c r="D4" i="2"/>
  <c r="D3" i="2" s="1"/>
  <c r="D47" i="17"/>
  <c r="F47" i="17"/>
  <c r="E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E7" i="16"/>
  <c r="E9" i="17"/>
  <c r="B3" i="9"/>
  <c r="H7" i="9"/>
  <c r="C3" i="9"/>
  <c r="J7" i="9"/>
  <c r="F2" i="3"/>
  <c r="F3" i="3"/>
  <c r="D23" i="2"/>
  <c r="E41" i="16" l="1"/>
  <c r="E39" i="16"/>
  <c r="E38" i="16"/>
  <c r="E37" i="16"/>
  <c r="E36" i="16"/>
  <c r="E35" i="16"/>
  <c r="E34" i="16"/>
  <c r="E33" i="16"/>
  <c r="E32" i="16"/>
  <c r="E31" i="16"/>
  <c r="E30" i="16"/>
  <c r="E29" i="16"/>
  <c r="E40" i="16"/>
  <c r="E42" i="16"/>
  <c r="E43" i="16"/>
  <c r="E44" i="16"/>
  <c r="E45" i="16"/>
  <c r="E46" i="16"/>
  <c r="E47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G13" i="16" s="1"/>
  <c r="E12" i="16"/>
  <c r="E11" i="16"/>
  <c r="E10" i="16"/>
  <c r="E9" i="16"/>
  <c r="E8" i="16"/>
  <c r="E6" i="16"/>
  <c r="E5" i="16"/>
  <c r="E4" i="16"/>
  <c r="E3" i="16"/>
  <c r="E2" i="16"/>
  <c r="D33" i="2" l="1"/>
  <c r="D30" i="2"/>
  <c r="H4" i="20"/>
  <c r="H5" i="20"/>
  <c r="H6" i="20"/>
  <c r="H7" i="20"/>
  <c r="H8" i="20"/>
  <c r="H9" i="20"/>
  <c r="H10" i="20"/>
  <c r="H11" i="20"/>
  <c r="H12" i="20"/>
  <c r="H13" i="20"/>
  <c r="H14" i="20"/>
  <c r="H3" i="20"/>
  <c r="H3" i="18"/>
  <c r="H4" i="18"/>
  <c r="H5" i="18"/>
  <c r="H6" i="18"/>
  <c r="H7" i="18"/>
  <c r="H8" i="18"/>
  <c r="H9" i="18"/>
  <c r="H10" i="18"/>
  <c r="H11" i="18"/>
  <c r="H12" i="18"/>
  <c r="H13" i="18"/>
  <c r="H2" i="18"/>
  <c r="E8" i="17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2" i="12"/>
  <c r="H18" i="10"/>
  <c r="D35" i="2"/>
  <c r="C8" i="19"/>
  <c r="G3" i="16"/>
  <c r="G4" i="16"/>
  <c r="G5" i="16"/>
  <c r="G6" i="16"/>
  <c r="G7" i="16"/>
  <c r="G8" i="16"/>
  <c r="G9" i="16"/>
  <c r="G10" i="16"/>
  <c r="G11" i="16"/>
  <c r="G12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2" i="16"/>
  <c r="D4" i="13"/>
  <c r="D6" i="13" s="1"/>
  <c r="C71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9" i="8"/>
  <c r="I60" i="8"/>
  <c r="I61" i="8"/>
  <c r="I62" i="8"/>
  <c r="I63" i="8"/>
  <c r="I64" i="8"/>
  <c r="I65" i="8"/>
  <c r="I66" i="8"/>
  <c r="I67" i="8"/>
  <c r="I68" i="8"/>
  <c r="I69" i="8"/>
  <c r="I70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14" i="8"/>
  <c r="F15" i="8"/>
  <c r="G15" i="8" s="1"/>
  <c r="F16" i="8"/>
  <c r="G16" i="8" s="1"/>
  <c r="F17" i="8"/>
  <c r="G17" i="8" s="1"/>
  <c r="F18" i="8"/>
  <c r="G18" i="8" s="1"/>
  <c r="F19" i="8"/>
  <c r="G19" i="8" s="1"/>
  <c r="F20" i="8"/>
  <c r="G20" i="8" s="1"/>
  <c r="F21" i="8"/>
  <c r="G21" i="8" s="1"/>
  <c r="F22" i="8"/>
  <c r="G22" i="8" s="1"/>
  <c r="F23" i="8"/>
  <c r="G23" i="8" s="1"/>
  <c r="F24" i="8"/>
  <c r="G24" i="8" s="1"/>
  <c r="F25" i="8"/>
  <c r="G25" i="8" s="1"/>
  <c r="F26" i="8"/>
  <c r="G26" i="8" s="1"/>
  <c r="F27" i="8"/>
  <c r="G27" i="8" s="1"/>
  <c r="F28" i="8"/>
  <c r="G28" i="8" s="1"/>
  <c r="F29" i="8"/>
  <c r="G29" i="8" s="1"/>
  <c r="F30" i="8"/>
  <c r="G30" i="8" s="1"/>
  <c r="F31" i="8"/>
  <c r="G31" i="8" s="1"/>
  <c r="F32" i="8"/>
  <c r="G32" i="8" s="1"/>
  <c r="F33" i="8"/>
  <c r="G33" i="8" s="1"/>
  <c r="F38" i="8"/>
  <c r="G38" i="8" s="1"/>
  <c r="F39" i="8"/>
  <c r="G39" i="8" s="1"/>
  <c r="F40" i="8"/>
  <c r="G40" i="8" s="1"/>
  <c r="F41" i="8"/>
  <c r="G41" i="8" s="1"/>
  <c r="F42" i="8"/>
  <c r="G42" i="8" s="1"/>
  <c r="F43" i="8"/>
  <c r="G43" i="8" s="1"/>
  <c r="F44" i="8"/>
  <c r="G44" i="8" s="1"/>
  <c r="F45" i="8"/>
  <c r="G45" i="8" s="1"/>
  <c r="F46" i="8"/>
  <c r="G46" i="8" s="1"/>
  <c r="F47" i="8"/>
  <c r="G47" i="8" s="1"/>
  <c r="F48" i="8"/>
  <c r="F49" i="8"/>
  <c r="G49" i="8" s="1"/>
  <c r="F50" i="8"/>
  <c r="G50" i="8" s="1"/>
  <c r="F51" i="8"/>
  <c r="G51" i="8" s="1"/>
  <c r="F52" i="8"/>
  <c r="G52" i="8" s="1"/>
  <c r="F53" i="8"/>
  <c r="G53" i="8" s="1"/>
  <c r="F54" i="8"/>
  <c r="G54" i="8" s="1"/>
  <c r="F59" i="8"/>
  <c r="G59" i="8" s="1"/>
  <c r="F60" i="8"/>
  <c r="G60" i="8" s="1"/>
  <c r="F61" i="8"/>
  <c r="G61" i="8" s="1"/>
  <c r="F62" i="8"/>
  <c r="G62" i="8" s="1"/>
  <c r="F63" i="8"/>
  <c r="G63" i="8" s="1"/>
  <c r="F64" i="8"/>
  <c r="G64" i="8" s="1"/>
  <c r="F65" i="8"/>
  <c r="G65" i="8" s="1"/>
  <c r="F66" i="8"/>
  <c r="G66" i="8" s="1"/>
  <c r="F67" i="8"/>
  <c r="G67" i="8" s="1"/>
  <c r="F68" i="8"/>
  <c r="G68" i="8" s="1"/>
  <c r="F69" i="8"/>
  <c r="G69" i="8" s="1"/>
  <c r="F70" i="8"/>
  <c r="G70" i="8" s="1"/>
  <c r="F71" i="8"/>
  <c r="G71" i="8" s="1"/>
  <c r="F72" i="8"/>
  <c r="G72" i="8" s="1"/>
  <c r="F73" i="8"/>
  <c r="F74" i="8"/>
  <c r="F75" i="8"/>
  <c r="F76" i="8"/>
  <c r="G76" i="8" s="1"/>
  <c r="F77" i="8"/>
  <c r="G77" i="8" s="1"/>
  <c r="F78" i="8"/>
  <c r="G78" i="8" s="1"/>
  <c r="F79" i="8"/>
  <c r="G79" i="8" s="1"/>
  <c r="F80" i="8"/>
  <c r="G80" i="8" s="1"/>
  <c r="F81" i="8"/>
  <c r="G81" i="8" s="1"/>
  <c r="F82" i="8"/>
  <c r="G82" i="8" s="1"/>
  <c r="F83" i="8"/>
  <c r="G83" i="8" s="1"/>
  <c r="F84" i="8"/>
  <c r="G84" i="8" s="1"/>
  <c r="F85" i="8"/>
  <c r="F86" i="8"/>
  <c r="G86" i="8" s="1"/>
  <c r="F87" i="8"/>
  <c r="G87" i="8" s="1"/>
  <c r="F88" i="8"/>
  <c r="G88" i="8" s="1"/>
  <c r="F14" i="8"/>
  <c r="G14" i="8" s="1"/>
  <c r="E15" i="8"/>
  <c r="L15" i="8" s="1"/>
  <c r="M15" i="8" s="1"/>
  <c r="E16" i="8"/>
  <c r="E17" i="8"/>
  <c r="E18" i="8"/>
  <c r="L18" i="8" s="1"/>
  <c r="M18" i="8" s="1"/>
  <c r="E19" i="8"/>
  <c r="L19" i="8" s="1"/>
  <c r="M19" i="8" s="1"/>
  <c r="E20" i="8"/>
  <c r="L20" i="8" s="1"/>
  <c r="M20" i="8" s="1"/>
  <c r="E21" i="8"/>
  <c r="L21" i="8" s="1"/>
  <c r="M21" i="8" s="1"/>
  <c r="E22" i="8"/>
  <c r="L22" i="8" s="1"/>
  <c r="M22" i="8" s="1"/>
  <c r="E23" i="8"/>
  <c r="E24" i="8"/>
  <c r="L24" i="8" s="1"/>
  <c r="M24" i="8" s="1"/>
  <c r="E25" i="8"/>
  <c r="E26" i="8"/>
  <c r="L26" i="8" s="1"/>
  <c r="M26" i="8" s="1"/>
  <c r="E27" i="8"/>
  <c r="L27" i="8" s="1"/>
  <c r="M27" i="8" s="1"/>
  <c r="E28" i="8"/>
  <c r="E29" i="8"/>
  <c r="E30" i="8"/>
  <c r="L30" i="8" s="1"/>
  <c r="M30" i="8" s="1"/>
  <c r="E31" i="8"/>
  <c r="L31" i="8" s="1"/>
  <c r="M31" i="8" s="1"/>
  <c r="E32" i="8"/>
  <c r="L32" i="8" s="1"/>
  <c r="M32" i="8" s="1"/>
  <c r="E33" i="8"/>
  <c r="L33" i="8" s="1"/>
  <c r="M33" i="8" s="1"/>
  <c r="E38" i="8"/>
  <c r="E39" i="8"/>
  <c r="E40" i="8"/>
  <c r="L40" i="8" s="1"/>
  <c r="M40" i="8" s="1"/>
  <c r="E41" i="8"/>
  <c r="E42" i="8"/>
  <c r="L42" i="8" s="1"/>
  <c r="M42" i="8" s="1"/>
  <c r="E43" i="8"/>
  <c r="L43" i="8" s="1"/>
  <c r="M43" i="8" s="1"/>
  <c r="E44" i="8"/>
  <c r="L44" i="8" s="1"/>
  <c r="M44" i="8" s="1"/>
  <c r="E45" i="8"/>
  <c r="L45" i="8" s="1"/>
  <c r="M45" i="8" s="1"/>
  <c r="E46" i="8"/>
  <c r="E47" i="8"/>
  <c r="E48" i="8"/>
  <c r="E49" i="8"/>
  <c r="E50" i="8"/>
  <c r="E51" i="8"/>
  <c r="E52" i="8"/>
  <c r="E53" i="8"/>
  <c r="E54" i="8"/>
  <c r="E59" i="8"/>
  <c r="E60" i="8"/>
  <c r="E61" i="8"/>
  <c r="E62" i="8"/>
  <c r="E63" i="8"/>
  <c r="E64" i="8"/>
  <c r="L64" i="8" s="1"/>
  <c r="M64" i="8" s="1"/>
  <c r="E65" i="8"/>
  <c r="L65" i="8" s="1"/>
  <c r="M65" i="8" s="1"/>
  <c r="E66" i="8"/>
  <c r="L66" i="8" s="1"/>
  <c r="M66" i="8" s="1"/>
  <c r="E67" i="8"/>
  <c r="L67" i="8" s="1"/>
  <c r="M67" i="8" s="1"/>
  <c r="E68" i="8"/>
  <c r="L68" i="8" s="1"/>
  <c r="M68" i="8" s="1"/>
  <c r="E69" i="8"/>
  <c r="L69" i="8" s="1"/>
  <c r="M69" i="8" s="1"/>
  <c r="E70" i="8"/>
  <c r="E71" i="8"/>
  <c r="E72" i="8"/>
  <c r="E73" i="8"/>
  <c r="E74" i="8"/>
  <c r="E75" i="8"/>
  <c r="E76" i="8"/>
  <c r="L76" i="8" s="1"/>
  <c r="M76" i="8" s="1"/>
  <c r="E77" i="8"/>
  <c r="L77" i="8" s="1"/>
  <c r="M77" i="8" s="1"/>
  <c r="E78" i="8"/>
  <c r="L78" i="8" s="1"/>
  <c r="M78" i="8" s="1"/>
  <c r="E79" i="8"/>
  <c r="L79" i="8" s="1"/>
  <c r="M79" i="8" s="1"/>
  <c r="E80" i="8"/>
  <c r="L80" i="8" s="1"/>
  <c r="M80" i="8" s="1"/>
  <c r="E81" i="8"/>
  <c r="L81" i="8" s="1"/>
  <c r="M81" i="8" s="1"/>
  <c r="E82" i="8"/>
  <c r="E83" i="8"/>
  <c r="E84" i="8"/>
  <c r="E85" i="8"/>
  <c r="E86" i="8"/>
  <c r="E87" i="8"/>
  <c r="E88" i="8"/>
  <c r="L88" i="8" s="1"/>
  <c r="M88" i="8" s="1"/>
  <c r="E14" i="8"/>
  <c r="L14" i="8" s="1"/>
  <c r="M14" i="8" s="1"/>
  <c r="G17" i="20"/>
  <c r="C4" i="19"/>
  <c r="D4" i="19" s="1"/>
  <c r="C3" i="19"/>
  <c r="D3" i="19" s="1"/>
  <c r="B8" i="19" s="1"/>
  <c r="G17" i="18"/>
  <c r="F10" i="17"/>
  <c r="F9" i="17"/>
  <c r="F8" i="17"/>
  <c r="E7" i="17"/>
  <c r="F7" i="17" s="1"/>
  <c r="F6" i="17"/>
  <c r="F5" i="17"/>
  <c r="F48" i="16"/>
  <c r="E48" i="16"/>
  <c r="D48" i="16"/>
  <c r="F105" i="15"/>
  <c r="F106" i="15" s="1"/>
  <c r="E105" i="15"/>
  <c r="E106" i="15" s="1"/>
  <c r="G104" i="15"/>
  <c r="G103" i="15"/>
  <c r="G102" i="15"/>
  <c r="G101" i="15"/>
  <c r="G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3" i="15"/>
  <c r="G2" i="15"/>
  <c r="D14" i="14"/>
  <c r="B7" i="14"/>
  <c r="B8" i="14" s="1"/>
  <c r="F6" i="13"/>
  <c r="E6" i="13"/>
  <c r="G5" i="13"/>
  <c r="G3" i="13"/>
  <c r="G2" i="13"/>
  <c r="I334" i="11"/>
  <c r="M326" i="11"/>
  <c r="M325" i="11"/>
  <c r="M324" i="11"/>
  <c r="M323" i="11"/>
  <c r="M322" i="11"/>
  <c r="M321" i="11"/>
  <c r="M320" i="11"/>
  <c r="M319" i="11"/>
  <c r="M318" i="11"/>
  <c r="M317" i="11"/>
  <c r="M316" i="11"/>
  <c r="M315" i="11"/>
  <c r="M314" i="11"/>
  <c r="M313" i="11"/>
  <c r="M312" i="11"/>
  <c r="M311" i="11"/>
  <c r="M310" i="11"/>
  <c r="M309" i="11"/>
  <c r="M308" i="11"/>
  <c r="M307" i="11"/>
  <c r="M306" i="11"/>
  <c r="M305" i="11"/>
  <c r="M304" i="11"/>
  <c r="M303" i="11"/>
  <c r="M302" i="11"/>
  <c r="M301" i="11"/>
  <c r="M300" i="11"/>
  <c r="M299" i="11"/>
  <c r="M298" i="11"/>
  <c r="M297" i="11"/>
  <c r="M296" i="11"/>
  <c r="M295" i="11"/>
  <c r="M294" i="11"/>
  <c r="M293" i="11"/>
  <c r="M292" i="11"/>
  <c r="M291" i="11"/>
  <c r="M290" i="11"/>
  <c r="M289" i="11"/>
  <c r="M288" i="11"/>
  <c r="M287" i="11"/>
  <c r="M286" i="11"/>
  <c r="M285" i="11"/>
  <c r="M284" i="11"/>
  <c r="M283" i="11"/>
  <c r="M282" i="11"/>
  <c r="M281" i="11"/>
  <c r="M280" i="11"/>
  <c r="M279" i="11"/>
  <c r="M278" i="11"/>
  <c r="M277" i="11"/>
  <c r="M276" i="11"/>
  <c r="M275" i="11"/>
  <c r="M274" i="11"/>
  <c r="M273" i="11"/>
  <c r="M272" i="11"/>
  <c r="M271" i="11"/>
  <c r="M270" i="11"/>
  <c r="M269" i="11"/>
  <c r="M268" i="11"/>
  <c r="M267" i="11"/>
  <c r="M266" i="11"/>
  <c r="M265" i="11"/>
  <c r="M264" i="11"/>
  <c r="M263" i="11"/>
  <c r="M262" i="11"/>
  <c r="M261" i="11"/>
  <c r="M260" i="11"/>
  <c r="M259" i="11"/>
  <c r="M258" i="11"/>
  <c r="M257" i="11"/>
  <c r="M256" i="11"/>
  <c r="M255" i="11"/>
  <c r="M254" i="11"/>
  <c r="M253" i="11"/>
  <c r="M252" i="11"/>
  <c r="M251" i="11"/>
  <c r="M250" i="11"/>
  <c r="M249" i="11"/>
  <c r="M248" i="11"/>
  <c r="M247" i="11"/>
  <c r="M246" i="11"/>
  <c r="M245" i="11"/>
  <c r="M244" i="11"/>
  <c r="M243" i="11"/>
  <c r="M242" i="11"/>
  <c r="M241" i="11"/>
  <c r="M240" i="11"/>
  <c r="M239" i="11"/>
  <c r="M238" i="11"/>
  <c r="M237" i="11"/>
  <c r="M236" i="11"/>
  <c r="M235" i="11"/>
  <c r="M234" i="11"/>
  <c r="M233" i="11"/>
  <c r="M232" i="11"/>
  <c r="M231" i="11"/>
  <c r="M230" i="11"/>
  <c r="M229" i="11"/>
  <c r="M228" i="11"/>
  <c r="M227" i="11"/>
  <c r="M226" i="11"/>
  <c r="M225" i="11"/>
  <c r="M224" i="11"/>
  <c r="M223" i="11"/>
  <c r="M222" i="11"/>
  <c r="M221" i="11"/>
  <c r="M220" i="11"/>
  <c r="M219" i="11"/>
  <c r="M218" i="11"/>
  <c r="M217" i="11"/>
  <c r="M216" i="11"/>
  <c r="M215" i="11"/>
  <c r="M214" i="11"/>
  <c r="M213" i="11"/>
  <c r="M212" i="11"/>
  <c r="M211" i="11"/>
  <c r="M210" i="11"/>
  <c r="M209" i="11"/>
  <c r="M208" i="11"/>
  <c r="M207" i="11"/>
  <c r="M206" i="11"/>
  <c r="M205" i="11"/>
  <c r="M204" i="11"/>
  <c r="M203" i="11"/>
  <c r="M202" i="11"/>
  <c r="M201" i="11"/>
  <c r="M200" i="11"/>
  <c r="M199" i="11"/>
  <c r="M198" i="11"/>
  <c r="M197" i="11"/>
  <c r="M196" i="11"/>
  <c r="M195" i="11"/>
  <c r="M194" i="11"/>
  <c r="M193" i="11"/>
  <c r="M192" i="11"/>
  <c r="M191" i="11"/>
  <c r="M190" i="11"/>
  <c r="M189" i="11"/>
  <c r="M188" i="11"/>
  <c r="M187" i="11"/>
  <c r="M186" i="11"/>
  <c r="M185" i="11"/>
  <c r="M184" i="11"/>
  <c r="M183" i="11"/>
  <c r="M182" i="11"/>
  <c r="M181" i="11"/>
  <c r="M180" i="11"/>
  <c r="M179" i="11"/>
  <c r="M178" i="11"/>
  <c r="M177" i="11"/>
  <c r="M176" i="11"/>
  <c r="M175" i="11"/>
  <c r="M174" i="11"/>
  <c r="M173" i="11"/>
  <c r="M172" i="11"/>
  <c r="M171" i="11"/>
  <c r="M170" i="11"/>
  <c r="M169" i="11"/>
  <c r="M168" i="11"/>
  <c r="M167" i="11"/>
  <c r="M166" i="11"/>
  <c r="M165" i="11"/>
  <c r="M164" i="11"/>
  <c r="M163" i="11"/>
  <c r="M162" i="11"/>
  <c r="M161" i="11"/>
  <c r="M160" i="11"/>
  <c r="M159" i="11"/>
  <c r="M158" i="11"/>
  <c r="M157" i="11"/>
  <c r="M156" i="11"/>
  <c r="M155" i="11"/>
  <c r="M154" i="11"/>
  <c r="M153" i="11"/>
  <c r="M152" i="11"/>
  <c r="M151" i="11"/>
  <c r="M150" i="11"/>
  <c r="M149" i="11"/>
  <c r="M148" i="11"/>
  <c r="M147" i="11"/>
  <c r="M146" i="11"/>
  <c r="M145" i="11"/>
  <c r="M144" i="11"/>
  <c r="M143" i="11"/>
  <c r="M142" i="11"/>
  <c r="M141" i="11"/>
  <c r="M140" i="11"/>
  <c r="M139" i="11"/>
  <c r="M138" i="11"/>
  <c r="M137" i="11"/>
  <c r="M136" i="11"/>
  <c r="M135" i="11"/>
  <c r="M134" i="11"/>
  <c r="M133" i="11"/>
  <c r="M132" i="11"/>
  <c r="M131" i="11"/>
  <c r="M130" i="11"/>
  <c r="M129" i="11"/>
  <c r="M128" i="11"/>
  <c r="M127" i="11"/>
  <c r="M126" i="11"/>
  <c r="M125" i="11"/>
  <c r="M124" i="11"/>
  <c r="M123" i="11"/>
  <c r="M122" i="11"/>
  <c r="M121" i="11"/>
  <c r="M120" i="11"/>
  <c r="M119" i="11"/>
  <c r="M118" i="11"/>
  <c r="M117" i="11"/>
  <c r="M116" i="11"/>
  <c r="M115" i="11"/>
  <c r="M114" i="11"/>
  <c r="M113" i="11"/>
  <c r="M112" i="11"/>
  <c r="M111" i="11"/>
  <c r="M110" i="11"/>
  <c r="M109" i="11"/>
  <c r="M108" i="11"/>
  <c r="M107" i="11"/>
  <c r="M106" i="11"/>
  <c r="M105" i="11"/>
  <c r="M104" i="11"/>
  <c r="M103" i="11"/>
  <c r="M102" i="11"/>
  <c r="M101" i="11"/>
  <c r="M100" i="11"/>
  <c r="M99" i="11"/>
  <c r="M98" i="11"/>
  <c r="M97" i="11"/>
  <c r="M96" i="11"/>
  <c r="M95" i="11"/>
  <c r="M94" i="11"/>
  <c r="M93" i="11"/>
  <c r="M92" i="11"/>
  <c r="M91" i="11"/>
  <c r="M90" i="11"/>
  <c r="M89" i="11"/>
  <c r="M88" i="11"/>
  <c r="M87" i="11"/>
  <c r="M86" i="11"/>
  <c r="M85" i="11"/>
  <c r="M84" i="11"/>
  <c r="M83" i="11"/>
  <c r="M82" i="11"/>
  <c r="M81" i="11"/>
  <c r="M80" i="11"/>
  <c r="M79" i="11"/>
  <c r="M78" i="11"/>
  <c r="M77" i="11"/>
  <c r="M76" i="11"/>
  <c r="M75" i="11"/>
  <c r="M74" i="11"/>
  <c r="M73" i="11"/>
  <c r="M72" i="11"/>
  <c r="M71" i="11"/>
  <c r="M70" i="11"/>
  <c r="M69" i="11"/>
  <c r="M68" i="11"/>
  <c r="M67" i="11"/>
  <c r="M66" i="11"/>
  <c r="M65" i="11"/>
  <c r="M64" i="11"/>
  <c r="M63" i="11"/>
  <c r="M62" i="11"/>
  <c r="M61" i="11"/>
  <c r="M60" i="11"/>
  <c r="M59" i="11"/>
  <c r="M58" i="11"/>
  <c r="M57" i="11"/>
  <c r="M56" i="11"/>
  <c r="M55" i="11"/>
  <c r="M54" i="11"/>
  <c r="M53" i="11"/>
  <c r="M52" i="11"/>
  <c r="M51" i="11"/>
  <c r="M50" i="11"/>
  <c r="M49" i="11"/>
  <c r="M48" i="11"/>
  <c r="M47" i="11"/>
  <c r="M46" i="11"/>
  <c r="M45" i="11"/>
  <c r="M44" i="11"/>
  <c r="M43" i="11"/>
  <c r="M42" i="11"/>
  <c r="M41" i="11"/>
  <c r="M40" i="11"/>
  <c r="M39" i="11"/>
  <c r="M38" i="11"/>
  <c r="M37" i="11"/>
  <c r="M36" i="11"/>
  <c r="M35" i="11"/>
  <c r="M34" i="11"/>
  <c r="M33" i="11"/>
  <c r="M32" i="11"/>
  <c r="M31" i="11"/>
  <c r="M30" i="11"/>
  <c r="M29" i="11"/>
  <c r="M28" i="11"/>
  <c r="M27" i="11"/>
  <c r="M26" i="11"/>
  <c r="M25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7" i="11"/>
  <c r="M6" i="11"/>
  <c r="M5" i="11"/>
  <c r="M4" i="11"/>
  <c r="M3" i="11"/>
  <c r="F37" i="10"/>
  <c r="E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  <c r="H3" i="10"/>
  <c r="H2" i="10"/>
  <c r="B12" i="9"/>
  <c r="C58" i="8"/>
  <c r="J58" i="8" s="1"/>
  <c r="C57" i="8"/>
  <c r="C56" i="8"/>
  <c r="C55" i="8"/>
  <c r="C37" i="8"/>
  <c r="I37" i="8" s="1"/>
  <c r="C36" i="8"/>
  <c r="C35" i="8"/>
  <c r="K35" i="8" s="1"/>
  <c r="C34" i="8"/>
  <c r="J34" i="8" s="1"/>
  <c r="S23" i="8"/>
  <c r="M13" i="8"/>
  <c r="M12" i="8"/>
  <c r="M11" i="8"/>
  <c r="M10" i="8"/>
  <c r="M9" i="8"/>
  <c r="M8" i="8"/>
  <c r="M7" i="8"/>
  <c r="M6" i="8"/>
  <c r="M5" i="8"/>
  <c r="M3" i="8"/>
  <c r="M2" i="8"/>
  <c r="D6" i="7"/>
  <c r="D5" i="7"/>
  <c r="C5" i="7"/>
  <c r="C6" i="7" s="1"/>
  <c r="B5" i="7"/>
  <c r="B6" i="7" s="1"/>
  <c r="E4" i="7"/>
  <c r="E5" i="7" s="1"/>
  <c r="E6" i="7" s="1"/>
  <c r="F6" i="7" s="1"/>
  <c r="D12" i="2" s="1"/>
  <c r="F3" i="7"/>
  <c r="C4" i="6"/>
  <c r="B3" i="6"/>
  <c r="C3" i="6" s="1"/>
  <c r="C5" i="6" s="1"/>
  <c r="D11" i="2" s="1"/>
  <c r="D7" i="5"/>
  <c r="C7" i="5"/>
  <c r="B7" i="5"/>
  <c r="G6" i="5"/>
  <c r="G5" i="5"/>
  <c r="G4" i="5"/>
  <c r="F4" i="5"/>
  <c r="E4" i="5"/>
  <c r="G3" i="5"/>
  <c r="G7" i="5" s="1"/>
  <c r="G13" i="5" s="1"/>
  <c r="F3" i="5"/>
  <c r="F7" i="5" s="1"/>
  <c r="G12" i="5" s="1"/>
  <c r="E3" i="5"/>
  <c r="E7" i="5" s="1"/>
  <c r="G11" i="5" s="1"/>
  <c r="H16" i="5" s="1"/>
  <c r="D10" i="2" s="1"/>
  <c r="B4" i="4"/>
  <c r="C4" i="4" s="1"/>
  <c r="B3" i="4"/>
  <c r="B5" i="4" s="1"/>
  <c r="C5" i="3"/>
  <c r="B5" i="3"/>
  <c r="E4" i="3"/>
  <c r="D4" i="3"/>
  <c r="F4" i="3" s="1"/>
  <c r="E3" i="3"/>
  <c r="E5" i="3" s="1"/>
  <c r="D2" i="3"/>
  <c r="D5" i="3" s="1"/>
  <c r="F5" i="3" s="1"/>
  <c r="D6" i="2" s="1"/>
  <c r="E2" i="3"/>
  <c r="D3" i="3"/>
  <c r="C2" i="3"/>
  <c r="E38" i="2"/>
  <c r="D37" i="2"/>
  <c r="D36" i="2" s="1"/>
  <c r="D29" i="2"/>
  <c r="D24" i="2"/>
  <c r="D22" i="2"/>
  <c r="D20" i="2"/>
  <c r="D19" i="2"/>
  <c r="D18" i="2"/>
  <c r="D17" i="2"/>
  <c r="D5" i="2"/>
  <c r="H57" i="8" l="1"/>
  <c r="I57" i="8"/>
  <c r="G74" i="8"/>
  <c r="L74" i="8" s="1"/>
  <c r="M74" i="8" s="1"/>
  <c r="G73" i="8"/>
  <c r="L73" i="8" s="1"/>
  <c r="M73" i="8" s="1"/>
  <c r="L49" i="8"/>
  <c r="M49" i="8" s="1"/>
  <c r="L41" i="8"/>
  <c r="M41" i="8" s="1"/>
  <c r="L38" i="8"/>
  <c r="M38" i="8" s="1"/>
  <c r="L53" i="8"/>
  <c r="M53" i="8" s="1"/>
  <c r="L51" i="8"/>
  <c r="M51" i="8" s="1"/>
  <c r="L50" i="8"/>
  <c r="M50" i="8" s="1"/>
  <c r="L39" i="8"/>
  <c r="M39" i="8" s="1"/>
  <c r="L25" i="8"/>
  <c r="M25" i="8" s="1"/>
  <c r="I71" i="8"/>
  <c r="M90" i="8" a="1"/>
  <c r="M90" i="8" s="1"/>
  <c r="G4" i="13"/>
  <c r="G6" i="13" s="1"/>
  <c r="D16" i="2" s="1"/>
  <c r="H33" i="10"/>
  <c r="L52" i="8"/>
  <c r="M52" i="8" s="1"/>
  <c r="L54" i="8"/>
  <c r="M54" i="8" s="1"/>
  <c r="L23" i="8"/>
  <c r="M23" i="8" s="1"/>
  <c r="G48" i="8"/>
  <c r="L48" i="8" s="1"/>
  <c r="M48" i="8" s="1"/>
  <c r="K36" i="8"/>
  <c r="L87" i="8"/>
  <c r="M87" i="8" s="1"/>
  <c r="L29" i="8"/>
  <c r="M29" i="8" s="1"/>
  <c r="L17" i="8"/>
  <c r="M17" i="8" s="1"/>
  <c r="G75" i="8"/>
  <c r="L75" i="8" s="1"/>
  <c r="M75" i="8" s="1"/>
  <c r="H37" i="8"/>
  <c r="K37" i="8"/>
  <c r="L28" i="8"/>
  <c r="M28" i="8" s="1"/>
  <c r="L16" i="8"/>
  <c r="M16" i="8" s="1"/>
  <c r="L86" i="8"/>
  <c r="M86" i="8" s="1"/>
  <c r="L84" i="8"/>
  <c r="M84" i="8" s="1"/>
  <c r="L72" i="8"/>
  <c r="M72" i="8" s="1"/>
  <c r="D34" i="2" s="1"/>
  <c r="L60" i="8"/>
  <c r="M60" i="8" s="1"/>
  <c r="L63" i="8"/>
  <c r="M63" i="8" s="1"/>
  <c r="L62" i="8"/>
  <c r="M62" i="8" s="1"/>
  <c r="L61" i="8"/>
  <c r="M61" i="8" s="1"/>
  <c r="J36" i="8"/>
  <c r="F58" i="8"/>
  <c r="G58" i="8" s="1"/>
  <c r="L82" i="8"/>
  <c r="M82" i="8" s="1"/>
  <c r="L70" i="8"/>
  <c r="M70" i="8" s="1"/>
  <c r="L46" i="8"/>
  <c r="M46" i="8" s="1"/>
  <c r="G85" i="8"/>
  <c r="L85" i="8" s="1"/>
  <c r="M85" i="8" s="1"/>
  <c r="L71" i="8"/>
  <c r="M71" i="8" s="1"/>
  <c r="L47" i="8"/>
  <c r="M47" i="8" s="1"/>
  <c r="J37" i="8"/>
  <c r="L83" i="8"/>
  <c r="M83" i="8" s="1"/>
  <c r="D31" i="2" s="1"/>
  <c r="L59" i="8"/>
  <c r="M59" i="8" s="1"/>
  <c r="E58" i="8"/>
  <c r="K34" i="8"/>
  <c r="H36" i="8"/>
  <c r="E37" i="8"/>
  <c r="H35" i="8"/>
  <c r="I34" i="8"/>
  <c r="K58" i="8"/>
  <c r="I56" i="8"/>
  <c r="F56" i="8"/>
  <c r="G56" i="8" s="1"/>
  <c r="E36" i="8"/>
  <c r="H34" i="8"/>
  <c r="E35" i="8"/>
  <c r="F34" i="8"/>
  <c r="G34" i="8" s="1"/>
  <c r="E34" i="8"/>
  <c r="L34" i="8" s="1"/>
  <c r="M34" i="8" s="1"/>
  <c r="F57" i="8"/>
  <c r="G57" i="8" s="1"/>
  <c r="H58" i="8"/>
  <c r="I58" i="8"/>
  <c r="F55" i="8"/>
  <c r="G55" i="8" s="1"/>
  <c r="H56" i="8"/>
  <c r="K56" i="8"/>
  <c r="H55" i="8"/>
  <c r="F37" i="8"/>
  <c r="G37" i="8" s="1"/>
  <c r="J57" i="8"/>
  <c r="I55" i="8"/>
  <c r="K57" i="8"/>
  <c r="F36" i="8"/>
  <c r="G36" i="8" s="1"/>
  <c r="I36" i="8"/>
  <c r="J56" i="8"/>
  <c r="E57" i="8"/>
  <c r="L57" i="8" s="1"/>
  <c r="M57" i="8" s="1"/>
  <c r="E56" i="8"/>
  <c r="E55" i="8"/>
  <c r="J35" i="8"/>
  <c r="K55" i="8"/>
  <c r="F35" i="8"/>
  <c r="G35" i="8" s="1"/>
  <c r="I35" i="8"/>
  <c r="J55" i="8"/>
  <c r="P4" i="8"/>
  <c r="Q4" i="8" s="1"/>
  <c r="L100" i="8" s="1"/>
  <c r="D32" i="2"/>
  <c r="E39" i="2"/>
  <c r="D43" i="2" s="1"/>
  <c r="C3" i="4"/>
  <c r="C5" i="4" s="1"/>
  <c r="D9" i="2" s="1"/>
  <c r="F5" i="7"/>
  <c r="E11" i="17"/>
  <c r="F11" i="17" s="1"/>
  <c r="D25" i="2" s="1"/>
  <c r="L37" i="8" l="1"/>
  <c r="M37" i="8" s="1"/>
  <c r="L35" i="8"/>
  <c r="M35" i="8" s="1"/>
  <c r="L58" i="8"/>
  <c r="M58" i="8" s="1"/>
  <c r="L36" i="8"/>
  <c r="M36" i="8" s="1"/>
  <c r="L55" i="8"/>
  <c r="M55" i="8" s="1"/>
  <c r="L56" i="8"/>
  <c r="M56" i="8" s="1"/>
  <c r="D13" i="2"/>
  <c r="M89" i="8" l="1"/>
  <c r="M93" i="8" s="1"/>
  <c r="M91" i="8" l="1"/>
  <c r="M92" i="8" s="1"/>
  <c r="M94" i="8" l="1"/>
  <c r="L99" i="8" s="1"/>
  <c r="L101" i="8" l="1"/>
  <c r="D8" i="2"/>
  <c r="D39" i="2" l="1"/>
  <c r="D44" i="2" l="1"/>
  <c r="D42" i="2" s="1"/>
  <c r="F3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26" authorId="0" shapeId="0" xr:uid="{00000000-0006-0000-0100-000001000000}">
      <text>
        <r>
          <rPr>
            <sz val="11"/>
            <color theme="1"/>
            <rFont val="Aptos Narrow"/>
            <scheme val="minor"/>
          </rPr>
          <t>======
ID#AAABnQ2rbuU
Estefania Gonzalez Palma    (2025-06-13 17:50:34)
No hay soportes para el valor que especifican Operación, mantenimiento del centro de bienestar y componente ambiental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rV8MJnw68fcQ3P1Z93tUMfF14t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" authorId="0" shapeId="0" xr:uid="{00000000-0006-0000-0400-000003000000}">
      <text>
        <r>
          <rPr>
            <sz val="11"/>
            <color theme="1"/>
            <rFont val="Aptos Narrow"/>
            <scheme val="minor"/>
          </rPr>
          <t>======
ID#AAABnQ2rbuQ
tc={CCA29D2B-9C35-4E78-8494-98E92EEFFC96}    (2025-06-13 15:58:04)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Promedio de Históricos 2024, 2025</t>
        </r>
      </text>
    </comment>
    <comment ref="B4" authorId="0" shapeId="0" xr:uid="{00000000-0006-0000-0400-000001000000}">
      <text>
        <r>
          <rPr>
            <sz val="11"/>
            <color theme="1"/>
            <rFont val="Aptos Narrow"/>
            <scheme val="minor"/>
          </rPr>
          <t>======
ID#AAABnQ2rbuY
Gustavo r    (2025-06-13 15:58:04)
Promedio Consumo mas aumento por instalacion de aires acondicionados</t>
        </r>
      </text>
    </comment>
    <comment ref="C4" authorId="0" shapeId="0" xr:uid="{00000000-0006-0000-0400-000002000000}">
      <text>
        <r>
          <rPr>
            <sz val="11"/>
            <color theme="1"/>
            <rFont val="Aptos Narrow"/>
            <scheme val="minor"/>
          </rPr>
          <t>======
ID#AAABnQ2rbuc
Gustavo r    (2025-06-13 15:58:04)
Promedio Consumo Abril y Marzo, soporte carpeta cotizaciones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whKsf7jseJ5xYj4ePNb+vtNsIfg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700-00000F000000}">
      <text>
        <r>
          <rPr>
            <sz val="11"/>
            <color theme="1"/>
            <rFont val="Aptos Narrow"/>
            <scheme val="minor"/>
          </rPr>
          <t>======
ID#AAABnQ2rbuM
Estefania Gonzalez Palma    (2025-06-13 16:34:03)
Escoger uno de los 3 para realizar el trabajo dado que se pueden apoyar con comunicaciones de la Alcaldia o del Parque</t>
        </r>
      </text>
    </comment>
    <comment ref="B8" authorId="0" shapeId="0" xr:uid="{00000000-0006-0000-0700-00000E000000}">
      <text>
        <r>
          <rPr>
            <sz val="11"/>
            <color theme="1"/>
            <rFont val="Aptos Narrow"/>
            <scheme val="minor"/>
          </rPr>
          <t>======
ID#AAABnQ2rbuA
Estefania Gonzalez Palma    (2025-06-13 16:34:56)
Especificar cuantos veterinarios para cada sede, igualmente con los auxiliares</t>
        </r>
      </text>
    </comment>
    <comment ref="B61" authorId="0" shapeId="0" xr:uid="{00000000-0006-0000-0700-00000D000000}">
      <text>
        <r>
          <rPr>
            <sz val="11"/>
            <color theme="1"/>
            <rFont val="Aptos Narrow"/>
            <scheme val="minor"/>
          </rPr>
          <t>======
ID#AAABnQ2rbtk
Estefania Gonzalez Palma    (2025-06-13 16:36:10)
Segmentar para donde es cada servicio al cliente</t>
        </r>
      </text>
    </comment>
    <comment ref="B65" authorId="0" shapeId="0" xr:uid="{00000000-0006-0000-0700-00000C000000}">
      <text>
        <r>
          <rPr>
            <sz val="11"/>
            <color theme="1"/>
            <rFont val="Aptos Narrow"/>
            <scheme val="minor"/>
          </rPr>
          <t>======
ID#AAABnQ2rbs8
Estefania Gonzalez Palma    (2025-06-13 16:36:49)
Segmentar para donde es cada servicios generales</t>
        </r>
      </text>
    </comment>
    <comment ref="B72" authorId="0" shapeId="0" xr:uid="{00000000-0006-0000-0700-000009000000}">
      <text>
        <r>
          <rPr>
            <sz val="11"/>
            <color theme="1"/>
            <rFont val="Aptos Narrow"/>
            <scheme val="minor"/>
          </rPr>
          <t>======
ID#AAABnQ2rbtQ
Ana María Alonso Garzon    (2025-06-13 16:43:48)
este profesional a qué alcance corresponde?</t>
        </r>
      </text>
    </comment>
    <comment ref="B73" authorId="0" shapeId="0" xr:uid="{00000000-0006-0000-0700-00000B000000}">
      <text>
        <r>
          <rPr>
            <sz val="11"/>
            <color theme="1"/>
            <rFont val="Aptos Narrow"/>
            <scheme val="minor"/>
          </rPr>
          <t>======
ID#AAABnQ2rbug
Estefania Gonzalez Palma    (2025-06-13 16:41:56)
Se debe organizar la estructura de personal dado que se debe incluir es de acuerdo a cada alcance. 
Por ejemplo: los alcance 1 para ese alcance.</t>
        </r>
      </text>
    </comment>
    <comment ref="B79" authorId="0" shapeId="0" xr:uid="{00000000-0006-0000-0700-000004000000}">
      <text>
        <r>
          <rPr>
            <sz val="11"/>
            <color theme="1"/>
            <rFont val="Aptos Narrow"/>
            <scheme val="minor"/>
          </rPr>
          <t>======
ID#AAABnQ2rbts
Estefania Gonzalez Palma    (2025-06-13 17:06:35)
Se debe organizar la estructura de personal dado que se debe incluir es de acuerdo a cada alcance.</t>
        </r>
      </text>
    </comment>
    <comment ref="B80" authorId="0" shapeId="0" xr:uid="{00000000-0006-0000-0700-000003000000}">
      <text>
        <r>
          <rPr>
            <sz val="11"/>
            <color theme="1"/>
            <rFont val="Aptos Narrow"/>
            <scheme val="minor"/>
          </rPr>
          <t>======
ID#AAABnQ2rbtA
Estefania Gonzalez Palma    (2025-06-13 17:06:39)
Se debe organizar la estructura de personal dado que se debe incluir es de acuerdo a cada alcance.</t>
        </r>
      </text>
    </comment>
    <comment ref="B81" authorId="0" shapeId="0" xr:uid="{00000000-0006-0000-0700-000002000000}">
      <text>
        <r>
          <rPr>
            <sz val="11"/>
            <color theme="1"/>
            <rFont val="Aptos Narrow"/>
            <scheme val="minor"/>
          </rPr>
          <t>======
ID#AAABnQ2rbt0
Estefania Gonzalez Palma    (2025-06-13 17:06:42)
Se debe organizar la estructura de personal dado que se debe incluir es de acuerdo a cada alcance.</t>
        </r>
      </text>
    </comment>
    <comment ref="B82" authorId="0" shapeId="0" xr:uid="{00000000-0006-0000-0700-000001000000}">
      <text>
        <r>
          <rPr>
            <sz val="11"/>
            <color theme="1"/>
            <rFont val="Aptos Narrow"/>
            <scheme val="minor"/>
          </rPr>
          <t>======
ID#AAABnQ2rbtY
Estefania Gonzalez Palma    (2025-06-13 17:06:48)
Se debe organizar la estructura de personal dado que se debe incluir es de acuerdo a cada alcance.</t>
        </r>
      </text>
    </comment>
    <comment ref="B83" authorId="0" shapeId="0" xr:uid="{00000000-0006-0000-0700-00000A000000}">
      <text>
        <r>
          <rPr>
            <sz val="11"/>
            <color theme="1"/>
            <rFont val="Aptos Narrow"/>
            <scheme val="minor"/>
          </rPr>
          <t>======
ID#AAABnQ2rbs0
Estefania Gonzalez Palma    (2025-06-13 16:42:45)
Se debe organizar la estructura de personal dado que se debe incluir es de acuerdo a cada alcance.  
3. Realizar campañas de adopción y apadrinamiento de los animales de compañía (caninos y felinos) en el marco de cumplimiento de la política pública de bienestar animal.</t>
        </r>
      </text>
    </comment>
    <comment ref="B84" authorId="0" shapeId="0" xr:uid="{00000000-0006-0000-0700-000005000000}">
      <text>
        <r>
          <rPr>
            <sz val="11"/>
            <color theme="1"/>
            <rFont val="Aptos Narrow"/>
            <scheme val="minor"/>
          </rPr>
          <t>======
ID#AAABnQ2rbtU
Estefania Gonzalez Palma    (2025-06-13 16:45:08)
Se debe organizar la estructura de personal dado que se debe incluir es de acuerdo a cada alcance.</t>
        </r>
      </text>
    </comment>
    <comment ref="B85" authorId="0" shapeId="0" xr:uid="{00000000-0006-0000-0700-000008000000}">
      <text>
        <r>
          <rPr>
            <sz val="11"/>
            <color theme="1"/>
            <rFont val="Aptos Narrow"/>
            <scheme val="minor"/>
          </rPr>
          <t>======
ID#AAABnQ2rbuw
Estefania Gonzalez Palma    (2025-06-13 16:44:41)
Se debe organizar la estructura de personal dado que se debe incluir es de acuerdo a cada alcance.</t>
        </r>
      </text>
    </comment>
    <comment ref="B86" authorId="0" shapeId="0" xr:uid="{00000000-0006-0000-0700-000007000000}">
      <text>
        <r>
          <rPr>
            <sz val="11"/>
            <color theme="1"/>
            <rFont val="Aptos Narrow"/>
            <scheme val="minor"/>
          </rPr>
          <t>======
ID#AAABnQ2rbuk
Estefania Gonzalez Palma    (2025-06-13 16:44:46)
Se debe organizar la estructura de personal dado que se debe incluir es de acuerdo a cada alcance.</t>
        </r>
      </text>
    </comment>
    <comment ref="B87" authorId="0" shapeId="0" xr:uid="{00000000-0006-0000-0700-000006000000}">
      <text>
        <r>
          <rPr>
            <sz val="11"/>
            <color theme="1"/>
            <rFont val="Aptos Narrow"/>
            <scheme val="minor"/>
          </rPr>
          <t>======
ID#AAABnQ2rbtI
Estefania Gonzalez Palma    (2025-06-13 16:44:51)
Se debe organizar la estructura de personal dado que se debe incluir es de acuerdo a cada alcance.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nWIp5BwuYFGTX68OHgrIpOK02VQ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0" authorId="0" shapeId="0" xr:uid="{00000000-0006-0000-0800-000002000000}">
      <text>
        <r>
          <rPr>
            <sz val="11"/>
            <color theme="1"/>
            <rFont val="Aptos Narrow"/>
            <scheme val="minor"/>
          </rPr>
          <t>======
ID#AAABnQ2rbsk
Gustavo Rodriguez    (2024-12-07 00:26:40)
Costo de Desplazamiento, Planta de Luz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cA4IlqybljUK1Eyp4lYPIkijYwg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8" authorId="0" shapeId="0" xr:uid="{00000000-0006-0000-0900-000001000000}">
      <text>
        <r>
          <rPr>
            <sz val="11"/>
            <color theme="1"/>
            <rFont val="Aptos Narrow"/>
            <scheme val="minor"/>
          </rPr>
          <t>======
ID#AAABnQ2rbtE
Estefania Gonzalez Palma    (2025-06-16 20:50:54)
Estos valores a que corresponden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+wS1y7tpZJ6y6auDl9c1vWDnQ7w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1" authorId="0" shapeId="0" xr:uid="{00000000-0006-0000-0B00-000002000000}">
      <text>
        <r>
          <rPr>
            <sz val="11"/>
            <color theme="1"/>
            <rFont val="Aptos Narrow"/>
            <scheme val="minor"/>
          </rPr>
          <t>======
ID#AAABnQ2rbt4
Gustavo r    (2025-06-13 15:58:04)
Recuperado: https://equiposvet.com/product-category/instrumental-quirurgico-ortopedia/
------
ID#AAABnQ2rbt8
Estefania Gonzalez Palma    (2025-06-16 20:46:26)
Se requiere solicitar cotización dado que los instrumentales tienen unas caracteristicas tecnicas.</t>
        </r>
      </text>
    </comment>
    <comment ref="F1" authorId="0" shapeId="0" xr:uid="{00000000-0006-0000-0B00-000001000000}">
      <text>
        <r>
          <rPr>
            <sz val="11"/>
            <color theme="1"/>
            <rFont val="Aptos Narrow"/>
            <scheme val="minor"/>
          </rPr>
          <t>======
ID#AAABnQ2rbtM
Estefania Gonzalez Palma    (2025-06-16 20:44:43)
Dentro de las cotizaciones de instrumental falta incluir los precios de la empresa SALUTI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z2676WauYYIZK0N+0F++cKNeCIQ=="/>
    </ext>
  </extL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C00-000005000000}">
      <text>
        <r>
          <rPr>
            <sz val="11"/>
            <color theme="1"/>
            <rFont val="Aptos Narrow"/>
            <scheme val="minor"/>
          </rPr>
          <t>======
ID#AAABnQ2rbs4
Estefania Gonzalez Palma    (2025-06-13 17:13:59)
Por favor solicitar condiciones tecnicas.</t>
        </r>
      </text>
    </comment>
    <comment ref="B3" authorId="0" shapeId="0" xr:uid="{00000000-0006-0000-0C00-000004000000}">
      <text>
        <r>
          <rPr>
            <sz val="11"/>
            <color theme="1"/>
            <rFont val="Aptos Narrow"/>
            <scheme val="minor"/>
          </rPr>
          <t>======
ID#AAABnQ2rbu0
Estefania Gonzalez Palma    (2025-06-13 17:14:05)
Por favor solicitar condiciones tecnicas.</t>
        </r>
      </text>
    </comment>
    <comment ref="B4" authorId="0" shapeId="0" xr:uid="{00000000-0006-0000-0C00-000003000000}">
      <text>
        <r>
          <rPr>
            <sz val="11"/>
            <color theme="1"/>
            <rFont val="Aptos Narrow"/>
            <scheme val="minor"/>
          </rPr>
          <t>======
ID#AAABnQ2rbuo
Estefania Gonzalez Palma    (2025-06-13 17:14:11)
Por favor solicitar condiciones tecnicas.</t>
        </r>
      </text>
    </comment>
    <comment ref="B5" authorId="0" shapeId="0" xr:uid="{00000000-0006-0000-0C00-000002000000}">
      <text>
        <r>
          <rPr>
            <sz val="11"/>
            <color theme="1"/>
            <rFont val="Aptos Narrow"/>
            <scheme val="minor"/>
          </rPr>
          <t>======
ID#AAABnQ2rbuE
Estefania Gonzalez Palma    (2025-06-13 17:14:15)
Por favor solicitar condiciones tecnicas.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6AaUITaoWvxS78q8cqCmuCBXwBg=="/>
    </ext>
  </extL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0" authorId="0" shapeId="0" xr:uid="{00000000-0006-0000-0D00-000001000000}">
      <text>
        <r>
          <rPr>
            <sz val="11"/>
            <color theme="1"/>
            <rFont val="Aptos Narrow"/>
            <scheme val="minor"/>
          </rPr>
          <t>======
ID#AAABnQ2rbtc
Estefania Gonzalez Palma    (2025-06-13 17:24:01)
Por favor ajustar como venia en el convenio 1 y adjuntar la certificación correspondiente</t>
        </r>
      </text>
    </comment>
    <comment ref="B14" authorId="0" shapeId="0" xr:uid="{00000000-0006-0000-0D00-000002000000}">
      <text>
        <r>
          <rPr>
            <sz val="11"/>
            <color theme="1"/>
            <rFont val="Aptos Narrow"/>
            <scheme val="minor"/>
          </rPr>
          <t>======
ID#AAABnQ2rbus
Gustavo Rodriguez    (2024-12-06 23:44:03)
Se ajusta debido a restriccion presupuestal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xIR8cm1632yYzPaQyVmO91RdtTQ=="/>
    </ext>
  </extL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105" authorId="0" shapeId="0" xr:uid="{00000000-0006-0000-0E00-000001000000}">
      <text>
        <r>
          <rPr>
            <sz val="11"/>
            <color theme="1"/>
            <rFont val="Aptos Narrow"/>
            <scheme val="minor"/>
          </rPr>
          <t>======
ID#AAABnQ2rbso
Gustavo r    (2025-06-13 15:58:04)
Incluido Impuesto</t>
        </r>
      </text>
    </comment>
    <comment ref="F105" authorId="0" shapeId="0" xr:uid="{00000000-0006-0000-0E00-000002000000}">
      <text>
        <r>
          <rPr>
            <sz val="11"/>
            <color theme="1"/>
            <rFont val="Aptos Narrow"/>
            <scheme val="minor"/>
          </rPr>
          <t>======
ID#AAABnQ2rbu4
Gustavo r    (2025-06-13 15:58:04)
Incluido Impuestos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qxrB0f2VLwMRlmb5IpDS19tQT7w=="/>
    </ext>
  </extL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1000-000001000000}">
      <text>
        <r>
          <rPr>
            <sz val="11"/>
            <color theme="1"/>
            <rFont val="Aptos Narrow"/>
            <scheme val="minor"/>
          </rPr>
          <t>SE TIENE COMO INSUMO LA CIRCULAR EXTERNA DE LA SUPERINTENDNECIA DE SEGURIDAD PRIVADA DE FECHA JUNIO PARA DOS TURNOS 24 HORAS 
======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6" authorId="0" shapeId="0" xr:uid="{00000000-0006-0000-1300-000001000000}">
      <text>
        <r>
          <rPr>
            <sz val="11"/>
            <color theme="1"/>
            <rFont val="Aptos Narrow"/>
            <scheme val="minor"/>
          </rPr>
          <t>======
ID#AAABnQ2rbto
Estefania Gonzalez Palma    (2025-06-16 21:26:30)
Por favor corregir valor y verificar con la cotización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bYwG+2To3djtIiKk6a57LGPqDOg=="/>
    </ext>
  </extL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<sst xmlns="http://schemas.openxmlformats.org/spreadsheetml/2006/main" count="1846" uniqueCount="1102">
  <si>
    <t>CRONOGRAMA DE ACTIVIDADES</t>
  </si>
  <si>
    <t>ALCANCE</t>
  </si>
  <si>
    <t>ACTIVDAD</t>
  </si>
  <si>
    <t>MES 1</t>
  </si>
  <si>
    <t>MES 2</t>
  </si>
  <si>
    <t>MES 3</t>
  </si>
  <si>
    <t>1. Operar dos centros de atención de primer nivel, crear y operar  un centro de primer nivel , operar un centro de atención de segundo nivel y brindar atención de tercer nivel  todos pertenecientes a la Red Hospital Público Veterinaria de Pereira."</t>
  </si>
  <si>
    <t>Firma de convenio y contratos</t>
  </si>
  <si>
    <t>x</t>
  </si>
  <si>
    <t>Firma de contratos con proveedores de bienes y servicios</t>
  </si>
  <si>
    <t>Conformación  y contratación de equipos de trabajo</t>
  </si>
  <si>
    <t xml:space="preserve">Atención de 24 horas en el segundo nivel de la red HOSPITAL PÚBLICO VETERINARIO DE PEREIRA </t>
  </si>
  <si>
    <t xml:space="preserve">Prestación de servicio nivel 1 </t>
  </si>
  <si>
    <t>Prestación de servicio nivel 2</t>
  </si>
  <si>
    <t>Prestacion del servicio de nivel 3</t>
  </si>
  <si>
    <t>2.        Brindar atención en el Centro de Bienestar Animal a los animales en condición de calle que se encuentran en custodia del municipio de Pereira, provenientes de procesos de contravención, politraumatismo y/o situaciones de abandono o vulnerabilidad, de acuerdo a la capacidad institucional instalada.</t>
  </si>
  <si>
    <t>Fortalecimiento   CBA</t>
  </si>
  <si>
    <t>Actualización  protocolos y documentación del CBA</t>
  </si>
  <si>
    <t>Conformación y  contratacion de equipos de trabajo</t>
  </si>
  <si>
    <t xml:space="preserve">Prestación de servicio </t>
  </si>
  <si>
    <t>3. Realizar campañas de adopción y apadrinamiento de los animales de compañía (caninos y felinos) en el marco de cumplimiento de la política pública de bienestar animal.</t>
  </si>
  <si>
    <t>Realizar campañas de adopción y apadrinamiento de los animales de compañía (caninos y felinos) en el marco de cumplimiento de la política pública de bienestar animal.</t>
  </si>
  <si>
    <t>4. Ejecutar campañas de educación sobre tenencia responsable y bienestar animal.</t>
  </si>
  <si>
    <t>Establecer los lineamientos  de  las campañas de educación sobre tenencia responsable y bienestar animal.</t>
  </si>
  <si>
    <t>Implementar campañas de educación sobre tenencia responsable y bienestar animal.</t>
  </si>
  <si>
    <t>5. Fortalecer las instituciones y organizaciones que desarrollan programas y actividades con animales domesticos en estado de vulnerabilidad de la ciudad de Pereira</t>
  </si>
  <si>
    <t xml:space="preserve">Brindar capacitaciones de acuerdo a las necesidades especificas </t>
  </si>
  <si>
    <t xml:space="preserve">Actualizacion  del inventario de las ONG, hogares de paso, acumuladores </t>
  </si>
  <si>
    <t xml:space="preserve">Realizar brigadas de seguridad alimentaria en las organizaciones legalemente constituidas de la ciudad de pereira. </t>
  </si>
  <si>
    <t>OTRAS ACTIVIDADES DE APOYO A LA GESTION INSTITUCIONAL DEL CONVENIO</t>
  </si>
  <si>
    <t>Actividades de gestión administrativa, legal operativa y financiera</t>
  </si>
  <si>
    <t>Presentación de informes</t>
  </si>
  <si>
    <t xml:space="preserve">PRESUPUESTO </t>
  </si>
  <si>
    <t>ACTIVIDAD</t>
  </si>
  <si>
    <t>APORTE ALCALDIA</t>
  </si>
  <si>
    <t>APORTE UKUMARÍ</t>
  </si>
  <si>
    <t>VALOR TOTAL</t>
  </si>
  <si>
    <t>Funcionamiento sedes y otros costos administrativos</t>
  </si>
  <si>
    <t>1.1</t>
  </si>
  <si>
    <t xml:space="preserve">Pólizas de responsabilidad civil </t>
  </si>
  <si>
    <t>1.2</t>
  </si>
  <si>
    <t xml:space="preserve">Poliza Rc instalaciones </t>
  </si>
  <si>
    <t>Elementos operacionales de las sedes nivel 1-2 y sede administrativa</t>
  </si>
  <si>
    <t>2.1</t>
  </si>
  <si>
    <t>Mobiliario de servicio</t>
  </si>
  <si>
    <t>Operación de sedes</t>
  </si>
  <si>
    <t>3.1</t>
  </si>
  <si>
    <t>Arrendamientos</t>
  </si>
  <si>
    <t>3.2</t>
  </si>
  <si>
    <t xml:space="preserve">Servicios Públicos (energía eléctrica, acueducto, alcantarillado, gas, disposición de residuos) para la sede de atencion de segundo nivel y sede administrativa, ya que los puntos de atención primaria se habilitarán en los CEDES del municipio los cuales ya cuenta con pago de servicios </t>
  </si>
  <si>
    <t>3.3</t>
  </si>
  <si>
    <t xml:space="preserve"> Internet para la sede administrativa y Hospital </t>
  </si>
  <si>
    <t>3.4</t>
  </si>
  <si>
    <t xml:space="preserve">Control de plagas para las 3 sedes y en que frecuencia </t>
  </si>
  <si>
    <t>3.5</t>
  </si>
  <si>
    <t xml:space="preserve">Contratos de Prestacion de Servicios </t>
  </si>
  <si>
    <t>3.6</t>
  </si>
  <si>
    <t>Costo de personal  Red Hospital Publico Veterinario (Planta Temporal)</t>
  </si>
  <si>
    <t>3.7</t>
  </si>
  <si>
    <t xml:space="preserve">Unidad movil veterinaria </t>
  </si>
  <si>
    <t>Consumibles atencion medico quirurgica</t>
  </si>
  <si>
    <t>4.1</t>
  </si>
  <si>
    <t xml:space="preserve">Insumos hospitalarios (Consumibles) </t>
  </si>
  <si>
    <t>4.2</t>
  </si>
  <si>
    <t>Medicamentos-vacunas-desparasitantes</t>
  </si>
  <si>
    <t>4.3</t>
  </si>
  <si>
    <t>Instrumental</t>
  </si>
  <si>
    <t>4.4</t>
  </si>
  <si>
    <t>Insumos de laboratorio</t>
  </si>
  <si>
    <t>4.5</t>
  </si>
  <si>
    <t xml:space="preserve">Equipos Biomedicos </t>
  </si>
  <si>
    <t>4.6</t>
  </si>
  <si>
    <t>Servicios por atención medica nivel 3</t>
  </si>
  <si>
    <t>4.7</t>
  </si>
  <si>
    <t>Aseo y cafetería</t>
  </si>
  <si>
    <t>4.8</t>
  </si>
  <si>
    <t xml:space="preserve">Papelería </t>
  </si>
  <si>
    <t>2.Brindar atención en el centro de bienestar animal a los animales en condición de calle que se encuentran en custodia del municipio de Pereira. provenientes de procesos de contravención, politraumatismo y/o situaciones de abandono o vulnerabilidad, de acuerdo a la capacidad institucional instalada.</t>
  </si>
  <si>
    <t>Operación CBA</t>
  </si>
  <si>
    <t>Operación, mantenimiento del centro de bienestar y componente ambiental </t>
  </si>
  <si>
    <t>5.3</t>
  </si>
  <si>
    <t>Alimentación </t>
  </si>
  <si>
    <t xml:space="preserve">Apoyo Logistico Adopciones </t>
  </si>
  <si>
    <t>Transporte jornadas-Conexión Red (camioneta)</t>
  </si>
  <si>
    <t>4. Diseñar e implementar campañas de educación y trabajo con comunidades sobre tenencia responsable y bienestar animal.</t>
  </si>
  <si>
    <t xml:space="preserve"> Apoyo logistico educacion</t>
  </si>
  <si>
    <t>Camioneta actividades (compartida adopciones)</t>
  </si>
  <si>
    <t xml:space="preserve">5. Apoyar a ESAL y ONG que desarrollan actividades de bienestar animal </t>
  </si>
  <si>
    <t>8.1</t>
  </si>
  <si>
    <t>Suministro de alimento  a  las organizaciones existentes enfocadas en  el cuidado de Perros y gatos en Pereira</t>
  </si>
  <si>
    <t>6. COSTOS ADMINISTRATIVOS LEGALIZACION CONVENIO</t>
  </si>
  <si>
    <t>Poliza cumplimiento y RCE como gasto administrativo del convenio</t>
  </si>
  <si>
    <t>Valor total</t>
  </si>
  <si>
    <t>Aporte Ukumari</t>
  </si>
  <si>
    <t>Aporte Alcaldia</t>
  </si>
  <si>
    <t>ITEM</t>
  </si>
  <si>
    <t>CANTIDAD</t>
  </si>
  <si>
    <t>PULCOR SAS</t>
  </si>
  <si>
    <t>METALICAS JGM</t>
  </si>
  <si>
    <t>HERRAJES Y DISEÑO</t>
  </si>
  <si>
    <t>Promedio</t>
  </si>
  <si>
    <t>JAULA x 9 EN LAMINA EN ACERO  INOXIDABLE</t>
  </si>
  <si>
    <t>TRANSPORTE/FLETE</t>
  </si>
  <si>
    <t>Total</t>
  </si>
  <si>
    <t>Nota: Cotizaciones en carpeta cotizaciones 2.1 mobiliario de servicio</t>
  </si>
  <si>
    <t>OBSERVACIONES</t>
  </si>
  <si>
    <t>FECHA COTIZACION</t>
  </si>
  <si>
    <t>TRAZABILIDAD</t>
  </si>
  <si>
    <t>NO</t>
  </si>
  <si>
    <t>VIGENCIA</t>
  </si>
  <si>
    <t>INCLUYE IVA</t>
  </si>
  <si>
    <t>SI</t>
  </si>
  <si>
    <t>Item</t>
  </si>
  <si>
    <t xml:space="preserve">Valor Mes </t>
  </si>
  <si>
    <t>3 meses 2025</t>
  </si>
  <si>
    <t xml:space="preserve">Sede Administrativa </t>
  </si>
  <si>
    <t xml:space="preserve">Sede Segundo Nivel </t>
  </si>
  <si>
    <t xml:space="preserve">Mensual </t>
  </si>
  <si>
    <t xml:space="preserve">Energia </t>
  </si>
  <si>
    <t xml:space="preserve">Agua </t>
  </si>
  <si>
    <t xml:space="preserve">Recolecccion de Residuos </t>
  </si>
  <si>
    <t xml:space="preserve">3 meses  Energia </t>
  </si>
  <si>
    <t>3 Meses Agua</t>
  </si>
  <si>
    <t>3 Meses Recoleccion</t>
  </si>
  <si>
    <t>N/A</t>
  </si>
  <si>
    <t xml:space="preserve">Sede Maraya </t>
  </si>
  <si>
    <t>Villa Santana</t>
  </si>
  <si>
    <t xml:space="preserve">2500 Lotes </t>
  </si>
  <si>
    <t>Recoleccion residuos</t>
  </si>
  <si>
    <t xml:space="preserve">Item </t>
  </si>
  <si>
    <t xml:space="preserve">3 meses </t>
  </si>
  <si>
    <t xml:space="preserve">Internet Hospital </t>
  </si>
  <si>
    <t>Items</t>
  </si>
  <si>
    <t xml:space="preserve">Fumigadora del Control de Plagas </t>
  </si>
  <si>
    <t xml:space="preserve">Fumitec </t>
  </si>
  <si>
    <t>Fumigaciones Virginia</t>
  </si>
  <si>
    <t>Plamera Junior</t>
  </si>
  <si>
    <t xml:space="preserve">Promedio </t>
  </si>
  <si>
    <t>Mensual</t>
  </si>
  <si>
    <t xml:space="preserve">Iva </t>
  </si>
  <si>
    <t>incluido</t>
  </si>
  <si>
    <t>3 Meses</t>
  </si>
  <si>
    <t xml:space="preserve">Modalidad </t>
  </si>
  <si>
    <t xml:space="preserve">Descripcion </t>
  </si>
  <si>
    <t>Salario/ Honorarios</t>
  </si>
  <si>
    <t>Auxilio de transporte</t>
  </si>
  <si>
    <t xml:space="preserve">Carga prestacional </t>
  </si>
  <si>
    <t>Total Costo 2025</t>
  </si>
  <si>
    <t xml:space="preserve">Prestacion </t>
  </si>
  <si>
    <t xml:space="preserve">Coordinador </t>
  </si>
  <si>
    <t>Juridico</t>
  </si>
  <si>
    <t>valor mensual</t>
  </si>
  <si>
    <t xml:space="preserve">Diseñador </t>
  </si>
  <si>
    <t>Comunicaciones</t>
  </si>
  <si>
    <t xml:space="preserve">Audioviovisual </t>
  </si>
  <si>
    <t>Sistemas</t>
  </si>
  <si>
    <t>Prestacion</t>
  </si>
  <si>
    <t xml:space="preserve">Temporal </t>
  </si>
  <si>
    <t>Directora Medica</t>
  </si>
  <si>
    <t>Medico Veterinario Ciujano 1</t>
  </si>
  <si>
    <t>Medico Veterinario cirujano 2</t>
  </si>
  <si>
    <t>Salario Minimo 2025</t>
  </si>
  <si>
    <t>Medico Veterinario 17 (Nocturno)</t>
  </si>
  <si>
    <t>Medico Veterinario 18 (Nocturno)</t>
  </si>
  <si>
    <t>Medico Veterinario 19 (Nocturno)</t>
  </si>
  <si>
    <t>Medico Veterinario 20 (Nocturno)</t>
  </si>
  <si>
    <t>Auxiliar Veterinario 1</t>
  </si>
  <si>
    <t>Auxiliar Veterinario 2</t>
  </si>
  <si>
    <t>Auxiliar Veterinario 18 (Nocturno)</t>
  </si>
  <si>
    <t>Auxiliar Veterinario 19 (Nocturno)</t>
  </si>
  <si>
    <t>Auxiliar Veterinario 20 (Nocturno)</t>
  </si>
  <si>
    <t>Auxiliar Veterinario 21 (Nocturno)</t>
  </si>
  <si>
    <t xml:space="preserve">Laboratorista </t>
  </si>
  <si>
    <t xml:space="preserve">Profesional Administrativo </t>
  </si>
  <si>
    <t>Auxiliar de Archivo</t>
  </si>
  <si>
    <t>Profesional (Dir Operativa)</t>
  </si>
  <si>
    <t>Cuidador 1</t>
  </si>
  <si>
    <t>Cuidador 2</t>
  </si>
  <si>
    <t>Cuidador 3</t>
  </si>
  <si>
    <t>Cuidador 4</t>
  </si>
  <si>
    <t>Cuidador 5</t>
  </si>
  <si>
    <t>Cuidador 6</t>
  </si>
  <si>
    <t xml:space="preserve">Medico Veterinario CBA 1 </t>
  </si>
  <si>
    <t>Medico Veterinario CBA 2</t>
  </si>
  <si>
    <t xml:space="preserve">Profesional de Adopciones </t>
  </si>
  <si>
    <t>Conductor Unidad Movil</t>
  </si>
  <si>
    <t>Auxiliar Administrativo</t>
  </si>
  <si>
    <t>Profesional de Educación</t>
  </si>
  <si>
    <t xml:space="preserve">Abogado Junior </t>
  </si>
  <si>
    <t xml:space="preserve">Dotacion </t>
  </si>
  <si>
    <t>Au</t>
  </si>
  <si>
    <t>Iva</t>
  </si>
  <si>
    <t>Recargos domincales y festivos</t>
  </si>
  <si>
    <t>Total mes</t>
  </si>
  <si>
    <t>Costo Personal Resumen</t>
  </si>
  <si>
    <t>Temporal</t>
  </si>
  <si>
    <t>Prestacion de Servicios</t>
  </si>
  <si>
    <t xml:space="preserve">Total </t>
  </si>
  <si>
    <t xml:space="preserve">Descripción </t>
  </si>
  <si>
    <t>Mes</t>
  </si>
  <si>
    <t xml:space="preserve">Unidad Movil </t>
  </si>
  <si>
    <t xml:space="preserve">Items </t>
  </si>
  <si>
    <t xml:space="preserve">Valor </t>
  </si>
  <si>
    <t>SOAT, Seguros, Tecnico Mecanica, Permisos</t>
  </si>
  <si>
    <t xml:space="preserve">Combustible </t>
  </si>
  <si>
    <t xml:space="preserve">Mantenimiento </t>
  </si>
  <si>
    <t>Nota 1: la unidad movil presta los siguiente servicios: una sala de cirugia con dos  mesas, esta esta habilitada por secretaria de salud municipal, area de preparacion luz aire acondicionado, tomas de luz</t>
  </si>
  <si>
    <t>DESCRIPCION</t>
  </si>
  <si>
    <t>Cant.</t>
  </si>
  <si>
    <t>Inversiones Rodriguez Castañeda</t>
  </si>
  <si>
    <t>Euro Lab</t>
  </si>
  <si>
    <t>International Vet</t>
  </si>
  <si>
    <t>PAPEL TÉRMICO</t>
  </si>
  <si>
    <t>LIMPIADOR DE SONDA EDAN</t>
  </si>
  <si>
    <t>PUNTAS AZULES</t>
  </si>
  <si>
    <t>PUNTAS AMARILLAS</t>
  </si>
  <si>
    <t>TUBOS EPENDORF</t>
  </si>
  <si>
    <t>TEST PARVOVIRUS</t>
  </si>
  <si>
    <t>TEST DISTEMPER</t>
  </si>
  <si>
    <t>TEST ERLICHIA</t>
  </si>
  <si>
    <t>TEST LEUCEMIA Y SIDA</t>
  </si>
  <si>
    <t>TEST PARVO CORONA GIARDIA</t>
  </si>
  <si>
    <t>REPUESTO CENTRIFUGA3002</t>
  </si>
  <si>
    <t>COLESTEROL 2x50 ML</t>
  </si>
  <si>
    <t>REPUESTO LÁMPARA QUÍMICA SEMIAUTOMÁTIZADA 880</t>
  </si>
  <si>
    <t>TIRAS DE ORINA DE 11 PARAMETROS</t>
  </si>
  <si>
    <t>TIRAS DE ORINA DE 14 PARAMETROS</t>
  </si>
  <si>
    <t xml:space="preserve">TIRAS DE MEDICION DE GLUCOMETRIA </t>
  </si>
  <si>
    <t>ALBUMINA 4 X 100</t>
  </si>
  <si>
    <t xml:space="preserve">REPUESTO PIPETA </t>
  </si>
  <si>
    <t>ALT/GPT 3x100ML</t>
  </si>
  <si>
    <t>AST/GOT  3*100Ml</t>
  </si>
  <si>
    <t>CREATININA 4x100ml</t>
  </si>
  <si>
    <t>FOSFATASA ALCALINA 2x50ml</t>
  </si>
  <si>
    <t>GGT 2x50ml</t>
  </si>
  <si>
    <t>GLUCOSA 2x50ml</t>
  </si>
  <si>
    <t>UREA 3x100ml</t>
  </si>
  <si>
    <t>CONTROL NORMAL</t>
  </si>
  <si>
    <t>CONTROL ANORMAL</t>
  </si>
  <si>
    <t>MULTICALIBRADOR</t>
  </si>
  <si>
    <t>DILUYENTE 20 LT</t>
  </si>
  <si>
    <t>LÍTICO 200ml</t>
  </si>
  <si>
    <t>Bolsa Agotable</t>
  </si>
  <si>
    <t>DESCRIPCIÓN</t>
  </si>
  <si>
    <t>SGS</t>
  </si>
  <si>
    <t>WMS</t>
  </si>
  <si>
    <t>DCOLFARMA</t>
  </si>
  <si>
    <t>DESCRIPCIÓN MEDICAMENTO</t>
  </si>
  <si>
    <t>PRESENTACIÓN</t>
  </si>
  <si>
    <t>PRECIO UNIDAD ANTES DE IVA</t>
  </si>
  <si>
    <t>IVA</t>
  </si>
  <si>
    <t>PRECIO UNIDAD IVA INCLUIDO</t>
  </si>
  <si>
    <t>ACEITE CRISTAL X 500 ML</t>
  </si>
  <si>
    <t>BOTELLAX500ML</t>
  </si>
  <si>
    <t>AGUA ESTERIL X 500ML</t>
  </si>
  <si>
    <t>FCOX500ML</t>
  </si>
  <si>
    <t>AGUA OXIGENADA X 3500</t>
  </si>
  <si>
    <t>GARRAFA</t>
  </si>
  <si>
    <t>AGUJA HIPODERMICA 16G 1 1/2 CAJA X 100</t>
  </si>
  <si>
    <t>CAJAX100</t>
  </si>
  <si>
    <t>AGUJA HIPODERMICA 18G 1 1/2 CAJA X 100</t>
  </si>
  <si>
    <t>AGUJA HIPODERMICA 21G 1 1/2 CAJA X 100</t>
  </si>
  <si>
    <t>AGUJA HIPODERMICA 21G X 1 CAJA X 100</t>
  </si>
  <si>
    <t>AGUJA HIPODERMICA 23G X 1 CAJA X 100</t>
  </si>
  <si>
    <t>AGUJA HIPODERMICA 27G X 1 CAJA X 101</t>
  </si>
  <si>
    <t>ALAMBRE QUIRUGICO 0.7 X 4 MTS</t>
  </si>
  <si>
    <t>UNIDAD</t>
  </si>
  <si>
    <t>ALCOHOL ANTISEPTICO GARRAFA 3600 ML</t>
  </si>
  <si>
    <t>ALCOHOL ISOPROPILICO 96%</t>
  </si>
  <si>
    <t>ALGODÓN ROLLO 454GR</t>
  </si>
  <si>
    <t>BOLSAX500G</t>
  </si>
  <si>
    <t>ALGODON TURUNDA 500 GR</t>
  </si>
  <si>
    <t>BATAS AZUL PACIENTE PUÑO RIB UNIDAD</t>
  </si>
  <si>
    <t>PQ X 10</t>
  </si>
  <si>
    <t>BOLSA CIERRE ZIPLOC</t>
  </si>
  <si>
    <t>PQX100</t>
  </si>
  <si>
    <t>BOLSA PARA TRANSFUSION</t>
  </si>
  <si>
    <t>BURETA 150 ML X UND</t>
  </si>
  <si>
    <t>BOLSAX25</t>
  </si>
  <si>
    <t>CANULA DE YANKAWER DESECHABLE</t>
  </si>
  <si>
    <t>CANULA NASAL DE OXIGENO ADULTO</t>
  </si>
  <si>
    <t>CATETER INTRAVENOSO 18</t>
  </si>
  <si>
    <t>CAJAX50</t>
  </si>
  <si>
    <t>CATETER INTRAVENOSO 20 ROSADO</t>
  </si>
  <si>
    <t>CATETER INTRAVENOSO 22 AZUL</t>
  </si>
  <si>
    <t>CATETER INTRAVENOSO 24 AMARILLO</t>
  </si>
  <si>
    <t>CATETER IV DE SEGURIDAD NO 20  UNIDAD  CAJAX50  INTROCAN SAFETY 20G. 1X32MM 4251644-04 B. BRAUN MEDICAL S.A.</t>
  </si>
  <si>
    <t>CATETER IV DE SEGURIDAD NO 22  UNIDAD  CAJAX50  INTROCAN SAFETY B. BRAUN MEDICAL S.A.</t>
  </si>
  <si>
    <t>CATETER IV DE SEGURIDAD NO 24  UNIDAD  CAJAX50  INTROCAN SAFETY 24GX0.55"" (0.7X14MM) REF. 4251607-04 B. BRAUN MEDICAL S.A.</t>
  </si>
  <si>
    <t>CINTA ADHESIVA MICROPOROSA BLANCO O PIEL 2"" X 10YDS  ROLLO  CAJAX6   CINTA ADHESIVA MICROPOROSA BLANCO O PIEL 2"" X 10YDS  GLOBAL HEALTH</t>
  </si>
  <si>
    <t>CAJAX6</t>
  </si>
  <si>
    <t>CINTA DE CONTROL VAPOR 3 MTS</t>
  </si>
  <si>
    <t>CIRCUITO PARA ANESTESIA JACKSON REES CON VALVULA</t>
  </si>
  <si>
    <t>BOLSAX1</t>
  </si>
  <si>
    <t>CIRCUITO UNIVERSAL COAXIAL DE ANESTESIA UNIFLOW A</t>
  </si>
  <si>
    <t>CLOREHEXIDINA JABON EZ SCRUB FOAMER 4%</t>
  </si>
  <si>
    <t>FCOX120ML</t>
  </si>
  <si>
    <t>COLLAR ISABELINO N° 1</t>
  </si>
  <si>
    <t>COLLAR ISABELINO N° 10</t>
  </si>
  <si>
    <t>COLLAR ISABELINO N° 2</t>
  </si>
  <si>
    <t>COLLAR ISABELINO N° 3</t>
  </si>
  <si>
    <t>COLLAR ISABELINO N° 4</t>
  </si>
  <si>
    <t>COLLAR ISABELINO N° 5</t>
  </si>
  <si>
    <t>COLLAR ISABELINO N° 6</t>
  </si>
  <si>
    <t>COLLAR ISABELINO N° 7</t>
  </si>
  <si>
    <t>COLLAR ISABELINO N° 8</t>
  </si>
  <si>
    <t>COLLAR ISABELINO N° 9</t>
  </si>
  <si>
    <t>COMPRESA ESTERIL 45X45</t>
  </si>
  <si>
    <t>PQX5</t>
  </si>
  <si>
    <t>COPITOS DE MADERA X UND</t>
  </si>
  <si>
    <t>BOLSAX20</t>
  </si>
  <si>
    <t>CUCHILLA BISTURI # 10</t>
  </si>
  <si>
    <t>CUCHILLA BISTURI # 21</t>
  </si>
  <si>
    <t>CUCHILLA MINORA CAJA X 5 UND</t>
  </si>
  <si>
    <t>CAJAX5</t>
  </si>
  <si>
    <t>ENZIDINA PLUS LIMPIADOR MULTIENZIMATICO X 4000</t>
  </si>
  <si>
    <t>GARRAFAX4000ML</t>
  </si>
  <si>
    <t>EQUIPO PERICRANEAL 21G UNIDAD</t>
  </si>
  <si>
    <t>ESPARADRAPO 1" TUBO POR 12 ROLLOS</t>
  </si>
  <si>
    <t>TUBOX5</t>
  </si>
  <si>
    <t>EXTENCION PARA ANESTAESIA ADULTO</t>
  </si>
  <si>
    <t>FRASCO GOTERO X 10 ML</t>
  </si>
  <si>
    <t>FRASCO GOTERO X 120 ML</t>
  </si>
  <si>
    <t>FRASCO GOTERO X 60 ML</t>
  </si>
  <si>
    <t>FRASCO RECOLECTOR COPROLÓGICO</t>
  </si>
  <si>
    <t>BOLSAX100</t>
  </si>
  <si>
    <t>FRASCO RECOLECTOR ORINA</t>
  </si>
  <si>
    <t>FRASCO SPRAY 500 ML  UNIDAD  FCOX500ML   FRASCO SPRAY QUIMICOS PEREIRA</t>
  </si>
  <si>
    <t>FO X 500 ML</t>
  </si>
  <si>
    <t>GALON GLUTADINA AL 2% X 4000</t>
  </si>
  <si>
    <t>GASA ANTIADHERENTE ESTERIL 7.5CM X 7.5CM    UNIDAD  CAJAX100  ESPONJA DE GASA ESTERIL (20SOBRESX5UNDS) MEDICALES</t>
  </si>
  <si>
    <t>SOBREX5</t>
  </si>
  <si>
    <t>GASAS ESTERILES CAJA x 20</t>
  </si>
  <si>
    <t>GEL CONDUCTOR ECOGRAFICO X 3800 ML</t>
  </si>
  <si>
    <t>GALON</t>
  </si>
  <si>
    <t>GORROS CIRUGÍA DESECHABLES X UNIDAD*</t>
  </si>
  <si>
    <t>GUANTES LATEX L X 50 PARES</t>
  </si>
  <si>
    <t>GUANTES LATEX M X 50 PARES</t>
  </si>
  <si>
    <t>GUANTES LATEX S X 50 PARES</t>
  </si>
  <si>
    <t>GUANTES NITRILO AZUL L X 50 PARES</t>
  </si>
  <si>
    <t>GUANTES NITRILO AZUL M X 50 PARES</t>
  </si>
  <si>
    <t>GUANTES NITRILO AZUL S X 50 PARES</t>
  </si>
  <si>
    <t>GUANTES QUIRÚRGICOS ESTÉRILES 6,5 PAQUETE X 2</t>
  </si>
  <si>
    <t>GUANTES QUIRÚRGICOS ESTÉRILES 7,5 PAQUETE X 2</t>
  </si>
  <si>
    <t>GUANTES QUIRÚRGICOS ESTÉRILES 8,5 PAQUETE X 2</t>
  </si>
  <si>
    <t>GUARDIAN 1.5 LTS</t>
  </si>
  <si>
    <t>GUARDIAN 3 LITROS</t>
  </si>
  <si>
    <t>JERINGA 1 ML 27G X 1/2 UNIDAD</t>
  </si>
  <si>
    <t>JERINGA 10 ML 21G X 1 1/2 UNIDAD</t>
  </si>
  <si>
    <t>JERINGA 2/3 ML X 1 UND</t>
  </si>
  <si>
    <t>JERINGA 20 ML 21G X 1 1/2 UNIDAD</t>
  </si>
  <si>
    <t>JERINGA 5 ML 21G X 1 1/2 UNIDAD</t>
  </si>
  <si>
    <t>JERINGA 50 ML UNIDAD</t>
  </si>
  <si>
    <t>CAJAX25</t>
  </si>
  <si>
    <t>JERINGA 60 ML PUNTA CATETER</t>
  </si>
  <si>
    <t>LAMINA PORTA OBJETOS X UNIDAD</t>
  </si>
  <si>
    <t>LAPIZ ELECTROBISTURI</t>
  </si>
  <si>
    <t>LEVIN NASOGASTRICAS #10</t>
  </si>
  <si>
    <t>LEVIN NASOGASTRICAS #12</t>
  </si>
  <si>
    <t>LEVIN NASOGASTRICAS #14</t>
  </si>
  <si>
    <t>LEVIN NASOGASTRICAS #16</t>
  </si>
  <si>
    <t>LEVIN NASOGASTRICAS #18</t>
  </si>
  <si>
    <t>LEVIN NASOGASTRICAS #6</t>
  </si>
  <si>
    <t>LEVIN NASOGASTRICAS #8</t>
  </si>
  <si>
    <t>LLAVE DE TRES VIAS</t>
  </si>
  <si>
    <t>LUGOL DE GRAM X 500ML</t>
  </si>
  <si>
    <t>MALLA DE POLIPROPILENO</t>
  </si>
  <si>
    <t>MICROPORE 1" X 10 YDS UNIDAD</t>
  </si>
  <si>
    <t>CAJAX12</t>
  </si>
  <si>
    <t>PAPEL CREPADO ROLLO 50*100 MTS</t>
  </si>
  <si>
    <t>PAPEL DE ARROZ PARA LIMPIEZA DE LENTES X 50 HOJAS</t>
  </si>
  <si>
    <t>BOLSAX50</t>
  </si>
  <si>
    <t>PAPEL GRADO MEDICO PARA ESTERILIZAR 15CMX100MTS</t>
  </si>
  <si>
    <t>PAPELERA PEDAL 10 LT (NEGRO - ROJO - BLANCO)</t>
  </si>
  <si>
    <t>PAPELERA PEDAL 20 LT (NEGRO - ROJO - BLANCO)</t>
  </si>
  <si>
    <t>PAPELERA PEDAL 60 LT (NEGRO - ROJO - BLANCO)</t>
  </si>
  <si>
    <t>PERCLORURO DE HERRO X 500 GR</t>
  </si>
  <si>
    <t>FCO X 500 ML</t>
  </si>
  <si>
    <t>POLAINAS DESECHABLES PAR.</t>
  </si>
  <si>
    <t>ROLLO DE GASA HOSPITALARIO X100 YAR</t>
  </si>
  <si>
    <t>ROLLO TELA CAMILLA 70X100 SIN MARCA</t>
  </si>
  <si>
    <t>ROLLO</t>
  </si>
  <si>
    <t>SET DE TRANSFUSION SANGRE</t>
  </si>
  <si>
    <t>SODA PARA ANESTESIA X  4 KILO</t>
  </si>
  <si>
    <t>GARRAFAX5L</t>
  </si>
  <si>
    <t>SOLUCION CLORURO D SODIO X 100ML</t>
  </si>
  <si>
    <t>BOLSAX100ML</t>
  </si>
  <si>
    <t>SOLUCION CLORURO D SODIO X 500ML</t>
  </si>
  <si>
    <t>BOTELLA PEBDX500ML</t>
  </si>
  <si>
    <t>SOLUCIÓN DEXTROSA AL 5%  X 500 ML</t>
  </si>
  <si>
    <t>CAJAX40 BOLSAS</t>
  </si>
  <si>
    <t>SOLUCIÓN DEXTROSA AL 50% X 500 ML</t>
  </si>
  <si>
    <t>CAJAX34</t>
  </si>
  <si>
    <t>SOLUCIÓN HARTMAN X 500ML</t>
  </si>
  <si>
    <t>SOLUCION OSMORIN MANITOL 20% X 500 ML</t>
  </si>
  <si>
    <t>BOLSAX500ML</t>
  </si>
  <si>
    <t>SONDA NELATHON NO 10</t>
  </si>
  <si>
    <t>SONDA NELATHON NO 12</t>
  </si>
  <si>
    <t>SONDA NELATHON NO 14</t>
  </si>
  <si>
    <t>SONDA NELATHON NO 16</t>
  </si>
  <si>
    <t>SONDA NELATHON NO 18</t>
  </si>
  <si>
    <t>SONDA NELATHON NO 6</t>
  </si>
  <si>
    <t>SONDA NELATHON NO 8</t>
  </si>
  <si>
    <t>SONDA URINARIA FELINO X UND</t>
  </si>
  <si>
    <t>SUTURA ABSORBIBLE  2</t>
  </si>
  <si>
    <t>CAJAX36</t>
  </si>
  <si>
    <t>SUTURA A. ACIDO POLIGLICOLICO 0</t>
  </si>
  <si>
    <t>SUTURA A. ACIDO POLIGLICOLICO 1</t>
  </si>
  <si>
    <t>SUTURA A. ACIDO POLIGLICOLICO 2-0</t>
  </si>
  <si>
    <t>SUTURA A. ACIDO POLIGLICOLICO 3-0</t>
  </si>
  <si>
    <t>SUTURA A. ACIDO POLIGLICOLICO 5-0</t>
  </si>
  <si>
    <t>SUTURA A. POLIDIOXANONA 2-0</t>
  </si>
  <si>
    <t>SUTURA A. POLIDIOXANONA 3-0</t>
  </si>
  <si>
    <t>SUTURA N/A 0 (UNIDAD)</t>
  </si>
  <si>
    <t>SUTURA N/A 1 (UNIDAD)</t>
  </si>
  <si>
    <t>SUTURA N/A 2-0 (UNIDAD)</t>
  </si>
  <si>
    <t>SUTURA N/A 3-0 (UNIDAD)</t>
  </si>
  <si>
    <t>SUTURA N/A 4-0 (UNIDAD)</t>
  </si>
  <si>
    <t>SUTURA N/A 5-0 (UNIDAD)</t>
  </si>
  <si>
    <t>TAPABOCAS ELAST X UNIDAD</t>
  </si>
  <si>
    <t>CAJA X 50</t>
  </si>
  <si>
    <t>TAPON HEPARINIZADO UND</t>
  </si>
  <si>
    <t>TEST DE FLUORESCEINA OFTALMICO</t>
  </si>
  <si>
    <t>CAJAX2</t>
  </si>
  <si>
    <t>TEST DE SCHIMER OFTALMICO TIRILLA UND</t>
  </si>
  <si>
    <t>TOALLA PAPEL Z PAQUETE X150 UNDS</t>
  </si>
  <si>
    <t>PQX150</t>
  </si>
  <si>
    <t>TUBO ENDOTRAQUEAL # 2</t>
  </si>
  <si>
    <t>TUBO ENDOTRAQUEAL # 4.0</t>
  </si>
  <si>
    <t>CAJAX10</t>
  </si>
  <si>
    <t>TUBO ENDOTRAQUEAL # 4.5</t>
  </si>
  <si>
    <t>TUBO ENDOTRAQUEAL # 5.0</t>
  </si>
  <si>
    <t>TUBO ENDOTRAQUEAL # 5.5</t>
  </si>
  <si>
    <t>TUBO ENDOTRAQUEAL # 6.0</t>
  </si>
  <si>
    <t>TUBO ENDOTRAQUEAL # 7.5</t>
  </si>
  <si>
    <t>TUBO ENDOTRAQUEAL # 8.0</t>
  </si>
  <si>
    <t>TUBO MINICOLLET TAPA AMARILLA 0,5 ML X 50</t>
  </si>
  <si>
    <t>TUBO MINICOLLET TAPA LILA 0,5 ML X 50</t>
  </si>
  <si>
    <t>VENDA ALGODON LAMINADO 4X5 UNIDAD</t>
  </si>
  <si>
    <t>VENDA COBAN PET-FLEX 10 X 4,5 TS</t>
  </si>
  <si>
    <t>VENDA TELA O GASA 4X5 UND</t>
  </si>
  <si>
    <t>BOLSAX12</t>
  </si>
  <si>
    <t>VENOCLISIS MACROGOTEO</t>
  </si>
  <si>
    <t>VENOCLISIS MICROGOTEO</t>
  </si>
  <si>
    <t>YODOSYN FCO 500 ML</t>
  </si>
  <si>
    <t>FORMOL</t>
  </si>
  <si>
    <t>AGUJAS CALIBRE 30 1" 1/2</t>
  </si>
  <si>
    <t xml:space="preserve">CATETER ESPINAL </t>
  </si>
  <si>
    <t>ACIDO TRANEXAMICO 500 MG/5 M</t>
  </si>
  <si>
    <t>AMITRIPTILINA TABLETAS</t>
  </si>
  <si>
    <t>CAJAX300</t>
  </si>
  <si>
    <t>AMPICILINA + SULBACTAM</t>
  </si>
  <si>
    <t>AMPICILINA INYECTABLE VIAL X 1 G</t>
  </si>
  <si>
    <t>FCOX60ML</t>
  </si>
  <si>
    <t>BUPIVACAINA</t>
  </si>
  <si>
    <t>CAJAX24</t>
  </si>
  <si>
    <t>CEFAZOLINA</t>
  </si>
  <si>
    <t>CEFTRIAXONA</t>
  </si>
  <si>
    <t>DEXAMETASONA 8MG/2ML</t>
  </si>
  <si>
    <t>DEXMEDETOMIDINA INY X ML</t>
  </si>
  <si>
    <t>EPINEFRINA INY AMPLL 1 MG / ML</t>
  </si>
  <si>
    <t>FCO PROPOFOL 1% VIAL X 20ML</t>
  </si>
  <si>
    <t>FCOX20ML</t>
  </si>
  <si>
    <t>FENTANILO 0.05 MG/ML</t>
  </si>
  <si>
    <t>FLUIMUCIL AMPOLLA 3 ML</t>
  </si>
  <si>
    <t>FLUIMUCIL SOBRE X 20 UNIDADES</t>
  </si>
  <si>
    <t>CAJAX30</t>
  </si>
  <si>
    <t>INSULINA DE RAPIDA ACCION</t>
  </si>
  <si>
    <t>CAJAX1</t>
  </si>
  <si>
    <t>LEVETIRACETAM 500 MG</t>
  </si>
  <si>
    <t>LIPOFUNDIN FRASCO 100 ML</t>
  </si>
  <si>
    <t>MANITOL/ OSMORIL</t>
  </si>
  <si>
    <t>METRONIDAZOL INYECTABLE</t>
  </si>
  <si>
    <t>METRONIDAZOL TABLETAS 500MG</t>
  </si>
  <si>
    <t>CAJAX500</t>
  </si>
  <si>
    <t>MIRTAZAPINA TABLETAS</t>
  </si>
  <si>
    <t>CAJAX20</t>
  </si>
  <si>
    <t>N BUTILBROMURO DE HIOSCINA</t>
  </si>
  <si>
    <t>OMEPRAZOL (AMPOLLA)</t>
  </si>
  <si>
    <t>PREGABALINA 25 MG</t>
  </si>
  <si>
    <t>PREGABALINA 300 MG</t>
  </si>
  <si>
    <t>PREGABALINA 50 MG</t>
  </si>
  <si>
    <t>PREGABALINA 75 MG</t>
  </si>
  <si>
    <t>RONCAINA CON EPINEFRINA</t>
  </si>
  <si>
    <t>FCOX50ML</t>
  </si>
  <si>
    <t>RONCAINA INY</t>
  </si>
  <si>
    <t>ROXICAINA SPRAY</t>
  </si>
  <si>
    <t>FCOX80G</t>
  </si>
  <si>
    <t>TERBUTALINA</t>
  </si>
  <si>
    <t>TRAMADOL 50MG/ML AMPLL X 2 M</t>
  </si>
  <si>
    <t>TRAZODONA TABLETAS</t>
  </si>
  <si>
    <t>VINCRISTINA 1MG/ML POLVO</t>
  </si>
  <si>
    <t>VIOLETA PARA GRAM X 500ML</t>
  </si>
  <si>
    <t>ACIDO HIPOCLOROSO</t>
  </si>
  <si>
    <t>ACIFLUX  SUSPENSION</t>
  </si>
  <si>
    <t>ALFA 3 X 250ML</t>
  </si>
  <si>
    <t>Fco x 250mL</t>
  </si>
  <si>
    <t>AMINOTONIC X 500ML</t>
  </si>
  <si>
    <t xml:space="preserve">AMOX C </t>
  </si>
  <si>
    <t>SOBREX6</t>
  </si>
  <si>
    <t>AMOXISOL LA</t>
  </si>
  <si>
    <t>Fco x 50mL</t>
  </si>
  <si>
    <t>APETIL</t>
  </si>
  <si>
    <t>FCOX10ML</t>
  </si>
  <si>
    <t>ARTRIN PRO</t>
  </si>
  <si>
    <t>AZIMELOX 200</t>
  </si>
  <si>
    <t>AZIMELOX 50</t>
  </si>
  <si>
    <t>CAJAX90</t>
  </si>
  <si>
    <t>BIOARSENOL</t>
  </si>
  <si>
    <t>BIODIPIRONA</t>
  </si>
  <si>
    <t>FCOX100ML</t>
  </si>
  <si>
    <t>BIOSAFE X LT</t>
  </si>
  <si>
    <t>FCOX1000ML</t>
  </si>
  <si>
    <t>CALTONIC</t>
  </si>
  <si>
    <t>CANISAN D JERINGA 10 ML</t>
  </si>
  <si>
    <t xml:space="preserve">CANNEX </t>
  </si>
  <si>
    <t>FCOX200ML</t>
  </si>
  <si>
    <t>CARDIAL B</t>
  </si>
  <si>
    <t>BLISTERX10</t>
  </si>
  <si>
    <t>CARDIO B + E</t>
  </si>
  <si>
    <t>CARPRODOL 75 MG BLISTER X 3 TAB</t>
  </si>
  <si>
    <t xml:space="preserve">CATOSAL INY </t>
  </si>
  <si>
    <t>CEFAMAX</t>
  </si>
  <si>
    <t>CEFTIOFUR</t>
  </si>
  <si>
    <t>Fco x 100mL</t>
  </si>
  <si>
    <t>CLINDAMIN TABLETAS</t>
  </si>
  <si>
    <t>COLIRIO TRICONJUGADO</t>
  </si>
  <si>
    <t>COMPLEMIL 1000</t>
  </si>
  <si>
    <t>CREDELIO 1.3- 2.5 KG</t>
  </si>
  <si>
    <t>CREDELIO 11-22 KG</t>
  </si>
  <si>
    <t>CREDELIO 2.5 - 5.5</t>
  </si>
  <si>
    <t>CREDELIO 22-44 KG</t>
  </si>
  <si>
    <t>CREDELIO 5.5 - 11 KG</t>
  </si>
  <si>
    <t>CREDELIO GATO 0.5-2 KG</t>
  </si>
  <si>
    <t>CAJA 3 TABLETAS</t>
  </si>
  <si>
    <t xml:space="preserve">CREDELIO GATO 2 KG- </t>
  </si>
  <si>
    <t>CREOLINA</t>
  </si>
  <si>
    <t>FRASCO 1000 ML</t>
  </si>
  <si>
    <t>DERMOHIT</t>
  </si>
  <si>
    <t>DESCENSOR 200MG</t>
  </si>
  <si>
    <t>DIPIRONA 500 MG/1 ML</t>
  </si>
  <si>
    <t>DORAMECTINA INYECTABLE</t>
  </si>
  <si>
    <t>DOXICAN 100MG</t>
  </si>
  <si>
    <t>DOXICICLINA 50MG</t>
  </si>
  <si>
    <t>FCO ADRENALINA INY FCO X 20ML</t>
  </si>
  <si>
    <t>FCO ATROPINA INY FCO X 10 ML</t>
  </si>
  <si>
    <t>FCO ATROPINA INY FCO X 50 ML</t>
  </si>
  <si>
    <t>FCO CERENIA X 10MG/20ML</t>
  </si>
  <si>
    <t>FCO COLIVET INY FCO X 50 ML</t>
  </si>
  <si>
    <t>FCO DIURIVET INY FCO X 10 ML</t>
  </si>
  <si>
    <t>FCO DOMOSYN  FCO X 120 ML</t>
  </si>
  <si>
    <t>TUBOX60G</t>
  </si>
  <si>
    <t>FCO DUPLOCILINA L.A INY FCO X 10</t>
  </si>
  <si>
    <t>FCO EDO ATP INY FCO X 100 ML</t>
  </si>
  <si>
    <t>FCO ENROVET 10% X 50 ML</t>
  </si>
  <si>
    <t>FCO ENROVET 5% INY X 50 ML</t>
  </si>
  <si>
    <t>FCO EUTHANEX INY X 50 ML</t>
  </si>
  <si>
    <t>FCO GLUCONATO DE CALCIO INY FC</t>
  </si>
  <si>
    <t>FCO ISOFLURANO FCO X 250ML</t>
  </si>
  <si>
    <t>FCOX250ML</t>
  </si>
  <si>
    <t>FCO KAVITEX F-1 INY FCO X 20 ML</t>
  </si>
  <si>
    <t>FCO MELODOL INY 0,5% FCO X 10 M</t>
  </si>
  <si>
    <t>FCO MELODOL INY 2% FCO X 50 ML</t>
  </si>
  <si>
    <t>FCO MULTIBIO INY FCO X 100 ML</t>
  </si>
  <si>
    <t>FCO OXITETRACICLINA 50 MG INY F</t>
  </si>
  <si>
    <t>FCO PENTHAL X INY  20ML</t>
  </si>
  <si>
    <t>FCO QUERCETOL INY FCO X 10 ML</t>
  </si>
  <si>
    <t>FCO QUERCETOL INY FCO X 50 ML</t>
  </si>
  <si>
    <t>FCO RANIDIN INY FCO X 20 ML</t>
  </si>
  <si>
    <t>FCO RESUPRAM INY FCO X 20 ML</t>
  </si>
  <si>
    <t>FCO TRANQUILAN INY X 10 ML</t>
  </si>
  <si>
    <t>FCO TRISEPTIL INY FCO  X 50ML</t>
  </si>
  <si>
    <t>Fco x 60mL</t>
  </si>
  <si>
    <t>FCO UNICLAV INY FCO X 50ML</t>
  </si>
  <si>
    <t>FCO UNICLAV X 100 ML</t>
  </si>
  <si>
    <t>FCO VETALOVER INY FCO X 20 ML</t>
  </si>
  <si>
    <t>FCO VETHISTAM INY  25% 50 ML</t>
  </si>
  <si>
    <t>FCO XILASYNA 2 % INY</t>
  </si>
  <si>
    <t>FCO ZOLETIL 50 X 5 ML</t>
  </si>
  <si>
    <t>FCOX5ML</t>
  </si>
  <si>
    <t>FENBENDAZOL 10% X 500ML</t>
  </si>
  <si>
    <t>FLORALAC 500G</t>
  </si>
  <si>
    <t>GENTAMICINA INYECTABLE 100MG/ML</t>
  </si>
  <si>
    <t>GENTAX UNGÜENTO</t>
  </si>
  <si>
    <t xml:space="preserve">TUBX15G </t>
  </si>
  <si>
    <t>GLUCOSAMINA + CONDROITINA</t>
  </si>
  <si>
    <t>GUSANTROL 400GRMS</t>
  </si>
  <si>
    <t>IMICAR INY X 10 ML</t>
  </si>
  <si>
    <t>Fco x 10mL</t>
  </si>
  <si>
    <t>INMUNOVAX DPA2</t>
  </si>
  <si>
    <t>IVERMECTINA INYECTABLE</t>
  </si>
  <si>
    <t>IXER 080 SOL. ANTISEPTICA X LITRO</t>
  </si>
  <si>
    <t>FCOX1 LITRO</t>
  </si>
  <si>
    <t>IXER 080 SOL. ANTISEPTICA X 20 LITROS</t>
  </si>
  <si>
    <t>20 LITROS</t>
  </si>
  <si>
    <t>KETOPROFENO</t>
  </si>
  <si>
    <t>KIT PRUEBA RAPIDA DISTEMPER</t>
  </si>
  <si>
    <t>KIT PRUEBA RAPIDA PARVOVIRUS</t>
  </si>
  <si>
    <t>KIT PRUEBA RAPIDA SIDA+LEUCEMIA</t>
  </si>
  <si>
    <t>LINTODENT GEL</t>
  </si>
  <si>
    <t>MARBOQUIN 10% INY 10 ML</t>
  </si>
  <si>
    <t>MASTICILIN JERINGA</t>
  </si>
  <si>
    <t>Unidad Jeringa x 10 ml</t>
  </si>
  <si>
    <t>MELOXICAM 2 MG</t>
  </si>
  <si>
    <t>MELOXICAM 4 MG</t>
  </si>
  <si>
    <t>MELOXIMAX 1 MG</t>
  </si>
  <si>
    <t>MELOXIMAX 3 MG</t>
  </si>
  <si>
    <t>MELTRA NF TABLETAS</t>
  </si>
  <si>
    <t>METOCLOPRAMIDA (SEDOLAX)</t>
  </si>
  <si>
    <t>METOCLOPRAMIDA (SEDOLAX INYECTABLE)</t>
  </si>
  <si>
    <t>MILPRO GATOS ADULTO</t>
  </si>
  <si>
    <t>CAJA 4 TABLETAS</t>
  </si>
  <si>
    <t>MILPRO GATOS CACHORRO</t>
  </si>
  <si>
    <t>MINTREL X 120 ML</t>
  </si>
  <si>
    <t>FRASCO 120 ML</t>
  </si>
  <si>
    <t>MOMETAX UNGÜENTO</t>
  </si>
  <si>
    <t>TUBOX15G</t>
  </si>
  <si>
    <t>MSP GATOS</t>
  </si>
  <si>
    <t>NEODOXYL INYECTABLE</t>
  </si>
  <si>
    <t>NEOLYTIC</t>
  </si>
  <si>
    <t>FCOX30ML</t>
  </si>
  <si>
    <t>NOVABISMOL</t>
  </si>
  <si>
    <t>NOVABRONCOL</t>
  </si>
  <si>
    <t>Fco x 1 lt</t>
  </si>
  <si>
    <t>NOVACUTAN X 120ML</t>
  </si>
  <si>
    <t>OFTALMOSYN</t>
  </si>
  <si>
    <t xml:space="preserve">OFTAPROC </t>
  </si>
  <si>
    <t>OFTAPROC M</t>
  </si>
  <si>
    <t>ONE TABLETAS</t>
  </si>
  <si>
    <t>OPTER</t>
  </si>
  <si>
    <t>OTICLEAN SOLUCION OTICA</t>
  </si>
  <si>
    <t>PANOLOG UNGÜENTO</t>
  </si>
  <si>
    <t>PET DROPS</t>
  </si>
  <si>
    <t>FCO GOTEROX5ML</t>
  </si>
  <si>
    <t>PETLIFE SHAMPOO</t>
  </si>
  <si>
    <t>SHAMPOO ALOE-ORTIGA MEDICADO 4 LITROS</t>
  </si>
  <si>
    <t>STOMIZOL 10</t>
  </si>
  <si>
    <t>STOMIZOL 20</t>
  </si>
  <si>
    <t>STOMORGYL 2</t>
  </si>
  <si>
    <t>TOLTRATURIL  SUSPENSION</t>
  </si>
  <si>
    <t>TOTAL F CG</t>
  </si>
  <si>
    <t>CAJAX3</t>
  </si>
  <si>
    <t>UNIDOL 100MG</t>
  </si>
  <si>
    <t>UNIDOL 50 MG</t>
  </si>
  <si>
    <t xml:space="preserve">UNITRAL INY X 100 ML </t>
  </si>
  <si>
    <t>VACUNA QUINTUPLE</t>
  </si>
  <si>
    <t>VACUNA TRIPLE FELINA</t>
  </si>
  <si>
    <t>VITAMINA C INYECTABLE</t>
  </si>
  <si>
    <t>XILACINA 10%</t>
  </si>
  <si>
    <t>ADVOCATE 4-10 KG PERRO</t>
  </si>
  <si>
    <t>Fco x 1mL</t>
  </si>
  <si>
    <t>ADVOCATE 10 - 20 KG PERRO</t>
  </si>
  <si>
    <t>ADVOCATE 20-40  KG PERRO</t>
  </si>
  <si>
    <t>ADVOCATE HASTA 4 PERRO</t>
  </si>
  <si>
    <t xml:space="preserve">Insumos Medicos </t>
  </si>
  <si>
    <t xml:space="preserve">Medcamentos </t>
  </si>
  <si>
    <t xml:space="preserve">Soluciones Ortopedicas </t>
  </si>
  <si>
    <t>Equipos Vet</t>
  </si>
  <si>
    <t>MOSQUITO Pinza hemostática, curva, 12.5 cms.</t>
  </si>
  <si>
    <t>MOSQUITO Pinza hemostática, recta, 12.5 cms.</t>
  </si>
  <si>
    <t>KELLY Pinza hemostática, curva, 14.5 cms.</t>
  </si>
  <si>
    <t>KELLY Pinza hemostática, recta, 14.5 cms.</t>
  </si>
  <si>
    <t>PINZA ROCHESTER HEMOSTATICA CURVA 18 cm</t>
  </si>
  <si>
    <t xml:space="preserve">PINZA ROCHESTER HEMOSTATICA RECTA 18  cm </t>
  </si>
  <si>
    <t>GANCHO PARA UTERO 20 cms</t>
  </si>
  <si>
    <t>PINZA PARA OVH 140 mm</t>
  </si>
  <si>
    <t>METZENBAUM Tijera para tejidos, curva, 15 cms.</t>
  </si>
  <si>
    <t>METZENBAUM Tijera para tejidos, curva, 18 cms.</t>
  </si>
  <si>
    <t>METZENBAUM Tijera para tejidos, recta, 15 cms.</t>
  </si>
  <si>
    <t>METZENBAUM Tijera para tejidos, recta, 18 cms.</t>
  </si>
  <si>
    <t>MAYO Tijera para tejidos, curva, 14 cms.</t>
  </si>
  <si>
    <t>MAYO Tijera para tejidos, curva, 17 cms.</t>
  </si>
  <si>
    <t>MAYO Tijera para tejidos, recta, 14 cms.</t>
  </si>
  <si>
    <t>MAYO Tijera para tejidos, recta, 17 cms.</t>
  </si>
  <si>
    <t>ADSON Pinza de diseccion con garra, 12 cms.</t>
  </si>
  <si>
    <t>ADSON Pinza de disección, sin garra, 12 cms.</t>
  </si>
  <si>
    <t>MAYO-HEGAR Porta agujas, 12 cms.</t>
  </si>
  <si>
    <t>MAYO-HEGAR Porta agujas, 14 cms.</t>
  </si>
  <si>
    <t>MAYO-HEGAR Porta-agujas, 18 cms.</t>
  </si>
  <si>
    <t>OLSEN-HEGAR Porta-agujas, con tijeras, 14 cms. T.C.</t>
  </si>
  <si>
    <t>VIENA Espéculo nasal, modelo ligero</t>
  </si>
  <si>
    <t>SEPARADOR FINOCHIETTO</t>
  </si>
  <si>
    <t>SEPARADOR BALFOUR 9cm</t>
  </si>
  <si>
    <t>ELEVADOR PERIODONTAL N°9MOLT</t>
  </si>
  <si>
    <t>WITLANER Separador agudo, 18mm 3x4 garra 14 cms</t>
  </si>
  <si>
    <t>LUCAE Martillo para traumatologia, 19.0 cms. 260 gr.</t>
  </si>
  <si>
    <t>LUCAE Martillo para traumatologia, 19.0 cms. 230 gr</t>
  </si>
  <si>
    <t>MINI-LAMBOTTE Cincel, 6 mm., 17 cms.</t>
  </si>
  <si>
    <t>MINI-LAMBOTTE Cincel, 8 mm., 17 cms.</t>
  </si>
  <si>
    <t>PASA HILO 1,2mm X 180mm</t>
  </si>
  <si>
    <t>BERRY - Pinza para torcer hilo 18 CMS T.C.</t>
  </si>
  <si>
    <t>Taladro Canulado Autoclabiable</t>
  </si>
  <si>
    <t>DOBLADORES DE PLACAS (PAR)</t>
  </si>
  <si>
    <t>DOBLADOR DE CLAVOS PARA BANDA TENCION</t>
  </si>
  <si>
    <t>Hatt Spoon - Cureta Acetabular Grande 20mm 20 / 30 / 280mm</t>
  </si>
  <si>
    <t>FRIEDMANN - MINI - Pinza gubia, para huesos, 12 cms</t>
  </si>
  <si>
    <t>PINZA KERN 15 cms</t>
  </si>
  <si>
    <t>MEDIDOR DE PROFUNDIDAD</t>
  </si>
  <si>
    <t>GELPI Separador abdominal, 11 cms.</t>
  </si>
  <si>
    <t>HOMANN Elevador para huesos, 12 mm. 22 cms</t>
  </si>
  <si>
    <t>PINZA ESPAÑOLA 150mm</t>
  </si>
  <si>
    <t>PINZA FRONTAL PARA CORTAR CLAVOS 1.0mm a 2.5mm x 210mm</t>
  </si>
  <si>
    <t>ALAMBRE DE CERCLAJE No 0,5</t>
  </si>
  <si>
    <t>ALAMBRE DE CERCLAJE No 0,7</t>
  </si>
  <si>
    <t>ALAMBRE DE CERCLAJE No 1,2</t>
  </si>
  <si>
    <t>ALAMBRE DE CERCLAJE No 1,0</t>
  </si>
  <si>
    <t>CLAVO DE KIRSCHNER LISO DE 0,8mm x150 D.P.</t>
  </si>
  <si>
    <t>CLAVO DE KIRSCHNER LISO DE 1,0mm x 300 D.P.</t>
  </si>
  <si>
    <t>CLAVO DE KIRSCHNER LISO DE 1,2mm x 300 D.P.</t>
  </si>
  <si>
    <t>CLAVO DE STEINMANN LISO DE 1,8mm x 300 D.P.</t>
  </si>
  <si>
    <t>CLAVO DE STEINMANN LISO DE 2,0mm x 300 D.P.</t>
  </si>
  <si>
    <t>CLAVO DE STEINMANN LISO DE 2,5mm x 300 D.P.</t>
  </si>
  <si>
    <t>CLAVO DE STEINMANN LISO DE 3,0mm x 300</t>
  </si>
  <si>
    <t>CLAVO DE STEINMANN LISO DE 3,5mm x 300</t>
  </si>
  <si>
    <t>CLAVO DE STEINMANN LISO DE 4,0mm x 300</t>
  </si>
  <si>
    <t>CLAVO DE STEINMANN LISO DE 4,5mm x 300</t>
  </si>
  <si>
    <t>CLAVO DE STEINMANN ROSCADO TOTAL DE 2,0mm X 300</t>
  </si>
  <si>
    <t>CLAVO DE STEINMANN ROSCADO TOTAL DE 2,5mm X 300</t>
  </si>
  <si>
    <t>CLAVO DE STEINMANN ROSCADO TOTAL DE 3,0mm X 300</t>
  </si>
  <si>
    <t>CLAVO DE STEINMANN ROSCADO TOTAL DE 3,5mm X 300</t>
  </si>
  <si>
    <t>CLAVO DE STEINMANN ROSCADO TOTAL DE 4,0mm X 300</t>
  </si>
  <si>
    <t xml:space="preserve">Bolsa Agotable </t>
  </si>
  <si>
    <t xml:space="preserve">Nota: Algunos del instrumental es espacializado en Ortopedia </t>
  </si>
  <si>
    <t>Cantidad</t>
  </si>
  <si>
    <t xml:space="preserve">EURO LAB </t>
  </si>
  <si>
    <t>INVERSIONES RODRIGUEZ CASTAÑEDA</t>
  </si>
  <si>
    <t>INTERNACIONAL VET S.A.S.</t>
  </si>
  <si>
    <t xml:space="preserve">Equipo de Hematologia </t>
  </si>
  <si>
    <t xml:space="preserve">Equipo de Quimica Humeda </t>
  </si>
  <si>
    <t xml:space="preserve">Bomba  Infusion </t>
  </si>
  <si>
    <t xml:space="preserve">Bomba de Perfusion </t>
  </si>
  <si>
    <t xml:space="preserve">Numero de factura </t>
  </si>
  <si>
    <t xml:space="preserve">valor </t>
  </si>
  <si>
    <t xml:space="preserve">Nota: estos valores son dados por las facturas presentadas por la clinica de tercer nivel durante la vigencia del convenio 2730 de 2024 </t>
  </si>
  <si>
    <t xml:space="preserve">Para el siguente contrato se proyecta una presupuesto de 30.000.000 mensuales de atencion de tercer nivel </t>
  </si>
  <si>
    <t>Valor Mensual</t>
  </si>
  <si>
    <t>Meses</t>
  </si>
  <si>
    <t>PRODUCTO</t>
  </si>
  <si>
    <t>RUBRO</t>
  </si>
  <si>
    <t>Marca Impresa Pereira</t>
  </si>
  <si>
    <t xml:space="preserve">TEDEX </t>
  </si>
  <si>
    <t>CEPILLO PARA BAÑOS</t>
  </si>
  <si>
    <t>ASEO</t>
  </si>
  <si>
    <t>PORTARROLLO (DISPENSADORES DE PAPEL HIGINICO EN PASTA)</t>
  </si>
  <si>
    <t>BALDE CON EXPRIMIDOR Y PALANCA 35L</t>
  </si>
  <si>
    <t>AMBIENTADOR PARA BAÑO 1,000ml</t>
  </si>
  <si>
    <t>MEZCLADORES PARA CAFE</t>
  </si>
  <si>
    <t>PAQUETE</t>
  </si>
  <si>
    <t>CAFETERIA</t>
  </si>
  <si>
    <t>ACIDO ACETICO AL 35%</t>
  </si>
  <si>
    <t>AMBIENTADOR x GALON 3,800 ml</t>
  </si>
  <si>
    <t>galon</t>
  </si>
  <si>
    <t>AROMATICA 20GRS</t>
  </si>
  <si>
    <t>CAJA</t>
  </si>
  <si>
    <t>ATOMIZADOR PLASTICO REDONDO CON PISTOLA x1.000</t>
  </si>
  <si>
    <t>UNIDAD X 1LT</t>
  </si>
  <si>
    <t>ATOMIZADOR PLASTICO REDONDO CON PISTOLA x 500</t>
  </si>
  <si>
    <t>AZUCAR</t>
  </si>
  <si>
    <t>PQT X 200 SOBRES</t>
  </si>
  <si>
    <t>AZUCAR KILO</t>
  </si>
  <si>
    <t>KILO</t>
  </si>
  <si>
    <t>BALDE PLASTICO 12 LT</t>
  </si>
  <si>
    <t>UND</t>
  </si>
  <si>
    <t>BOLSA BASURA 100 X 110 (ROJA)</t>
  </si>
  <si>
    <t>PAQUETE POR 10 UND</t>
  </si>
  <si>
    <t>BOLSA BASURA 100 X 110 (BLANCA)</t>
  </si>
  <si>
    <t>BOLSA BASURA 100 X 110 (verde)</t>
  </si>
  <si>
    <t>BOLSA BASURA 100 X 110 (Negra)</t>
  </si>
  <si>
    <t>BOLSA BASURA 45 X 60 ROJA</t>
  </si>
  <si>
    <t>BOLSA BASURA 45 X 60 VERDE</t>
  </si>
  <si>
    <t>BOLSA BASURA 45 X 60 BLANCA</t>
  </si>
  <si>
    <t>BOLSA BASURA 45 X 60 NEGRA</t>
  </si>
  <si>
    <t>BOLSA BASURA 65x90 (negra)</t>
  </si>
  <si>
    <t>BOLSA BASURA 65 X 90 (BLANCA)</t>
  </si>
  <si>
    <t>BOLSA BASURA 65 X 90 (verde)</t>
  </si>
  <si>
    <t>BOLSA BASURA 65 X 90 ROJA</t>
  </si>
  <si>
    <t>BOMBA PARA BAÑO SENCILLA</t>
  </si>
  <si>
    <t>CABOS DE ALUMINIO ANONIZADOS PARA ESCOBA</t>
  </si>
  <si>
    <t>CAFÉ TOSTADO MARISCAL</t>
  </si>
  <si>
    <t>CAFÉ TOSTADO MOLIDO MARISCAL</t>
  </si>
  <si>
    <t>400 gr</t>
  </si>
  <si>
    <t>CAFÉ INSTANTANEO</t>
  </si>
  <si>
    <t>sobre x 48 sobres</t>
  </si>
  <si>
    <t>SOBRE X144</t>
  </si>
  <si>
    <t>INSTA CREAM</t>
  </si>
  <si>
    <t>SOBRE</t>
  </si>
  <si>
    <t>CEPILLO MANO PLANCHA</t>
  </si>
  <si>
    <t>CEPILLO PARA BAÑOS CON BASE</t>
  </si>
  <si>
    <t>CEPILLO PARA PISO CON CABO MADERA</t>
  </si>
  <si>
    <t>CERA ANTIDESLIZANTE</t>
  </si>
  <si>
    <t>GL</t>
  </si>
  <si>
    <t>DETERGENTE TODO USO</t>
  </si>
  <si>
    <t>GALOL</t>
  </si>
  <si>
    <t>ESCOBA CERDA DURA CON CABO MADERA</t>
  </si>
  <si>
    <t>ESCOBA CERDA SUAVE CON CON CABO MADERA</t>
  </si>
  <si>
    <t>ESCOBILLON TRAPIESCO TELARAÑERO CON CABO</t>
  </si>
  <si>
    <t>ESPONJA DE BRILLO</t>
  </si>
  <si>
    <t>und</t>
  </si>
  <si>
    <t>GEL ANTIBACTERIAL</t>
  </si>
  <si>
    <t>GUANTES PLASTICOS NEGRO CAL 25 TALLA 7 A 10</t>
  </si>
  <si>
    <t>BOLSA</t>
  </si>
  <si>
    <t>HIPOCLORITO AL 13% x 4,4 KILOS</t>
  </si>
  <si>
    <t>JABON DE MANOS ANTIBACTERIAL</t>
  </si>
  <si>
    <t>JABON LAVAPLATOS ENCREMA SIN AROMA</t>
  </si>
  <si>
    <t>LIMPIADOR DE ACERO INOXIDABLE</t>
  </si>
  <si>
    <t>FRASCO X 500 ML</t>
  </si>
  <si>
    <t>LIMPIADOR LIQUIDO PARA PISO CON FRAGANCIA LAVANDA</t>
  </si>
  <si>
    <t>LIMPIADOR LIQUIDO PARA PISO CON FRAGANCIA CITRONELA</t>
  </si>
  <si>
    <t>JABON INDUSTRIAL NEUTRO</t>
  </si>
  <si>
    <t>LIMPIASUPERFICIES Y VIDRIOS</t>
  </si>
  <si>
    <t>LIMPION DULCE ABRIGO BLANCO</t>
  </si>
  <si>
    <t>METRO</t>
  </si>
  <si>
    <t>LIMPION DULCEABRIGO ROJO</t>
  </si>
  <si>
    <t>PAPEL HIGIÉNICO INSTITUCIONAL BLANCO</t>
  </si>
  <si>
    <t>PEROXIDO DE HIDROGENO al 50%</t>
  </si>
  <si>
    <t>RECOGEDOR PLASTICO CON CABO</t>
  </si>
  <si>
    <t>SERVILLETAS DE MESA DOBLADA EN 4</t>
  </si>
  <si>
    <t>PAQ X 200 UND</t>
  </si>
  <si>
    <t>TOALLA DE MANO TIPO Z DOBLE HOJA X 150</t>
  </si>
  <si>
    <t>PAQ X 150 UND</t>
  </si>
  <si>
    <t>VASOS DE CARTON 7 ONZAS</t>
  </si>
  <si>
    <t>PAQ X 50</t>
  </si>
  <si>
    <t>VASOS PLASTICO 7 ONZ</t>
  </si>
  <si>
    <t>RESPUESTO DE ESCOBA CERDA DURA</t>
  </si>
  <si>
    <t>CABO 140 CM COMPLETO</t>
  </si>
  <si>
    <t>SILICONA LIQUIDA</t>
  </si>
  <si>
    <t>DETERGENTE EL POLVO</t>
  </si>
  <si>
    <t>TRAPEROS GRANDES ALGODÓN</t>
  </si>
  <si>
    <t>TRAPEROS GRANDES MICRO FIBRA</t>
  </si>
  <si>
    <t>RASTRILLOS</t>
  </si>
  <si>
    <t>TOALLAS LIMPION MIROFRIBRA</t>
  </si>
  <si>
    <t>CERA ANTIDESLIZANTE BLANCA</t>
  </si>
  <si>
    <t>ALCOHOL FULLER GALON</t>
  </si>
  <si>
    <t>CERA AUTOBRILLANTE POLIM</t>
  </si>
  <si>
    <t>CUÑETE</t>
  </si>
  <si>
    <t>DISCO DE AXION</t>
  </si>
  <si>
    <t>GANCHOS DE RECOGER BASURA</t>
  </si>
  <si>
    <t>LIJA 150</t>
  </si>
  <si>
    <t>LIMPIAVIDRIOS LIMPIAYA SPRAY 500 ml</t>
  </si>
  <si>
    <t>DESENGRASANTE</t>
  </si>
  <si>
    <t>TAYPEROX</t>
  </si>
  <si>
    <t>ESPONJA DE ALAMBRE</t>
  </si>
  <si>
    <t>CLARITIN</t>
  </si>
  <si>
    <t>GAL</t>
  </si>
  <si>
    <t>PASTILLA DE CLORO</t>
  </si>
  <si>
    <t>ECO CLEAR PARA PISCINAS</t>
  </si>
  <si>
    <t>LITRO</t>
  </si>
  <si>
    <t>CLORO GRANULADO 90%</t>
  </si>
  <si>
    <t>KG</t>
  </si>
  <si>
    <t>JABONERAS INSTITUCIONALES</t>
  </si>
  <si>
    <t>PAPELERAS INSTITUCIONALES 36 LITROS</t>
  </si>
  <si>
    <t>CANECAS DE 120 LT MULTI COLOR CON TAPA</t>
  </si>
  <si>
    <t>BRILLAMETAL</t>
  </si>
  <si>
    <t>ESPONJA LAVA LOSA (SABRA Y ESPONJA)</t>
  </si>
  <si>
    <t>FORMOL AL 37%</t>
  </si>
  <si>
    <t>VARSOL</t>
  </si>
  <si>
    <t>BENZALDINA X 4000 ML</t>
  </si>
  <si>
    <t>FROTEX(ECO VARSOL)</t>
  </si>
  <si>
    <t>CEPILLO DE UÑAS LAVADO</t>
  </si>
  <si>
    <t>JABON DESENGRANTE</t>
  </si>
  <si>
    <t>JABON BACTERICIDA PARA MANOS</t>
  </si>
  <si>
    <t>OXIGENO ACTIVO</t>
  </si>
  <si>
    <t>TOALLA ABSORBENTE REUTILIZABLE</t>
  </si>
  <si>
    <t>AMONIO CUATERNARIO</t>
  </si>
  <si>
    <t>GLUTARALDEHIDO</t>
  </si>
  <si>
    <t>SUAVIZANTE</t>
  </si>
  <si>
    <t>JABON AZUL BARRA</t>
  </si>
  <si>
    <t>JABON AZUL LIQUIDO</t>
  </si>
  <si>
    <t>ACIDO MURIATICO</t>
  </si>
  <si>
    <t>total</t>
  </si>
  <si>
    <t xml:space="preserve">item </t>
  </si>
  <si>
    <t xml:space="preserve">3 Meses </t>
  </si>
  <si>
    <t xml:space="preserve">Unidad de Medida </t>
  </si>
  <si>
    <t>SABER SAS</t>
  </si>
  <si>
    <t>CINTA TRANSPARENTE GRUESA 48*100</t>
  </si>
  <si>
    <t>RESALTADORES</t>
  </si>
  <si>
    <t>GANCHOS DE CLIP STANNDARD</t>
  </si>
  <si>
    <t>PAQ X100</t>
  </si>
  <si>
    <t>GANCHO LOTERO 3/4 TRITON</t>
  </si>
  <si>
    <t>PAQ X12</t>
  </si>
  <si>
    <t>GANCHO LOTERO NEGRO 2"</t>
  </si>
  <si>
    <t>BORRADOR DE TABLERO</t>
  </si>
  <si>
    <t>SACAGANCHOS</t>
  </si>
  <si>
    <t>TABLA DE APOYO ACRILICA</t>
  </si>
  <si>
    <t>SOBRE MANILA OFICIO</t>
  </si>
  <si>
    <t>UNDAD</t>
  </si>
  <si>
    <t>PAPEL VINIPLEX ROLLO GRANDE</t>
  </si>
  <si>
    <t>PEGANTE EN BARRA 21G</t>
  </si>
  <si>
    <t>MARCADOR BORRABLE DE COLORES</t>
  </si>
  <si>
    <t>CAJA POR COLOR</t>
  </si>
  <si>
    <t>CINTA DE ENMASCARAR 48*40</t>
  </si>
  <si>
    <t>CINTA DE ENMASCARAR 24*40</t>
  </si>
  <si>
    <t>CINTA DOBLE FAZ</t>
  </si>
  <si>
    <t>PAPELERA NEGRA PEQUEÑA</t>
  </si>
  <si>
    <t>PAPELERA BLANCA PEQUEÑA</t>
  </si>
  <si>
    <t>PAPELERA ROJA PEQUEÑA</t>
  </si>
  <si>
    <t>PAPELERA METALICA 3 NIVELES</t>
  </si>
  <si>
    <t>LAPIZ MIRADO 2</t>
  </si>
  <si>
    <t>BORRADOR DE NATA</t>
  </si>
  <si>
    <t>TIJERAS</t>
  </si>
  <si>
    <t>BANDERITAS CLICKIT/ZEPPELIN</t>
  </si>
  <si>
    <t>CORRECTOR LIQUID PAPER</t>
  </si>
  <si>
    <t>LAPICERO OFFIES 076 ROJO 0.7 SEMI GEL</t>
  </si>
  <si>
    <t>RECARGA TONER KIOCERA T 1175</t>
  </si>
  <si>
    <t>SERVICIO</t>
  </si>
  <si>
    <t>RESMA CARTA ECOLOGICA</t>
  </si>
  <si>
    <t>PROTECTOR TRANSPARENCIA CARTA DELGADO</t>
  </si>
  <si>
    <t>NOTA ADHESIVA X 100 76X 76 FLUOR STDA CLICK</t>
  </si>
  <si>
    <t>MARCADOR PERMANENTE SHARPIE NEGRO</t>
  </si>
  <si>
    <t>LAPICERO OFFIES 076 NEGRO 0.7 SEMI GEL</t>
  </si>
  <si>
    <t>ANILLADO POLI CARTA TRANSPA PQTE X25</t>
  </si>
  <si>
    <t>CARTULINA CARTA BLANCA</t>
  </si>
  <si>
    <t>CAJA ARCHIVO # 3520 NORMA AZUL</t>
  </si>
  <si>
    <t>GRAPADORA GRANDE PLASTICA OFFIESCO 309</t>
  </si>
  <si>
    <t>GRAPA STANDAR GALVANIZADA TRITON</t>
  </si>
  <si>
    <t>MARCADOR BORRASE EXPO NEGRO</t>
  </si>
  <si>
    <t>PERFORADORA DL 20 H 0820</t>
  </si>
  <si>
    <t>GANCHO LEGAJADOR PLASTICO X 20 TRITON</t>
  </si>
  <si>
    <t>TINTA 504 NEGRA ORIGINAL EPSON</t>
  </si>
  <si>
    <t>TINTA 504 CYAN ORIGINAL EPSON</t>
  </si>
  <si>
    <t>TINTA 504 MAGENTA ORIGINAL EPSON</t>
  </si>
  <si>
    <t>TINTA 504 YELLOW ORIGINAL EPSON</t>
  </si>
  <si>
    <t>TONER KIOCERA TK 1175/1170 M2040/2540 OFFIEX</t>
  </si>
  <si>
    <t>PILA ALKALINA AAA X 2 PANASONIC</t>
  </si>
  <si>
    <t>PAR</t>
  </si>
  <si>
    <t>PILA ALKALINA AA X 2 PANASONIC</t>
  </si>
  <si>
    <t xml:space="preserve">mensual </t>
  </si>
  <si>
    <t>Servicios públicos</t>
  </si>
  <si>
    <t xml:space="preserve">Historicos consumo CBA </t>
  </si>
  <si>
    <t>Vigilancia (24/7) </t>
  </si>
  <si>
    <t>Mantenimiento del centro de bienestar y componente ambiental </t>
  </si>
  <si>
    <t>Valor Historicos de Parque Ukumari</t>
  </si>
  <si>
    <t xml:space="preserve"> </t>
  </si>
  <si>
    <t xml:space="preserve">Recoleccion de residuos </t>
  </si>
  <si>
    <t>Manejo de plagas </t>
  </si>
  <si>
    <t>Elementos de Manejo</t>
  </si>
  <si>
    <t>TOTAL</t>
  </si>
  <si>
    <t xml:space="preserve">NOTA: 1. Los valores corresponden a promedios de consumos històricos según certificaciones que hacen parte de los informes 1 y  2 de ejecución del Convenio 7114 se 2024, razon por la cual se anexa certificacion expedida por el parque tematico de flora y fauna de pereira </t>
  </si>
  <si>
    <t>PRESENTACION</t>
  </si>
  <si>
    <t>Field Food sas</t>
  </si>
  <si>
    <t xml:space="preserve">Healthy Food </t>
  </si>
  <si>
    <t>La revuelteria SAS</t>
  </si>
  <si>
    <t>RINGO</t>
  </si>
  <si>
    <t>BULTO 30 KG</t>
  </si>
  <si>
    <t>MIRRINGO</t>
  </si>
  <si>
    <t>BULTO 8 KG</t>
  </si>
  <si>
    <t>RINGO CACHORRO</t>
  </si>
  <si>
    <t>BULTO 15 KG</t>
  </si>
  <si>
    <t>CHUNKY CACHORRO</t>
  </si>
  <si>
    <t>BULTO 18 KG</t>
  </si>
  <si>
    <t>CHUNKY ADULTOS POLLO</t>
  </si>
  <si>
    <t>BULTO 25 KG</t>
  </si>
  <si>
    <t>NUTRECAN PREMIUN CACHORRO MEDIANOS</t>
  </si>
  <si>
    <t>BULTO 16 KG</t>
  </si>
  <si>
    <t>NUTRECAN PREMIUM ADULTO RAZA GRANDE</t>
  </si>
  <si>
    <t>POLLO</t>
  </si>
  <si>
    <t>CASCARILLA DE ARROZ</t>
  </si>
  <si>
    <t>PACA</t>
  </si>
  <si>
    <t>HUEVO</t>
  </si>
  <si>
    <t>POLLO PECHUGA</t>
  </si>
  <si>
    <t>ALIMENTO MEDICADO</t>
  </si>
  <si>
    <t>200 Gr</t>
  </si>
  <si>
    <t xml:space="preserve">Bolsa Agotable  periodo </t>
  </si>
  <si>
    <t xml:space="preserve">Empresa </t>
  </si>
  <si>
    <t>Trans Oriente sas</t>
  </si>
  <si>
    <t>Transportes espciales el samann sas</t>
  </si>
  <si>
    <t>Promedio periodo</t>
  </si>
  <si>
    <t xml:space="preserve">observacion </t>
  </si>
  <si>
    <t>nota</t>
  </si>
  <si>
    <t xml:space="preserve">nota </t>
  </si>
  <si>
    <t>Medico Veterinario 5  (apoyo esterilizaciones)</t>
  </si>
  <si>
    <t xml:space="preserve">Medico Veterinario 1 maraya </t>
  </si>
  <si>
    <t>Medico Veterinario 2 maraya</t>
  </si>
  <si>
    <t>Medico Veterinario 3 maraya</t>
  </si>
  <si>
    <t>Medico Veterinario 4 maraya</t>
  </si>
  <si>
    <t>Medico Veterinario 5 maraya</t>
  </si>
  <si>
    <t>Medico Veterinario 6 maraya</t>
  </si>
  <si>
    <t>Medico Veterinario 7 maraya</t>
  </si>
  <si>
    <t>Medico Veterinario 8 maraya</t>
  </si>
  <si>
    <t xml:space="preserve">Medico Veterinario cirujano 3 </t>
  </si>
  <si>
    <t xml:space="preserve">Medico Veterinario cirujano 4 </t>
  </si>
  <si>
    <t>1. Operar dos centros de atención de primer nivel, operar un centro de atención de segundo nivel y brindar atención de tercer nivel  todos pertenecientes a la Red Hospital Público Veterinaria de Pereira."</t>
  </si>
  <si>
    <t xml:space="preserve">prima </t>
  </si>
  <si>
    <t xml:space="preserve">cesantias </t>
  </si>
  <si>
    <t xml:space="preserve">intereses de Cesantìas </t>
  </si>
  <si>
    <t xml:space="preserve">Vacaciones </t>
  </si>
  <si>
    <t>ARL</t>
  </si>
  <si>
    <t xml:space="preserve">Pension </t>
  </si>
  <si>
    <t xml:space="preserve">Salud </t>
  </si>
  <si>
    <t xml:space="preserve">Profesional Ambiental </t>
  </si>
  <si>
    <t xml:space="preserve">Medico Veterinario 9 Maraya </t>
  </si>
  <si>
    <t>Medico Veterinario 10 villa Santana</t>
  </si>
  <si>
    <t>Medico Veterinario 11 villa Santana</t>
  </si>
  <si>
    <t xml:space="preserve">Medico Veterinario 12 2500 lotes </t>
  </si>
  <si>
    <t xml:space="preserve">Medico Veterinario 13 2500 lotes </t>
  </si>
  <si>
    <t xml:space="preserve">Medico Veterinario 14 Maraya </t>
  </si>
  <si>
    <t xml:space="preserve">Medico Veterinario 15 Maraya </t>
  </si>
  <si>
    <t xml:space="preserve">Auxiliar Veterinario 1  villa Santana </t>
  </si>
  <si>
    <t xml:space="preserve">Auxiliar Veterinario 2 2500 lotes </t>
  </si>
  <si>
    <t xml:space="preserve">Auxiliar Veterinario 3 maraya </t>
  </si>
  <si>
    <t xml:space="preserve">Auxiliar Veterinario 4 Maraya </t>
  </si>
  <si>
    <t xml:space="preserve">Auxiliar Veterinario 5 Maraya </t>
  </si>
  <si>
    <t xml:space="preserve">Auxiliar Veterinario 6 Maraya </t>
  </si>
  <si>
    <t xml:space="preserve">Auxiliar Veterinario 7 Maraya </t>
  </si>
  <si>
    <t xml:space="preserve">Auxiliar Veterinario 8 Maraya </t>
  </si>
  <si>
    <t xml:space="preserve">Auxiliar Veterinario 9 Maraya </t>
  </si>
  <si>
    <t xml:space="preserve">Auxiliar Veterinario 10 Maraya </t>
  </si>
  <si>
    <t xml:space="preserve">Auxiliar Veterinario 11 Maraya </t>
  </si>
  <si>
    <t xml:space="preserve">Auxiliar Veterinario 12 Maraya </t>
  </si>
  <si>
    <t xml:space="preserve">Auxiliar Veterinario 13 Maraya </t>
  </si>
  <si>
    <t>Auxiliar Veterinario 14 Maraya</t>
  </si>
  <si>
    <t xml:space="preserve">Auxiliar Veterinario 15 Maraya </t>
  </si>
  <si>
    <t xml:space="preserve">Auxiliar Veterinario 16 Villa Santana  </t>
  </si>
  <si>
    <t xml:space="preserve">Auxiliar Veterinario 17 2500 lotes </t>
  </si>
  <si>
    <t xml:space="preserve">Servicio al cliente 1 Maraya </t>
  </si>
  <si>
    <t xml:space="preserve">Servicio al cliente 2 Maraya </t>
  </si>
  <si>
    <t xml:space="preserve">Servicio al cliente 3 villa Santana </t>
  </si>
  <si>
    <t xml:space="preserve">Servicio al cliente 4 2500 lotes </t>
  </si>
  <si>
    <t xml:space="preserve">Servicios Generales 1 Hospital Maraya </t>
  </si>
  <si>
    <t>Servicios Generales 2 Hospital  Maraya</t>
  </si>
  <si>
    <t xml:space="preserve">Servicios Generales 3 2500 lotes </t>
  </si>
  <si>
    <t xml:space="preserve">Servicios Generales 4 villa santana </t>
  </si>
  <si>
    <t xml:space="preserve">Regencia de Farmacia 1 maraya </t>
  </si>
  <si>
    <t xml:space="preserve">Regencia de Farmacia 2 maraya nocturno </t>
  </si>
  <si>
    <t xml:space="preserve">N/A PS </t>
  </si>
  <si>
    <t>Medico Veterinario 4   apoyo esterilizaciones</t>
  </si>
  <si>
    <t>Medico Veterinario 2  apoyo esterilizaciones</t>
  </si>
  <si>
    <t>Medico Veterinario 3  apoyo esterilizaciones</t>
  </si>
  <si>
    <t xml:space="preserve">1. teniendo en cuenta que el contrato es por 3 meses la dotacion se da 1 vez por los 3 meses, en segunda medida, la dotacion se le da a los colaboradores que su ingreso es inferior a 2 SMLMV </t>
  </si>
  <si>
    <t xml:space="preserve">2. se tomaron en cuenta los colaboradores que ganan menos de 2SMLMV en total 42, y se calcula sobre el 5% del salario devengado </t>
  </si>
  <si>
    <t xml:space="preserve">3. se desagrega la tabla con carga prestacional por cada uno de sus items </t>
  </si>
  <si>
    <t>Unidad Movil Conv.2730</t>
  </si>
  <si>
    <t>Nota 2: este valor corresponde al calculo realizado por operación mes de la unidad movil según precios unitarios tenidos en cuenta convenio 2730 más consumo histórico más incremento IPC</t>
  </si>
  <si>
    <t>REPUESTO MAQUINA ANDIS</t>
  </si>
  <si>
    <t xml:space="preserve">se relacionan las cantidades toda vez que es la presentacion en la que venden cada producto, y de esta manera se evidencia en la cotizaciòn </t>
  </si>
  <si>
    <t xml:space="preserve">no se consigue otro proveedor el cual tenga la totalidad de los elementos requeridos de la bolsa agotable </t>
  </si>
  <si>
    <t xml:space="preserve">la cotizaciòn es Digital, se aportò el link del cotizador virtual </t>
  </si>
  <si>
    <t xml:space="preserve">se anexan cotizaciones de monto agotable </t>
  </si>
  <si>
    <t xml:space="preserve">este valor se calcula teniendo en cuenta el Hsitorico de recoleccion del centro de bienestar animal, se anexan informes de los meses Abril y Mayo </t>
  </si>
  <si>
    <t xml:space="preserve">adicional a lo anterior se tiene en cuenta como medida de contingencia, el fallecimiento de algùn usuario del centro de bienestar animal. </t>
  </si>
  <si>
    <t xml:space="preserve">El valor se calcula por medio de las cotizaciones aportadas en el numeral 3.4 </t>
  </si>
  <si>
    <t xml:space="preserve">1 camioneta de platon doble cabina 4X4 mes </t>
  </si>
  <si>
    <t xml:space="preserve">2 camionetas doble cabina 4X4 </t>
  </si>
  <si>
    <t xml:space="preserve">Promedio camioneta  en 3 meses </t>
  </si>
  <si>
    <t xml:space="preserve">la diferencia es la destinaciòn del recurso por alcance. El 5.2 es para el sostenimieniento de los animales del centro de Bienestar animal y de los que por sus condiciones medicas tienen hospitalizaciòn intramural, y el de este ITEM es exclusivamente para apoyo a fundaciones </t>
  </si>
  <si>
    <t xml:space="preserve">Personal Centro de Bienestar animal </t>
  </si>
  <si>
    <t xml:space="preserve">Personal Apoyo adopciones </t>
  </si>
  <si>
    <t>Personal apoyo Educaciòn</t>
  </si>
  <si>
    <t>7.1</t>
  </si>
  <si>
    <t>7.2</t>
  </si>
  <si>
    <t>JAULA X 3 ESTANDAR EN LAMINA CON PUERTA FALSA EN ACERO INOXIDABLE</t>
  </si>
  <si>
    <t>Medico Veterinario 1  apoyo esterilizaciones</t>
  </si>
  <si>
    <t>4 el Càlculo se realiza teniendo en cuenta el personal que los domignos y festivos està prestando el servicio, equivale entre el 8% y el 10% del pesonal contratado por la termporal teniendo en cuenta los historicos de proyecto</t>
  </si>
  <si>
    <t xml:space="preserve">Unidad de medida </t>
  </si>
  <si>
    <t>promedio</t>
  </si>
  <si>
    <t>Nota 2: La recolecciòn de residuos se estima por los valores historicos, se anexa precios de recolecciòn de residuos.  adiconal a lo anterior se tiene en cuenta contigencia que se pueden presentar en los centro de atencion primaria por fallecimiento de paciente.</t>
  </si>
  <si>
    <t>En la sede Hospital Maraya se contrataron 2 servicios de internet para garantizar la conectividad en la operación de càmaras, acceso a HC las cuales se encuentran en la nube</t>
  </si>
  <si>
    <t>Nota1: donde no se desagrega el iva la cotizacion la tiene incluida en el valor</t>
  </si>
  <si>
    <t>Anexo facturas carpeta 4.6 tercer nivel</t>
  </si>
  <si>
    <t xml:space="preserve">Se anexa certificacion tecnica </t>
  </si>
  <si>
    <t xml:space="preserve">Incluido iva </t>
  </si>
  <si>
    <t xml:space="preserve">existen 2 certificados, en la carpeta denominada arriendos </t>
  </si>
  <si>
    <t xml:space="preserve">Nota 1 : N/A es por lo que estan en inmuebles del municipio </t>
  </si>
  <si>
    <t xml:space="preserve">Nota 3:  La proyeccion del ague se tieneel cuenta la consumo de 16 perosnas del area administrativa duran 8 horas diarias el promedio de consumo y el estrato sociecononico del bien el cual es estrato 5 </t>
  </si>
  <si>
    <t xml:space="preserve"> Nota 2:</t>
  </si>
  <si>
    <t>Nota 1:</t>
  </si>
  <si>
    <t>Este valor se estima de acuerdo al valor que ya se tiene contratado en la sede del Hospital, para la sede administrativa solo se requiere un servicio</t>
  </si>
  <si>
    <t>5. Sanexan facturas de convenio 7114 de 2024 las cuaLes se tuvieron de soporte para calcular los domincales y festivos.</t>
  </si>
  <si>
    <t>precios 2024</t>
  </si>
  <si>
    <t xml:space="preserve">Indexacion </t>
  </si>
  <si>
    <t>VALOR 2024</t>
  </si>
  <si>
    <t>VALOR INDEXADO</t>
  </si>
  <si>
    <t>NOMBRE DEL PRODUCTO</t>
  </si>
  <si>
    <t>GES</t>
  </si>
  <si>
    <t>SAGA</t>
  </si>
  <si>
    <t>CAUCAMAX</t>
  </si>
  <si>
    <t>PASEADOR DE AHOGO/LAZO</t>
  </si>
  <si>
    <t>BARBERA SENCILLA OH BELL</t>
  </si>
  <si>
    <t>BOLSA EXAMEN FELINO</t>
  </si>
  <si>
    <t>BOZAL REJILLA GRANDE</t>
  </si>
  <si>
    <t>BOZAL REJILLA MEDIANO</t>
  </si>
  <si>
    <t>BOZAL REJILLA PEQUEÑO</t>
  </si>
  <si>
    <t>CEPILLO DE ALAMBRE</t>
  </si>
  <si>
    <t>COBIJAS PELUCHE</t>
  </si>
  <si>
    <t>COLCHONETAS PARA PACIENTE RECUPERACION</t>
  </si>
  <si>
    <t>COMEDOR METALICO GRANDE 64 ONZAS</t>
  </si>
  <si>
    <t>COMEDOR METALICO PEQUEÑO 24 ONZAS</t>
  </si>
  <si>
    <t>CORTA UÑAS DE LUJO GRANDE PERRO</t>
  </si>
  <si>
    <t>CORTA UÑAS TIJERA MEDIANO GATO</t>
  </si>
  <si>
    <t>MANOMETRO PARA CILINDRO OXIGENO MEDICINAL</t>
  </si>
  <si>
    <t>GRADILLA PARA TUBOS DE 16 MM</t>
  </si>
  <si>
    <t>HUACAL UNA PUERTA GATO</t>
  </si>
  <si>
    <t>HUACAL UNA PUERTA CANINO GRANDE</t>
  </si>
  <si>
    <t>TIMER DIGITAL 4 TIEMPOS</t>
  </si>
  <si>
    <t>VASO DE VIDRIO FORMA BAJA 100ML</t>
  </si>
  <si>
    <t>RECIPIENTE 2 LTS PLUS RECTANGULAR</t>
  </si>
  <si>
    <t>RECIPIENTE 8 LTS PLUS BLANCO</t>
  </si>
  <si>
    <t>RECIPIENTE 0.9 LTS PLUS RECTANGULAR</t>
  </si>
  <si>
    <t>CAJONERA PEQUEÑA X 3 GRIS NATURAL</t>
  </si>
  <si>
    <t>CESTA REDONDA PARA ROPA PLUS 51 LTS</t>
  </si>
  <si>
    <t xml:space="preserve">Elementos de manejo animal </t>
  </si>
  <si>
    <t xml:space="preserve">Apoyo a ESAL y ONG que desarrollan actividades de bienestar animal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</si>
</sst>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6" formatCode="&quot;$&quot;\ #,##0;[Red]\-&quot;$&quot;\ #,##0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"/>
    <numFmt numFmtId="166" formatCode="d\.m"/>
    <numFmt numFmtId="167" formatCode="_-&quot;$&quot;\ * #,##0.00_-;\-&quot;$&quot;\ * #,##0.00_-;_-&quot;$&quot;\ * &quot;-&quot;??_-;_-@"/>
    <numFmt numFmtId="168" formatCode="_-* #,##0.00_-;\-* #,##0.00_-;_-* &quot;-&quot;??_-;_-@"/>
    <numFmt numFmtId="169" formatCode="&quot;$&quot;#,##0"/>
    <numFmt numFmtId="170" formatCode="_-* #,##0_-;\-* #,##0_-;_-* &quot;-&quot;_-;_-@"/>
    <numFmt numFmtId="171" formatCode="_-&quot;$&quot;\ * #,##0_-;\-&quot;$&quot;\ * #,##0_-;_-&quot;$&quot;\ * &quot;-&quot;_-;_-@"/>
    <numFmt numFmtId="172" formatCode="_-&quot;$&quot;* #,##0_-;\-&quot;$&quot;* #,##0_-;_-&quot;$&quot;* &quot;-&quot;??_-;_-@_-"/>
    <numFmt numFmtId="173" formatCode="_-&quot;$&quot;\ * #,##0_-;\-&quot;$&quot;\ * #,##0_-;_-&quot;$&quot;\ * &quot;-&quot;??_-;_-@_-"/>
    <numFmt numFmtId="174" formatCode="_-* #,##0_-;\-* #,##0_-;_-* &quot;-&quot;??_-;_-@"/>
    <numFmt numFmtId="175" formatCode="_-* #,##0_-;\-* #,##0_-;_-* &quot;-&quot;??_-;_-@_-"/>
  </numFmts>
  <fonts count="38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</font>
    <font>
      <sz val="11"/>
      <name val="Aptos Narrow"/>
    </font>
    <font>
      <b/>
      <sz val="11"/>
      <color theme="1"/>
      <name val="Calibri"/>
    </font>
    <font>
      <sz val="12"/>
      <color theme="1"/>
      <name val="Arial"/>
    </font>
    <font>
      <sz val="11"/>
      <color theme="1"/>
      <name val="Aptos Narrow"/>
    </font>
    <font>
      <sz val="11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1"/>
      <color theme="1"/>
      <name val="Aptos Narrow"/>
    </font>
    <font>
      <b/>
      <sz val="11"/>
      <color theme="1"/>
      <name val="Arial"/>
    </font>
    <font>
      <sz val="11"/>
      <color theme="1"/>
      <name val="Arial"/>
    </font>
    <font>
      <sz val="11"/>
      <color theme="1"/>
      <name val="Aptos Narrow"/>
      <scheme val="minor"/>
    </font>
    <font>
      <b/>
      <sz val="11"/>
      <color theme="1"/>
      <name val="Arial"/>
    </font>
    <font>
      <sz val="11"/>
      <color theme="1"/>
      <name val="Arial"/>
    </font>
    <font>
      <b/>
      <sz val="10"/>
      <color theme="1"/>
      <name val="Calibri"/>
    </font>
    <font>
      <sz val="10"/>
      <color theme="1"/>
      <name val="Calibri"/>
    </font>
    <font>
      <sz val="9"/>
      <color theme="1"/>
      <name val="Arial"/>
    </font>
    <font>
      <sz val="9"/>
      <color rgb="FF000000"/>
      <name val="Arial"/>
    </font>
    <font>
      <b/>
      <sz val="11"/>
      <color rgb="FFFFFFFF"/>
      <name val="Arial"/>
    </font>
    <font>
      <sz val="11"/>
      <color rgb="FF000000"/>
      <name val="Arial"/>
    </font>
    <font>
      <sz val="10"/>
      <color rgb="FF000000"/>
      <name val="Calibri"/>
    </font>
    <font>
      <sz val="9"/>
      <color theme="1"/>
      <name val="Calibri"/>
    </font>
    <font>
      <sz val="9"/>
      <color rgb="FF1F1F1F"/>
      <name val="Calibri"/>
    </font>
    <font>
      <sz val="11"/>
      <color rgb="FF000000"/>
      <name val="Calibri"/>
    </font>
    <font>
      <sz val="11"/>
      <color theme="1"/>
      <name val="Aptos Narrow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b/>
      <sz val="11"/>
      <color theme="1"/>
      <name val="Aptos Narrow"/>
      <charset val="134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9CC2E5"/>
        <bgColor rgb="FF9CC2E5"/>
      </patternFill>
    </fill>
    <fill>
      <patternFill patternType="solid">
        <fgColor rgb="FFD0D0D0"/>
        <bgColor rgb="FFD0D0D0"/>
      </patternFill>
    </fill>
    <fill>
      <patternFill patternType="solid">
        <fgColor rgb="FFC1E4F5"/>
        <bgColor rgb="FFC1E4F5"/>
      </patternFill>
    </fill>
    <fill>
      <patternFill patternType="solid">
        <fgColor rgb="FFE7E6E6"/>
        <bgColor rgb="FFE7E6E6"/>
      </patternFill>
    </fill>
    <fill>
      <patternFill patternType="solid">
        <fgColor rgb="FFCAEDFB"/>
        <bgColor rgb="FFCAEDFB"/>
      </patternFill>
    </fill>
    <fill>
      <patternFill patternType="solid">
        <fgColor rgb="FFC1F0C8"/>
        <bgColor rgb="FFC1F0C8"/>
      </patternFill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E8E8E8"/>
        <bgColor rgb="FFE8E8E8"/>
      </patternFill>
    </fill>
    <fill>
      <patternFill patternType="solid">
        <fgColor rgb="FFFFFF00"/>
        <bgColor rgb="FFFFFF00"/>
      </patternFill>
    </fill>
    <fill>
      <patternFill patternType="solid">
        <fgColor rgb="FFD9F2D0"/>
        <bgColor rgb="FFD9F2D0"/>
      </patternFill>
    </fill>
    <fill>
      <patternFill patternType="solid">
        <fgColor rgb="FFF6C6AC"/>
        <bgColor rgb="FFF6C6AC"/>
      </patternFill>
    </fill>
    <fill>
      <patternFill patternType="solid">
        <fgColor rgb="FFA6C9EB"/>
        <bgColor rgb="FFA6C9EB"/>
      </patternFill>
    </fill>
    <fill>
      <patternFill patternType="solid">
        <fgColor rgb="FFB3E5A1"/>
        <bgColor rgb="FFB3E5A1"/>
      </patternFill>
    </fill>
    <fill>
      <patternFill patternType="solid">
        <fgColor rgb="FFDBE9F7"/>
        <bgColor rgb="FFDBE9F7"/>
      </patternFill>
    </fill>
    <fill>
      <patternFill patternType="solid">
        <fgColor rgb="FFFAE2D5"/>
        <bgColor rgb="FFFAE2D5"/>
      </patternFill>
    </fill>
    <fill>
      <patternFill patternType="solid">
        <fgColor rgb="FFFFFFCC"/>
        <bgColor rgb="FFFFFFCC"/>
      </patternFill>
    </fill>
    <fill>
      <patternFill patternType="solid">
        <fgColor rgb="FF60CBF3"/>
        <bgColor rgb="FF60CBF3"/>
      </patternFill>
    </fill>
    <fill>
      <patternFill patternType="solid">
        <fgColor rgb="FFDADADA"/>
        <bgColor rgb="FFDADADA"/>
      </patternFill>
    </fill>
    <fill>
      <patternFill patternType="solid">
        <fgColor rgb="FFB8D4EF"/>
        <bgColor rgb="FFB8D4EF"/>
      </patternFill>
    </fill>
    <fill>
      <patternFill patternType="solid">
        <fgColor rgb="FF92D050"/>
        <bgColor rgb="FF92D050"/>
      </patternFill>
    </fill>
    <fill>
      <patternFill patternType="solid">
        <fgColor rgb="FFB6D7A8"/>
        <bgColor rgb="FFB6D7A8"/>
      </patternFill>
    </fill>
    <fill>
      <patternFill patternType="solid">
        <fgColor rgb="FF0D5ADB"/>
        <bgColor rgb="FF0D5ADB"/>
      </patternFill>
    </fill>
    <fill>
      <patternFill patternType="solid">
        <fgColor theme="0"/>
        <bgColor rgb="FFC1E4F5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C1E4F5"/>
      </patternFill>
    </fill>
    <fill>
      <patternFill patternType="solid">
        <fgColor theme="2" tint="-0.14999847407452621"/>
        <bgColor theme="0"/>
      </patternFill>
    </fill>
    <fill>
      <patternFill patternType="solid">
        <fgColor theme="0"/>
        <bgColor rgb="FF00FF00"/>
      </patternFill>
    </fill>
    <fill>
      <patternFill patternType="solid">
        <fgColor theme="2" tint="-0.14999847407452621"/>
        <bgColor rgb="FF00FF00"/>
      </patternFill>
    </fill>
    <fill>
      <patternFill patternType="solid">
        <fgColor theme="0"/>
        <bgColor rgb="FFFF00FF"/>
      </patternFill>
    </fill>
    <fill>
      <patternFill patternType="solid">
        <fgColor theme="0"/>
        <bgColor rgb="FFE49EDD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6D7A8"/>
      </patternFill>
    </fill>
    <fill>
      <patternFill patternType="solid">
        <fgColor theme="2" tint="-0.14999847407452621"/>
        <bgColor rgb="FFFFFF00"/>
      </patternFill>
    </fill>
    <fill>
      <patternFill patternType="solid">
        <fgColor theme="2" tint="-0.14999847407452621"/>
        <bgColor rgb="FFE8E8E8"/>
      </patternFill>
    </fill>
    <fill>
      <patternFill patternType="solid">
        <fgColor theme="0"/>
        <bgColor rgb="FFD9F2D0"/>
      </patternFill>
    </fill>
    <fill>
      <patternFill patternType="solid">
        <fgColor rgb="FFCCCCCC"/>
        <bgColor rgb="FFCCCCCC"/>
      </patternFill>
    </fill>
    <fill>
      <patternFill patternType="solid">
        <fgColor theme="2" tint="-0.14999847407452621"/>
        <bgColor rgb="FFF2F2F2"/>
      </patternFill>
    </fill>
  </fills>
  <borders count="5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417">
    <xf numFmtId="0" fontId="0" fillId="0" borderId="0" xfId="0"/>
    <xf numFmtId="0" fontId="6" fillId="2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4" borderId="5" xfId="0" applyFont="1" applyFill="1" applyBorder="1" applyAlignment="1">
      <alignment horizontal="left" wrapText="1"/>
    </xf>
    <xf numFmtId="0" fontId="7" fillId="0" borderId="9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vertical="center" wrapText="1"/>
    </xf>
    <xf numFmtId="165" fontId="10" fillId="3" borderId="5" xfId="0" applyNumberFormat="1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vertical="center" wrapText="1"/>
    </xf>
    <xf numFmtId="0" fontId="11" fillId="8" borderId="5" xfId="0" applyFont="1" applyFill="1" applyBorder="1" applyAlignment="1">
      <alignment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165" fontId="11" fillId="0" borderId="0" xfId="0" applyNumberFormat="1" applyFont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166" fontId="11" fillId="9" borderId="5" xfId="0" applyNumberFormat="1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vertical="center" wrapText="1"/>
    </xf>
    <xf numFmtId="165" fontId="11" fillId="3" borderId="6" xfId="0" applyNumberFormat="1" applyFont="1" applyFill="1" applyBorder="1" applyAlignment="1">
      <alignment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left" vertical="center" wrapText="1"/>
    </xf>
    <xf numFmtId="166" fontId="11" fillId="0" borderId="5" xfId="0" applyNumberFormat="1" applyFont="1" applyBorder="1" applyAlignment="1">
      <alignment horizontal="center" vertical="center" wrapText="1"/>
    </xf>
    <xf numFmtId="0" fontId="10" fillId="11" borderId="5" xfId="0" applyFont="1" applyFill="1" applyBorder="1" applyAlignment="1">
      <alignment vertical="center" wrapText="1"/>
    </xf>
    <xf numFmtId="165" fontId="10" fillId="11" borderId="5" xfId="0" applyNumberFormat="1" applyFont="1" applyFill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166" fontId="11" fillId="0" borderId="0" xfId="0" applyNumberFormat="1" applyFont="1" applyAlignment="1">
      <alignment horizontal="center" vertical="center" wrapText="1"/>
    </xf>
    <xf numFmtId="165" fontId="10" fillId="12" borderId="5" xfId="0" applyNumberFormat="1" applyFont="1" applyFill="1" applyBorder="1" applyAlignment="1">
      <alignment vertical="center" wrapText="1"/>
    </xf>
    <xf numFmtId="165" fontId="10" fillId="13" borderId="5" xfId="0" applyNumberFormat="1" applyFont="1" applyFill="1" applyBorder="1" applyAlignment="1">
      <alignment vertical="center" wrapText="1"/>
    </xf>
    <xf numFmtId="165" fontId="10" fillId="2" borderId="5" xfId="0" applyNumberFormat="1" applyFont="1" applyFill="1" applyBorder="1" applyAlignment="1">
      <alignment vertical="center" wrapText="1"/>
    </xf>
    <xf numFmtId="0" fontId="12" fillId="14" borderId="5" xfId="0" applyFont="1" applyFill="1" applyBorder="1" applyAlignment="1">
      <alignment horizontal="center" wrapText="1"/>
    </xf>
    <xf numFmtId="0" fontId="8" fillId="14" borderId="5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wrapText="1"/>
    </xf>
    <xf numFmtId="165" fontId="8" fillId="3" borderId="5" xfId="0" applyNumberFormat="1" applyFont="1" applyFill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165" fontId="8" fillId="0" borderId="5" xfId="0" applyNumberFormat="1" applyFont="1" applyBorder="1" applyAlignment="1">
      <alignment horizontal="center"/>
    </xf>
    <xf numFmtId="165" fontId="8" fillId="0" borderId="5" xfId="0" applyNumberFormat="1" applyFont="1" applyBorder="1" applyAlignment="1">
      <alignment horizontal="center" wrapText="1"/>
    </xf>
    <xf numFmtId="165" fontId="8" fillId="16" borderId="5" xfId="0" applyNumberFormat="1" applyFont="1" applyFill="1" applyBorder="1" applyAlignment="1">
      <alignment horizontal="center"/>
    </xf>
    <xf numFmtId="0" fontId="8" fillId="0" borderId="0" xfId="0" applyFont="1" applyAlignment="1">
      <alignment wrapText="1"/>
    </xf>
    <xf numFmtId="0" fontId="13" fillId="0" borderId="0" xfId="0" applyFont="1" applyAlignment="1">
      <alignment wrapText="1"/>
    </xf>
    <xf numFmtId="14" fontId="14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8" fillId="14" borderId="5" xfId="0" applyFont="1" applyFill="1" applyBorder="1"/>
    <xf numFmtId="0" fontId="8" fillId="14" borderId="5" xfId="0" applyFont="1" applyFill="1" applyBorder="1" applyAlignment="1">
      <alignment horizontal="center"/>
    </xf>
    <xf numFmtId="0" fontId="8" fillId="0" borderId="5" xfId="0" applyFont="1" applyBorder="1"/>
    <xf numFmtId="165" fontId="8" fillId="0" borderId="0" xfId="0" applyNumberFormat="1" applyFont="1" applyAlignment="1">
      <alignment horizontal="center"/>
    </xf>
    <xf numFmtId="16" fontId="8" fillId="0" borderId="0" xfId="0" applyNumberFormat="1" applyFont="1"/>
    <xf numFmtId="0" fontId="8" fillId="7" borderId="5" xfId="0" applyFont="1" applyFill="1" applyBorder="1"/>
    <xf numFmtId="0" fontId="8" fillId="7" borderId="5" xfId="0" applyFont="1" applyFill="1" applyBorder="1" applyAlignment="1">
      <alignment horizontal="center"/>
    </xf>
    <xf numFmtId="0" fontId="8" fillId="17" borderId="5" xfId="0" applyFont="1" applyFill="1" applyBorder="1" applyAlignment="1">
      <alignment horizontal="center"/>
    </xf>
    <xf numFmtId="0" fontId="8" fillId="18" borderId="5" xfId="0" applyFont="1" applyFill="1" applyBorder="1" applyAlignment="1">
      <alignment horizontal="center"/>
    </xf>
    <xf numFmtId="0" fontId="8" fillId="19" borderId="5" xfId="0" applyFont="1" applyFill="1" applyBorder="1" applyAlignment="1">
      <alignment horizontal="center" wrapText="1"/>
    </xf>
    <xf numFmtId="0" fontId="8" fillId="17" borderId="5" xfId="0" applyFont="1" applyFill="1" applyBorder="1" applyAlignment="1">
      <alignment horizontal="center" wrapText="1"/>
    </xf>
    <xf numFmtId="0" fontId="8" fillId="18" borderId="5" xfId="0" applyFont="1" applyFill="1" applyBorder="1" applyAlignment="1">
      <alignment horizontal="center" wrapText="1"/>
    </xf>
    <xf numFmtId="167" fontId="8" fillId="17" borderId="6" xfId="0" applyNumberFormat="1" applyFont="1" applyFill="1" applyBorder="1" applyAlignment="1">
      <alignment horizontal="center"/>
    </xf>
    <xf numFmtId="165" fontId="8" fillId="18" borderId="5" xfId="0" applyNumberFormat="1" applyFont="1" applyFill="1" applyBorder="1" applyAlignment="1">
      <alignment horizontal="center"/>
    </xf>
    <xf numFmtId="165" fontId="8" fillId="19" borderId="5" xfId="0" applyNumberFormat="1" applyFont="1" applyFill="1" applyBorder="1" applyAlignment="1">
      <alignment horizontal="center"/>
    </xf>
    <xf numFmtId="167" fontId="8" fillId="17" borderId="5" xfId="0" applyNumberFormat="1" applyFont="1" applyFill="1" applyBorder="1" applyAlignment="1">
      <alignment horizontal="center"/>
    </xf>
    <xf numFmtId="165" fontId="8" fillId="17" borderId="5" xfId="0" applyNumberFormat="1" applyFont="1" applyFill="1" applyBorder="1" applyAlignment="1">
      <alignment horizontal="center"/>
    </xf>
    <xf numFmtId="165" fontId="8" fillId="7" borderId="5" xfId="0" applyNumberFormat="1" applyFont="1" applyFill="1" applyBorder="1" applyAlignment="1">
      <alignment horizontal="center"/>
    </xf>
    <xf numFmtId="0" fontId="8" fillId="0" borderId="5" xfId="0" applyFont="1" applyBorder="1" applyAlignment="1">
      <alignment wrapText="1"/>
    </xf>
    <xf numFmtId="165" fontId="8" fillId="0" borderId="5" xfId="0" applyNumberFormat="1" applyFont="1" applyBorder="1"/>
    <xf numFmtId="165" fontId="8" fillId="0" borderId="0" xfId="0" applyNumberFormat="1" applyFont="1"/>
    <xf numFmtId="0" fontId="8" fillId="0" borderId="14" xfId="0" applyFont="1" applyBorder="1"/>
    <xf numFmtId="165" fontId="8" fillId="16" borderId="15" xfId="0" applyNumberFormat="1" applyFont="1" applyFill="1" applyBorder="1"/>
    <xf numFmtId="0" fontId="12" fillId="14" borderId="5" xfId="0" applyFont="1" applyFill="1" applyBorder="1"/>
    <xf numFmtId="165" fontId="8" fillId="16" borderId="5" xfId="0" applyNumberFormat="1" applyFont="1" applyFill="1" applyBorder="1"/>
    <xf numFmtId="0" fontId="12" fillId="0" borderId="0" xfId="0" applyFont="1"/>
    <xf numFmtId="0" fontId="8" fillId="4" borderId="5" xfId="0" applyFont="1" applyFill="1" applyBorder="1" applyAlignment="1">
      <alignment wrapText="1"/>
    </xf>
    <xf numFmtId="0" fontId="12" fillId="14" borderId="5" xfId="0" applyFont="1" applyFill="1" applyBorder="1" applyAlignment="1">
      <alignment wrapText="1"/>
    </xf>
    <xf numFmtId="0" fontId="8" fillId="4" borderId="5" xfId="0" applyFont="1" applyFill="1" applyBorder="1"/>
    <xf numFmtId="165" fontId="8" fillId="0" borderId="5" xfId="0" applyNumberFormat="1" applyFont="1" applyBorder="1" applyAlignment="1">
      <alignment wrapText="1"/>
    </xf>
    <xf numFmtId="0" fontId="16" fillId="0" borderId="0" xfId="0" applyFont="1"/>
    <xf numFmtId="0" fontId="8" fillId="7" borderId="5" xfId="0" applyFont="1" applyFill="1" applyBorder="1" applyAlignment="1">
      <alignment wrapText="1"/>
    </xf>
    <xf numFmtId="165" fontId="8" fillId="7" borderId="5" xfId="0" applyNumberFormat="1" applyFont="1" applyFill="1" applyBorder="1" applyAlignment="1">
      <alignment wrapText="1"/>
    </xf>
    <xf numFmtId="1" fontId="8" fillId="0" borderId="0" xfId="0" applyNumberFormat="1" applyFont="1" applyAlignment="1">
      <alignment wrapText="1"/>
    </xf>
    <xf numFmtId="165" fontId="8" fillId="4" borderId="5" xfId="0" applyNumberFormat="1" applyFont="1" applyFill="1" applyBorder="1" applyAlignment="1">
      <alignment wrapText="1"/>
    </xf>
    <xf numFmtId="165" fontId="8" fillId="8" borderId="5" xfId="0" applyNumberFormat="1" applyFont="1" applyFill="1" applyBorder="1"/>
    <xf numFmtId="0" fontId="8" fillId="8" borderId="5" xfId="0" applyFont="1" applyFill="1" applyBorder="1"/>
    <xf numFmtId="0" fontId="8" fillId="3" borderId="6" xfId="0" applyFont="1" applyFill="1" applyBorder="1"/>
    <xf numFmtId="0" fontId="8" fillId="4" borderId="6" xfId="0" applyFont="1" applyFill="1" applyBorder="1"/>
    <xf numFmtId="0" fontId="8" fillId="20" borderId="5" xfId="0" applyFont="1" applyFill="1" applyBorder="1" applyAlignment="1">
      <alignment wrapText="1"/>
    </xf>
    <xf numFmtId="165" fontId="8" fillId="20" borderId="5" xfId="0" applyNumberFormat="1" applyFont="1" applyFill="1" applyBorder="1" applyAlignment="1">
      <alignment wrapText="1"/>
    </xf>
    <xf numFmtId="0" fontId="8" fillId="0" borderId="16" xfId="0" applyFont="1" applyBorder="1"/>
    <xf numFmtId="0" fontId="8" fillId="0" borderId="17" xfId="0" applyFont="1" applyBorder="1"/>
    <xf numFmtId="0" fontId="8" fillId="0" borderId="18" xfId="0" applyFont="1" applyBorder="1"/>
    <xf numFmtId="0" fontId="8" fillId="0" borderId="19" xfId="0" applyFont="1" applyBorder="1" applyAlignment="1">
      <alignment wrapText="1"/>
    </xf>
    <xf numFmtId="165" fontId="8" fillId="0" borderId="20" xfId="0" applyNumberFormat="1" applyFont="1" applyBorder="1"/>
    <xf numFmtId="0" fontId="8" fillId="0" borderId="21" xfId="0" applyFont="1" applyBorder="1" applyAlignment="1">
      <alignment wrapText="1"/>
    </xf>
    <xf numFmtId="165" fontId="8" fillId="0" borderId="22" xfId="0" applyNumberFormat="1" applyFont="1" applyBorder="1"/>
    <xf numFmtId="165" fontId="8" fillId="0" borderId="23" xfId="0" applyNumberFormat="1" applyFont="1" applyBorder="1"/>
    <xf numFmtId="1" fontId="8" fillId="0" borderId="0" xfId="0" applyNumberFormat="1" applyFont="1"/>
    <xf numFmtId="0" fontId="8" fillId="21" borderId="5" xfId="0" applyFont="1" applyFill="1" applyBorder="1" applyAlignment="1">
      <alignment wrapText="1"/>
    </xf>
    <xf numFmtId="165" fontId="8" fillId="21" borderId="5" xfId="0" applyNumberFormat="1" applyFont="1" applyFill="1" applyBorder="1" applyAlignment="1">
      <alignment wrapText="1"/>
    </xf>
    <xf numFmtId="0" fontId="8" fillId="21" borderId="6" xfId="0" applyFont="1" applyFill="1" applyBorder="1"/>
    <xf numFmtId="0" fontId="8" fillId="11" borderId="5" xfId="0" applyFont="1" applyFill="1" applyBorder="1" applyAlignment="1">
      <alignment wrapText="1"/>
    </xf>
    <xf numFmtId="165" fontId="8" fillId="11" borderId="5" xfId="0" applyNumberFormat="1" applyFont="1" applyFill="1" applyBorder="1" applyAlignment="1">
      <alignment wrapText="1"/>
    </xf>
    <xf numFmtId="0" fontId="8" fillId="22" borderId="5" xfId="0" applyFont="1" applyFill="1" applyBorder="1" applyAlignment="1">
      <alignment wrapText="1"/>
    </xf>
    <xf numFmtId="165" fontId="8" fillId="22" borderId="5" xfId="0" applyNumberFormat="1" applyFont="1" applyFill="1" applyBorder="1" applyAlignment="1">
      <alignment wrapText="1"/>
    </xf>
    <xf numFmtId="165" fontId="8" fillId="0" borderId="0" xfId="0" applyNumberFormat="1" applyFont="1" applyAlignment="1">
      <alignment wrapText="1"/>
    </xf>
    <xf numFmtId="168" fontId="8" fillId="0" borderId="0" xfId="0" applyNumberFormat="1" applyFont="1" applyAlignment="1">
      <alignment wrapText="1"/>
    </xf>
    <xf numFmtId="165" fontId="8" fillId="14" borderId="19" xfId="0" applyNumberFormat="1" applyFont="1" applyFill="1" applyBorder="1" applyAlignment="1">
      <alignment horizontal="center" wrapText="1"/>
    </xf>
    <xf numFmtId="165" fontId="8" fillId="14" borderId="20" xfId="0" applyNumberFormat="1" applyFont="1" applyFill="1" applyBorder="1" applyAlignment="1">
      <alignment horizontal="center" wrapText="1"/>
    </xf>
    <xf numFmtId="165" fontId="8" fillId="14" borderId="19" xfId="0" applyNumberFormat="1" applyFont="1" applyFill="1" applyBorder="1" applyAlignment="1">
      <alignment wrapText="1"/>
    </xf>
    <xf numFmtId="165" fontId="8" fillId="16" borderId="20" xfId="0" applyNumberFormat="1" applyFont="1" applyFill="1" applyBorder="1" applyAlignment="1">
      <alignment wrapText="1"/>
    </xf>
    <xf numFmtId="165" fontId="8" fillId="14" borderId="21" xfId="0" applyNumberFormat="1" applyFont="1" applyFill="1" applyBorder="1" applyAlignment="1">
      <alignment wrapText="1"/>
    </xf>
    <xf numFmtId="165" fontId="8" fillId="16" borderId="23" xfId="0" applyNumberFormat="1" applyFont="1" applyFill="1" applyBorder="1" applyAlignment="1">
      <alignment wrapText="1"/>
    </xf>
    <xf numFmtId="0" fontId="12" fillId="14" borderId="5" xfId="0" applyFont="1" applyFill="1" applyBorder="1" applyAlignment="1">
      <alignment horizontal="center"/>
    </xf>
    <xf numFmtId="169" fontId="8" fillId="0" borderId="5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169" fontId="8" fillId="0" borderId="7" xfId="0" applyNumberFormat="1" applyFont="1" applyBorder="1" applyAlignment="1">
      <alignment horizontal="center"/>
    </xf>
    <xf numFmtId="169" fontId="8" fillId="0" borderId="5" xfId="0" applyNumberFormat="1" applyFont="1" applyBorder="1"/>
    <xf numFmtId="0" fontId="8" fillId="0" borderId="0" xfId="0" applyFont="1"/>
    <xf numFmtId="0" fontId="10" fillId="24" borderId="28" xfId="0" applyFont="1" applyFill="1" applyBorder="1" applyAlignment="1">
      <alignment horizontal="center" vertical="center" wrapText="1"/>
    </xf>
    <xf numFmtId="165" fontId="10" fillId="24" borderId="28" xfId="0" applyNumberFormat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wrapText="1"/>
    </xf>
    <xf numFmtId="165" fontId="14" fillId="0" borderId="28" xfId="0" applyNumberFormat="1" applyFont="1" applyBorder="1" applyAlignment="1">
      <alignment wrapText="1"/>
    </xf>
    <xf numFmtId="0" fontId="10" fillId="3" borderId="6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wrapText="1"/>
    </xf>
    <xf numFmtId="165" fontId="14" fillId="0" borderId="29" xfId="0" applyNumberFormat="1" applyFont="1" applyBorder="1" applyAlignment="1">
      <alignment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19" fillId="0" borderId="0" xfId="0" applyFont="1"/>
    <xf numFmtId="0" fontId="18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21" borderId="40" xfId="0" applyFont="1" applyFill="1" applyBorder="1" applyAlignment="1">
      <alignment horizontal="center" vertical="center" wrapText="1"/>
    </xf>
    <xf numFmtId="0" fontId="18" fillId="21" borderId="41" xfId="0" applyFont="1" applyFill="1" applyBorder="1" applyAlignment="1">
      <alignment horizontal="center" vertical="center" wrapText="1"/>
    </xf>
    <xf numFmtId="0" fontId="18" fillId="25" borderId="22" xfId="0" applyFont="1" applyFill="1" applyBorder="1" applyAlignment="1">
      <alignment horizontal="center" vertical="center" wrapText="1"/>
    </xf>
    <xf numFmtId="0" fontId="18" fillId="26" borderId="22" xfId="0" applyFont="1" applyFill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170" fontId="19" fillId="0" borderId="9" xfId="0" applyNumberFormat="1" applyFont="1" applyBorder="1" applyAlignment="1">
      <alignment horizontal="center" vertical="center" wrapText="1"/>
    </xf>
    <xf numFmtId="171" fontId="19" fillId="3" borderId="44" xfId="0" applyNumberFormat="1" applyFont="1" applyFill="1" applyBorder="1" applyAlignment="1">
      <alignment horizontal="center" vertical="center" wrapText="1"/>
    </xf>
    <xf numFmtId="9" fontId="19" fillId="3" borderId="44" xfId="0" applyNumberFormat="1" applyFont="1" applyFill="1" applyBorder="1" applyAlignment="1">
      <alignment horizontal="center" vertical="center" wrapText="1"/>
    </xf>
    <xf numFmtId="171" fontId="19" fillId="3" borderId="45" xfId="0" applyNumberFormat="1" applyFont="1" applyFill="1" applyBorder="1" applyAlignment="1">
      <alignment horizontal="center" vertical="center" wrapText="1"/>
    </xf>
    <xf numFmtId="171" fontId="19" fillId="5" borderId="44" xfId="0" applyNumberFormat="1" applyFont="1" applyFill="1" applyBorder="1" applyAlignment="1">
      <alignment horizontal="center" vertical="center" wrapText="1"/>
    </xf>
    <xf numFmtId="9" fontId="19" fillId="5" borderId="44" xfId="0" applyNumberFormat="1" applyFont="1" applyFill="1" applyBorder="1" applyAlignment="1">
      <alignment horizontal="center" vertical="center" wrapText="1"/>
    </xf>
    <xf numFmtId="171" fontId="19" fillId="0" borderId="9" xfId="0" applyNumberFormat="1" applyFont="1" applyBorder="1" applyAlignment="1">
      <alignment horizontal="center" vertical="center" wrapText="1"/>
    </xf>
    <xf numFmtId="9" fontId="19" fillId="0" borderId="9" xfId="0" applyNumberFormat="1" applyFont="1" applyBorder="1" applyAlignment="1">
      <alignment horizontal="center" vertical="center" wrapText="1"/>
    </xf>
    <xf numFmtId="171" fontId="19" fillId="0" borderId="9" xfId="0" applyNumberFormat="1" applyFont="1" applyBorder="1"/>
    <xf numFmtId="0" fontId="18" fillId="0" borderId="19" xfId="0" applyFont="1" applyBorder="1" applyAlignment="1">
      <alignment horizontal="center" vertical="center" wrapText="1"/>
    </xf>
    <xf numFmtId="171" fontId="19" fillId="5" borderId="5" xfId="0" applyNumberFormat="1" applyFont="1" applyFill="1" applyBorder="1" applyAlignment="1">
      <alignment horizontal="center" vertical="center" wrapText="1"/>
    </xf>
    <xf numFmtId="9" fontId="19" fillId="5" borderId="5" xfId="0" applyNumberFormat="1" applyFont="1" applyFill="1" applyBorder="1" applyAlignment="1">
      <alignment horizontal="center" vertical="center" wrapText="1"/>
    </xf>
    <xf numFmtId="171" fontId="19" fillId="0" borderId="5" xfId="0" applyNumberFormat="1" applyFont="1" applyBorder="1" applyAlignment="1">
      <alignment horizontal="center" vertical="center" wrapText="1"/>
    </xf>
    <xf numFmtId="9" fontId="19" fillId="0" borderId="5" xfId="0" applyNumberFormat="1" applyFont="1" applyBorder="1" applyAlignment="1">
      <alignment horizontal="center" vertical="center" wrapText="1"/>
    </xf>
    <xf numFmtId="171" fontId="19" fillId="0" borderId="5" xfId="0" applyNumberFormat="1" applyFont="1" applyBorder="1"/>
    <xf numFmtId="171" fontId="19" fillId="5" borderId="45" xfId="0" applyNumberFormat="1" applyFont="1" applyFill="1" applyBorder="1" applyAlignment="1">
      <alignment horizontal="center" vertical="center" wrapText="1"/>
    </xf>
    <xf numFmtId="171" fontId="19" fillId="3" borderId="5" xfId="0" applyNumberFormat="1" applyFont="1" applyFill="1" applyBorder="1" applyAlignment="1">
      <alignment horizontal="center" vertical="center" wrapText="1"/>
    </xf>
    <xf numFmtId="171" fontId="19" fillId="0" borderId="0" xfId="0" applyNumberFormat="1" applyFont="1"/>
    <xf numFmtId="0" fontId="19" fillId="14" borderId="5" xfId="0" applyFont="1" applyFill="1" applyBorder="1" applyAlignment="1">
      <alignment wrapText="1"/>
    </xf>
    <xf numFmtId="0" fontId="19" fillId="0" borderId="5" xfId="0" applyFont="1" applyBorder="1" applyAlignment="1">
      <alignment wrapText="1"/>
    </xf>
    <xf numFmtId="165" fontId="19" fillId="16" borderId="5" xfId="0" applyNumberFormat="1" applyFont="1" applyFill="1" applyBorder="1" applyAlignment="1">
      <alignment wrapText="1"/>
    </xf>
    <xf numFmtId="165" fontId="19" fillId="16" borderId="5" xfId="0" applyNumberFormat="1" applyFont="1" applyFill="1" applyBorder="1"/>
    <xf numFmtId="165" fontId="8" fillId="27" borderId="5" xfId="0" applyNumberFormat="1" applyFont="1" applyFill="1" applyBorder="1"/>
    <xf numFmtId="0" fontId="20" fillId="0" borderId="5" xfId="0" applyFont="1" applyBorder="1" applyAlignment="1">
      <alignment horizontal="left" vertical="center" wrapText="1"/>
    </xf>
    <xf numFmtId="167" fontId="8" fillId="0" borderId="5" xfId="0" applyNumberFormat="1" applyFont="1" applyBorder="1"/>
    <xf numFmtId="0" fontId="21" fillId="0" borderId="5" xfId="0" applyFont="1" applyBorder="1" applyAlignment="1">
      <alignment horizontal="left" vertical="center" wrapText="1"/>
    </xf>
    <xf numFmtId="0" fontId="20" fillId="15" borderId="5" xfId="0" applyFont="1" applyFill="1" applyBorder="1" applyAlignment="1">
      <alignment horizontal="left" vertical="center" wrapText="1"/>
    </xf>
    <xf numFmtId="167" fontId="8" fillId="0" borderId="0" xfId="0" applyNumberFormat="1" applyFont="1"/>
    <xf numFmtId="167" fontId="8" fillId="14" borderId="5" xfId="0" applyNumberFormat="1" applyFont="1" applyFill="1" applyBorder="1"/>
    <xf numFmtId="165" fontId="8" fillId="14" borderId="5" xfId="0" applyNumberFormat="1" applyFont="1" applyFill="1" applyBorder="1"/>
    <xf numFmtId="0" fontId="8" fillId="0" borderId="17" xfId="0" applyFont="1" applyBorder="1" applyAlignment="1">
      <alignment wrapText="1"/>
    </xf>
    <xf numFmtId="165" fontId="8" fillId="0" borderId="17" xfId="0" applyNumberFormat="1" applyFont="1" applyBorder="1"/>
    <xf numFmtId="167" fontId="8" fillId="0" borderId="17" xfId="0" applyNumberFormat="1" applyFont="1" applyBorder="1" applyAlignment="1">
      <alignment wrapText="1"/>
    </xf>
    <xf numFmtId="165" fontId="8" fillId="0" borderId="34" xfId="0" applyNumberFormat="1" applyFont="1" applyBorder="1" applyAlignment="1">
      <alignment wrapText="1"/>
    </xf>
    <xf numFmtId="0" fontId="8" fillId="0" borderId="19" xfId="0" applyFont="1" applyBorder="1"/>
    <xf numFmtId="165" fontId="8" fillId="0" borderId="1" xfId="0" applyNumberFormat="1" applyFont="1" applyBorder="1"/>
    <xf numFmtId="165" fontId="8" fillId="0" borderId="49" xfId="0" applyNumberFormat="1" applyFont="1" applyBorder="1"/>
    <xf numFmtId="167" fontId="14" fillId="0" borderId="0" xfId="0" applyNumberFormat="1" applyFont="1" applyAlignment="1">
      <alignment horizontal="center"/>
    </xf>
    <xf numFmtId="165" fontId="14" fillId="0" borderId="0" xfId="0" applyNumberFormat="1" applyFont="1" applyAlignment="1">
      <alignment horizontal="center"/>
    </xf>
    <xf numFmtId="0" fontId="22" fillId="28" borderId="5" xfId="0" applyFont="1" applyFill="1" applyBorder="1" applyAlignment="1">
      <alignment horizontal="center" vertical="center" wrapText="1"/>
    </xf>
    <xf numFmtId="0" fontId="22" fillId="28" borderId="5" xfId="0" applyFont="1" applyFill="1" applyBorder="1" applyAlignment="1">
      <alignment horizontal="left" vertical="center" wrapText="1"/>
    </xf>
    <xf numFmtId="165" fontId="22" fillId="28" borderId="5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165" fontId="14" fillId="0" borderId="5" xfId="0" applyNumberFormat="1" applyFont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165" fontId="14" fillId="0" borderId="5" xfId="0" applyNumberFormat="1" applyFont="1" applyBorder="1" applyAlignment="1">
      <alignment horizontal="right" vertical="center" wrapText="1"/>
    </xf>
    <xf numFmtId="0" fontId="14" fillId="0" borderId="5" xfId="0" applyFont="1" applyBorder="1"/>
    <xf numFmtId="165" fontId="14" fillId="0" borderId="5" xfId="0" applyNumberFormat="1" applyFont="1" applyBorder="1"/>
    <xf numFmtId="165" fontId="8" fillId="14" borderId="5" xfId="0" applyNumberFormat="1" applyFont="1" applyFill="1" applyBorder="1" applyAlignment="1">
      <alignment horizontal="center" wrapText="1"/>
    </xf>
    <xf numFmtId="0" fontId="24" fillId="14" borderId="5" xfId="0" applyFont="1" applyFill="1" applyBorder="1" applyAlignment="1">
      <alignment horizontal="center" wrapText="1"/>
    </xf>
    <xf numFmtId="0" fontId="25" fillId="0" borderId="5" xfId="0" applyFont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9" fillId="14" borderId="5" xfId="0" applyFont="1" applyFill="1" applyBorder="1" applyAlignment="1">
      <alignment horizontal="center" vertical="top" wrapText="1"/>
    </xf>
    <xf numFmtId="0" fontId="27" fillId="5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5" fontId="8" fillId="14" borderId="18" xfId="0" applyNumberFormat="1" applyFont="1" applyFill="1" applyBorder="1" applyAlignment="1">
      <alignment wrapText="1"/>
    </xf>
    <xf numFmtId="165" fontId="8" fillId="0" borderId="23" xfId="0" applyNumberFormat="1" applyFont="1" applyBorder="1" applyAlignment="1">
      <alignment wrapText="1"/>
    </xf>
    <xf numFmtId="0" fontId="9" fillId="0" borderId="0" xfId="0" applyFont="1"/>
    <xf numFmtId="169" fontId="8" fillId="0" borderId="0" xfId="0" applyNumberFormat="1" applyFont="1"/>
    <xf numFmtId="0" fontId="8" fillId="14" borderId="5" xfId="0" applyFont="1" applyFill="1" applyBorder="1" applyAlignment="1">
      <alignment wrapText="1"/>
    </xf>
    <xf numFmtId="0" fontId="8" fillId="14" borderId="16" xfId="0" applyFont="1" applyFill="1" applyBorder="1"/>
    <xf numFmtId="165" fontId="8" fillId="14" borderId="18" xfId="0" applyNumberFormat="1" applyFont="1" applyFill="1" applyBorder="1"/>
    <xf numFmtId="165" fontId="8" fillId="16" borderId="20" xfId="0" applyNumberFormat="1" applyFont="1" applyFill="1" applyBorder="1"/>
    <xf numFmtId="0" fontId="8" fillId="0" borderId="21" xfId="0" applyFont="1" applyBorder="1"/>
    <xf numFmtId="165" fontId="8" fillId="16" borderId="23" xfId="0" applyNumberFormat="1" applyFont="1" applyFill="1" applyBorder="1"/>
    <xf numFmtId="165" fontId="8" fillId="0" borderId="21" xfId="0" applyNumberFormat="1" applyFont="1" applyBorder="1"/>
    <xf numFmtId="0" fontId="8" fillId="14" borderId="18" xfId="0" applyFont="1" applyFill="1" applyBorder="1"/>
    <xf numFmtId="165" fontId="0" fillId="0" borderId="0" xfId="0" applyNumberFormat="1"/>
    <xf numFmtId="0" fontId="5" fillId="0" borderId="44" xfId="0" applyFont="1" applyBorder="1"/>
    <xf numFmtId="172" fontId="0" fillId="0" borderId="0" xfId="1" applyNumberFormat="1" applyFont="1"/>
    <xf numFmtId="172" fontId="8" fillId="0" borderId="0" xfId="1" applyNumberFormat="1" applyFont="1"/>
    <xf numFmtId="172" fontId="0" fillId="0" borderId="0" xfId="0" applyNumberFormat="1"/>
    <xf numFmtId="0" fontId="10" fillId="29" borderId="5" xfId="0" applyFont="1" applyFill="1" applyBorder="1" applyAlignment="1">
      <alignment vertical="center" wrapText="1"/>
    </xf>
    <xf numFmtId="0" fontId="29" fillId="29" borderId="5" xfId="0" applyFont="1" applyFill="1" applyBorder="1" applyAlignment="1">
      <alignment vertical="center" wrapText="1"/>
    </xf>
    <xf numFmtId="165" fontId="8" fillId="14" borderId="3" xfId="0" applyNumberFormat="1" applyFont="1" applyFill="1" applyBorder="1" applyAlignment="1">
      <alignment horizontal="center" wrapText="1"/>
    </xf>
    <xf numFmtId="165" fontId="8" fillId="14" borderId="3" xfId="0" applyNumberFormat="1" applyFont="1" applyFill="1" applyBorder="1" applyAlignment="1">
      <alignment wrapText="1"/>
    </xf>
    <xf numFmtId="165" fontId="8" fillId="14" borderId="47" xfId="0" applyNumberFormat="1" applyFont="1" applyFill="1" applyBorder="1" applyAlignment="1">
      <alignment wrapText="1"/>
    </xf>
    <xf numFmtId="165" fontId="28" fillId="7" borderId="5" xfId="0" applyNumberFormat="1" applyFont="1" applyFill="1" applyBorder="1" applyAlignment="1">
      <alignment wrapText="1"/>
    </xf>
    <xf numFmtId="165" fontId="28" fillId="7" borderId="5" xfId="0" applyNumberFormat="1" applyFont="1" applyFill="1" applyBorder="1"/>
    <xf numFmtId="0" fontId="28" fillId="4" borderId="5" xfId="0" applyFont="1" applyFill="1" applyBorder="1" applyAlignment="1">
      <alignment wrapText="1"/>
    </xf>
    <xf numFmtId="0" fontId="28" fillId="20" borderId="5" xfId="0" applyFont="1" applyFill="1" applyBorder="1" applyAlignment="1">
      <alignment wrapText="1"/>
    </xf>
    <xf numFmtId="0" fontId="28" fillId="21" borderId="5" xfId="0" applyFont="1" applyFill="1" applyBorder="1" applyAlignment="1">
      <alignment wrapText="1"/>
    </xf>
    <xf numFmtId="0" fontId="28" fillId="21" borderId="5" xfId="0" applyFont="1" applyFill="1" applyBorder="1"/>
    <xf numFmtId="0" fontId="3" fillId="0" borderId="0" xfId="0" applyFont="1"/>
    <xf numFmtId="0" fontId="8" fillId="0" borderId="6" xfId="0" applyFont="1" applyBorder="1" applyAlignment="1">
      <alignment horizontal="center"/>
    </xf>
    <xf numFmtId="169" fontId="8" fillId="0" borderId="6" xfId="0" applyNumberFormat="1" applyFont="1" applyBorder="1" applyAlignment="1">
      <alignment horizontal="center"/>
    </xf>
    <xf numFmtId="0" fontId="30" fillId="0" borderId="0" xfId="0" applyFont="1"/>
    <xf numFmtId="0" fontId="31" fillId="0" borderId="9" xfId="0" applyFont="1" applyBorder="1" applyAlignment="1">
      <alignment horizontal="left" vertical="center" wrapText="1"/>
    </xf>
    <xf numFmtId="0" fontId="28" fillId="14" borderId="18" xfId="0" applyFont="1" applyFill="1" applyBorder="1" applyAlignment="1">
      <alignment wrapText="1"/>
    </xf>
    <xf numFmtId="0" fontId="5" fillId="30" borderId="44" xfId="0" applyFont="1" applyFill="1" applyBorder="1"/>
    <xf numFmtId="166" fontId="29" fillId="9" borderId="5" xfId="0" applyNumberFormat="1" applyFont="1" applyFill="1" applyBorder="1" applyAlignment="1">
      <alignment horizontal="center" vertical="center" wrapText="1"/>
    </xf>
    <xf numFmtId="166" fontId="11" fillId="31" borderId="5" xfId="0" applyNumberFormat="1" applyFont="1" applyFill="1" applyBorder="1" applyAlignment="1">
      <alignment horizontal="center" vertical="center" wrapText="1"/>
    </xf>
    <xf numFmtId="0" fontId="11" fillId="32" borderId="5" xfId="0" applyFont="1" applyFill="1" applyBorder="1" applyAlignment="1">
      <alignment horizontal="center" vertical="center" wrapText="1"/>
    </xf>
    <xf numFmtId="0" fontId="29" fillId="31" borderId="5" xfId="0" applyFont="1" applyFill="1" applyBorder="1" applyAlignment="1">
      <alignment horizontal="center" vertical="center" wrapText="1"/>
    </xf>
    <xf numFmtId="0" fontId="2" fillId="0" borderId="0" xfId="0" applyFont="1"/>
    <xf numFmtId="0" fontId="28" fillId="14" borderId="5" xfId="0" applyFont="1" applyFill="1" applyBorder="1" applyAlignment="1">
      <alignment horizontal="center" wrapText="1"/>
    </xf>
    <xf numFmtId="165" fontId="8" fillId="7" borderId="1" xfId="0" applyNumberFormat="1" applyFont="1" applyFill="1" applyBorder="1" applyAlignment="1">
      <alignment wrapText="1"/>
    </xf>
    <xf numFmtId="0" fontId="8" fillId="7" borderId="52" xfId="0" applyFont="1" applyFill="1" applyBorder="1" applyAlignment="1">
      <alignment wrapText="1"/>
    </xf>
    <xf numFmtId="165" fontId="8" fillId="0" borderId="1" xfId="0" applyNumberFormat="1" applyFont="1" applyBorder="1" applyAlignment="1">
      <alignment wrapText="1"/>
    </xf>
    <xf numFmtId="165" fontId="0" fillId="0" borderId="52" xfId="0" applyNumberFormat="1" applyBorder="1"/>
    <xf numFmtId="169" fontId="0" fillId="0" borderId="0" xfId="0" applyNumberFormat="1"/>
    <xf numFmtId="0" fontId="1" fillId="0" borderId="0" xfId="0" applyFont="1"/>
    <xf numFmtId="165" fontId="8" fillId="33" borderId="5" xfId="0" applyNumberFormat="1" applyFont="1" applyFill="1" applyBorder="1"/>
    <xf numFmtId="165" fontId="8" fillId="34" borderId="5" xfId="0" applyNumberFormat="1" applyFont="1" applyFill="1" applyBorder="1" applyAlignment="1">
      <alignment horizontal="center" wrapText="1"/>
    </xf>
    <xf numFmtId="165" fontId="8" fillId="35" borderId="5" xfId="0" applyNumberFormat="1" applyFont="1" applyFill="1" applyBorder="1"/>
    <xf numFmtId="165" fontId="8" fillId="36" borderId="5" xfId="0" applyNumberFormat="1" applyFont="1" applyFill="1" applyBorder="1" applyAlignment="1">
      <alignment horizontal="center" wrapText="1"/>
    </xf>
    <xf numFmtId="165" fontId="8" fillId="37" borderId="5" xfId="0" applyNumberFormat="1" applyFont="1" applyFill="1" applyBorder="1" applyAlignment="1">
      <alignment horizontal="center"/>
    </xf>
    <xf numFmtId="165" fontId="8" fillId="37" borderId="5" xfId="0" applyNumberFormat="1" applyFont="1" applyFill="1" applyBorder="1" applyAlignment="1">
      <alignment horizontal="center" wrapText="1"/>
    </xf>
    <xf numFmtId="0" fontId="8" fillId="37" borderId="6" xfId="0" applyFont="1" applyFill="1" applyBorder="1" applyAlignment="1">
      <alignment wrapText="1"/>
    </xf>
    <xf numFmtId="0" fontId="15" fillId="38" borderId="0" xfId="0" applyFont="1" applyFill="1"/>
    <xf numFmtId="0" fontId="0" fillId="38" borderId="0" xfId="0" applyFill="1"/>
    <xf numFmtId="0" fontId="8" fillId="36" borderId="6" xfId="0" applyFont="1" applyFill="1" applyBorder="1" applyAlignment="1">
      <alignment wrapText="1"/>
    </xf>
    <xf numFmtId="0" fontId="15" fillId="37" borderId="0" xfId="0" applyFont="1" applyFill="1"/>
    <xf numFmtId="0" fontId="17" fillId="38" borderId="0" xfId="0" applyFont="1" applyFill="1"/>
    <xf numFmtId="165" fontId="8" fillId="38" borderId="0" xfId="0" applyNumberFormat="1" applyFont="1" applyFill="1"/>
    <xf numFmtId="0" fontId="15" fillId="35" borderId="0" xfId="0" applyFont="1" applyFill="1"/>
    <xf numFmtId="165" fontId="14" fillId="37" borderId="28" xfId="0" applyNumberFormat="1" applyFont="1" applyFill="1" applyBorder="1" applyAlignment="1">
      <alignment wrapText="1"/>
    </xf>
    <xf numFmtId="0" fontId="13" fillId="35" borderId="0" xfId="0" applyFont="1" applyFill="1" applyAlignment="1">
      <alignment wrapText="1"/>
    </xf>
    <xf numFmtId="0" fontId="14" fillId="35" borderId="28" xfId="0" applyFont="1" applyFill="1" applyBorder="1" applyAlignment="1">
      <alignment horizontal="center" wrapText="1"/>
    </xf>
    <xf numFmtId="165" fontId="14" fillId="35" borderId="28" xfId="0" applyNumberFormat="1" applyFont="1" applyFill="1" applyBorder="1" applyAlignment="1">
      <alignment wrapText="1"/>
    </xf>
    <xf numFmtId="0" fontId="32" fillId="37" borderId="5" xfId="0" applyFont="1" applyFill="1" applyBorder="1" applyAlignment="1">
      <alignment horizontal="left" vertical="center" wrapText="1"/>
    </xf>
    <xf numFmtId="0" fontId="21" fillId="37" borderId="5" xfId="0" applyFont="1" applyFill="1" applyBorder="1" applyAlignment="1">
      <alignment horizontal="left" vertical="center" wrapText="1"/>
    </xf>
    <xf numFmtId="0" fontId="20" fillId="37" borderId="5" xfId="0" applyFont="1" applyFill="1" applyBorder="1" applyAlignment="1">
      <alignment horizontal="left" vertical="center" wrapText="1"/>
    </xf>
    <xf numFmtId="167" fontId="8" fillId="35" borderId="5" xfId="0" applyNumberFormat="1" applyFont="1" applyFill="1" applyBorder="1" applyAlignment="1">
      <alignment wrapText="1"/>
    </xf>
    <xf numFmtId="0" fontId="16" fillId="38" borderId="0" xfId="0" applyFont="1" applyFill="1"/>
    <xf numFmtId="167" fontId="8" fillId="38" borderId="0" xfId="0" applyNumberFormat="1" applyFont="1" applyFill="1"/>
    <xf numFmtId="0" fontId="8" fillId="38" borderId="0" xfId="0" applyFont="1" applyFill="1" applyAlignment="1">
      <alignment wrapText="1"/>
    </xf>
    <xf numFmtId="14" fontId="14" fillId="38" borderId="0" xfId="0" applyNumberFormat="1" applyFont="1" applyFill="1" applyAlignment="1">
      <alignment horizontal="center"/>
    </xf>
    <xf numFmtId="0" fontId="14" fillId="38" borderId="0" xfId="0" applyFont="1" applyFill="1" applyAlignment="1">
      <alignment wrapText="1"/>
    </xf>
    <xf numFmtId="0" fontId="14" fillId="38" borderId="0" xfId="0" applyFont="1" applyFill="1" applyAlignment="1">
      <alignment horizontal="center"/>
    </xf>
    <xf numFmtId="0" fontId="8" fillId="38" borderId="0" xfId="0" applyFont="1" applyFill="1" applyAlignment="1">
      <alignment horizontal="center"/>
    </xf>
    <xf numFmtId="0" fontId="15" fillId="33" borderId="0" xfId="0" applyFont="1" applyFill="1"/>
    <xf numFmtId="0" fontId="15" fillId="39" borderId="0" xfId="0" applyFont="1" applyFill="1"/>
    <xf numFmtId="0" fontId="8" fillId="37" borderId="0" xfId="0" applyFont="1" applyFill="1" applyAlignment="1">
      <alignment wrapText="1"/>
    </xf>
    <xf numFmtId="165" fontId="8" fillId="37" borderId="5" xfId="0" applyNumberFormat="1" applyFont="1" applyFill="1" applyBorder="1"/>
    <xf numFmtId="165" fontId="22" fillId="28" borderId="1" xfId="0" applyNumberFormat="1" applyFont="1" applyFill="1" applyBorder="1" applyAlignment="1">
      <alignment horizontal="center" vertical="center" wrapText="1"/>
    </xf>
    <xf numFmtId="165" fontId="14" fillId="0" borderId="1" xfId="0" applyNumberFormat="1" applyFont="1" applyBorder="1" applyAlignment="1">
      <alignment wrapText="1"/>
    </xf>
    <xf numFmtId="165" fontId="14" fillId="0" borderId="1" xfId="0" applyNumberFormat="1" applyFont="1" applyBorder="1"/>
    <xf numFmtId="165" fontId="8" fillId="0" borderId="6" xfId="0" applyNumberFormat="1" applyFont="1" applyBorder="1"/>
    <xf numFmtId="0" fontId="0" fillId="0" borderId="6" xfId="0" applyBorder="1"/>
    <xf numFmtId="165" fontId="22" fillId="28" borderId="52" xfId="0" applyNumberFormat="1" applyFont="1" applyFill="1" applyBorder="1" applyAlignment="1">
      <alignment horizontal="center" vertical="center" wrapText="1"/>
    </xf>
    <xf numFmtId="165" fontId="8" fillId="0" borderId="52" xfId="0" applyNumberFormat="1" applyFont="1" applyBorder="1"/>
    <xf numFmtId="0" fontId="0" fillId="0" borderId="52" xfId="0" applyBorder="1"/>
    <xf numFmtId="0" fontId="8" fillId="0" borderId="6" xfId="0" applyFont="1" applyBorder="1"/>
    <xf numFmtId="169" fontId="8" fillId="0" borderId="6" xfId="0" applyNumberFormat="1" applyFont="1" applyBorder="1"/>
    <xf numFmtId="0" fontId="3" fillId="38" borderId="0" xfId="0" applyFont="1" applyFill="1"/>
    <xf numFmtId="0" fontId="0" fillId="0" borderId="53" xfId="0" applyBorder="1"/>
    <xf numFmtId="0" fontId="0" fillId="0" borderId="54" xfId="0" applyBorder="1"/>
    <xf numFmtId="165" fontId="28" fillId="0" borderId="52" xfId="0" applyNumberFormat="1" applyFont="1" applyBorder="1"/>
    <xf numFmtId="17" fontId="0" fillId="0" borderId="0" xfId="0" applyNumberFormat="1"/>
    <xf numFmtId="17" fontId="0" fillId="0" borderId="52" xfId="0" applyNumberFormat="1" applyBorder="1"/>
    <xf numFmtId="172" fontId="0" fillId="0" borderId="52" xfId="1" applyNumberFormat="1" applyFont="1" applyBorder="1"/>
    <xf numFmtId="165" fontId="8" fillId="38" borderId="5" xfId="0" applyNumberFormat="1" applyFont="1" applyFill="1" applyBorder="1"/>
    <xf numFmtId="169" fontId="8" fillId="38" borderId="7" xfId="0" applyNumberFormat="1" applyFont="1" applyFill="1" applyBorder="1"/>
    <xf numFmtId="169" fontId="8" fillId="0" borderId="44" xfId="0" applyNumberFormat="1" applyFont="1" applyBorder="1"/>
    <xf numFmtId="169" fontId="8" fillId="0" borderId="52" xfId="0" applyNumberFormat="1" applyFont="1" applyBorder="1"/>
    <xf numFmtId="165" fontId="8" fillId="14" borderId="1" xfId="0" applyNumberFormat="1" applyFont="1" applyFill="1" applyBorder="1" applyAlignment="1">
      <alignment wrapText="1"/>
    </xf>
    <xf numFmtId="165" fontId="14" fillId="37" borderId="1" xfId="0" applyNumberFormat="1" applyFont="1" applyFill="1" applyBorder="1"/>
    <xf numFmtId="0" fontId="8" fillId="14" borderId="52" xfId="0" applyFont="1" applyFill="1" applyBorder="1" applyAlignment="1">
      <alignment wrapText="1"/>
    </xf>
    <xf numFmtId="0" fontId="28" fillId="40" borderId="5" xfId="0" applyFont="1" applyFill="1" applyBorder="1" applyAlignment="1">
      <alignment wrapText="1"/>
    </xf>
    <xf numFmtId="0" fontId="8" fillId="41" borderId="5" xfId="0" applyFont="1" applyFill="1" applyBorder="1"/>
    <xf numFmtId="0" fontId="28" fillId="41" borderId="5" xfId="0" applyFont="1" applyFill="1" applyBorder="1" applyAlignment="1">
      <alignment horizontal="center" wrapText="1"/>
    </xf>
    <xf numFmtId="0" fontId="12" fillId="14" borderId="7" xfId="0" applyFont="1" applyFill="1" applyBorder="1" applyAlignment="1">
      <alignment horizontal="center"/>
    </xf>
    <xf numFmtId="0" fontId="8" fillId="0" borderId="52" xfId="0" applyFont="1" applyBorder="1" applyAlignment="1">
      <alignment horizontal="center"/>
    </xf>
    <xf numFmtId="169" fontId="8" fillId="0" borderId="52" xfId="0" applyNumberFormat="1" applyFont="1" applyBorder="1" applyAlignment="1">
      <alignment horizontal="center"/>
    </xf>
    <xf numFmtId="165" fontId="8" fillId="16" borderId="52" xfId="0" applyNumberFormat="1" applyFont="1" applyFill="1" applyBorder="1" applyAlignment="1">
      <alignment horizontal="center"/>
    </xf>
    <xf numFmtId="0" fontId="28" fillId="0" borderId="52" xfId="0" applyFont="1" applyBorder="1" applyAlignment="1">
      <alignment horizontal="center"/>
    </xf>
    <xf numFmtId="6" fontId="0" fillId="0" borderId="52" xfId="0" applyNumberFormat="1" applyBorder="1"/>
    <xf numFmtId="172" fontId="0" fillId="0" borderId="52" xfId="0" applyNumberFormat="1" applyBorder="1"/>
    <xf numFmtId="165" fontId="8" fillId="42" borderId="6" xfId="0" applyNumberFormat="1" applyFont="1" applyFill="1" applyBorder="1" applyAlignment="1">
      <alignment horizontal="center"/>
    </xf>
    <xf numFmtId="6" fontId="8" fillId="14" borderId="5" xfId="0" applyNumberFormat="1" applyFont="1" applyFill="1" applyBorder="1" applyAlignment="1">
      <alignment horizontal="center" wrapText="1"/>
    </xf>
    <xf numFmtId="6" fontId="11" fillId="0" borderId="5" xfId="0" applyNumberFormat="1" applyFont="1" applyBorder="1" applyAlignment="1">
      <alignment vertical="center" wrapText="1"/>
    </xf>
    <xf numFmtId="6" fontId="11" fillId="0" borderId="5" xfId="0" applyNumberFormat="1" applyFont="1" applyBorder="1" applyAlignment="1">
      <alignment horizontal="center" vertical="center" wrapText="1"/>
    </xf>
    <xf numFmtId="6" fontId="8" fillId="0" borderId="5" xfId="0" applyNumberFormat="1" applyFont="1" applyBorder="1"/>
    <xf numFmtId="6" fontId="0" fillId="0" borderId="0" xfId="0" applyNumberFormat="1"/>
    <xf numFmtId="6" fontId="8" fillId="14" borderId="16" xfId="0" applyNumberFormat="1" applyFont="1" applyFill="1" applyBorder="1" applyAlignment="1">
      <alignment wrapText="1"/>
    </xf>
    <xf numFmtId="6" fontId="8" fillId="0" borderId="21" xfId="0" applyNumberFormat="1" applyFont="1" applyBorder="1" applyAlignment="1">
      <alignment wrapText="1"/>
    </xf>
    <xf numFmtId="6" fontId="14" fillId="0" borderId="0" xfId="0" applyNumberFormat="1" applyFont="1" applyAlignment="1">
      <alignment horizontal="center"/>
    </xf>
    <xf numFmtId="6" fontId="8" fillId="0" borderId="0" xfId="0" applyNumberFormat="1" applyFont="1" applyAlignment="1">
      <alignment horizontal="center"/>
    </xf>
    <xf numFmtId="0" fontId="33" fillId="0" borderId="52" xfId="0" applyFont="1" applyBorder="1"/>
    <xf numFmtId="0" fontId="36" fillId="0" borderId="52" xfId="0" applyFont="1" applyBorder="1" applyAlignment="1">
      <alignment vertical="top" wrapText="1"/>
    </xf>
    <xf numFmtId="173" fontId="0" fillId="0" borderId="52" xfId="1" applyNumberFormat="1" applyFont="1" applyBorder="1"/>
    <xf numFmtId="169" fontId="36" fillId="0" borderId="52" xfId="0" applyNumberFormat="1" applyFont="1" applyBorder="1" applyAlignment="1">
      <alignment horizontal="center" vertical="top"/>
    </xf>
    <xf numFmtId="0" fontId="33" fillId="0" borderId="54" xfId="0" applyFont="1" applyBorder="1"/>
    <xf numFmtId="173" fontId="0" fillId="0" borderId="54" xfId="1" applyNumberFormat="1" applyFont="1" applyBorder="1"/>
    <xf numFmtId="169" fontId="37" fillId="43" borderId="0" xfId="0" applyNumberFormat="1" applyFont="1" applyFill="1"/>
    <xf numFmtId="0" fontId="33" fillId="30" borderId="52" xfId="0" applyFont="1" applyFill="1" applyBorder="1" applyAlignment="1">
      <alignment horizontal="center"/>
    </xf>
    <xf numFmtId="0" fontId="34" fillId="44" borderId="52" xfId="0" applyFont="1" applyFill="1" applyBorder="1" applyAlignment="1">
      <alignment horizontal="center" vertical="center" wrapText="1"/>
    </xf>
    <xf numFmtId="173" fontId="33" fillId="30" borderId="52" xfId="1" applyNumberFormat="1" applyFont="1" applyFill="1" applyBorder="1" applyAlignment="1">
      <alignment horizontal="center"/>
    </xf>
    <xf numFmtId="174" fontId="35" fillId="44" borderId="52" xfId="0" applyNumberFormat="1" applyFont="1" applyFill="1" applyBorder="1" applyAlignment="1">
      <alignment horizontal="center" vertical="center"/>
    </xf>
    <xf numFmtId="43" fontId="11" fillId="0" borderId="0" xfId="0" applyNumberFormat="1" applyFont="1" applyAlignment="1">
      <alignment vertical="center" wrapText="1"/>
    </xf>
    <xf numFmtId="175" fontId="10" fillId="3" borderId="5" xfId="2" applyNumberFormat="1" applyFont="1" applyFill="1" applyBorder="1" applyAlignment="1">
      <alignment horizontal="center" vertical="center" wrapText="1"/>
    </xf>
    <xf numFmtId="175" fontId="10" fillId="8" borderId="5" xfId="2" applyNumberFormat="1" applyFont="1" applyFill="1" applyBorder="1" applyAlignment="1">
      <alignment vertical="center" wrapText="1"/>
    </xf>
    <xf numFmtId="175" fontId="11" fillId="0" borderId="5" xfId="2" applyNumberFormat="1" applyFont="1" applyBorder="1" applyAlignment="1">
      <alignment vertical="center" wrapText="1"/>
    </xf>
    <xf numFmtId="175" fontId="11" fillId="8" borderId="5" xfId="2" applyNumberFormat="1" applyFont="1" applyFill="1" applyBorder="1" applyAlignment="1">
      <alignment vertical="center" wrapText="1"/>
    </xf>
    <xf numFmtId="175" fontId="10" fillId="0" borderId="5" xfId="2" applyNumberFormat="1" applyFont="1" applyBorder="1" applyAlignment="1">
      <alignment vertical="center" wrapText="1"/>
    </xf>
    <xf numFmtId="175" fontId="11" fillId="3" borderId="5" xfId="2" applyNumberFormat="1" applyFont="1" applyFill="1" applyBorder="1" applyAlignment="1">
      <alignment vertical="center" wrapText="1"/>
    </xf>
    <xf numFmtId="175" fontId="5" fillId="0" borderId="44" xfId="2" applyNumberFormat="1" applyFont="1" applyBorder="1"/>
    <xf numFmtId="175" fontId="29" fillId="29" borderId="5" xfId="2" applyNumberFormat="1" applyFont="1" applyFill="1" applyBorder="1" applyAlignment="1">
      <alignment vertical="center" wrapText="1"/>
    </xf>
    <xf numFmtId="175" fontId="10" fillId="29" borderId="5" xfId="2" applyNumberFormat="1" applyFont="1" applyFill="1" applyBorder="1" applyAlignment="1">
      <alignment vertical="center" wrapText="1"/>
    </xf>
    <xf numFmtId="175" fontId="10" fillId="11" borderId="5" xfId="2" applyNumberFormat="1" applyFont="1" applyFill="1" applyBorder="1" applyAlignment="1">
      <alignment vertical="center" wrapText="1"/>
    </xf>
    <xf numFmtId="175" fontId="11" fillId="0" borderId="0" xfId="2" applyNumberFormat="1" applyFont="1" applyAlignment="1">
      <alignment vertical="center" wrapText="1"/>
    </xf>
    <xf numFmtId="175" fontId="10" fillId="12" borderId="5" xfId="2" applyNumberFormat="1" applyFont="1" applyFill="1" applyBorder="1" applyAlignment="1">
      <alignment vertical="center" wrapText="1"/>
    </xf>
    <xf numFmtId="175" fontId="10" fillId="13" borderId="5" xfId="2" applyNumberFormat="1" applyFont="1" applyFill="1" applyBorder="1" applyAlignment="1">
      <alignment vertical="center" wrapText="1"/>
    </xf>
    <xf numFmtId="175" fontId="10" fillId="2" borderId="5" xfId="2" applyNumberFormat="1" applyFont="1" applyFill="1" applyBorder="1" applyAlignment="1">
      <alignment vertical="center" wrapText="1"/>
    </xf>
    <xf numFmtId="175" fontId="0" fillId="0" borderId="0" xfId="2" applyNumberFormat="1" applyFont="1"/>
    <xf numFmtId="6" fontId="11" fillId="0" borderId="0" xfId="0" applyNumberFormat="1" applyFont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5" fillId="0" borderId="9" xfId="0" applyFont="1" applyBorder="1"/>
    <xf numFmtId="0" fontId="4" fillId="2" borderId="1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0" borderId="3" xfId="0" applyFont="1" applyBorder="1"/>
    <xf numFmtId="0" fontId="7" fillId="4" borderId="7" xfId="0" applyFont="1" applyFill="1" applyBorder="1" applyAlignment="1">
      <alignment horizontal="left" vertical="center" wrapText="1"/>
    </xf>
    <xf numFmtId="0" fontId="5" fillId="0" borderId="8" xfId="0" applyFont="1" applyBorder="1"/>
    <xf numFmtId="0" fontId="7" fillId="4" borderId="10" xfId="0" applyFont="1" applyFill="1" applyBorder="1" applyAlignment="1">
      <alignment horizontal="left" vertical="center" wrapText="1"/>
    </xf>
    <xf numFmtId="0" fontId="5" fillId="0" borderId="11" xfId="0" applyFont="1" applyBorder="1"/>
    <xf numFmtId="0" fontId="5" fillId="0" borderId="12" xfId="0" applyFont="1" applyBorder="1"/>
    <xf numFmtId="0" fontId="11" fillId="7" borderId="7" xfId="0" applyFont="1" applyFill="1" applyBorder="1" applyAlignment="1">
      <alignment horizontal="left" vertical="center" wrapText="1"/>
    </xf>
    <xf numFmtId="0" fontId="11" fillId="7" borderId="5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/>
    <xf numFmtId="0" fontId="10" fillId="6" borderId="1" xfId="0" applyFont="1" applyFill="1" applyBorder="1" applyAlignment="1">
      <alignment horizontal="center" vertical="center" wrapText="1"/>
    </xf>
    <xf numFmtId="0" fontId="5" fillId="0" borderId="13" xfId="0" applyFont="1" applyBorder="1"/>
    <xf numFmtId="166" fontId="11" fillId="9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5" fontId="11" fillId="0" borderId="7" xfId="2" applyNumberFormat="1" applyFont="1" applyBorder="1" applyAlignment="1">
      <alignment horizontal="center" vertical="center" wrapText="1"/>
    </xf>
    <xf numFmtId="175" fontId="5" fillId="0" borderId="9" xfId="2" applyNumberFormat="1" applyFont="1" applyBorder="1"/>
    <xf numFmtId="175" fontId="10" fillId="3" borderId="7" xfId="2" applyNumberFormat="1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5" fillId="0" borderId="50" xfId="0" applyFont="1" applyBorder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51" xfId="0" applyBorder="1" applyAlignment="1">
      <alignment horizontal="center" wrapText="1"/>
    </xf>
    <xf numFmtId="0" fontId="8" fillId="7" borderId="1" xfId="0" applyFont="1" applyFill="1" applyBorder="1" applyAlignment="1">
      <alignment horizontal="center"/>
    </xf>
    <xf numFmtId="165" fontId="8" fillId="23" borderId="24" xfId="0" applyNumberFormat="1" applyFont="1" applyFill="1" applyBorder="1" applyAlignment="1">
      <alignment horizontal="center" wrapText="1"/>
    </xf>
    <xf numFmtId="165" fontId="8" fillId="23" borderId="35" xfId="0" applyNumberFormat="1" applyFont="1" applyFill="1" applyBorder="1" applyAlignment="1">
      <alignment horizontal="center" wrapText="1"/>
    </xf>
    <xf numFmtId="0" fontId="5" fillId="0" borderId="25" xfId="0" applyFont="1" applyBorder="1"/>
    <xf numFmtId="0" fontId="0" fillId="0" borderId="52" xfId="0" applyBorder="1" applyAlignment="1">
      <alignment horizontal="center"/>
    </xf>
    <xf numFmtId="0" fontId="10" fillId="24" borderId="26" xfId="0" applyFont="1" applyFill="1" applyBorder="1" applyAlignment="1">
      <alignment horizontal="center" vertical="center" wrapText="1"/>
    </xf>
    <xf numFmtId="0" fontId="5" fillId="0" borderId="27" xfId="0" applyFont="1" applyBorder="1"/>
    <xf numFmtId="0" fontId="14" fillId="0" borderId="26" xfId="0" applyFont="1" applyBorder="1" applyAlignment="1">
      <alignment horizontal="center" wrapText="1"/>
    </xf>
    <xf numFmtId="0" fontId="30" fillId="35" borderId="26" xfId="0" applyFont="1" applyFill="1" applyBorder="1" applyAlignment="1">
      <alignment horizontal="center" wrapText="1"/>
    </xf>
    <xf numFmtId="0" fontId="14" fillId="35" borderId="27" xfId="0" applyFont="1" applyFill="1" applyBorder="1" applyAlignment="1">
      <alignment horizontal="center" wrapText="1"/>
    </xf>
    <xf numFmtId="0" fontId="8" fillId="14" borderId="1" xfId="0" applyFont="1" applyFill="1" applyBorder="1" applyAlignment="1">
      <alignment horizontal="center"/>
    </xf>
    <xf numFmtId="0" fontId="18" fillId="26" borderId="37" xfId="0" applyFont="1" applyFill="1" applyBorder="1" applyAlignment="1">
      <alignment horizontal="center" vertical="center" wrapText="1"/>
    </xf>
    <xf numFmtId="0" fontId="5" fillId="0" borderId="42" xfId="0" applyFont="1" applyBorder="1"/>
    <xf numFmtId="0" fontId="19" fillId="14" borderId="1" xfId="0" applyFont="1" applyFill="1" applyBorder="1" applyAlignment="1">
      <alignment horizontal="center"/>
    </xf>
    <xf numFmtId="0" fontId="18" fillId="0" borderId="30" xfId="0" applyFont="1" applyBorder="1" applyAlignment="1">
      <alignment horizontal="center" vertical="center" wrapText="1"/>
    </xf>
    <xf numFmtId="0" fontId="5" fillId="0" borderId="31" xfId="0" applyFont="1" applyBorder="1"/>
    <xf numFmtId="0" fontId="5" fillId="0" borderId="32" xfId="0" applyFont="1" applyBorder="1"/>
    <xf numFmtId="0" fontId="18" fillId="21" borderId="33" xfId="0" applyFont="1" applyFill="1" applyBorder="1" applyAlignment="1">
      <alignment horizontal="center" vertical="center" wrapText="1"/>
    </xf>
    <xf numFmtId="0" fontId="18" fillId="25" borderId="34" xfId="0" applyFont="1" applyFill="1" applyBorder="1" applyAlignment="1">
      <alignment horizontal="center" wrapText="1"/>
    </xf>
    <xf numFmtId="0" fontId="5" fillId="0" borderId="35" xfId="0" applyFont="1" applyBorder="1"/>
    <xf numFmtId="0" fontId="5" fillId="0" borderId="36" xfId="0" applyFont="1" applyBorder="1"/>
    <xf numFmtId="0" fontId="18" fillId="26" borderId="34" xfId="0" applyFont="1" applyFill="1" applyBorder="1" applyAlignment="1">
      <alignment horizontal="center" wrapText="1"/>
    </xf>
    <xf numFmtId="0" fontId="8" fillId="0" borderId="46" xfId="0" applyFont="1" applyBorder="1" applyAlignment="1">
      <alignment horizontal="center"/>
    </xf>
    <xf numFmtId="0" fontId="5" fillId="0" borderId="47" xfId="0" applyFont="1" applyBorder="1"/>
    <xf numFmtId="0" fontId="5" fillId="0" borderId="48" xfId="0" applyFont="1" applyBorder="1"/>
    <xf numFmtId="165" fontId="8" fillId="14" borderId="55" xfId="0" applyNumberFormat="1" applyFont="1" applyFill="1" applyBorder="1" applyAlignment="1">
      <alignment horizontal="center"/>
    </xf>
    <xf numFmtId="165" fontId="8" fillId="14" borderId="56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wrapText="1"/>
    </xf>
    <xf numFmtId="0" fontId="8" fillId="0" borderId="2" xfId="0" applyFont="1" applyBorder="1"/>
    <xf numFmtId="0" fontId="8" fillId="0" borderId="2" xfId="0" applyFont="1" applyBorder="1" applyAlignment="1">
      <alignment wrapText="1"/>
    </xf>
    <xf numFmtId="0" fontId="33" fillId="30" borderId="52" xfId="0" applyFont="1" applyFill="1" applyBorder="1" applyAlignment="1">
      <alignment horizontal="center"/>
    </xf>
    <xf numFmtId="0" fontId="8" fillId="0" borderId="6" xfId="0" applyFont="1" applyBorder="1" applyAlignment="1">
      <alignment wrapText="1"/>
    </xf>
    <xf numFmtId="0" fontId="5" fillId="0" borderId="6" xfId="0" applyFont="1" applyBorder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8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1E4F5"/>
  </sheetPr>
  <dimension ref="A1:M100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5" defaultRowHeight="15" customHeight="1"/>
  <cols>
    <col min="1" max="1" width="28.75" customWidth="1"/>
    <col min="2" max="2" width="23.5" customWidth="1"/>
    <col min="3" max="13" width="10.5" customWidth="1"/>
  </cols>
  <sheetData>
    <row r="1" spans="1:13">
      <c r="A1" s="355" t="s">
        <v>0</v>
      </c>
      <c r="B1" s="356"/>
      <c r="C1" s="356"/>
      <c r="D1" s="356"/>
      <c r="E1" s="357"/>
      <c r="F1" s="1"/>
      <c r="G1" s="1"/>
      <c r="H1" s="1"/>
      <c r="I1" s="1"/>
      <c r="J1" s="1"/>
      <c r="K1" s="1"/>
      <c r="L1" s="1"/>
      <c r="M1" s="1"/>
    </row>
    <row r="2" spans="1:13" ht="15.7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/>
      <c r="G2" s="3"/>
      <c r="H2" s="3"/>
      <c r="I2" s="3"/>
      <c r="J2" s="3"/>
      <c r="K2" s="3"/>
      <c r="L2" s="3"/>
      <c r="M2" s="3"/>
    </row>
    <row r="3" spans="1:13" ht="30" customHeight="1">
      <c r="A3" s="358" t="s">
        <v>6</v>
      </c>
      <c r="B3" s="4" t="s">
        <v>7</v>
      </c>
      <c r="C3" s="4" t="s">
        <v>8</v>
      </c>
      <c r="D3" s="4"/>
      <c r="E3" s="4"/>
      <c r="F3" s="5"/>
      <c r="G3" s="5"/>
      <c r="H3" s="5"/>
      <c r="I3" s="5"/>
      <c r="J3" s="5"/>
      <c r="K3" s="5"/>
      <c r="L3" s="5"/>
      <c r="M3" s="5"/>
    </row>
    <row r="4" spans="1:13" ht="45">
      <c r="A4" s="359"/>
      <c r="B4" s="4" t="s">
        <v>9</v>
      </c>
      <c r="C4" s="4" t="s">
        <v>8</v>
      </c>
      <c r="D4" s="4" t="s">
        <v>8</v>
      </c>
      <c r="E4" s="4" t="s">
        <v>8</v>
      </c>
      <c r="F4" s="5"/>
      <c r="G4" s="5"/>
      <c r="H4" s="5"/>
      <c r="I4" s="5"/>
      <c r="J4" s="5"/>
      <c r="K4" s="5"/>
      <c r="L4" s="5"/>
      <c r="M4" s="5"/>
    </row>
    <row r="5" spans="1:13" ht="45">
      <c r="A5" s="359"/>
      <c r="B5" s="4" t="s">
        <v>10</v>
      </c>
      <c r="C5" s="4" t="s">
        <v>8</v>
      </c>
      <c r="D5" s="4" t="s">
        <v>8</v>
      </c>
      <c r="E5" s="4" t="s">
        <v>8</v>
      </c>
      <c r="F5" s="5"/>
      <c r="G5" s="5"/>
      <c r="H5" s="5"/>
      <c r="I5" s="5"/>
      <c r="J5" s="5"/>
      <c r="K5" s="5"/>
      <c r="L5" s="5"/>
      <c r="M5" s="5"/>
    </row>
    <row r="6" spans="1:13" ht="75">
      <c r="A6" s="359"/>
      <c r="B6" s="4" t="s">
        <v>11</v>
      </c>
      <c r="C6" s="4" t="s">
        <v>8</v>
      </c>
      <c r="D6" s="4" t="s">
        <v>8</v>
      </c>
      <c r="E6" s="4" t="s">
        <v>8</v>
      </c>
      <c r="F6" s="6"/>
      <c r="G6" s="6"/>
      <c r="H6" s="6"/>
      <c r="I6" s="6"/>
      <c r="J6" s="6"/>
      <c r="K6" s="6"/>
      <c r="L6" s="6"/>
      <c r="M6" s="6"/>
    </row>
    <row r="7" spans="1:13" ht="30">
      <c r="A7" s="359"/>
      <c r="B7" s="4" t="s">
        <v>12</v>
      </c>
      <c r="C7" s="4" t="s">
        <v>8</v>
      </c>
      <c r="D7" s="4" t="s">
        <v>8</v>
      </c>
      <c r="E7" s="4" t="s">
        <v>8</v>
      </c>
      <c r="F7" s="5"/>
      <c r="G7" s="5"/>
      <c r="H7" s="5"/>
      <c r="I7" s="5"/>
      <c r="J7" s="5"/>
      <c r="K7" s="5"/>
      <c r="L7" s="5"/>
      <c r="M7" s="5"/>
    </row>
    <row r="8" spans="1:13" ht="30">
      <c r="A8" s="359"/>
      <c r="B8" s="4" t="s">
        <v>13</v>
      </c>
      <c r="C8" s="4" t="s">
        <v>8</v>
      </c>
      <c r="D8" s="4" t="s">
        <v>8</v>
      </c>
      <c r="E8" s="4" t="s">
        <v>8</v>
      </c>
      <c r="F8" s="5"/>
      <c r="G8" s="5"/>
      <c r="H8" s="5"/>
      <c r="I8" s="5"/>
      <c r="J8" s="5"/>
      <c r="K8" s="5"/>
      <c r="L8" s="5"/>
      <c r="M8" s="5"/>
    </row>
    <row r="9" spans="1:13" ht="30">
      <c r="A9" s="354"/>
      <c r="B9" s="7" t="s">
        <v>14</v>
      </c>
      <c r="C9" s="4"/>
      <c r="D9" s="4" t="s">
        <v>8</v>
      </c>
      <c r="E9" s="4" t="s">
        <v>8</v>
      </c>
      <c r="F9" s="5"/>
      <c r="G9" s="5"/>
      <c r="H9" s="5"/>
      <c r="I9" s="5"/>
      <c r="J9" s="5"/>
      <c r="K9" s="5"/>
      <c r="L9" s="5"/>
      <c r="M9" s="5"/>
    </row>
    <row r="10" spans="1:13">
      <c r="A10" s="353" t="s">
        <v>15</v>
      </c>
      <c r="B10" s="8" t="s">
        <v>16</v>
      </c>
      <c r="C10" s="8" t="s">
        <v>8</v>
      </c>
      <c r="D10" s="8" t="s">
        <v>8</v>
      </c>
      <c r="E10" s="8" t="s">
        <v>8</v>
      </c>
      <c r="M10" s="5"/>
    </row>
    <row r="11" spans="1:13" ht="45" customHeight="1">
      <c r="A11" s="359"/>
      <c r="B11" s="9" t="s">
        <v>17</v>
      </c>
      <c r="C11" s="9" t="s">
        <v>8</v>
      </c>
      <c r="D11" s="9" t="s">
        <v>8</v>
      </c>
      <c r="E11" s="9"/>
    </row>
    <row r="12" spans="1:13" ht="45">
      <c r="A12" s="359"/>
      <c r="B12" s="9" t="s">
        <v>18</v>
      </c>
      <c r="C12" s="9" t="s">
        <v>8</v>
      </c>
      <c r="D12" s="9" t="s">
        <v>8</v>
      </c>
      <c r="E12" s="9" t="s">
        <v>8</v>
      </c>
    </row>
    <row r="13" spans="1:13">
      <c r="A13" s="354"/>
      <c r="B13" s="9" t="s">
        <v>19</v>
      </c>
      <c r="C13" s="9" t="s">
        <v>8</v>
      </c>
      <c r="D13" s="9" t="s">
        <v>8</v>
      </c>
      <c r="E13" s="9" t="s">
        <v>8</v>
      </c>
      <c r="M13" s="5"/>
    </row>
    <row r="14" spans="1:13" ht="120">
      <c r="A14" s="4" t="s">
        <v>20</v>
      </c>
      <c r="B14" s="4" t="s">
        <v>21</v>
      </c>
      <c r="C14" s="4" t="s">
        <v>8</v>
      </c>
      <c r="D14" s="4" t="s">
        <v>8</v>
      </c>
      <c r="E14" s="4" t="s">
        <v>8</v>
      </c>
    </row>
    <row r="15" spans="1:13" ht="90">
      <c r="A15" s="353" t="s">
        <v>22</v>
      </c>
      <c r="B15" s="10" t="s">
        <v>23</v>
      </c>
      <c r="C15" s="9" t="s">
        <v>8</v>
      </c>
      <c r="D15" s="9"/>
      <c r="E15" s="9"/>
    </row>
    <row r="16" spans="1:13" ht="60">
      <c r="A16" s="354"/>
      <c r="B16" s="9" t="s">
        <v>24</v>
      </c>
      <c r="C16" s="9"/>
      <c r="D16" s="9" t="s">
        <v>8</v>
      </c>
      <c r="E16" s="9" t="s">
        <v>8</v>
      </c>
    </row>
    <row r="17" spans="1:5" ht="45">
      <c r="A17" s="360" t="s">
        <v>25</v>
      </c>
      <c r="B17" s="4" t="s">
        <v>26</v>
      </c>
      <c r="C17" s="4" t="s">
        <v>8</v>
      </c>
      <c r="D17" s="4" t="s">
        <v>8</v>
      </c>
      <c r="E17" s="4" t="s">
        <v>8</v>
      </c>
    </row>
    <row r="18" spans="1:5" ht="60" customHeight="1">
      <c r="A18" s="361"/>
      <c r="B18" s="4" t="s">
        <v>27</v>
      </c>
      <c r="C18" s="4" t="s">
        <v>8</v>
      </c>
      <c r="D18" s="4"/>
      <c r="E18" s="4"/>
    </row>
    <row r="19" spans="1:5" ht="75">
      <c r="A19" s="362"/>
      <c r="B19" s="4" t="s">
        <v>28</v>
      </c>
      <c r="C19" s="4"/>
      <c r="D19" s="4" t="s">
        <v>8</v>
      </c>
      <c r="E19" s="4" t="s">
        <v>8</v>
      </c>
    </row>
    <row r="20" spans="1:5" ht="45">
      <c r="A20" s="353" t="s">
        <v>29</v>
      </c>
      <c r="B20" s="9" t="s">
        <v>30</v>
      </c>
      <c r="C20" s="9" t="s">
        <v>8</v>
      </c>
      <c r="D20" s="9" t="s">
        <v>8</v>
      </c>
      <c r="E20" s="9" t="s">
        <v>8</v>
      </c>
    </row>
    <row r="21" spans="1:5" ht="30" customHeight="1">
      <c r="A21" s="354"/>
      <c r="B21" s="9" t="s">
        <v>31</v>
      </c>
      <c r="C21" s="9" t="s">
        <v>8</v>
      </c>
      <c r="D21" s="9" t="s">
        <v>8</v>
      </c>
      <c r="E21" s="9" t="s">
        <v>8</v>
      </c>
    </row>
    <row r="22" spans="1:5" ht="15.75" customHeight="1">
      <c r="B22" s="5"/>
    </row>
    <row r="23" spans="1:5" ht="15.75" customHeight="1">
      <c r="B23" s="5"/>
    </row>
    <row r="24" spans="1:5" ht="15.75" customHeight="1">
      <c r="B24" s="5"/>
    </row>
    <row r="25" spans="1:5" ht="15.75" customHeight="1">
      <c r="B25" s="5"/>
    </row>
    <row r="26" spans="1:5" ht="15.75" customHeight="1">
      <c r="B26" s="5"/>
    </row>
    <row r="27" spans="1:5" ht="15.75" customHeight="1">
      <c r="B27" s="5"/>
    </row>
    <row r="28" spans="1:5" ht="15.75" customHeight="1">
      <c r="B28" s="5"/>
    </row>
    <row r="29" spans="1:5" ht="15.75" customHeight="1">
      <c r="B29" s="5"/>
    </row>
    <row r="30" spans="1:5" ht="15.75" customHeight="1">
      <c r="B30" s="5"/>
    </row>
    <row r="31" spans="1:5" ht="15.75" customHeight="1">
      <c r="B31" s="5"/>
    </row>
    <row r="32" spans="1:5" ht="15.75" customHeight="1">
      <c r="B32" s="5"/>
    </row>
    <row r="33" spans="2:2" ht="15.75" customHeight="1">
      <c r="B33" s="5"/>
    </row>
    <row r="34" spans="2:2" ht="15.75" customHeight="1">
      <c r="B34" s="5"/>
    </row>
    <row r="35" spans="2:2" ht="15.75" customHeight="1">
      <c r="B35" s="5"/>
    </row>
    <row r="36" spans="2:2" ht="15.75" customHeight="1">
      <c r="B36" s="5"/>
    </row>
    <row r="37" spans="2:2" ht="15.75" customHeight="1">
      <c r="B37" s="5"/>
    </row>
    <row r="38" spans="2:2" ht="15.75" customHeight="1">
      <c r="B38" s="5"/>
    </row>
    <row r="39" spans="2:2" ht="15.75" customHeight="1">
      <c r="B39" s="5"/>
    </row>
    <row r="40" spans="2:2" ht="15.75" customHeight="1">
      <c r="B40" s="5"/>
    </row>
    <row r="41" spans="2:2" ht="15.75" customHeight="1">
      <c r="B41" s="5"/>
    </row>
    <row r="42" spans="2:2" ht="15.75" customHeight="1">
      <c r="B42" s="5"/>
    </row>
    <row r="43" spans="2:2" ht="15.75" customHeight="1">
      <c r="B43" s="5"/>
    </row>
    <row r="44" spans="2:2" ht="15.75" customHeight="1">
      <c r="B44" s="5"/>
    </row>
    <row r="45" spans="2:2" ht="15.75" customHeight="1">
      <c r="B45" s="5"/>
    </row>
    <row r="46" spans="2:2" ht="15.75" customHeight="1">
      <c r="B46" s="5"/>
    </row>
    <row r="47" spans="2:2" ht="15.75" customHeight="1">
      <c r="B47" s="5"/>
    </row>
    <row r="48" spans="2:2" ht="15.75" customHeight="1">
      <c r="B48" s="5"/>
    </row>
    <row r="49" spans="2:2" ht="15.75" customHeight="1">
      <c r="B49" s="5"/>
    </row>
    <row r="50" spans="2:2" ht="15.75" customHeight="1">
      <c r="B50" s="5"/>
    </row>
    <row r="51" spans="2:2" ht="15.75" customHeight="1">
      <c r="B51" s="5"/>
    </row>
    <row r="52" spans="2:2" ht="15.75" customHeight="1">
      <c r="B52" s="5"/>
    </row>
    <row r="53" spans="2:2" ht="15.75" customHeight="1">
      <c r="B53" s="5"/>
    </row>
    <row r="54" spans="2:2" ht="15.75" customHeight="1">
      <c r="B54" s="5"/>
    </row>
    <row r="55" spans="2:2" ht="15.75" customHeight="1">
      <c r="B55" s="5"/>
    </row>
    <row r="56" spans="2:2" ht="15.75" customHeight="1">
      <c r="B56" s="5"/>
    </row>
    <row r="57" spans="2:2" ht="15.75" customHeight="1">
      <c r="B57" s="5"/>
    </row>
    <row r="58" spans="2:2" ht="15.75" customHeight="1">
      <c r="B58" s="5"/>
    </row>
    <row r="59" spans="2:2" ht="15.75" customHeight="1">
      <c r="B59" s="5"/>
    </row>
    <row r="60" spans="2:2" ht="15.75" customHeight="1">
      <c r="B60" s="5"/>
    </row>
    <row r="61" spans="2:2" ht="15.75" customHeight="1">
      <c r="B61" s="5"/>
    </row>
    <row r="62" spans="2:2" ht="15.75" customHeight="1">
      <c r="B62" s="5"/>
    </row>
    <row r="63" spans="2:2" ht="15.75" customHeight="1">
      <c r="B63" s="5"/>
    </row>
    <row r="64" spans="2:2" ht="15.75" customHeight="1">
      <c r="B64" s="5"/>
    </row>
    <row r="65" spans="2:2" ht="15.75" customHeight="1">
      <c r="B65" s="5"/>
    </row>
    <row r="66" spans="2:2" ht="15.75" customHeight="1">
      <c r="B66" s="5"/>
    </row>
    <row r="67" spans="2:2" ht="15.75" customHeight="1">
      <c r="B67" s="5"/>
    </row>
    <row r="68" spans="2:2" ht="15.75" customHeight="1">
      <c r="B68" s="5"/>
    </row>
    <row r="69" spans="2:2" ht="15.75" customHeight="1">
      <c r="B69" s="5"/>
    </row>
    <row r="70" spans="2:2" ht="15.75" customHeight="1">
      <c r="B70" s="5"/>
    </row>
    <row r="71" spans="2:2" ht="15.75" customHeight="1">
      <c r="B71" s="5"/>
    </row>
    <row r="72" spans="2:2" ht="15.75" customHeight="1">
      <c r="B72" s="5"/>
    </row>
    <row r="73" spans="2:2" ht="15.75" customHeight="1">
      <c r="B73" s="5"/>
    </row>
    <row r="74" spans="2:2" ht="15.75" customHeight="1">
      <c r="B74" s="5"/>
    </row>
    <row r="75" spans="2:2" ht="15.75" customHeight="1">
      <c r="B75" s="5"/>
    </row>
    <row r="76" spans="2:2" ht="15.75" customHeight="1">
      <c r="B76" s="5"/>
    </row>
    <row r="77" spans="2:2" ht="15.75" customHeight="1">
      <c r="B77" s="5"/>
    </row>
    <row r="78" spans="2:2" ht="15.75" customHeight="1">
      <c r="B78" s="5"/>
    </row>
    <row r="79" spans="2:2" ht="15.75" customHeight="1">
      <c r="B79" s="5"/>
    </row>
    <row r="80" spans="2:2" ht="15.75" customHeight="1">
      <c r="B80" s="5"/>
    </row>
    <row r="81" spans="2:2" ht="15.75" customHeight="1">
      <c r="B81" s="5"/>
    </row>
    <row r="82" spans="2:2" ht="15.75" customHeight="1">
      <c r="B82" s="5"/>
    </row>
    <row r="83" spans="2:2" ht="15.75" customHeight="1">
      <c r="B83" s="5"/>
    </row>
    <row r="84" spans="2:2" ht="15.75" customHeight="1">
      <c r="B84" s="5"/>
    </row>
    <row r="85" spans="2:2" ht="15.75" customHeight="1">
      <c r="B85" s="5"/>
    </row>
    <row r="86" spans="2:2" ht="15.75" customHeight="1">
      <c r="B86" s="5"/>
    </row>
    <row r="87" spans="2:2" ht="15.75" customHeight="1">
      <c r="B87" s="5"/>
    </row>
    <row r="88" spans="2:2" ht="15.75" customHeight="1">
      <c r="B88" s="5"/>
    </row>
    <row r="89" spans="2:2" ht="15.75" customHeight="1">
      <c r="B89" s="5"/>
    </row>
    <row r="90" spans="2:2" ht="15.75" customHeight="1">
      <c r="B90" s="5"/>
    </row>
    <row r="91" spans="2:2" ht="15.75" customHeight="1">
      <c r="B91" s="5"/>
    </row>
    <row r="92" spans="2:2" ht="15.75" customHeight="1">
      <c r="B92" s="5"/>
    </row>
    <row r="93" spans="2:2" ht="15.75" customHeight="1">
      <c r="B93" s="5"/>
    </row>
    <row r="94" spans="2:2" ht="15.75" customHeight="1">
      <c r="B94" s="5"/>
    </row>
    <row r="95" spans="2:2" ht="15.75" customHeight="1">
      <c r="B95" s="5"/>
    </row>
    <row r="96" spans="2:2" ht="15.75" customHeight="1">
      <c r="B96" s="5"/>
    </row>
    <row r="97" spans="2:2" ht="15.75" customHeight="1">
      <c r="B97" s="5"/>
    </row>
    <row r="98" spans="2:2" ht="15.75" customHeight="1">
      <c r="B98" s="5"/>
    </row>
    <row r="99" spans="2:2" ht="15.75" customHeight="1">
      <c r="B99" s="5"/>
    </row>
    <row r="100" spans="2:2" ht="15.75" customHeight="1">
      <c r="B100" s="5"/>
    </row>
    <row r="101" spans="2:2" ht="15.75" customHeight="1">
      <c r="B101" s="5"/>
    </row>
    <row r="102" spans="2:2" ht="15.75" customHeight="1">
      <c r="B102" s="5"/>
    </row>
    <row r="103" spans="2:2" ht="15.75" customHeight="1">
      <c r="B103" s="5"/>
    </row>
    <row r="104" spans="2:2" ht="15.75" customHeight="1">
      <c r="B104" s="5"/>
    </row>
    <row r="105" spans="2:2" ht="15.75" customHeight="1">
      <c r="B105" s="5"/>
    </row>
    <row r="106" spans="2:2" ht="15.75" customHeight="1">
      <c r="B106" s="5"/>
    </row>
    <row r="107" spans="2:2" ht="15.75" customHeight="1">
      <c r="B107" s="5"/>
    </row>
    <row r="108" spans="2:2" ht="15.75" customHeight="1">
      <c r="B108" s="5"/>
    </row>
    <row r="109" spans="2:2" ht="15.75" customHeight="1">
      <c r="B109" s="5"/>
    </row>
    <row r="110" spans="2:2" ht="15.75" customHeight="1">
      <c r="B110" s="5"/>
    </row>
    <row r="111" spans="2:2" ht="15.75" customHeight="1">
      <c r="B111" s="5"/>
    </row>
    <row r="112" spans="2:2" ht="15.75" customHeight="1">
      <c r="B112" s="5"/>
    </row>
    <row r="113" spans="2:2" ht="15.75" customHeight="1">
      <c r="B113" s="5"/>
    </row>
    <row r="114" spans="2:2" ht="15.75" customHeight="1">
      <c r="B114" s="5"/>
    </row>
    <row r="115" spans="2:2" ht="15.75" customHeight="1">
      <c r="B115" s="5"/>
    </row>
    <row r="116" spans="2:2" ht="15.75" customHeight="1">
      <c r="B116" s="5"/>
    </row>
    <row r="117" spans="2:2" ht="15.75" customHeight="1">
      <c r="B117" s="5"/>
    </row>
    <row r="118" spans="2:2" ht="15.75" customHeight="1">
      <c r="B118" s="5"/>
    </row>
    <row r="119" spans="2:2" ht="15.75" customHeight="1">
      <c r="B119" s="5"/>
    </row>
    <row r="120" spans="2:2" ht="15.75" customHeight="1">
      <c r="B120" s="5"/>
    </row>
    <row r="121" spans="2:2" ht="15.75" customHeight="1">
      <c r="B121" s="5"/>
    </row>
    <row r="122" spans="2:2" ht="15.75" customHeight="1">
      <c r="B122" s="5"/>
    </row>
    <row r="123" spans="2:2" ht="15.75" customHeight="1">
      <c r="B123" s="5"/>
    </row>
    <row r="124" spans="2:2" ht="15.75" customHeight="1">
      <c r="B124" s="5"/>
    </row>
    <row r="125" spans="2:2" ht="15.75" customHeight="1">
      <c r="B125" s="5"/>
    </row>
    <row r="126" spans="2:2" ht="15.75" customHeight="1">
      <c r="B126" s="5"/>
    </row>
    <row r="127" spans="2:2" ht="15.75" customHeight="1">
      <c r="B127" s="5"/>
    </row>
    <row r="128" spans="2:2" ht="15.75" customHeight="1">
      <c r="B128" s="5"/>
    </row>
    <row r="129" spans="2:2" ht="15.75" customHeight="1">
      <c r="B129" s="5"/>
    </row>
    <row r="130" spans="2:2" ht="15.75" customHeight="1">
      <c r="B130" s="5"/>
    </row>
    <row r="131" spans="2:2" ht="15.75" customHeight="1">
      <c r="B131" s="5"/>
    </row>
    <row r="132" spans="2:2" ht="15.75" customHeight="1">
      <c r="B132" s="5"/>
    </row>
    <row r="133" spans="2:2" ht="15.75" customHeight="1">
      <c r="B133" s="5"/>
    </row>
    <row r="134" spans="2:2" ht="15.75" customHeight="1">
      <c r="B134" s="5"/>
    </row>
    <row r="135" spans="2:2" ht="15.75" customHeight="1">
      <c r="B135" s="5"/>
    </row>
    <row r="136" spans="2:2" ht="15.75" customHeight="1">
      <c r="B136" s="5"/>
    </row>
    <row r="137" spans="2:2" ht="15.75" customHeight="1">
      <c r="B137" s="5"/>
    </row>
    <row r="138" spans="2:2" ht="15.75" customHeight="1">
      <c r="B138" s="5"/>
    </row>
    <row r="139" spans="2:2" ht="15.75" customHeight="1">
      <c r="B139" s="5"/>
    </row>
    <row r="140" spans="2:2" ht="15.75" customHeight="1">
      <c r="B140" s="5"/>
    </row>
    <row r="141" spans="2:2" ht="15.75" customHeight="1">
      <c r="B141" s="5"/>
    </row>
    <row r="142" spans="2:2" ht="15.75" customHeight="1">
      <c r="B142" s="5"/>
    </row>
    <row r="143" spans="2:2" ht="15.75" customHeight="1">
      <c r="B143" s="5"/>
    </row>
    <row r="144" spans="2:2" ht="15.75" customHeight="1">
      <c r="B144" s="5"/>
    </row>
    <row r="145" spans="2:2" ht="15.75" customHeight="1">
      <c r="B145" s="5"/>
    </row>
    <row r="146" spans="2:2" ht="15.75" customHeight="1">
      <c r="B146" s="5"/>
    </row>
    <row r="147" spans="2:2" ht="15.75" customHeight="1">
      <c r="B147" s="5"/>
    </row>
    <row r="148" spans="2:2" ht="15.75" customHeight="1">
      <c r="B148" s="5"/>
    </row>
    <row r="149" spans="2:2" ht="15.75" customHeight="1">
      <c r="B149" s="5"/>
    </row>
    <row r="150" spans="2:2" ht="15.75" customHeight="1">
      <c r="B150" s="5"/>
    </row>
    <row r="151" spans="2:2" ht="15.75" customHeight="1">
      <c r="B151" s="5"/>
    </row>
    <row r="152" spans="2:2" ht="15.75" customHeight="1">
      <c r="B152" s="5"/>
    </row>
    <row r="153" spans="2:2" ht="15.75" customHeight="1">
      <c r="B153" s="5"/>
    </row>
    <row r="154" spans="2:2" ht="15.75" customHeight="1">
      <c r="B154" s="5"/>
    </row>
    <row r="155" spans="2:2" ht="15.75" customHeight="1">
      <c r="B155" s="5"/>
    </row>
    <row r="156" spans="2:2" ht="15.75" customHeight="1">
      <c r="B156" s="5"/>
    </row>
    <row r="157" spans="2:2" ht="15.75" customHeight="1">
      <c r="B157" s="5"/>
    </row>
    <row r="158" spans="2:2" ht="15.75" customHeight="1">
      <c r="B158" s="5"/>
    </row>
    <row r="159" spans="2:2" ht="15.75" customHeight="1">
      <c r="B159" s="5"/>
    </row>
    <row r="160" spans="2:2" ht="15.75" customHeight="1">
      <c r="B160" s="5"/>
    </row>
    <row r="161" spans="2:2" ht="15.75" customHeight="1">
      <c r="B161" s="5"/>
    </row>
    <row r="162" spans="2:2" ht="15.75" customHeight="1">
      <c r="B162" s="5"/>
    </row>
    <row r="163" spans="2:2" ht="15.75" customHeight="1">
      <c r="B163" s="5"/>
    </row>
    <row r="164" spans="2:2" ht="15.75" customHeight="1">
      <c r="B164" s="5"/>
    </row>
    <row r="165" spans="2:2" ht="15.75" customHeight="1">
      <c r="B165" s="5"/>
    </row>
    <row r="166" spans="2:2" ht="15.75" customHeight="1">
      <c r="B166" s="5"/>
    </row>
    <row r="167" spans="2:2" ht="15.75" customHeight="1">
      <c r="B167" s="5"/>
    </row>
    <row r="168" spans="2:2" ht="15.75" customHeight="1">
      <c r="B168" s="5"/>
    </row>
    <row r="169" spans="2:2" ht="15.75" customHeight="1">
      <c r="B169" s="5"/>
    </row>
    <row r="170" spans="2:2" ht="15.75" customHeight="1">
      <c r="B170" s="5"/>
    </row>
    <row r="171" spans="2:2" ht="15.75" customHeight="1">
      <c r="B171" s="5"/>
    </row>
    <row r="172" spans="2:2" ht="15.75" customHeight="1">
      <c r="B172" s="5"/>
    </row>
    <row r="173" spans="2:2" ht="15.75" customHeight="1">
      <c r="B173" s="5"/>
    </row>
    <row r="174" spans="2:2" ht="15.75" customHeight="1">
      <c r="B174" s="5"/>
    </row>
    <row r="175" spans="2:2" ht="15.75" customHeight="1">
      <c r="B175" s="5"/>
    </row>
    <row r="176" spans="2:2" ht="15.75" customHeight="1">
      <c r="B176" s="5"/>
    </row>
    <row r="177" spans="2:2" ht="15.75" customHeight="1">
      <c r="B177" s="5"/>
    </row>
    <row r="178" spans="2:2" ht="15.75" customHeight="1">
      <c r="B178" s="5"/>
    </row>
    <row r="179" spans="2:2" ht="15.75" customHeight="1">
      <c r="B179" s="5"/>
    </row>
    <row r="180" spans="2:2" ht="15.75" customHeight="1">
      <c r="B180" s="5"/>
    </row>
    <row r="181" spans="2:2" ht="15.75" customHeight="1">
      <c r="B181" s="5"/>
    </row>
    <row r="182" spans="2:2" ht="15.75" customHeight="1">
      <c r="B182" s="5"/>
    </row>
    <row r="183" spans="2:2" ht="15.75" customHeight="1">
      <c r="B183" s="5"/>
    </row>
    <row r="184" spans="2:2" ht="15.75" customHeight="1">
      <c r="B184" s="5"/>
    </row>
    <row r="185" spans="2:2" ht="15.75" customHeight="1">
      <c r="B185" s="5"/>
    </row>
    <row r="186" spans="2:2" ht="15.75" customHeight="1">
      <c r="B186" s="5"/>
    </row>
    <row r="187" spans="2:2" ht="15.75" customHeight="1">
      <c r="B187" s="5"/>
    </row>
    <row r="188" spans="2:2" ht="15.75" customHeight="1">
      <c r="B188" s="5"/>
    </row>
    <row r="189" spans="2:2" ht="15.75" customHeight="1">
      <c r="B189" s="5"/>
    </row>
    <row r="190" spans="2:2" ht="15.75" customHeight="1">
      <c r="B190" s="5"/>
    </row>
    <row r="191" spans="2:2" ht="15.75" customHeight="1">
      <c r="B191" s="5"/>
    </row>
    <row r="192" spans="2:2" ht="15.75" customHeight="1">
      <c r="B192" s="5"/>
    </row>
    <row r="193" spans="2:2" ht="15.75" customHeight="1">
      <c r="B193" s="5"/>
    </row>
    <row r="194" spans="2:2" ht="15.75" customHeight="1">
      <c r="B194" s="5"/>
    </row>
    <row r="195" spans="2:2" ht="15.75" customHeight="1">
      <c r="B195" s="5"/>
    </row>
    <row r="196" spans="2:2" ht="15.75" customHeight="1">
      <c r="B196" s="5"/>
    </row>
    <row r="197" spans="2:2" ht="15.75" customHeight="1">
      <c r="B197" s="5"/>
    </row>
    <row r="198" spans="2:2" ht="15.75" customHeight="1">
      <c r="B198" s="5"/>
    </row>
    <row r="199" spans="2:2" ht="15.75" customHeight="1">
      <c r="B199" s="5"/>
    </row>
    <row r="200" spans="2:2" ht="15.75" customHeight="1">
      <c r="B200" s="5"/>
    </row>
    <row r="201" spans="2:2" ht="15.75" customHeight="1">
      <c r="B201" s="5"/>
    </row>
    <row r="202" spans="2:2" ht="15.75" customHeight="1">
      <c r="B202" s="5"/>
    </row>
    <row r="203" spans="2:2" ht="15.75" customHeight="1">
      <c r="B203" s="5"/>
    </row>
    <row r="204" spans="2:2" ht="15.75" customHeight="1">
      <c r="B204" s="5"/>
    </row>
    <row r="205" spans="2:2" ht="15.75" customHeight="1">
      <c r="B205" s="5"/>
    </row>
    <row r="206" spans="2:2" ht="15.75" customHeight="1">
      <c r="B206" s="5"/>
    </row>
    <row r="207" spans="2:2" ht="15.75" customHeight="1">
      <c r="B207" s="5"/>
    </row>
    <row r="208" spans="2:2" ht="15.75" customHeight="1">
      <c r="B208" s="5"/>
    </row>
    <row r="209" spans="2:2" ht="15.75" customHeight="1">
      <c r="B209" s="5"/>
    </row>
    <row r="210" spans="2:2" ht="15.75" customHeight="1">
      <c r="B210" s="5"/>
    </row>
    <row r="211" spans="2:2" ht="15.75" customHeight="1">
      <c r="B211" s="5"/>
    </row>
    <row r="212" spans="2:2" ht="15.75" customHeight="1">
      <c r="B212" s="5"/>
    </row>
    <row r="213" spans="2:2" ht="15.75" customHeight="1">
      <c r="B213" s="5"/>
    </row>
    <row r="214" spans="2:2" ht="15.75" customHeight="1">
      <c r="B214" s="5"/>
    </row>
    <row r="215" spans="2:2" ht="15.75" customHeight="1">
      <c r="B215" s="5"/>
    </row>
    <row r="216" spans="2:2" ht="15.75" customHeight="1">
      <c r="B216" s="5"/>
    </row>
    <row r="217" spans="2:2" ht="15.75" customHeight="1">
      <c r="B217" s="5"/>
    </row>
    <row r="218" spans="2:2" ht="15.75" customHeight="1">
      <c r="B218" s="5"/>
    </row>
    <row r="219" spans="2:2" ht="15.75" customHeight="1">
      <c r="B219" s="5"/>
    </row>
    <row r="220" spans="2:2" ht="15.75" customHeight="1">
      <c r="B220" s="5"/>
    </row>
    <row r="221" spans="2:2" ht="15.75" customHeight="1">
      <c r="B221" s="5"/>
    </row>
    <row r="222" spans="2:2" ht="15.75" customHeight="1"/>
    <row r="223" spans="2:2" ht="15.75" customHeight="1"/>
    <row r="224" spans="2:2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20:A21"/>
    <mergeCell ref="A1:E1"/>
    <mergeCell ref="A3:A9"/>
    <mergeCell ref="A10:A13"/>
    <mergeCell ref="A15:A16"/>
    <mergeCell ref="A17:A19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1E4F5"/>
  </sheetPr>
  <dimension ref="A1:Z1003"/>
  <sheetViews>
    <sheetView workbookViewId="0">
      <selection activeCell="D12" sqref="D12"/>
    </sheetView>
  </sheetViews>
  <sheetFormatPr baseColWidth="10" defaultColWidth="12.5" defaultRowHeight="15" customHeight="1"/>
  <cols>
    <col min="1" max="1" width="71.25" customWidth="1"/>
    <col min="2" max="2" width="4" customWidth="1"/>
    <col min="3" max="3" width="47" customWidth="1"/>
    <col min="4" max="4" width="17.125" style="351" customWidth="1"/>
    <col min="5" max="5" width="15.5" style="351" customWidth="1"/>
    <col min="6" max="6" width="16.5" customWidth="1"/>
    <col min="7" max="7" width="32.5" customWidth="1"/>
    <col min="8" max="8" width="13.5" customWidth="1"/>
    <col min="9" max="9" width="18.5" customWidth="1"/>
    <col min="10" max="10" width="14.375" customWidth="1"/>
    <col min="11" max="11" width="16.25" customWidth="1"/>
    <col min="12" max="12" width="15.625" customWidth="1"/>
    <col min="13" max="26" width="10.5" customWidth="1"/>
  </cols>
  <sheetData>
    <row r="1" spans="1:26" ht="12.75" customHeight="1">
      <c r="A1" s="367" t="s">
        <v>32</v>
      </c>
      <c r="B1" s="356"/>
      <c r="C1" s="356"/>
      <c r="D1" s="356"/>
      <c r="E1" s="356"/>
      <c r="F1" s="368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12.75" customHeight="1">
      <c r="A2" s="12" t="s">
        <v>1</v>
      </c>
      <c r="B2" s="12"/>
      <c r="C2" s="13" t="s">
        <v>33</v>
      </c>
      <c r="D2" s="337" t="s">
        <v>34</v>
      </c>
      <c r="E2" s="337" t="s">
        <v>35</v>
      </c>
      <c r="F2" s="14" t="s">
        <v>36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48.75" customHeight="1">
      <c r="A3" s="363" t="s">
        <v>981</v>
      </c>
      <c r="B3" s="15">
        <v>1</v>
      </c>
      <c r="C3" s="16" t="s">
        <v>37</v>
      </c>
      <c r="D3" s="338">
        <f>ROUND(SUM(D4:D5),0)</f>
        <v>11062856</v>
      </c>
      <c r="E3" s="338"/>
      <c r="F3" s="17"/>
      <c r="G3" s="336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2.75" customHeight="1">
      <c r="A4" s="359"/>
      <c r="B4" s="18" t="s">
        <v>38</v>
      </c>
      <c r="C4" s="19" t="s">
        <v>39</v>
      </c>
      <c r="D4" s="339">
        <f>ROUND(4288189*1.056,0)</f>
        <v>4528328</v>
      </c>
      <c r="E4" s="339"/>
      <c r="F4" s="19"/>
      <c r="G4" s="11"/>
      <c r="H4" s="11"/>
      <c r="I4" s="11"/>
      <c r="J4" s="352"/>
      <c r="K4" s="11"/>
      <c r="L4" s="352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12.75" customHeight="1">
      <c r="A5" s="359"/>
      <c r="B5" s="18" t="s">
        <v>40</v>
      </c>
      <c r="C5" s="19" t="s">
        <v>41</v>
      </c>
      <c r="D5" s="339">
        <f>(1.056*6188000)</f>
        <v>6534528</v>
      </c>
      <c r="E5" s="339"/>
      <c r="F5" s="19"/>
      <c r="G5" s="11"/>
      <c r="H5" s="11"/>
      <c r="I5" s="11"/>
      <c r="J5" s="11"/>
      <c r="K5" s="352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12.75" customHeight="1">
      <c r="A6" s="359"/>
      <c r="B6" s="15">
        <v>2</v>
      </c>
      <c r="C6" s="16" t="s">
        <v>42</v>
      </c>
      <c r="D6" s="338">
        <f>SUM(D7)</f>
        <v>102423317</v>
      </c>
      <c r="E6" s="338"/>
      <c r="F6" s="16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12.75" customHeight="1">
      <c r="A7" s="359"/>
      <c r="B7" s="18" t="s">
        <v>43</v>
      </c>
      <c r="C7" s="19" t="s">
        <v>44</v>
      </c>
      <c r="D7" s="339">
        <f>ROUND('2.1 Mobiliario de Servicios'!F5,0)</f>
        <v>102423317</v>
      </c>
      <c r="E7" s="339"/>
      <c r="F7" s="19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2.75" customHeight="1">
      <c r="A8" s="359"/>
      <c r="B8" s="15">
        <v>3</v>
      </c>
      <c r="C8" s="16" t="s">
        <v>45</v>
      </c>
      <c r="D8" s="338">
        <f>SUM(D9:D15)</f>
        <v>1100689521</v>
      </c>
      <c r="E8" s="340"/>
      <c r="F8" s="17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2.75" customHeight="1">
      <c r="A9" s="359"/>
      <c r="B9" s="18" t="s">
        <v>46</v>
      </c>
      <c r="C9" s="19" t="s">
        <v>47</v>
      </c>
      <c r="D9" s="339">
        <f>'3.1 Arrendamientos'!C5</f>
        <v>38400000</v>
      </c>
      <c r="E9" s="341"/>
      <c r="F9" s="20"/>
      <c r="G9" s="21"/>
      <c r="H9" s="21"/>
      <c r="I9" s="11"/>
      <c r="J9" s="352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2.75" customHeight="1">
      <c r="A10" s="359"/>
      <c r="B10" s="18" t="s">
        <v>48</v>
      </c>
      <c r="C10" s="19" t="s">
        <v>49</v>
      </c>
      <c r="D10" s="339">
        <f>'3.2 Servicios Públicos '!H16</f>
        <v>20967840</v>
      </c>
      <c r="E10" s="339"/>
      <c r="F10" s="19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2.75" customHeight="1">
      <c r="A11" s="359"/>
      <c r="B11" s="18" t="s">
        <v>50</v>
      </c>
      <c r="C11" s="19" t="s">
        <v>51</v>
      </c>
      <c r="D11" s="339">
        <f>'3.3 Internet'!C5</f>
        <v>1701474</v>
      </c>
      <c r="E11" s="339"/>
      <c r="F11" s="19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2.75" customHeight="1">
      <c r="A12" s="359"/>
      <c r="B12" s="18" t="s">
        <v>52</v>
      </c>
      <c r="C12" s="19" t="s">
        <v>53</v>
      </c>
      <c r="D12" s="339">
        <f>'3.4 Control de Plagas'!F6</f>
        <v>6642600</v>
      </c>
      <c r="E12" s="339"/>
      <c r="F12" s="19"/>
      <c r="G12" s="11"/>
      <c r="H12" s="11"/>
      <c r="I12" s="11"/>
      <c r="J12" s="11"/>
      <c r="K12" s="11"/>
      <c r="L12" s="352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2.75" customHeight="1">
      <c r="A13" s="359"/>
      <c r="B13" s="18" t="s">
        <v>54</v>
      </c>
      <c r="C13" s="19" t="s">
        <v>55</v>
      </c>
      <c r="D13" s="339">
        <f>'3.5, 3.6 Personal'!Q4</f>
        <v>180600000</v>
      </c>
      <c r="E13" s="339"/>
      <c r="F13" s="1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2.75" customHeight="1">
      <c r="A14" s="359"/>
      <c r="B14" s="18" t="s">
        <v>56</v>
      </c>
      <c r="C14" s="22" t="s">
        <v>57</v>
      </c>
      <c r="D14" s="342">
        <f>ROUND('3.5, 3.6 Personal'!L99-D28-D31-D34,0)</f>
        <v>852377607</v>
      </c>
      <c r="E14" s="339"/>
      <c r="F14" s="19"/>
      <c r="G14" s="336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2.75" customHeight="1">
      <c r="A15" s="359"/>
      <c r="B15" s="18" t="s">
        <v>58</v>
      </c>
      <c r="C15" s="19" t="s">
        <v>59</v>
      </c>
      <c r="D15" s="339"/>
      <c r="E15" s="339">
        <f>ROUND('3.7 Unidad Movil Veterinaria'!C3,0)</f>
        <v>63364250</v>
      </c>
      <c r="F15" s="19"/>
      <c r="G15" s="11"/>
      <c r="H15" s="11"/>
      <c r="I15" s="11"/>
      <c r="J15" s="352"/>
      <c r="K15" s="11"/>
      <c r="L15" s="352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2.75" customHeight="1">
      <c r="A16" s="359"/>
      <c r="B16" s="15">
        <v>4</v>
      </c>
      <c r="C16" s="16" t="s">
        <v>60</v>
      </c>
      <c r="D16" s="338">
        <f>D17+D18+D20+D22+D23+D24+D19+D21</f>
        <v>736244334</v>
      </c>
      <c r="E16" s="338"/>
      <c r="F16" s="16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2.75" customHeight="1">
      <c r="A17" s="359"/>
      <c r="B17" s="23" t="s">
        <v>61</v>
      </c>
      <c r="C17" s="24" t="s">
        <v>62</v>
      </c>
      <c r="D17" s="339">
        <f>'4.1 4.2 INSUMOS - Medicamentos'!I332</f>
        <v>94666667</v>
      </c>
      <c r="E17" s="339"/>
      <c r="F17" s="19"/>
      <c r="G17" s="21"/>
      <c r="H17" s="21"/>
      <c r="I17" s="2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2.75" customHeight="1">
      <c r="A18" s="359"/>
      <c r="B18" s="23" t="s">
        <v>63</v>
      </c>
      <c r="C18" s="24" t="s">
        <v>64</v>
      </c>
      <c r="D18" s="339">
        <f>'4.1 4.2 INSUMOS - Medicamentos'!I333</f>
        <v>260000000</v>
      </c>
      <c r="E18" s="339"/>
      <c r="F18" s="19"/>
      <c r="G18" s="2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2.75" customHeight="1">
      <c r="A19" s="359"/>
      <c r="B19" s="23" t="s">
        <v>65</v>
      </c>
      <c r="C19" s="24" t="s">
        <v>66</v>
      </c>
      <c r="D19" s="339">
        <f>'4.3 Instrumental'!E68</f>
        <v>32000000</v>
      </c>
      <c r="E19" s="339"/>
      <c r="F19" s="19"/>
      <c r="G19" s="21"/>
      <c r="H19" s="11"/>
      <c r="I19" s="11"/>
      <c r="J19" s="352"/>
      <c r="K19" s="11"/>
      <c r="L19" s="352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2.75" customHeight="1">
      <c r="A20" s="359"/>
      <c r="B20" s="23" t="s">
        <v>67</v>
      </c>
      <c r="C20" s="24" t="s">
        <v>68</v>
      </c>
      <c r="D20" s="339">
        <f>'4.4 Insumos de Laboratorio'!F36</f>
        <v>100000000</v>
      </c>
      <c r="E20" s="339"/>
      <c r="F20" s="19"/>
      <c r="G20" s="2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2.75" customHeight="1">
      <c r="A21" s="359"/>
      <c r="B21" s="23" t="s">
        <v>69</v>
      </c>
      <c r="C21" s="19" t="s">
        <v>70</v>
      </c>
      <c r="D21" s="339">
        <f>ROUND('4.5 Equipos Biomedicos '!G6,0)</f>
        <v>111577667</v>
      </c>
      <c r="E21" s="339"/>
      <c r="F21" s="19"/>
      <c r="G21" s="2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2.75" customHeight="1">
      <c r="A22" s="359"/>
      <c r="B22" s="23" t="s">
        <v>71</v>
      </c>
      <c r="C22" s="19" t="s">
        <v>72</v>
      </c>
      <c r="D22" s="339">
        <f>'4.6 Tercer Nivel'!D14</f>
        <v>90000000</v>
      </c>
      <c r="E22" s="339"/>
      <c r="F22" s="19"/>
      <c r="G22" s="21"/>
      <c r="H22" s="11"/>
      <c r="I22" s="11"/>
      <c r="J22" s="352"/>
      <c r="K22" s="11"/>
      <c r="L22" s="352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2.75" customHeight="1">
      <c r="A23" s="359"/>
      <c r="B23" s="23" t="s">
        <v>73</v>
      </c>
      <c r="C23" s="24" t="s">
        <v>74</v>
      </c>
      <c r="D23" s="339">
        <f>'5.6 Aseo y Cafeteria'!F111</f>
        <v>32000000</v>
      </c>
      <c r="E23" s="339"/>
      <c r="F23" s="19"/>
      <c r="G23" s="2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2.75" customHeight="1">
      <c r="A24" s="354"/>
      <c r="B24" s="23" t="s">
        <v>75</v>
      </c>
      <c r="C24" s="24" t="s">
        <v>76</v>
      </c>
      <c r="D24" s="339">
        <f>'5.7 Papeleria'!E51</f>
        <v>16000000</v>
      </c>
      <c r="E24" s="339"/>
      <c r="F24" s="19"/>
      <c r="G24" s="21"/>
      <c r="H24" s="11"/>
      <c r="I24" s="11"/>
      <c r="J24" s="11"/>
      <c r="K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5.6" customHeight="1">
      <c r="A25" s="363" t="s">
        <v>77</v>
      </c>
      <c r="B25" s="15">
        <v>5</v>
      </c>
      <c r="C25" s="16" t="s">
        <v>78</v>
      </c>
      <c r="D25" s="338">
        <f>SUM(D26:D29)</f>
        <v>457630523</v>
      </c>
      <c r="E25" s="338"/>
      <c r="F25" s="16"/>
      <c r="G25" s="2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2.450000000000003" customHeight="1">
      <c r="A26" s="359"/>
      <c r="B26" s="369">
        <v>5.0999999999999996</v>
      </c>
      <c r="C26" s="370" t="s">
        <v>79</v>
      </c>
      <c r="D26" s="371">
        <f>ROUND('5.1 Operacion y Mantenimi CBA'!F11,0)</f>
        <v>135366248</v>
      </c>
      <c r="E26" s="373"/>
      <c r="F26" s="374"/>
      <c r="G26" s="2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47.1" hidden="1" customHeight="1">
      <c r="A27" s="359"/>
      <c r="B27" s="354"/>
      <c r="C27" s="354"/>
      <c r="D27" s="372"/>
      <c r="E27" s="372"/>
      <c r="F27" s="354"/>
      <c r="G27" s="2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5.95" customHeight="1">
      <c r="A28" s="375"/>
      <c r="B28" s="235">
        <v>5.2</v>
      </c>
      <c r="C28" s="214" t="s">
        <v>1045</v>
      </c>
      <c r="D28" s="343">
        <f>ROUND('3.5, 3.6 Personal'!M73+'3.5, 3.6 Personal'!M74+'3.5, 3.6 Personal'!M76+'3.5, 3.6 Personal'!M75+'3.5, 3.6 Personal'!M77+'3.5, 3.6 Personal'!M78+'3.5, 3.6 Personal'!M79+'3.5, 3.6 Personal'!M81+'3.5, 3.6 Personal'!M82+'3.5, 3.6 Personal'!M80,0)*3</f>
        <v>82264275</v>
      </c>
      <c r="E28" s="343"/>
      <c r="F28" s="214"/>
      <c r="G28" s="2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2.75" customHeight="1">
      <c r="A29" s="354"/>
      <c r="B29" s="23" t="s">
        <v>80</v>
      </c>
      <c r="C29" s="22" t="s">
        <v>81</v>
      </c>
      <c r="D29" s="339">
        <f>60000000*4</f>
        <v>240000000</v>
      </c>
      <c r="E29" s="339"/>
      <c r="F29" s="19"/>
      <c r="G29" s="2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5.75" customHeight="1">
      <c r="A30" s="363" t="s">
        <v>20</v>
      </c>
      <c r="B30" s="15">
        <v>6</v>
      </c>
      <c r="C30" s="16" t="s">
        <v>82</v>
      </c>
      <c r="D30" s="338">
        <f>SUM(D31:D32)</f>
        <v>52942014</v>
      </c>
      <c r="E30" s="338"/>
      <c r="F30" s="16"/>
      <c r="G30" s="25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5.75" customHeight="1">
      <c r="A31" s="364"/>
      <c r="B31" s="239">
        <v>6.1</v>
      </c>
      <c r="C31" s="219" t="s">
        <v>1046</v>
      </c>
      <c r="D31" s="344">
        <f>('3.5, 3.6 Personal'!M83+'3.5, 3.6 Personal'!M85)*3</f>
        <v>20467014</v>
      </c>
      <c r="E31" s="345"/>
      <c r="F31" s="218"/>
      <c r="G31" s="25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20.45" customHeight="1">
      <c r="A32" s="354"/>
      <c r="B32" s="238">
        <v>6.2</v>
      </c>
      <c r="C32" s="22" t="s">
        <v>83</v>
      </c>
      <c r="D32" s="342">
        <f>'6.1 - 7.1 Vehiculos '!C8</f>
        <v>32475000</v>
      </c>
      <c r="E32" s="342"/>
      <c r="F32" s="22"/>
      <c r="G32" s="2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2.75" customHeight="1">
      <c r="A33" s="363" t="s">
        <v>84</v>
      </c>
      <c r="B33" s="15">
        <v>7</v>
      </c>
      <c r="C33" s="16" t="s">
        <v>85</v>
      </c>
      <c r="D33" s="338">
        <f>SUM(D34:D35)</f>
        <v>69608334</v>
      </c>
      <c r="E33" s="338"/>
      <c r="F33" s="16"/>
      <c r="G33" s="2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2.75" customHeight="1">
      <c r="A34" s="364"/>
      <c r="B34" s="239" t="s">
        <v>1048</v>
      </c>
      <c r="C34" s="219" t="s">
        <v>1047</v>
      </c>
      <c r="D34" s="344">
        <f>('3.5, 3.6 Personal'!M72+'3.5, 3.6 Personal'!M86+'3.5, 3.6 Personal'!M87)*3</f>
        <v>37133334</v>
      </c>
      <c r="E34" s="345"/>
      <c r="F34" s="218"/>
      <c r="G34" s="2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2.75" customHeight="1">
      <c r="A35" s="354"/>
      <c r="B35" s="236" t="s">
        <v>1049</v>
      </c>
      <c r="C35" s="19" t="s">
        <v>86</v>
      </c>
      <c r="D35" s="339">
        <f>'6.1 - 7.1 Vehiculos '!C8</f>
        <v>32475000</v>
      </c>
      <c r="E35" s="339"/>
      <c r="F35" s="19"/>
      <c r="G35" s="2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5.1" customHeight="1">
      <c r="A36" s="363" t="s">
        <v>87</v>
      </c>
      <c r="B36" s="26">
        <v>8</v>
      </c>
      <c r="C36" s="16" t="s">
        <v>1101</v>
      </c>
      <c r="D36" s="338">
        <f>SUM(D37)</f>
        <v>45000000</v>
      </c>
      <c r="E36" s="338"/>
      <c r="F36" s="16"/>
      <c r="G36" s="2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2.75" customHeight="1">
      <c r="A37" s="354"/>
      <c r="B37" s="237" t="s">
        <v>88</v>
      </c>
      <c r="C37" s="22" t="s">
        <v>89</v>
      </c>
      <c r="D37" s="339">
        <f>'8.1 Alimento Fundaciones'!G17</f>
        <v>45000000</v>
      </c>
      <c r="E37" s="339"/>
      <c r="F37" s="19"/>
      <c r="G37" s="21"/>
      <c r="H37" s="11"/>
      <c r="I37" s="36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2.75" customHeight="1">
      <c r="A38" s="27" t="s">
        <v>90</v>
      </c>
      <c r="B38" s="15">
        <v>9</v>
      </c>
      <c r="C38" s="16" t="s">
        <v>91</v>
      </c>
      <c r="D38" s="338"/>
      <c r="E38" s="338">
        <f>30303912</f>
        <v>30303912</v>
      </c>
      <c r="F38" s="16"/>
      <c r="G38" s="21"/>
      <c r="H38" s="11"/>
      <c r="I38" s="366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3.25" customHeight="1">
      <c r="A39" s="11"/>
      <c r="B39" s="28"/>
      <c r="C39" s="29" t="s">
        <v>36</v>
      </c>
      <c r="D39" s="346">
        <f>D36+D33+D25+D16+D8+D6+D3+D30</f>
        <v>2575600899</v>
      </c>
      <c r="E39" s="346">
        <f>E38+E15</f>
        <v>93668162</v>
      </c>
      <c r="F39" s="30">
        <f>SUM(D39:E39)</f>
        <v>2669269061</v>
      </c>
      <c r="G39" s="11"/>
      <c r="H39" s="11"/>
      <c r="I39" s="366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5.75" customHeight="1">
      <c r="A40" s="31"/>
      <c r="B40" s="32"/>
      <c r="C40" s="11"/>
      <c r="D40" s="347"/>
      <c r="E40" s="347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2.75" customHeight="1">
      <c r="A41" s="11"/>
      <c r="B41" s="11"/>
      <c r="C41" s="11"/>
      <c r="D41" s="347"/>
      <c r="E41" s="347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2.75" customHeight="1">
      <c r="A42" s="11"/>
      <c r="B42" s="11"/>
      <c r="C42" s="33" t="s">
        <v>92</v>
      </c>
      <c r="D42" s="348">
        <f>D43+D44</f>
        <v>2669269061</v>
      </c>
      <c r="E42" s="347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2.75" customHeight="1">
      <c r="A43" s="11"/>
      <c r="B43" s="11"/>
      <c r="C43" s="34" t="s">
        <v>93</v>
      </c>
      <c r="D43" s="349">
        <f>E39</f>
        <v>93668162</v>
      </c>
      <c r="E43" s="347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2.75" customHeight="1">
      <c r="A44" s="11"/>
      <c r="B44" s="11"/>
      <c r="C44" s="35" t="s">
        <v>94</v>
      </c>
      <c r="D44" s="350">
        <f>D39</f>
        <v>2575600899</v>
      </c>
      <c r="E44" s="347"/>
      <c r="F44" s="11"/>
      <c r="G44" s="2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2.75" customHeight="1">
      <c r="A45" s="11"/>
      <c r="B45" s="11"/>
      <c r="C45" s="11"/>
      <c r="D45" s="347"/>
      <c r="E45" s="347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2.75" customHeight="1">
      <c r="A46" s="11"/>
      <c r="B46" s="11"/>
      <c r="C46" s="11"/>
      <c r="D46" s="347"/>
      <c r="E46" s="347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2.75" customHeight="1">
      <c r="A47" s="11"/>
      <c r="B47" s="11"/>
      <c r="C47" s="11"/>
      <c r="D47" s="347"/>
      <c r="E47" s="347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2.75" customHeight="1">
      <c r="A48" s="11"/>
      <c r="B48" s="11"/>
      <c r="C48" s="11"/>
      <c r="D48" s="347"/>
      <c r="E48" s="347"/>
      <c r="F48" s="11"/>
      <c r="G48" s="11"/>
      <c r="H48" s="11"/>
      <c r="I48" s="11"/>
      <c r="J48" s="11"/>
      <c r="K48" s="2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2.75" customHeight="1">
      <c r="A49" s="11"/>
      <c r="B49" s="11"/>
      <c r="C49" s="11"/>
      <c r="D49" s="347"/>
      <c r="E49" s="347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2.75" customHeight="1">
      <c r="A50" s="11"/>
      <c r="B50" s="11"/>
      <c r="C50" s="11"/>
      <c r="D50" s="347"/>
      <c r="E50" s="347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2.75" customHeight="1">
      <c r="A51" s="11"/>
      <c r="B51" s="11"/>
      <c r="C51" s="11"/>
      <c r="D51" s="347"/>
      <c r="E51" s="347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2.75" customHeight="1">
      <c r="A52" s="11"/>
      <c r="B52" s="11"/>
      <c r="C52" s="11"/>
      <c r="D52" s="347"/>
      <c r="E52" s="347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2.75" customHeight="1">
      <c r="A53" s="11"/>
      <c r="B53" s="11"/>
      <c r="C53" s="11"/>
      <c r="D53" s="347"/>
      <c r="E53" s="347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2.75" customHeight="1">
      <c r="A54" s="11"/>
      <c r="B54" s="11"/>
      <c r="C54" s="11"/>
      <c r="D54" s="347"/>
      <c r="E54" s="347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2.75" customHeight="1">
      <c r="A55" s="11"/>
      <c r="B55" s="11"/>
      <c r="C55" s="11"/>
      <c r="D55" s="347"/>
      <c r="E55" s="347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2.75" customHeight="1">
      <c r="A56" s="11"/>
      <c r="B56" s="11"/>
      <c r="C56" s="11"/>
      <c r="D56" s="347"/>
      <c r="E56" s="347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2.75" customHeight="1">
      <c r="A57" s="11"/>
      <c r="B57" s="11"/>
      <c r="C57" s="11"/>
      <c r="D57" s="347"/>
      <c r="E57" s="347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2.75" customHeight="1">
      <c r="A58" s="11"/>
      <c r="B58" s="11"/>
      <c r="C58" s="11"/>
      <c r="D58" s="347"/>
      <c r="E58" s="347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2.75" customHeight="1">
      <c r="A59" s="11"/>
      <c r="B59" s="11"/>
      <c r="C59" s="11"/>
      <c r="D59" s="347"/>
      <c r="E59" s="347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2.75" customHeight="1">
      <c r="A60" s="11"/>
      <c r="B60" s="11"/>
      <c r="C60" s="11"/>
      <c r="D60" s="347"/>
      <c r="E60" s="347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2.75" customHeight="1">
      <c r="A61" s="11"/>
      <c r="B61" s="11"/>
      <c r="C61" s="11"/>
      <c r="D61" s="347"/>
      <c r="E61" s="347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2.75" customHeight="1">
      <c r="A62" s="11"/>
      <c r="B62" s="11"/>
      <c r="C62" s="11"/>
      <c r="D62" s="347"/>
      <c r="E62" s="347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2.75" customHeight="1">
      <c r="A63" s="11"/>
      <c r="B63" s="11"/>
      <c r="C63" s="11"/>
      <c r="D63" s="347"/>
      <c r="E63" s="347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2.75" customHeight="1">
      <c r="A64" s="11"/>
      <c r="B64" s="11"/>
      <c r="C64" s="11"/>
      <c r="D64" s="347"/>
      <c r="E64" s="347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2.75" customHeight="1">
      <c r="A65" s="11"/>
      <c r="B65" s="11"/>
      <c r="C65" s="11"/>
      <c r="D65" s="347"/>
      <c r="E65" s="347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2.75" customHeight="1">
      <c r="A66" s="11"/>
      <c r="B66" s="11"/>
      <c r="C66" s="11"/>
      <c r="D66" s="347"/>
      <c r="E66" s="347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2.75" customHeight="1">
      <c r="A67" s="11"/>
      <c r="B67" s="11"/>
      <c r="C67" s="11"/>
      <c r="D67" s="347"/>
      <c r="E67" s="347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2.75" customHeight="1">
      <c r="A68" s="11"/>
      <c r="B68" s="11"/>
      <c r="C68" s="11"/>
      <c r="D68" s="347"/>
      <c r="E68" s="347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2.75" customHeight="1">
      <c r="A69" s="11"/>
      <c r="B69" s="11"/>
      <c r="C69" s="11"/>
      <c r="D69" s="347"/>
      <c r="E69" s="347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2.75" customHeight="1">
      <c r="A70" s="11"/>
      <c r="B70" s="11"/>
      <c r="C70" s="11"/>
      <c r="D70" s="347"/>
      <c r="E70" s="347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2.75" customHeight="1">
      <c r="A71" s="11"/>
      <c r="B71" s="11"/>
      <c r="C71" s="11"/>
      <c r="D71" s="347"/>
      <c r="E71" s="347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2.75" customHeight="1">
      <c r="A72" s="11"/>
      <c r="B72" s="11"/>
      <c r="C72" s="11"/>
      <c r="D72" s="347"/>
      <c r="E72" s="347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2.75" customHeight="1">
      <c r="A73" s="11"/>
      <c r="B73" s="11"/>
      <c r="C73" s="11"/>
      <c r="D73" s="347"/>
      <c r="E73" s="347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2.75" customHeight="1">
      <c r="A74" s="11"/>
      <c r="B74" s="11"/>
      <c r="C74" s="11"/>
      <c r="D74" s="347"/>
      <c r="E74" s="347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2.75" customHeight="1">
      <c r="A75" s="11"/>
      <c r="B75" s="11"/>
      <c r="C75" s="11"/>
      <c r="D75" s="347"/>
      <c r="E75" s="347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2.75" customHeight="1">
      <c r="A76" s="11"/>
      <c r="B76" s="11"/>
      <c r="C76" s="11"/>
      <c r="D76" s="347"/>
      <c r="E76" s="347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2.75" customHeight="1">
      <c r="A77" s="11"/>
      <c r="B77" s="11"/>
      <c r="C77" s="11"/>
      <c r="D77" s="347"/>
      <c r="E77" s="347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2.75" customHeight="1">
      <c r="A78" s="11"/>
      <c r="B78" s="11"/>
      <c r="C78" s="11"/>
      <c r="D78" s="347"/>
      <c r="E78" s="347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2.75" customHeight="1">
      <c r="A79" s="11"/>
      <c r="B79" s="11"/>
      <c r="C79" s="11"/>
      <c r="D79" s="347"/>
      <c r="E79" s="347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2.75" customHeight="1">
      <c r="A80" s="11"/>
      <c r="B80" s="11"/>
      <c r="C80" s="11"/>
      <c r="D80" s="347"/>
      <c r="E80" s="347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2.75" customHeight="1">
      <c r="A81" s="11"/>
      <c r="B81" s="11"/>
      <c r="C81" s="11"/>
      <c r="D81" s="347"/>
      <c r="E81" s="347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2.75" customHeight="1">
      <c r="A82" s="11"/>
      <c r="B82" s="11"/>
      <c r="C82" s="11"/>
      <c r="D82" s="347"/>
      <c r="E82" s="347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2.75" customHeight="1">
      <c r="A83" s="11"/>
      <c r="B83" s="11"/>
      <c r="C83" s="11"/>
      <c r="D83" s="347"/>
      <c r="E83" s="347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2.75" customHeight="1">
      <c r="A84" s="11"/>
      <c r="B84" s="11"/>
      <c r="C84" s="11"/>
      <c r="D84" s="347"/>
      <c r="E84" s="347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2.75" customHeight="1">
      <c r="A85" s="11"/>
      <c r="B85" s="11"/>
      <c r="C85" s="11"/>
      <c r="D85" s="347"/>
      <c r="E85" s="347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2.75" customHeight="1">
      <c r="A86" s="11"/>
      <c r="B86" s="11"/>
      <c r="C86" s="11"/>
      <c r="D86" s="347"/>
      <c r="E86" s="347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2.75" customHeight="1">
      <c r="A87" s="11"/>
      <c r="B87" s="11"/>
      <c r="C87" s="11"/>
      <c r="D87" s="347"/>
      <c r="E87" s="347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2.75" customHeight="1">
      <c r="A88" s="11"/>
      <c r="B88" s="11"/>
      <c r="C88" s="11"/>
      <c r="D88" s="347"/>
      <c r="E88" s="347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2.75" customHeight="1">
      <c r="A89" s="11"/>
      <c r="B89" s="11"/>
      <c r="C89" s="11"/>
      <c r="D89" s="347"/>
      <c r="E89" s="347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2.75" customHeight="1">
      <c r="A90" s="11"/>
      <c r="B90" s="11"/>
      <c r="C90" s="11"/>
      <c r="D90" s="347"/>
      <c r="E90" s="347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2.75" customHeight="1">
      <c r="A91" s="11"/>
      <c r="B91" s="11"/>
      <c r="C91" s="11"/>
      <c r="D91" s="347"/>
      <c r="E91" s="347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2.75" customHeight="1">
      <c r="A92" s="11"/>
      <c r="B92" s="11"/>
      <c r="C92" s="11"/>
      <c r="D92" s="347"/>
      <c r="E92" s="347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2.75" customHeight="1">
      <c r="A93" s="11"/>
      <c r="B93" s="11"/>
      <c r="C93" s="11"/>
      <c r="D93" s="347"/>
      <c r="E93" s="347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2.75" customHeight="1">
      <c r="A94" s="11"/>
      <c r="B94" s="11"/>
      <c r="C94" s="11"/>
      <c r="D94" s="347"/>
      <c r="E94" s="347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2.75" customHeight="1">
      <c r="A95" s="11"/>
      <c r="B95" s="11"/>
      <c r="C95" s="11"/>
      <c r="D95" s="347"/>
      <c r="E95" s="347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2.75" customHeight="1">
      <c r="A96" s="11"/>
      <c r="B96" s="11"/>
      <c r="C96" s="11"/>
      <c r="D96" s="347"/>
      <c r="E96" s="347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2.75" customHeight="1">
      <c r="A97" s="11"/>
      <c r="B97" s="11"/>
      <c r="C97" s="11"/>
      <c r="D97" s="347"/>
      <c r="E97" s="347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2.75" customHeight="1">
      <c r="A98" s="11"/>
      <c r="B98" s="11"/>
      <c r="C98" s="11"/>
      <c r="D98" s="347"/>
      <c r="E98" s="347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2.75" customHeight="1">
      <c r="A99" s="11"/>
      <c r="B99" s="11"/>
      <c r="C99" s="11"/>
      <c r="D99" s="347"/>
      <c r="E99" s="347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2.75" customHeight="1">
      <c r="A100" s="11"/>
      <c r="B100" s="11"/>
      <c r="C100" s="11"/>
      <c r="D100" s="347"/>
      <c r="E100" s="347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2.75" customHeight="1">
      <c r="A101" s="11"/>
      <c r="B101" s="11"/>
      <c r="C101" s="11"/>
      <c r="D101" s="347"/>
      <c r="E101" s="347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2.75" customHeight="1">
      <c r="A102" s="11"/>
      <c r="B102" s="11"/>
      <c r="C102" s="11"/>
      <c r="D102" s="347"/>
      <c r="E102" s="347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2.75" customHeight="1">
      <c r="A103" s="11"/>
      <c r="B103" s="11"/>
      <c r="C103" s="11"/>
      <c r="D103" s="347"/>
      <c r="E103" s="347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2.75" customHeight="1">
      <c r="A104" s="11"/>
      <c r="B104" s="11"/>
      <c r="C104" s="11"/>
      <c r="D104" s="347"/>
      <c r="E104" s="347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2.75" customHeight="1">
      <c r="A105" s="11"/>
      <c r="B105" s="11"/>
      <c r="C105" s="11"/>
      <c r="D105" s="347"/>
      <c r="E105" s="347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2.75" customHeight="1">
      <c r="A106" s="11"/>
      <c r="B106" s="11"/>
      <c r="C106" s="11"/>
      <c r="D106" s="347"/>
      <c r="E106" s="347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2.75" customHeight="1">
      <c r="A107" s="11"/>
      <c r="B107" s="11"/>
      <c r="C107" s="11"/>
      <c r="D107" s="347"/>
      <c r="E107" s="347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2.75" customHeight="1">
      <c r="A108" s="11"/>
      <c r="B108" s="11"/>
      <c r="C108" s="11"/>
      <c r="D108" s="347"/>
      <c r="E108" s="347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2.75" customHeight="1">
      <c r="A109" s="11"/>
      <c r="B109" s="11"/>
      <c r="C109" s="11"/>
      <c r="D109" s="347"/>
      <c r="E109" s="347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2.75" customHeight="1">
      <c r="A110" s="11"/>
      <c r="B110" s="11"/>
      <c r="C110" s="11"/>
      <c r="D110" s="347"/>
      <c r="E110" s="347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2.75" customHeight="1">
      <c r="A111" s="11"/>
      <c r="B111" s="11"/>
      <c r="C111" s="11"/>
      <c r="D111" s="347"/>
      <c r="E111" s="347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2.75" customHeight="1">
      <c r="A112" s="11"/>
      <c r="B112" s="11"/>
      <c r="C112" s="11"/>
      <c r="D112" s="347"/>
      <c r="E112" s="347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2.75" customHeight="1">
      <c r="A113" s="11"/>
      <c r="B113" s="11"/>
      <c r="C113" s="11"/>
      <c r="D113" s="347"/>
      <c r="E113" s="347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2.75" customHeight="1">
      <c r="A114" s="11"/>
      <c r="B114" s="11"/>
      <c r="C114" s="11"/>
      <c r="D114" s="347"/>
      <c r="E114" s="347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2.75" customHeight="1">
      <c r="A115" s="11"/>
      <c r="B115" s="11"/>
      <c r="C115" s="11"/>
      <c r="D115" s="347"/>
      <c r="E115" s="347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2.75" customHeight="1">
      <c r="A116" s="11"/>
      <c r="B116" s="11"/>
      <c r="C116" s="11"/>
      <c r="D116" s="347"/>
      <c r="E116" s="347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2.75" customHeight="1">
      <c r="A117" s="11"/>
      <c r="B117" s="11"/>
      <c r="C117" s="11"/>
      <c r="D117" s="347"/>
      <c r="E117" s="347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2.75" customHeight="1">
      <c r="A118" s="11"/>
      <c r="B118" s="11"/>
      <c r="C118" s="11"/>
      <c r="D118" s="347"/>
      <c r="E118" s="347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2.75" customHeight="1">
      <c r="A119" s="11"/>
      <c r="B119" s="11"/>
      <c r="C119" s="11"/>
      <c r="D119" s="347"/>
      <c r="E119" s="347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2.75" customHeight="1">
      <c r="A120" s="11"/>
      <c r="B120" s="11"/>
      <c r="C120" s="11"/>
      <c r="D120" s="347"/>
      <c r="E120" s="347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2.75" customHeight="1">
      <c r="A121" s="11"/>
      <c r="B121" s="11"/>
      <c r="C121" s="11"/>
      <c r="D121" s="347"/>
      <c r="E121" s="347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2.75" customHeight="1">
      <c r="A122" s="11"/>
      <c r="B122" s="11"/>
      <c r="C122" s="11"/>
      <c r="D122" s="347"/>
      <c r="E122" s="347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2.75" customHeight="1">
      <c r="A123" s="11"/>
      <c r="B123" s="11"/>
      <c r="C123" s="11"/>
      <c r="D123" s="347"/>
      <c r="E123" s="347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2.75" customHeight="1">
      <c r="A124" s="11"/>
      <c r="B124" s="11"/>
      <c r="C124" s="11"/>
      <c r="D124" s="347"/>
      <c r="E124" s="347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2.75" customHeight="1">
      <c r="A125" s="11"/>
      <c r="B125" s="11"/>
      <c r="C125" s="11"/>
      <c r="D125" s="347"/>
      <c r="E125" s="347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2.75" customHeight="1">
      <c r="A126" s="11"/>
      <c r="B126" s="11"/>
      <c r="C126" s="11"/>
      <c r="D126" s="347"/>
      <c r="E126" s="347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2.75" customHeight="1">
      <c r="A127" s="11"/>
      <c r="B127" s="11"/>
      <c r="C127" s="11"/>
      <c r="D127" s="347"/>
      <c r="E127" s="347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2.75" customHeight="1">
      <c r="A128" s="11"/>
      <c r="B128" s="11"/>
      <c r="C128" s="11"/>
      <c r="D128" s="347"/>
      <c r="E128" s="347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2.75" customHeight="1">
      <c r="A129" s="11"/>
      <c r="B129" s="11"/>
      <c r="C129" s="11"/>
      <c r="D129" s="347"/>
      <c r="E129" s="347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2.75" customHeight="1">
      <c r="A130" s="11"/>
      <c r="B130" s="11"/>
      <c r="C130" s="11"/>
      <c r="D130" s="347"/>
      <c r="E130" s="347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2.75" customHeight="1">
      <c r="A131" s="11"/>
      <c r="B131" s="11"/>
      <c r="C131" s="11"/>
      <c r="D131" s="347"/>
      <c r="E131" s="347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2.75" customHeight="1">
      <c r="A132" s="11"/>
      <c r="B132" s="11"/>
      <c r="C132" s="11"/>
      <c r="D132" s="347"/>
      <c r="E132" s="347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2.75" customHeight="1">
      <c r="A133" s="11"/>
      <c r="B133" s="11"/>
      <c r="C133" s="11"/>
      <c r="D133" s="347"/>
      <c r="E133" s="347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2.75" customHeight="1">
      <c r="A134" s="11"/>
      <c r="B134" s="11"/>
      <c r="C134" s="11"/>
      <c r="D134" s="347"/>
      <c r="E134" s="347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2.75" customHeight="1">
      <c r="A135" s="11"/>
      <c r="B135" s="11"/>
      <c r="C135" s="11"/>
      <c r="D135" s="347"/>
      <c r="E135" s="347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2.75" customHeight="1">
      <c r="A136" s="11"/>
      <c r="B136" s="11"/>
      <c r="C136" s="11"/>
      <c r="D136" s="347"/>
      <c r="E136" s="347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2.75" customHeight="1">
      <c r="A137" s="11"/>
      <c r="B137" s="11"/>
      <c r="C137" s="11"/>
      <c r="D137" s="347"/>
      <c r="E137" s="347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2.75" customHeight="1">
      <c r="A138" s="11"/>
      <c r="B138" s="11"/>
      <c r="C138" s="11"/>
      <c r="D138" s="347"/>
      <c r="E138" s="347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2.75" customHeight="1">
      <c r="A139" s="11"/>
      <c r="B139" s="11"/>
      <c r="C139" s="11"/>
      <c r="D139" s="347"/>
      <c r="E139" s="347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2.75" customHeight="1">
      <c r="A140" s="11"/>
      <c r="B140" s="11"/>
      <c r="C140" s="11"/>
      <c r="D140" s="347"/>
      <c r="E140" s="347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2.75" customHeight="1">
      <c r="A141" s="11"/>
      <c r="B141" s="11"/>
      <c r="C141" s="11"/>
      <c r="D141" s="347"/>
      <c r="E141" s="347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2.75" customHeight="1">
      <c r="A142" s="11"/>
      <c r="B142" s="11"/>
      <c r="C142" s="11"/>
      <c r="D142" s="347"/>
      <c r="E142" s="347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2.75" customHeight="1">
      <c r="A143" s="11"/>
      <c r="B143" s="11"/>
      <c r="C143" s="11"/>
      <c r="D143" s="347"/>
      <c r="E143" s="347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2.75" customHeight="1">
      <c r="A144" s="11"/>
      <c r="B144" s="11"/>
      <c r="C144" s="11"/>
      <c r="D144" s="347"/>
      <c r="E144" s="347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ht="12.75" customHeight="1">
      <c r="A145" s="11"/>
      <c r="B145" s="11"/>
      <c r="C145" s="11"/>
      <c r="D145" s="347"/>
      <c r="E145" s="347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ht="12.75" customHeight="1">
      <c r="A146" s="11"/>
      <c r="B146" s="11"/>
      <c r="C146" s="11"/>
      <c r="D146" s="347"/>
      <c r="E146" s="347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ht="12.75" customHeight="1">
      <c r="A147" s="11"/>
      <c r="B147" s="11"/>
      <c r="C147" s="11"/>
      <c r="D147" s="347"/>
      <c r="E147" s="347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ht="12.75" customHeight="1">
      <c r="A148" s="11"/>
      <c r="B148" s="11"/>
      <c r="C148" s="11"/>
      <c r="D148" s="347"/>
      <c r="E148" s="347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ht="12.75" customHeight="1">
      <c r="A149" s="11"/>
      <c r="B149" s="11"/>
      <c r="C149" s="11"/>
      <c r="D149" s="347"/>
      <c r="E149" s="347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ht="12.75" customHeight="1">
      <c r="A150" s="11"/>
      <c r="B150" s="11"/>
      <c r="C150" s="11"/>
      <c r="D150" s="347"/>
      <c r="E150" s="347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ht="12.75" customHeight="1">
      <c r="A151" s="11"/>
      <c r="B151" s="11"/>
      <c r="C151" s="11"/>
      <c r="D151" s="347"/>
      <c r="E151" s="347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ht="12.75" customHeight="1">
      <c r="A152" s="11"/>
      <c r="B152" s="11"/>
      <c r="C152" s="11"/>
      <c r="D152" s="347"/>
      <c r="E152" s="347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ht="12.75" customHeight="1">
      <c r="A153" s="11"/>
      <c r="B153" s="11"/>
      <c r="C153" s="11"/>
      <c r="D153" s="347"/>
      <c r="E153" s="347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ht="12.75" customHeight="1">
      <c r="A154" s="11"/>
      <c r="B154" s="11"/>
      <c r="C154" s="11"/>
      <c r="D154" s="347"/>
      <c r="E154" s="347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ht="12.75" customHeight="1">
      <c r="A155" s="11"/>
      <c r="B155" s="11"/>
      <c r="C155" s="11"/>
      <c r="D155" s="347"/>
      <c r="E155" s="347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ht="12.75" customHeight="1">
      <c r="A156" s="11"/>
      <c r="B156" s="11"/>
      <c r="C156" s="11"/>
      <c r="D156" s="347"/>
      <c r="E156" s="347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ht="12.75" customHeight="1">
      <c r="A157" s="11"/>
      <c r="B157" s="11"/>
      <c r="C157" s="11"/>
      <c r="D157" s="347"/>
      <c r="E157" s="347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ht="12.75" customHeight="1">
      <c r="A158" s="11"/>
      <c r="B158" s="11"/>
      <c r="C158" s="11"/>
      <c r="D158" s="347"/>
      <c r="E158" s="347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ht="12.75" customHeight="1">
      <c r="A159" s="11"/>
      <c r="B159" s="11"/>
      <c r="C159" s="11"/>
      <c r="D159" s="347"/>
      <c r="E159" s="347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ht="12.75" customHeight="1">
      <c r="A160" s="11"/>
      <c r="B160" s="11"/>
      <c r="C160" s="11"/>
      <c r="D160" s="347"/>
      <c r="E160" s="347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ht="12.75" customHeight="1">
      <c r="A161" s="11"/>
      <c r="B161" s="11"/>
      <c r="C161" s="11"/>
      <c r="D161" s="347"/>
      <c r="E161" s="347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ht="12.75" customHeight="1">
      <c r="A162" s="11"/>
      <c r="B162" s="11"/>
      <c r="C162" s="11"/>
      <c r="D162" s="347"/>
      <c r="E162" s="347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ht="12.75" customHeight="1">
      <c r="A163" s="11"/>
      <c r="B163" s="11"/>
      <c r="C163" s="11"/>
      <c r="D163" s="347"/>
      <c r="E163" s="347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ht="12.75" customHeight="1">
      <c r="A164" s="11"/>
      <c r="B164" s="11"/>
      <c r="C164" s="11"/>
      <c r="D164" s="347"/>
      <c r="E164" s="347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ht="12.75" customHeight="1">
      <c r="A165" s="11"/>
      <c r="B165" s="11"/>
      <c r="C165" s="11"/>
      <c r="D165" s="347"/>
      <c r="E165" s="347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ht="12.75" customHeight="1">
      <c r="A166" s="11"/>
      <c r="B166" s="11"/>
      <c r="C166" s="11"/>
      <c r="D166" s="347"/>
      <c r="E166" s="347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ht="12.75" customHeight="1">
      <c r="A167" s="11"/>
      <c r="B167" s="11"/>
      <c r="C167" s="11"/>
      <c r="D167" s="347"/>
      <c r="E167" s="347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ht="12.75" customHeight="1">
      <c r="A168" s="11"/>
      <c r="B168" s="11"/>
      <c r="C168" s="11"/>
      <c r="D168" s="347"/>
      <c r="E168" s="347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ht="12.75" customHeight="1">
      <c r="A169" s="11"/>
      <c r="B169" s="11"/>
      <c r="C169" s="11"/>
      <c r="D169" s="347"/>
      <c r="E169" s="347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ht="12.75" customHeight="1">
      <c r="A170" s="11"/>
      <c r="B170" s="11"/>
      <c r="C170" s="11"/>
      <c r="D170" s="347"/>
      <c r="E170" s="347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ht="12.75" customHeight="1">
      <c r="A171" s="11"/>
      <c r="B171" s="11"/>
      <c r="C171" s="11"/>
      <c r="D171" s="347"/>
      <c r="E171" s="347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ht="12.75" customHeight="1">
      <c r="A172" s="11"/>
      <c r="B172" s="11"/>
      <c r="C172" s="11"/>
      <c r="D172" s="347"/>
      <c r="E172" s="347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ht="12.75" customHeight="1">
      <c r="A173" s="11"/>
      <c r="B173" s="11"/>
      <c r="C173" s="11"/>
      <c r="D173" s="347"/>
      <c r="E173" s="347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ht="12.75" customHeight="1">
      <c r="A174" s="11"/>
      <c r="B174" s="11"/>
      <c r="C174" s="11"/>
      <c r="D174" s="347"/>
      <c r="E174" s="347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ht="12.75" customHeight="1">
      <c r="A175" s="11"/>
      <c r="B175" s="11"/>
      <c r="C175" s="11"/>
      <c r="D175" s="347"/>
      <c r="E175" s="347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ht="12.75" customHeight="1">
      <c r="A176" s="11"/>
      <c r="B176" s="11"/>
      <c r="C176" s="11"/>
      <c r="D176" s="347"/>
      <c r="E176" s="347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ht="12.75" customHeight="1">
      <c r="A177" s="11"/>
      <c r="B177" s="11"/>
      <c r="C177" s="11"/>
      <c r="D177" s="347"/>
      <c r="E177" s="347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ht="12.75" customHeight="1">
      <c r="A178" s="11"/>
      <c r="B178" s="11"/>
      <c r="C178" s="11"/>
      <c r="D178" s="347"/>
      <c r="E178" s="347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ht="12.75" customHeight="1">
      <c r="A179" s="11"/>
      <c r="B179" s="11"/>
      <c r="C179" s="11"/>
      <c r="D179" s="347"/>
      <c r="E179" s="347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ht="12.75" customHeight="1">
      <c r="A180" s="11"/>
      <c r="B180" s="11"/>
      <c r="C180" s="11"/>
      <c r="D180" s="347"/>
      <c r="E180" s="347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ht="12.75" customHeight="1">
      <c r="A181" s="11"/>
      <c r="B181" s="11"/>
      <c r="C181" s="11"/>
      <c r="D181" s="347"/>
      <c r="E181" s="347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ht="12.75" customHeight="1">
      <c r="A182" s="11"/>
      <c r="B182" s="11"/>
      <c r="C182" s="11"/>
      <c r="D182" s="347"/>
      <c r="E182" s="347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ht="12.75" customHeight="1">
      <c r="A183" s="11"/>
      <c r="B183" s="11"/>
      <c r="C183" s="11"/>
      <c r="D183" s="347"/>
      <c r="E183" s="347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ht="12.75" customHeight="1">
      <c r="A184" s="11"/>
      <c r="B184" s="11"/>
      <c r="C184" s="11"/>
      <c r="D184" s="347"/>
      <c r="E184" s="347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ht="12.75" customHeight="1">
      <c r="A185" s="11"/>
      <c r="B185" s="11"/>
      <c r="C185" s="11"/>
      <c r="D185" s="347"/>
      <c r="E185" s="347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ht="12.75" customHeight="1">
      <c r="A186" s="11"/>
      <c r="B186" s="11"/>
      <c r="C186" s="11"/>
      <c r="D186" s="347"/>
      <c r="E186" s="347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ht="12.75" customHeight="1">
      <c r="A187" s="11"/>
      <c r="B187" s="11"/>
      <c r="C187" s="11"/>
      <c r="D187" s="347"/>
      <c r="E187" s="347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ht="12.75" customHeight="1">
      <c r="A188" s="11"/>
      <c r="B188" s="11"/>
      <c r="C188" s="11"/>
      <c r="D188" s="347"/>
      <c r="E188" s="347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ht="12.75" customHeight="1">
      <c r="A189" s="11"/>
      <c r="B189" s="11"/>
      <c r="C189" s="11"/>
      <c r="D189" s="347"/>
      <c r="E189" s="347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ht="12.75" customHeight="1">
      <c r="A190" s="11"/>
      <c r="B190" s="11"/>
      <c r="C190" s="11"/>
      <c r="D190" s="347"/>
      <c r="E190" s="347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ht="12.75" customHeight="1">
      <c r="A191" s="11"/>
      <c r="B191" s="11"/>
      <c r="C191" s="11"/>
      <c r="D191" s="347"/>
      <c r="E191" s="347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ht="12.75" customHeight="1">
      <c r="A192" s="11"/>
      <c r="B192" s="11"/>
      <c r="C192" s="11"/>
      <c r="D192" s="347"/>
      <c r="E192" s="347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ht="12.75" customHeight="1">
      <c r="A193" s="11"/>
      <c r="B193" s="11"/>
      <c r="C193" s="11"/>
      <c r="D193" s="347"/>
      <c r="E193" s="347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ht="12.75" customHeight="1">
      <c r="A194" s="11"/>
      <c r="B194" s="11"/>
      <c r="C194" s="11"/>
      <c r="D194" s="347"/>
      <c r="E194" s="347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ht="12.75" customHeight="1">
      <c r="A195" s="11"/>
      <c r="B195" s="11"/>
      <c r="C195" s="11"/>
      <c r="D195" s="347"/>
      <c r="E195" s="347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ht="12.75" customHeight="1">
      <c r="A196" s="11"/>
      <c r="B196" s="11"/>
      <c r="C196" s="11"/>
      <c r="D196" s="347"/>
      <c r="E196" s="347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ht="12.75" customHeight="1">
      <c r="A197" s="11"/>
      <c r="B197" s="11"/>
      <c r="C197" s="11"/>
      <c r="D197" s="347"/>
      <c r="E197" s="347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ht="12.75" customHeight="1">
      <c r="A198" s="11"/>
      <c r="B198" s="11"/>
      <c r="C198" s="11"/>
      <c r="D198" s="347"/>
      <c r="E198" s="347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ht="12.75" customHeight="1">
      <c r="A199" s="11"/>
      <c r="B199" s="11"/>
      <c r="C199" s="11"/>
      <c r="D199" s="347"/>
      <c r="E199" s="347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ht="12.75" customHeight="1">
      <c r="A200" s="11"/>
      <c r="B200" s="11"/>
      <c r="C200" s="11"/>
      <c r="D200" s="347"/>
      <c r="E200" s="347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ht="12.75" customHeight="1">
      <c r="A201" s="11"/>
      <c r="B201" s="11"/>
      <c r="C201" s="11"/>
      <c r="D201" s="347"/>
      <c r="E201" s="347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ht="12.75" customHeight="1">
      <c r="A202" s="11"/>
      <c r="B202" s="11"/>
      <c r="C202" s="11"/>
      <c r="D202" s="347"/>
      <c r="E202" s="347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ht="12.75" customHeight="1">
      <c r="A203" s="11"/>
      <c r="B203" s="11"/>
      <c r="C203" s="11"/>
      <c r="D203" s="347"/>
      <c r="E203" s="347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ht="12.75" customHeight="1">
      <c r="A204" s="11"/>
      <c r="B204" s="11"/>
      <c r="C204" s="11"/>
      <c r="D204" s="347"/>
      <c r="E204" s="347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ht="12.75" customHeight="1">
      <c r="A205" s="11"/>
      <c r="B205" s="11"/>
      <c r="C205" s="11"/>
      <c r="D205" s="347"/>
      <c r="E205" s="347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ht="12.75" customHeight="1">
      <c r="A206" s="11"/>
      <c r="B206" s="11"/>
      <c r="C206" s="11"/>
      <c r="D206" s="347"/>
      <c r="E206" s="347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ht="12.75" customHeight="1">
      <c r="A207" s="11"/>
      <c r="B207" s="11"/>
      <c r="C207" s="11"/>
      <c r="D207" s="347"/>
      <c r="E207" s="347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ht="12.75" customHeight="1">
      <c r="A208" s="11"/>
      <c r="B208" s="11"/>
      <c r="C208" s="11"/>
      <c r="D208" s="347"/>
      <c r="E208" s="347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ht="12.75" customHeight="1">
      <c r="A209" s="11"/>
      <c r="B209" s="11"/>
      <c r="C209" s="11"/>
      <c r="D209" s="347"/>
      <c r="E209" s="347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ht="12.75" customHeight="1">
      <c r="A210" s="11"/>
      <c r="B210" s="11"/>
      <c r="C210" s="11"/>
      <c r="D210" s="347"/>
      <c r="E210" s="347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ht="12.75" customHeight="1">
      <c r="A211" s="11"/>
      <c r="B211" s="11"/>
      <c r="C211" s="11"/>
      <c r="D211" s="347"/>
      <c r="E211" s="347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ht="12.75" customHeight="1">
      <c r="A212" s="11"/>
      <c r="B212" s="11"/>
      <c r="C212" s="11"/>
      <c r="D212" s="347"/>
      <c r="E212" s="347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ht="12.75" customHeight="1">
      <c r="A213" s="11"/>
      <c r="B213" s="11"/>
      <c r="C213" s="11"/>
      <c r="D213" s="347"/>
      <c r="E213" s="347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ht="12.75" customHeight="1">
      <c r="A214" s="11"/>
      <c r="B214" s="11"/>
      <c r="C214" s="11"/>
      <c r="D214" s="347"/>
      <c r="E214" s="347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ht="12.75" customHeight="1">
      <c r="A215" s="11"/>
      <c r="B215" s="11"/>
      <c r="C215" s="11"/>
      <c r="D215" s="347"/>
      <c r="E215" s="347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ht="12.75" customHeight="1">
      <c r="A216" s="11"/>
      <c r="B216" s="11"/>
      <c r="C216" s="11"/>
      <c r="D216" s="347"/>
      <c r="E216" s="347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ht="12.75" customHeight="1">
      <c r="A217" s="11"/>
      <c r="B217" s="11"/>
      <c r="C217" s="11"/>
      <c r="D217" s="347"/>
      <c r="E217" s="347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ht="12.75" customHeight="1">
      <c r="A218" s="11"/>
      <c r="B218" s="11"/>
      <c r="C218" s="11"/>
      <c r="D218" s="347"/>
      <c r="E218" s="347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ht="12.75" customHeight="1">
      <c r="A219" s="11"/>
      <c r="B219" s="11"/>
      <c r="C219" s="11"/>
      <c r="D219" s="347"/>
      <c r="E219" s="347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ht="12.75" customHeight="1">
      <c r="A220" s="11"/>
      <c r="B220" s="11"/>
      <c r="C220" s="11"/>
      <c r="D220" s="347"/>
      <c r="E220" s="347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ht="12.75" customHeight="1">
      <c r="A221" s="11"/>
      <c r="B221" s="11"/>
      <c r="C221" s="11"/>
      <c r="D221" s="347"/>
      <c r="E221" s="347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ht="12.75" customHeight="1">
      <c r="A222" s="11"/>
      <c r="B222" s="11"/>
      <c r="C222" s="11"/>
      <c r="D222" s="347"/>
      <c r="E222" s="347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ht="12.75" customHeight="1">
      <c r="A223" s="11"/>
      <c r="B223" s="11"/>
      <c r="C223" s="11"/>
      <c r="D223" s="347"/>
      <c r="E223" s="347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ht="12.75" customHeight="1">
      <c r="A224" s="11"/>
      <c r="B224" s="11"/>
      <c r="C224" s="11"/>
      <c r="D224" s="347"/>
      <c r="E224" s="347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ht="12.75" customHeight="1">
      <c r="A225" s="11"/>
      <c r="B225" s="11"/>
      <c r="C225" s="11"/>
      <c r="D225" s="347"/>
      <c r="E225" s="347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ht="12.75" customHeight="1">
      <c r="A226" s="11"/>
      <c r="B226" s="11"/>
      <c r="C226" s="11"/>
      <c r="D226" s="347"/>
      <c r="E226" s="347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ht="12.75" customHeight="1">
      <c r="A227" s="11"/>
      <c r="B227" s="11"/>
      <c r="C227" s="11"/>
      <c r="D227" s="347"/>
      <c r="E227" s="347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ht="12.75" customHeight="1">
      <c r="A228" s="11"/>
      <c r="B228" s="11"/>
      <c r="C228" s="11"/>
      <c r="D228" s="347"/>
      <c r="E228" s="347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ht="12.75" customHeight="1">
      <c r="A229" s="11"/>
      <c r="B229" s="11"/>
      <c r="C229" s="11"/>
      <c r="D229" s="347"/>
      <c r="E229" s="347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ht="12.75" customHeight="1">
      <c r="A230" s="11"/>
      <c r="B230" s="11"/>
      <c r="C230" s="11"/>
      <c r="D230" s="347"/>
      <c r="E230" s="347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ht="12.75" customHeight="1">
      <c r="A231" s="11"/>
      <c r="B231" s="11"/>
      <c r="C231" s="11"/>
      <c r="D231" s="347"/>
      <c r="E231" s="347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ht="12.75" customHeight="1">
      <c r="A232" s="11"/>
      <c r="B232" s="11"/>
      <c r="C232" s="11"/>
      <c r="D232" s="347"/>
      <c r="E232" s="347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ht="12.75" customHeight="1">
      <c r="A233" s="11"/>
      <c r="B233" s="11"/>
      <c r="C233" s="11"/>
      <c r="D233" s="347"/>
      <c r="E233" s="347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ht="12.75" customHeight="1">
      <c r="A234" s="11"/>
      <c r="B234" s="11"/>
      <c r="C234" s="11"/>
      <c r="D234" s="347"/>
      <c r="E234" s="347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ht="12.75" customHeight="1">
      <c r="A235" s="11"/>
      <c r="B235" s="11"/>
      <c r="C235" s="11"/>
      <c r="D235" s="347"/>
      <c r="E235" s="347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ht="12.75" customHeight="1">
      <c r="A236" s="11"/>
      <c r="B236" s="11"/>
      <c r="C236" s="11"/>
      <c r="D236" s="347"/>
      <c r="E236" s="347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ht="12.75" customHeight="1">
      <c r="A237" s="11"/>
      <c r="B237" s="11"/>
      <c r="C237" s="11"/>
      <c r="D237" s="347"/>
      <c r="E237" s="347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ht="12.75" customHeight="1">
      <c r="A238" s="11"/>
      <c r="B238" s="11"/>
      <c r="C238" s="11"/>
      <c r="D238" s="347"/>
      <c r="E238" s="347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ht="12.75" customHeight="1">
      <c r="A239" s="11"/>
      <c r="B239" s="11"/>
      <c r="C239" s="11"/>
      <c r="D239" s="347"/>
      <c r="E239" s="347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ht="12.75" customHeight="1">
      <c r="A240" s="11"/>
      <c r="B240" s="11"/>
      <c r="C240" s="11"/>
      <c r="D240" s="347"/>
      <c r="E240" s="347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ht="12.75" customHeight="1">
      <c r="A241" s="11"/>
      <c r="B241" s="11"/>
      <c r="C241" s="11"/>
      <c r="D241" s="347"/>
      <c r="E241" s="347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ht="12.75" customHeight="1">
      <c r="A242" s="11"/>
      <c r="B242" s="11"/>
      <c r="C242" s="11"/>
      <c r="D242" s="347"/>
      <c r="E242" s="347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ht="12.75" customHeight="1">
      <c r="A243" s="11"/>
      <c r="B243" s="11"/>
      <c r="C243" s="11"/>
      <c r="D243" s="347"/>
      <c r="E243" s="347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ht="12.75" customHeight="1">
      <c r="A244" s="11"/>
      <c r="B244" s="11"/>
      <c r="C244" s="11"/>
      <c r="D244" s="347"/>
      <c r="E244" s="347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2">
    <mergeCell ref="A30:A32"/>
    <mergeCell ref="A33:A35"/>
    <mergeCell ref="A36:A37"/>
    <mergeCell ref="I37:I39"/>
    <mergeCell ref="A1:F1"/>
    <mergeCell ref="A3:A24"/>
    <mergeCell ref="B26:B27"/>
    <mergeCell ref="C26:C27"/>
    <mergeCell ref="D26:D27"/>
    <mergeCell ref="E26:E27"/>
    <mergeCell ref="F26:F27"/>
    <mergeCell ref="A25:A29"/>
  </mergeCells>
  <pageMargins left="0.7" right="0.7" top="0.75" bottom="0.75" header="0" footer="0"/>
  <pageSetup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B3E5A1"/>
  </sheetPr>
  <dimension ref="A1:G1002"/>
  <sheetViews>
    <sheetView workbookViewId="0">
      <selection activeCell="A12" sqref="A12"/>
    </sheetView>
  </sheetViews>
  <sheetFormatPr baseColWidth="10" defaultColWidth="12.5" defaultRowHeight="15" customHeight="1"/>
  <cols>
    <col min="1" max="1" width="22.875" customWidth="1"/>
    <col min="2" max="2" width="10.5" customWidth="1"/>
    <col min="3" max="4" width="14.25" customWidth="1"/>
    <col min="5" max="5" width="18.5" customWidth="1"/>
    <col min="6" max="6" width="21.5" customWidth="1"/>
  </cols>
  <sheetData>
    <row r="1" spans="1:6" ht="30">
      <c r="A1" s="36" t="s">
        <v>95</v>
      </c>
      <c r="B1" s="36" t="s">
        <v>96</v>
      </c>
      <c r="C1" s="36" t="s">
        <v>97</v>
      </c>
      <c r="D1" s="36" t="s">
        <v>98</v>
      </c>
      <c r="E1" s="36" t="s">
        <v>99</v>
      </c>
      <c r="F1" s="36" t="s">
        <v>100</v>
      </c>
    </row>
    <row r="2" spans="1:6" ht="57">
      <c r="A2" s="241" t="s">
        <v>1050</v>
      </c>
      <c r="B2" s="38">
        <v>4</v>
      </c>
      <c r="C2" s="251">
        <f>39642637</f>
        <v>39642637</v>
      </c>
      <c r="D2" s="252">
        <f>35600000*1.19</f>
        <v>42364000</v>
      </c>
      <c r="E2" s="39">
        <f>36400000*1.19</f>
        <v>43316000</v>
      </c>
      <c r="F2" s="39">
        <f>AVERAGE(C2:E2)</f>
        <v>41774212.333333336</v>
      </c>
    </row>
    <row r="3" spans="1:6" ht="28.5">
      <c r="A3" s="37" t="s">
        <v>101</v>
      </c>
      <c r="B3" s="40">
        <v>2</v>
      </c>
      <c r="C3" s="41">
        <v>52070713</v>
      </c>
      <c r="D3" s="253">
        <f>46500000*1.19</f>
        <v>55335000</v>
      </c>
      <c r="E3" s="41">
        <f>50460000*1.19</f>
        <v>60047400</v>
      </c>
      <c r="F3" s="41">
        <f>(C3+D3+E3)/3</f>
        <v>55817704.333333336</v>
      </c>
    </row>
    <row r="4" spans="1:6" ht="14.25">
      <c r="A4" s="37" t="s">
        <v>102</v>
      </c>
      <c r="B4" s="40">
        <v>1</v>
      </c>
      <c r="C4" s="42">
        <v>4165000</v>
      </c>
      <c r="D4" s="41">
        <f>4500000*1.19</f>
        <v>5355000</v>
      </c>
      <c r="E4" s="41">
        <f>4180000*1.19</f>
        <v>4974200</v>
      </c>
      <c r="F4" s="41">
        <f t="shared" ref="F4" si="0">(C4+D4+E4)/3</f>
        <v>4831400</v>
      </c>
    </row>
    <row r="5" spans="1:6" ht="14.25">
      <c r="A5" s="37" t="s">
        <v>103</v>
      </c>
      <c r="B5" s="40">
        <f t="shared" ref="B5:E5" si="1">SUM(B2:B4)</f>
        <v>7</v>
      </c>
      <c r="C5" s="41">
        <f t="shared" si="1"/>
        <v>95878350</v>
      </c>
      <c r="D5" s="41">
        <f>SUM(D2:D4)</f>
        <v>103054000</v>
      </c>
      <c r="E5" s="41">
        <f t="shared" si="1"/>
        <v>108337600</v>
      </c>
      <c r="F5" s="43">
        <f>AVERAGE(C5:E5)</f>
        <v>102423316.66666667</v>
      </c>
    </row>
    <row r="6" spans="1:6" ht="14.25">
      <c r="A6" s="44"/>
    </row>
    <row r="7" spans="1:6" ht="14.25">
      <c r="A7" s="44"/>
    </row>
    <row r="8" spans="1:6" ht="14.25">
      <c r="A8" s="44"/>
    </row>
    <row r="9" spans="1:6" ht="45" customHeight="1">
      <c r="A9" s="376" t="s">
        <v>104</v>
      </c>
      <c r="B9" s="366"/>
      <c r="C9" s="366"/>
    </row>
    <row r="10" spans="1:6" ht="14.25">
      <c r="A10" s="44"/>
    </row>
    <row r="11" spans="1:6">
      <c r="A11" s="45"/>
    </row>
    <row r="12" spans="1:6" ht="14.25">
      <c r="C12" s="46"/>
      <c r="D12" s="46"/>
      <c r="E12" s="46"/>
    </row>
    <row r="13" spans="1:6" ht="14.25">
      <c r="A13" s="240"/>
      <c r="C13" s="48"/>
      <c r="D13" s="48"/>
      <c r="E13" s="48"/>
    </row>
    <row r="14" spans="1:6" ht="14.25">
      <c r="A14" s="44"/>
      <c r="C14" s="5"/>
      <c r="D14" s="5"/>
      <c r="E14" s="5"/>
    </row>
    <row r="15" spans="1:6" ht="14.25">
      <c r="A15" s="44"/>
      <c r="C15" s="5"/>
      <c r="D15" s="5"/>
      <c r="E15" s="5"/>
    </row>
    <row r="16" spans="1:6" ht="14.25">
      <c r="A16" s="47"/>
    </row>
    <row r="17" spans="1:7" ht="14.25">
      <c r="A17" s="44"/>
    </row>
    <row r="18" spans="1:7" ht="14.25">
      <c r="A18" s="254"/>
      <c r="B18" s="255"/>
      <c r="C18" s="256"/>
      <c r="D18" s="256"/>
      <c r="E18" s="256"/>
    </row>
    <row r="19" spans="1:7" ht="14.25">
      <c r="A19" s="254"/>
      <c r="B19" s="255"/>
      <c r="C19" s="256"/>
      <c r="D19" s="256"/>
      <c r="E19" s="256"/>
      <c r="G19" s="240"/>
    </row>
    <row r="20" spans="1:7" ht="14.25">
      <c r="A20" s="257"/>
      <c r="B20" s="255"/>
      <c r="C20" s="256"/>
      <c r="D20" s="256"/>
      <c r="E20" s="256"/>
      <c r="G20" s="240"/>
    </row>
    <row r="21" spans="1:7" ht="14.25">
      <c r="A21" s="44"/>
    </row>
    <row r="22" spans="1:7" ht="15.75" customHeight="1">
      <c r="A22" s="44"/>
    </row>
    <row r="23" spans="1:7" ht="15.75" customHeight="1">
      <c r="A23" s="44"/>
    </row>
    <row r="24" spans="1:7" ht="15.75" customHeight="1">
      <c r="A24" s="44"/>
    </row>
    <row r="25" spans="1:7" ht="15.75" customHeight="1">
      <c r="A25" s="44"/>
    </row>
    <row r="26" spans="1:7" ht="15.75" customHeight="1">
      <c r="A26" s="44"/>
    </row>
    <row r="27" spans="1:7" ht="15.75" customHeight="1">
      <c r="A27" s="44"/>
    </row>
    <row r="28" spans="1:7" ht="15.75" customHeight="1">
      <c r="A28" s="44"/>
    </row>
    <row r="29" spans="1:7" ht="15.75" customHeight="1">
      <c r="A29" s="44"/>
    </row>
    <row r="30" spans="1:7" ht="15.75" customHeight="1">
      <c r="A30" s="44"/>
    </row>
    <row r="31" spans="1:7" ht="15.75" customHeight="1">
      <c r="A31" s="44"/>
    </row>
    <row r="32" spans="1:7" ht="15.75" customHeight="1">
      <c r="A32" s="44"/>
    </row>
    <row r="33" spans="1:1" ht="15.75" customHeight="1">
      <c r="A33" s="44"/>
    </row>
    <row r="34" spans="1:1" ht="15.75" customHeight="1">
      <c r="A34" s="44"/>
    </row>
    <row r="35" spans="1:1" ht="15.75" customHeight="1">
      <c r="A35" s="44"/>
    </row>
    <row r="36" spans="1:1" ht="15.75" customHeight="1">
      <c r="A36" s="44"/>
    </row>
    <row r="37" spans="1:1" ht="15.75" customHeight="1">
      <c r="A37" s="44"/>
    </row>
    <row r="38" spans="1:1" ht="15.75" customHeight="1">
      <c r="A38" s="44"/>
    </row>
    <row r="39" spans="1:1" ht="15.75" customHeight="1">
      <c r="A39" s="44"/>
    </row>
    <row r="40" spans="1:1" ht="15.75" customHeight="1">
      <c r="A40" s="44"/>
    </row>
    <row r="41" spans="1:1" ht="15.75" customHeight="1">
      <c r="A41" s="44"/>
    </row>
    <row r="42" spans="1:1" ht="15.75" customHeight="1">
      <c r="A42" s="44"/>
    </row>
    <row r="43" spans="1:1" ht="15.75" customHeight="1">
      <c r="A43" s="44"/>
    </row>
    <row r="44" spans="1:1" ht="15.75" customHeight="1">
      <c r="A44" s="44"/>
    </row>
    <row r="45" spans="1:1" ht="15.75" customHeight="1">
      <c r="A45" s="44"/>
    </row>
    <row r="46" spans="1:1" ht="15.75" customHeight="1">
      <c r="A46" s="44"/>
    </row>
    <row r="47" spans="1:1" ht="15.75" customHeight="1">
      <c r="A47" s="44"/>
    </row>
    <row r="48" spans="1:1" ht="15.75" customHeight="1">
      <c r="A48" s="44"/>
    </row>
    <row r="49" spans="1:1" ht="15.75" customHeight="1">
      <c r="A49" s="44"/>
    </row>
    <row r="50" spans="1:1" ht="15.75" customHeight="1">
      <c r="A50" s="44"/>
    </row>
    <row r="51" spans="1:1" ht="15.75" customHeight="1">
      <c r="A51" s="44"/>
    </row>
    <row r="52" spans="1:1" ht="15.75" customHeight="1">
      <c r="A52" s="44"/>
    </row>
    <row r="53" spans="1:1" ht="15.75" customHeight="1">
      <c r="A53" s="44"/>
    </row>
    <row r="54" spans="1:1" ht="15.75" customHeight="1">
      <c r="A54" s="44"/>
    </row>
    <row r="55" spans="1:1" ht="15.75" customHeight="1">
      <c r="A55" s="44"/>
    </row>
    <row r="56" spans="1:1" ht="15.75" customHeight="1">
      <c r="A56" s="44"/>
    </row>
    <row r="57" spans="1:1" ht="15.75" customHeight="1">
      <c r="A57" s="44"/>
    </row>
    <row r="58" spans="1:1" ht="15.75" customHeight="1">
      <c r="A58" s="44"/>
    </row>
    <row r="59" spans="1:1" ht="15.75" customHeight="1">
      <c r="A59" s="44"/>
    </row>
    <row r="60" spans="1:1" ht="15.75" customHeight="1">
      <c r="A60" s="44"/>
    </row>
    <row r="61" spans="1:1" ht="15.75" customHeight="1">
      <c r="A61" s="44"/>
    </row>
    <row r="62" spans="1:1" ht="15.75" customHeight="1">
      <c r="A62" s="44"/>
    </row>
    <row r="63" spans="1:1" ht="15.75" customHeight="1">
      <c r="A63" s="44"/>
    </row>
    <row r="64" spans="1:1" ht="15.75" customHeight="1">
      <c r="A64" s="44"/>
    </row>
    <row r="65" spans="1:1" ht="15.75" customHeight="1">
      <c r="A65" s="44"/>
    </row>
    <row r="66" spans="1:1" ht="15.75" customHeight="1">
      <c r="A66" s="44"/>
    </row>
    <row r="67" spans="1:1" ht="15.75" customHeight="1">
      <c r="A67" s="44"/>
    </row>
    <row r="68" spans="1:1" ht="15.75" customHeight="1">
      <c r="A68" s="44"/>
    </row>
    <row r="69" spans="1:1" ht="15.75" customHeight="1">
      <c r="A69" s="44"/>
    </row>
    <row r="70" spans="1:1" ht="15.75" customHeight="1">
      <c r="A70" s="44"/>
    </row>
    <row r="71" spans="1:1" ht="15.75" customHeight="1">
      <c r="A71" s="44"/>
    </row>
    <row r="72" spans="1:1" ht="15.75" customHeight="1">
      <c r="A72" s="44"/>
    </row>
    <row r="73" spans="1:1" ht="15.75" customHeight="1">
      <c r="A73" s="44"/>
    </row>
    <row r="74" spans="1:1" ht="15.75" customHeight="1">
      <c r="A74" s="44"/>
    </row>
    <row r="75" spans="1:1" ht="15.75" customHeight="1">
      <c r="A75" s="44"/>
    </row>
    <row r="76" spans="1:1" ht="15.75" customHeight="1">
      <c r="A76" s="44"/>
    </row>
    <row r="77" spans="1:1" ht="15.75" customHeight="1">
      <c r="A77" s="44"/>
    </row>
    <row r="78" spans="1:1" ht="15.75" customHeight="1">
      <c r="A78" s="44"/>
    </row>
    <row r="79" spans="1:1" ht="15.75" customHeight="1">
      <c r="A79" s="44"/>
    </row>
    <row r="80" spans="1:1" ht="15.75" customHeight="1">
      <c r="A80" s="44"/>
    </row>
    <row r="81" spans="1:1" ht="15.75" customHeight="1">
      <c r="A81" s="44"/>
    </row>
    <row r="82" spans="1:1" ht="15.75" customHeight="1">
      <c r="A82" s="44"/>
    </row>
    <row r="83" spans="1:1" ht="15.75" customHeight="1">
      <c r="A83" s="44"/>
    </row>
    <row r="84" spans="1:1" ht="15.75" customHeight="1">
      <c r="A84" s="44"/>
    </row>
    <row r="85" spans="1:1" ht="15.75" customHeight="1">
      <c r="A85" s="44"/>
    </row>
    <row r="86" spans="1:1" ht="15.75" customHeight="1">
      <c r="A86" s="44"/>
    </row>
    <row r="87" spans="1:1" ht="15.75" customHeight="1">
      <c r="A87" s="44"/>
    </row>
    <row r="88" spans="1:1" ht="15.75" customHeight="1">
      <c r="A88" s="44"/>
    </row>
    <row r="89" spans="1:1" ht="15.75" customHeight="1">
      <c r="A89" s="44"/>
    </row>
    <row r="90" spans="1:1" ht="15.75" customHeight="1">
      <c r="A90" s="44"/>
    </row>
    <row r="91" spans="1:1" ht="15.75" customHeight="1">
      <c r="A91" s="44"/>
    </row>
    <row r="92" spans="1:1" ht="15.75" customHeight="1">
      <c r="A92" s="44"/>
    </row>
    <row r="93" spans="1:1" ht="15.75" customHeight="1">
      <c r="A93" s="44"/>
    </row>
    <row r="94" spans="1:1" ht="15.75" customHeight="1">
      <c r="A94" s="44"/>
    </row>
    <row r="95" spans="1:1" ht="15.75" customHeight="1">
      <c r="A95" s="44"/>
    </row>
    <row r="96" spans="1:1" ht="15.75" customHeight="1">
      <c r="A96" s="44"/>
    </row>
    <row r="97" spans="1:1" ht="15.75" customHeight="1">
      <c r="A97" s="44"/>
    </row>
    <row r="98" spans="1:1" ht="15.75" customHeight="1">
      <c r="A98" s="44"/>
    </row>
    <row r="99" spans="1:1" ht="15.75" customHeight="1">
      <c r="A99" s="44"/>
    </row>
    <row r="100" spans="1:1" ht="15.75" customHeight="1">
      <c r="A100" s="44"/>
    </row>
    <row r="101" spans="1:1" ht="15.75" customHeight="1">
      <c r="A101" s="44"/>
    </row>
    <row r="102" spans="1:1" ht="15.75" customHeight="1">
      <c r="A102" s="44"/>
    </row>
    <row r="103" spans="1:1" ht="15.75" customHeight="1">
      <c r="A103" s="44"/>
    </row>
    <row r="104" spans="1:1" ht="15.75" customHeight="1">
      <c r="A104" s="44"/>
    </row>
    <row r="105" spans="1:1" ht="15.75" customHeight="1">
      <c r="A105" s="44"/>
    </row>
    <row r="106" spans="1:1" ht="15.75" customHeight="1">
      <c r="A106" s="44"/>
    </row>
    <row r="107" spans="1:1" ht="15.75" customHeight="1">
      <c r="A107" s="44"/>
    </row>
    <row r="108" spans="1:1" ht="15.75" customHeight="1">
      <c r="A108" s="44"/>
    </row>
    <row r="109" spans="1:1" ht="15.75" customHeight="1">
      <c r="A109" s="44"/>
    </row>
    <row r="110" spans="1:1" ht="15.75" customHeight="1">
      <c r="A110" s="44"/>
    </row>
    <row r="111" spans="1:1" ht="15.75" customHeight="1">
      <c r="A111" s="44"/>
    </row>
    <row r="112" spans="1:1" ht="15.75" customHeight="1">
      <c r="A112" s="44"/>
    </row>
    <row r="113" spans="1:1" ht="15.75" customHeight="1">
      <c r="A113" s="44"/>
    </row>
    <row r="114" spans="1:1" ht="15.75" customHeight="1">
      <c r="A114" s="44"/>
    </row>
    <row r="115" spans="1:1" ht="15.75" customHeight="1">
      <c r="A115" s="44"/>
    </row>
    <row r="116" spans="1:1" ht="15.75" customHeight="1">
      <c r="A116" s="44"/>
    </row>
    <row r="117" spans="1:1" ht="15.75" customHeight="1">
      <c r="A117" s="44"/>
    </row>
    <row r="118" spans="1:1" ht="15.75" customHeight="1">
      <c r="A118" s="44"/>
    </row>
    <row r="119" spans="1:1" ht="15.75" customHeight="1">
      <c r="A119" s="44"/>
    </row>
    <row r="120" spans="1:1" ht="15.75" customHeight="1">
      <c r="A120" s="44"/>
    </row>
    <row r="121" spans="1:1" ht="15.75" customHeight="1">
      <c r="A121" s="44"/>
    </row>
    <row r="122" spans="1:1" ht="15.75" customHeight="1">
      <c r="A122" s="44"/>
    </row>
    <row r="123" spans="1:1" ht="15.75" customHeight="1">
      <c r="A123" s="44"/>
    </row>
    <row r="124" spans="1:1" ht="15.75" customHeight="1">
      <c r="A124" s="44"/>
    </row>
    <row r="125" spans="1:1" ht="15.75" customHeight="1">
      <c r="A125" s="44"/>
    </row>
    <row r="126" spans="1:1" ht="15.75" customHeight="1">
      <c r="A126" s="44"/>
    </row>
    <row r="127" spans="1:1" ht="15.75" customHeight="1">
      <c r="A127" s="44"/>
    </row>
    <row r="128" spans="1:1" ht="15.75" customHeight="1">
      <c r="A128" s="44"/>
    </row>
    <row r="129" spans="1:1" ht="15.75" customHeight="1">
      <c r="A129" s="44"/>
    </row>
    <row r="130" spans="1:1" ht="15.75" customHeight="1">
      <c r="A130" s="44"/>
    </row>
    <row r="131" spans="1:1" ht="15.75" customHeight="1">
      <c r="A131" s="44"/>
    </row>
    <row r="132" spans="1:1" ht="15.75" customHeight="1">
      <c r="A132" s="44"/>
    </row>
    <row r="133" spans="1:1" ht="15.75" customHeight="1">
      <c r="A133" s="44"/>
    </row>
    <row r="134" spans="1:1" ht="15.75" customHeight="1">
      <c r="A134" s="44"/>
    </row>
    <row r="135" spans="1:1" ht="15.75" customHeight="1">
      <c r="A135" s="44"/>
    </row>
    <row r="136" spans="1:1" ht="15.75" customHeight="1">
      <c r="A136" s="44"/>
    </row>
    <row r="137" spans="1:1" ht="15.75" customHeight="1">
      <c r="A137" s="44"/>
    </row>
    <row r="138" spans="1:1" ht="15.75" customHeight="1">
      <c r="A138" s="44"/>
    </row>
    <row r="139" spans="1:1" ht="15.75" customHeight="1">
      <c r="A139" s="44"/>
    </row>
    <row r="140" spans="1:1" ht="15.75" customHeight="1">
      <c r="A140" s="44"/>
    </row>
    <row r="141" spans="1:1" ht="15.75" customHeight="1">
      <c r="A141" s="44"/>
    </row>
    <row r="142" spans="1:1" ht="15.75" customHeight="1">
      <c r="A142" s="44"/>
    </row>
    <row r="143" spans="1:1" ht="15.75" customHeight="1">
      <c r="A143" s="44"/>
    </row>
    <row r="144" spans="1:1" ht="15.75" customHeight="1">
      <c r="A144" s="44"/>
    </row>
    <row r="145" spans="1:1" ht="15.75" customHeight="1">
      <c r="A145" s="44"/>
    </row>
    <row r="146" spans="1:1" ht="15.75" customHeight="1">
      <c r="A146" s="44"/>
    </row>
    <row r="147" spans="1:1" ht="15.75" customHeight="1">
      <c r="A147" s="44"/>
    </row>
    <row r="148" spans="1:1" ht="15.75" customHeight="1">
      <c r="A148" s="44"/>
    </row>
    <row r="149" spans="1:1" ht="15.75" customHeight="1">
      <c r="A149" s="44"/>
    </row>
    <row r="150" spans="1:1" ht="15.75" customHeight="1">
      <c r="A150" s="44"/>
    </row>
    <row r="151" spans="1:1" ht="15.75" customHeight="1">
      <c r="A151" s="44"/>
    </row>
    <row r="152" spans="1:1" ht="15.75" customHeight="1">
      <c r="A152" s="44"/>
    </row>
    <row r="153" spans="1:1" ht="15.75" customHeight="1">
      <c r="A153" s="44"/>
    </row>
    <row r="154" spans="1:1" ht="15.75" customHeight="1">
      <c r="A154" s="44"/>
    </row>
    <row r="155" spans="1:1" ht="15.75" customHeight="1">
      <c r="A155" s="44"/>
    </row>
    <row r="156" spans="1:1" ht="15.75" customHeight="1">
      <c r="A156" s="44"/>
    </row>
    <row r="157" spans="1:1" ht="15.75" customHeight="1">
      <c r="A157" s="44"/>
    </row>
    <row r="158" spans="1:1" ht="15.75" customHeight="1">
      <c r="A158" s="44"/>
    </row>
    <row r="159" spans="1:1" ht="15.75" customHeight="1">
      <c r="A159" s="44"/>
    </row>
    <row r="160" spans="1:1" ht="15.75" customHeight="1">
      <c r="A160" s="44"/>
    </row>
    <row r="161" spans="1:1" ht="15.75" customHeight="1">
      <c r="A161" s="44"/>
    </row>
    <row r="162" spans="1:1" ht="15.75" customHeight="1">
      <c r="A162" s="44"/>
    </row>
    <row r="163" spans="1:1" ht="15.75" customHeight="1">
      <c r="A163" s="44"/>
    </row>
    <row r="164" spans="1:1" ht="15.75" customHeight="1">
      <c r="A164" s="44"/>
    </row>
    <row r="165" spans="1:1" ht="15.75" customHeight="1">
      <c r="A165" s="44"/>
    </row>
    <row r="166" spans="1:1" ht="15.75" customHeight="1">
      <c r="A166" s="44"/>
    </row>
    <row r="167" spans="1:1" ht="15.75" customHeight="1">
      <c r="A167" s="44"/>
    </row>
    <row r="168" spans="1:1" ht="15.75" customHeight="1">
      <c r="A168" s="44"/>
    </row>
    <row r="169" spans="1:1" ht="15.75" customHeight="1">
      <c r="A169" s="44"/>
    </row>
    <row r="170" spans="1:1" ht="15.75" customHeight="1">
      <c r="A170" s="44"/>
    </row>
    <row r="171" spans="1:1" ht="15.75" customHeight="1">
      <c r="A171" s="44"/>
    </row>
    <row r="172" spans="1:1" ht="15.75" customHeight="1">
      <c r="A172" s="44"/>
    </row>
    <row r="173" spans="1:1" ht="15.75" customHeight="1">
      <c r="A173" s="44"/>
    </row>
    <row r="174" spans="1:1" ht="15.75" customHeight="1">
      <c r="A174" s="44"/>
    </row>
    <row r="175" spans="1:1" ht="15.75" customHeight="1">
      <c r="A175" s="44"/>
    </row>
    <row r="176" spans="1:1" ht="15.75" customHeight="1">
      <c r="A176" s="44"/>
    </row>
    <row r="177" spans="1:1" ht="15.75" customHeight="1">
      <c r="A177" s="44"/>
    </row>
    <row r="178" spans="1:1" ht="15.75" customHeight="1">
      <c r="A178" s="44"/>
    </row>
    <row r="179" spans="1:1" ht="15.75" customHeight="1">
      <c r="A179" s="44"/>
    </row>
    <row r="180" spans="1:1" ht="15.75" customHeight="1">
      <c r="A180" s="44"/>
    </row>
    <row r="181" spans="1:1" ht="15.75" customHeight="1">
      <c r="A181" s="44"/>
    </row>
    <row r="182" spans="1:1" ht="15.75" customHeight="1">
      <c r="A182" s="44"/>
    </row>
    <row r="183" spans="1:1" ht="15.75" customHeight="1">
      <c r="A183" s="44"/>
    </row>
    <row r="184" spans="1:1" ht="15.75" customHeight="1">
      <c r="A184" s="44"/>
    </row>
    <row r="185" spans="1:1" ht="15.75" customHeight="1">
      <c r="A185" s="44"/>
    </row>
    <row r="186" spans="1:1" ht="15.75" customHeight="1">
      <c r="A186" s="44"/>
    </row>
    <row r="187" spans="1:1" ht="15.75" customHeight="1">
      <c r="A187" s="44"/>
    </row>
    <row r="188" spans="1:1" ht="15.75" customHeight="1">
      <c r="A188" s="44"/>
    </row>
    <row r="189" spans="1:1" ht="15.75" customHeight="1">
      <c r="A189" s="44"/>
    </row>
    <row r="190" spans="1:1" ht="15.75" customHeight="1">
      <c r="A190" s="44"/>
    </row>
    <row r="191" spans="1:1" ht="15.75" customHeight="1">
      <c r="A191" s="44"/>
    </row>
    <row r="192" spans="1:1" ht="15.75" customHeight="1">
      <c r="A192" s="44"/>
    </row>
    <row r="193" spans="1:1" ht="15.75" customHeight="1">
      <c r="A193" s="44"/>
    </row>
    <row r="194" spans="1:1" ht="15.75" customHeight="1">
      <c r="A194" s="44"/>
    </row>
    <row r="195" spans="1:1" ht="15.75" customHeight="1">
      <c r="A195" s="44"/>
    </row>
    <row r="196" spans="1:1" ht="15.75" customHeight="1">
      <c r="A196" s="44"/>
    </row>
    <row r="197" spans="1:1" ht="15.75" customHeight="1">
      <c r="A197" s="44"/>
    </row>
    <row r="198" spans="1:1" ht="15.75" customHeight="1">
      <c r="A198" s="44"/>
    </row>
    <row r="199" spans="1:1" ht="15.75" customHeight="1">
      <c r="A199" s="44"/>
    </row>
    <row r="200" spans="1:1" ht="15.75" customHeight="1">
      <c r="A200" s="44"/>
    </row>
    <row r="201" spans="1:1" ht="15.75" customHeight="1">
      <c r="A201" s="44"/>
    </row>
    <row r="202" spans="1:1" ht="15.75" customHeight="1">
      <c r="A202" s="44"/>
    </row>
    <row r="203" spans="1:1" ht="15.75" customHeight="1">
      <c r="A203" s="44"/>
    </row>
    <row r="204" spans="1:1" ht="15.75" customHeight="1">
      <c r="A204" s="44"/>
    </row>
    <row r="205" spans="1:1" ht="15.75" customHeight="1">
      <c r="A205" s="44"/>
    </row>
    <row r="206" spans="1:1" ht="15.75" customHeight="1">
      <c r="A206" s="44"/>
    </row>
    <row r="207" spans="1:1" ht="15.75" customHeight="1">
      <c r="A207" s="44"/>
    </row>
    <row r="208" spans="1:1" ht="15.75" customHeight="1">
      <c r="A208" s="44"/>
    </row>
    <row r="209" spans="1:1" ht="15.75" customHeight="1">
      <c r="A209" s="44"/>
    </row>
    <row r="210" spans="1:1" ht="15.75" customHeight="1">
      <c r="A210" s="44"/>
    </row>
    <row r="211" spans="1:1" ht="15.75" customHeight="1">
      <c r="A211" s="44"/>
    </row>
    <row r="212" spans="1:1" ht="15.75" customHeight="1">
      <c r="A212" s="44"/>
    </row>
    <row r="213" spans="1:1" ht="15.75" customHeight="1">
      <c r="A213" s="44"/>
    </row>
    <row r="214" spans="1:1" ht="15.75" customHeight="1">
      <c r="A214" s="44"/>
    </row>
    <row r="215" spans="1:1" ht="15.75" customHeight="1">
      <c r="A215" s="44"/>
    </row>
    <row r="216" spans="1:1" ht="15.75" customHeight="1">
      <c r="A216" s="44"/>
    </row>
    <row r="217" spans="1:1" ht="15.75" customHeight="1">
      <c r="A217" s="44"/>
    </row>
    <row r="218" spans="1:1" ht="15.75" customHeight="1">
      <c r="A218" s="44"/>
    </row>
    <row r="219" spans="1:1" ht="15.75" customHeight="1">
      <c r="A219" s="44"/>
    </row>
    <row r="220" spans="1:1" ht="15.75" customHeight="1">
      <c r="A220" s="44"/>
    </row>
    <row r="221" spans="1:1" ht="15.75" customHeight="1">
      <c r="A221" s="44"/>
    </row>
    <row r="222" spans="1:1" ht="15.75" customHeight="1">
      <c r="A222" s="44"/>
    </row>
    <row r="223" spans="1:1" ht="15.75" customHeight="1"/>
    <row r="224" spans="1: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1">
    <mergeCell ref="A9:C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B3E5A1"/>
  </sheetPr>
  <dimension ref="A2:E1000"/>
  <sheetViews>
    <sheetView zoomScaleNormal="100" workbookViewId="0">
      <selection activeCell="A10" sqref="A10"/>
    </sheetView>
  </sheetViews>
  <sheetFormatPr baseColWidth="10" defaultColWidth="12.5" defaultRowHeight="15" customHeight="1"/>
  <cols>
    <col min="1" max="2" width="18.25" customWidth="1"/>
    <col min="3" max="3" width="14.25" customWidth="1"/>
    <col min="4" max="4" width="13.875" customWidth="1"/>
    <col min="5" max="5" width="15.5" customWidth="1"/>
    <col min="6" max="6" width="10.5" customWidth="1"/>
  </cols>
  <sheetData>
    <row r="2" spans="1:5" ht="14.25">
      <c r="A2" s="49" t="s">
        <v>112</v>
      </c>
      <c r="B2" s="50" t="s">
        <v>113</v>
      </c>
      <c r="C2" s="50" t="s">
        <v>114</v>
      </c>
      <c r="D2" s="5"/>
    </row>
    <row r="3" spans="1:5" ht="14.25">
      <c r="A3" s="51" t="s">
        <v>115</v>
      </c>
      <c r="B3" s="41">
        <f t="shared" ref="B3:B4" si="0">6400000</f>
        <v>6400000</v>
      </c>
      <c r="C3" s="41">
        <f t="shared" ref="C3:C4" si="1">B3*3</f>
        <v>19200000</v>
      </c>
      <c r="D3" s="52"/>
      <c r="E3" s="5"/>
    </row>
    <row r="4" spans="1:5" ht="14.25">
      <c r="A4" s="51" t="s">
        <v>116</v>
      </c>
      <c r="B4" s="41">
        <f t="shared" si="0"/>
        <v>6400000</v>
      </c>
      <c r="C4" s="41">
        <f t="shared" si="1"/>
        <v>19200000</v>
      </c>
      <c r="D4" s="52"/>
      <c r="E4" s="52"/>
    </row>
    <row r="5" spans="1:5" ht="14.25">
      <c r="A5" s="51" t="s">
        <v>103</v>
      </c>
      <c r="B5" s="41">
        <f t="shared" ref="B5:C5" si="2">SUM(B3:B4)</f>
        <v>12800000</v>
      </c>
      <c r="C5" s="43">
        <f t="shared" si="2"/>
        <v>38400000</v>
      </c>
      <c r="D5" s="52"/>
      <c r="E5" s="52"/>
    </row>
    <row r="7" spans="1:5" ht="14.25">
      <c r="C7" s="53"/>
    </row>
    <row r="8" spans="1:5" ht="15" customHeight="1">
      <c r="A8" t="s">
        <v>967</v>
      </c>
    </row>
    <row r="9" spans="1:5" ht="15" customHeight="1">
      <c r="A9" t="s">
        <v>1061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B3E5A1"/>
  </sheetPr>
  <dimension ref="A1:J1000"/>
  <sheetViews>
    <sheetView topLeftCell="A11" workbookViewId="0">
      <selection activeCell="H16" sqref="H16"/>
    </sheetView>
  </sheetViews>
  <sheetFormatPr baseColWidth="10" defaultColWidth="12.5" defaultRowHeight="15" customHeight="1"/>
  <cols>
    <col min="1" max="1" width="19.25" customWidth="1"/>
    <col min="2" max="2" width="15.5" customWidth="1"/>
    <col min="3" max="3" width="13" customWidth="1"/>
    <col min="4" max="4" width="17.75" customWidth="1"/>
    <col min="5" max="5" width="15.75" customWidth="1"/>
    <col min="6" max="6" width="14.75" customWidth="1"/>
    <col min="7" max="7" width="15.5" customWidth="1"/>
    <col min="8" max="8" width="13" customWidth="1"/>
    <col min="9" max="9" width="8.125" customWidth="1"/>
    <col min="10" max="10" width="14.875" customWidth="1"/>
  </cols>
  <sheetData>
    <row r="1" spans="1:10" ht="14.25">
      <c r="A1" s="54"/>
      <c r="B1" s="381" t="s">
        <v>117</v>
      </c>
      <c r="C1" s="356"/>
      <c r="D1" s="368"/>
      <c r="E1" s="381">
        <v>2025</v>
      </c>
      <c r="F1" s="356"/>
      <c r="G1" s="368"/>
    </row>
    <row r="2" spans="1:10" ht="28.5">
      <c r="A2" s="55" t="s">
        <v>112</v>
      </c>
      <c r="B2" s="56" t="s">
        <v>118</v>
      </c>
      <c r="C2" s="57" t="s">
        <v>119</v>
      </c>
      <c r="D2" s="58" t="s">
        <v>120</v>
      </c>
      <c r="E2" s="59" t="s">
        <v>121</v>
      </c>
      <c r="F2" s="60" t="s">
        <v>122</v>
      </c>
      <c r="G2" s="58" t="s">
        <v>123</v>
      </c>
    </row>
    <row r="3" spans="1:10" ht="14.25">
      <c r="A3" s="55" t="s">
        <v>115</v>
      </c>
      <c r="B3" s="61">
        <v>600000</v>
      </c>
      <c r="C3" s="62">
        <v>400000</v>
      </c>
      <c r="D3" s="63" t="s">
        <v>124</v>
      </c>
      <c r="E3" s="64">
        <f t="shared" ref="E3:F3" si="0">B3*3</f>
        <v>1800000</v>
      </c>
      <c r="F3" s="62">
        <f t="shared" si="0"/>
        <v>1200000</v>
      </c>
      <c r="G3" s="63" t="str">
        <f>D3</f>
        <v>N/A</v>
      </c>
    </row>
    <row r="4" spans="1:10" ht="14.25">
      <c r="A4" s="55" t="s">
        <v>125</v>
      </c>
      <c r="B4" s="65">
        <v>3500000</v>
      </c>
      <c r="C4" s="62">
        <v>739280</v>
      </c>
      <c r="D4" s="63">
        <v>1550000</v>
      </c>
      <c r="E4" s="64">
        <f t="shared" ref="E4:G4" si="1">B4*3</f>
        <v>10500000</v>
      </c>
      <c r="F4" s="62">
        <f t="shared" si="1"/>
        <v>2217840</v>
      </c>
      <c r="G4" s="63">
        <f t="shared" si="1"/>
        <v>4650000</v>
      </c>
    </row>
    <row r="5" spans="1:10" ht="14.25">
      <c r="A5" s="55" t="s">
        <v>126</v>
      </c>
      <c r="B5" s="65" t="s">
        <v>124</v>
      </c>
      <c r="C5" s="62" t="s">
        <v>124</v>
      </c>
      <c r="D5" s="63">
        <v>100000</v>
      </c>
      <c r="E5" s="64"/>
      <c r="F5" s="62" t="s">
        <v>124</v>
      </c>
      <c r="G5" s="63">
        <f t="shared" ref="G5:G6" si="2">D5*3</f>
        <v>300000</v>
      </c>
    </row>
    <row r="6" spans="1:10" ht="14.25">
      <c r="A6" s="55" t="s">
        <v>127</v>
      </c>
      <c r="B6" s="65" t="s">
        <v>124</v>
      </c>
      <c r="C6" s="62" t="s">
        <v>124</v>
      </c>
      <c r="D6" s="63">
        <v>100000</v>
      </c>
      <c r="E6" s="64"/>
      <c r="F6" s="62" t="s">
        <v>124</v>
      </c>
      <c r="G6" s="63">
        <f t="shared" si="2"/>
        <v>300000</v>
      </c>
    </row>
    <row r="7" spans="1:10" ht="14.25">
      <c r="A7" s="55" t="s">
        <v>103</v>
      </c>
      <c r="B7" s="66">
        <f t="shared" ref="B7:G7" si="3">SUM(B3:B6)</f>
        <v>4100000</v>
      </c>
      <c r="C7" s="66">
        <f t="shared" si="3"/>
        <v>1139280</v>
      </c>
      <c r="D7" s="66">
        <f t="shared" si="3"/>
        <v>1750000</v>
      </c>
      <c r="E7" s="66">
        <f t="shared" si="3"/>
        <v>12300000</v>
      </c>
      <c r="F7" s="66">
        <f t="shared" si="3"/>
        <v>3417840</v>
      </c>
      <c r="G7" s="66">
        <f t="shared" si="3"/>
        <v>5250000</v>
      </c>
    </row>
    <row r="10" spans="1:10" ht="14.25">
      <c r="F10" s="378">
        <v>2025</v>
      </c>
      <c r="G10" s="368"/>
      <c r="I10" s="377"/>
      <c r="J10" s="366"/>
    </row>
    <row r="11" spans="1:10" ht="14.25">
      <c r="A11" s="378" t="s">
        <v>1062</v>
      </c>
      <c r="B11" s="356"/>
      <c r="C11" s="356"/>
      <c r="D11" s="368"/>
      <c r="F11" s="67" t="s">
        <v>118</v>
      </c>
      <c r="G11" s="68">
        <f>E7</f>
        <v>12300000</v>
      </c>
      <c r="I11" s="44"/>
      <c r="J11" s="69"/>
    </row>
    <row r="12" spans="1:10" ht="45.75" customHeight="1">
      <c r="A12" s="380" t="s">
        <v>1055</v>
      </c>
      <c r="B12" s="380"/>
      <c r="C12" s="380"/>
      <c r="D12" s="380"/>
      <c r="F12" s="67" t="s">
        <v>119</v>
      </c>
      <c r="G12" s="68">
        <f>F7</f>
        <v>3417840</v>
      </c>
      <c r="I12" s="44"/>
      <c r="J12" s="69"/>
    </row>
    <row r="13" spans="1:10" ht="35.25" customHeight="1">
      <c r="A13" s="379" t="s">
        <v>1063</v>
      </c>
      <c r="B13" s="379"/>
      <c r="C13" s="379"/>
      <c r="D13" s="379"/>
      <c r="F13" s="67" t="s">
        <v>128</v>
      </c>
      <c r="G13" s="68">
        <f>G7</f>
        <v>5250000</v>
      </c>
      <c r="I13" s="44"/>
      <c r="J13" s="69"/>
    </row>
    <row r="16" spans="1:10" ht="14.25">
      <c r="G16" s="70" t="s">
        <v>103</v>
      </c>
      <c r="H16" s="71">
        <f>G11+G12+G13</f>
        <v>20967840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I10:J10"/>
    <mergeCell ref="A11:D11"/>
    <mergeCell ref="A13:D13"/>
    <mergeCell ref="A12:D12"/>
    <mergeCell ref="B1:D1"/>
    <mergeCell ref="E1:G1"/>
    <mergeCell ref="F10:G10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B3E5A1"/>
  </sheetPr>
  <dimension ref="A2:C1000"/>
  <sheetViews>
    <sheetView tabSelected="1" workbookViewId="0">
      <selection activeCell="C5" sqref="C5"/>
    </sheetView>
  </sheetViews>
  <sheetFormatPr baseColWidth="10" defaultColWidth="12.5" defaultRowHeight="15" customHeight="1"/>
  <cols>
    <col min="1" max="1" width="21.125" customWidth="1"/>
    <col min="2" max="2" width="13" customWidth="1"/>
    <col min="3" max="3" width="14.5" customWidth="1"/>
    <col min="4" max="6" width="10.5" customWidth="1"/>
  </cols>
  <sheetData>
    <row r="2" spans="1:3">
      <c r="A2" s="72" t="s">
        <v>129</v>
      </c>
      <c r="B2" s="72" t="s">
        <v>117</v>
      </c>
      <c r="C2" s="72" t="s">
        <v>130</v>
      </c>
    </row>
    <row r="3" spans="1:3" ht="14.25">
      <c r="A3" s="51" t="s">
        <v>131</v>
      </c>
      <c r="B3" s="68">
        <f>188870+189144</f>
        <v>378014</v>
      </c>
      <c r="C3" s="68">
        <f t="shared" ref="C3:C4" si="0">B3*3</f>
        <v>1134042</v>
      </c>
    </row>
    <row r="4" spans="1:3" ht="14.25">
      <c r="A4" s="51" t="s">
        <v>115</v>
      </c>
      <c r="B4" s="68">
        <v>189144</v>
      </c>
      <c r="C4" s="68">
        <f t="shared" si="0"/>
        <v>567432</v>
      </c>
    </row>
    <row r="5" spans="1:3" ht="14.25">
      <c r="C5" s="73">
        <f>SUM(C3:C4)</f>
        <v>1701474</v>
      </c>
    </row>
    <row r="8" spans="1:3" ht="15" customHeight="1">
      <c r="A8" t="s">
        <v>1065</v>
      </c>
    </row>
    <row r="9" spans="1:3" ht="15" customHeight="1">
      <c r="A9" t="s">
        <v>1056</v>
      </c>
    </row>
    <row r="10" spans="1:3" ht="15" customHeight="1">
      <c r="A10" t="s">
        <v>1064</v>
      </c>
    </row>
    <row r="11" spans="1:3" ht="15" customHeight="1">
      <c r="A11" t="s">
        <v>1066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B3E5A1"/>
  </sheetPr>
  <dimension ref="A1:H1000"/>
  <sheetViews>
    <sheetView workbookViewId="0"/>
  </sheetViews>
  <sheetFormatPr baseColWidth="10" defaultColWidth="12.5" defaultRowHeight="15" customHeight="1"/>
  <cols>
    <col min="1" max="1" width="23.5" customWidth="1"/>
    <col min="2" max="2" width="17.875" customWidth="1"/>
    <col min="3" max="3" width="14.75" customWidth="1"/>
    <col min="4" max="4" width="17.125" customWidth="1"/>
    <col min="5" max="5" width="14.5" customWidth="1"/>
    <col min="6" max="6" width="12" customWidth="1"/>
  </cols>
  <sheetData>
    <row r="1" spans="1:8">
      <c r="B1" s="74"/>
      <c r="C1" s="74"/>
      <c r="D1" s="74"/>
      <c r="E1" s="74"/>
    </row>
    <row r="2" spans="1:8" ht="30">
      <c r="A2" s="75" t="s">
        <v>132</v>
      </c>
      <c r="B2" s="76" t="s">
        <v>133</v>
      </c>
      <c r="C2" s="76" t="s">
        <v>134</v>
      </c>
      <c r="D2" s="76" t="s">
        <v>135</v>
      </c>
      <c r="E2" s="76" t="s">
        <v>136</v>
      </c>
      <c r="F2" s="76" t="s">
        <v>137</v>
      </c>
    </row>
    <row r="3" spans="1:8" ht="14.25">
      <c r="A3" s="77" t="s">
        <v>138</v>
      </c>
      <c r="B3" s="78">
        <v>2700000</v>
      </c>
      <c r="C3" s="78">
        <v>2300000</v>
      </c>
      <c r="D3" s="78">
        <v>3000000</v>
      </c>
      <c r="E3" s="78">
        <v>720000</v>
      </c>
      <c r="F3" s="68">
        <f>(E3+D3+C3+B3)/4</f>
        <v>2180000</v>
      </c>
      <c r="H3" t="s">
        <v>1057</v>
      </c>
    </row>
    <row r="4" spans="1:8" ht="14.25">
      <c r="A4" s="77" t="s">
        <v>139</v>
      </c>
      <c r="B4" s="51" t="s">
        <v>140</v>
      </c>
      <c r="C4" s="51" t="s">
        <v>140</v>
      </c>
      <c r="D4" s="51" t="s">
        <v>140</v>
      </c>
      <c r="E4" s="68">
        <f>E3*0.19</f>
        <v>136800</v>
      </c>
      <c r="F4" s="68" t="s">
        <v>124</v>
      </c>
    </row>
    <row r="5" spans="1:8" ht="14.25">
      <c r="A5" s="77" t="s">
        <v>103</v>
      </c>
      <c r="B5" s="68">
        <f t="shared" ref="B5:D5" si="0">B3</f>
        <v>2700000</v>
      </c>
      <c r="C5" s="68">
        <f t="shared" si="0"/>
        <v>2300000</v>
      </c>
      <c r="D5" s="68">
        <f t="shared" si="0"/>
        <v>3000000</v>
      </c>
      <c r="E5" s="68">
        <f>E3+E4</f>
        <v>856800</v>
      </c>
      <c r="F5" s="68">
        <f>AVERAGE(B5:E5)</f>
        <v>2214200</v>
      </c>
    </row>
    <row r="6" spans="1:8" ht="14.25">
      <c r="A6" s="77" t="s">
        <v>141</v>
      </c>
      <c r="B6" s="78">
        <f t="shared" ref="B6:E6" si="1">B5*3</f>
        <v>8100000</v>
      </c>
      <c r="C6" s="78">
        <f t="shared" si="1"/>
        <v>6900000</v>
      </c>
      <c r="D6" s="78">
        <f t="shared" si="1"/>
        <v>9000000</v>
      </c>
      <c r="E6" s="78">
        <f t="shared" si="1"/>
        <v>2570400</v>
      </c>
      <c r="F6" s="73">
        <f>(E6+D6+C6+B6)/4</f>
        <v>6642600</v>
      </c>
    </row>
    <row r="8" spans="1:8">
      <c r="A8" s="79"/>
    </row>
    <row r="9" spans="1:8" ht="14.25">
      <c r="A9" s="44"/>
      <c r="B9" s="46"/>
      <c r="C9" s="46"/>
      <c r="D9" s="46"/>
      <c r="E9" s="46"/>
    </row>
    <row r="10" spans="1:8" ht="14.25">
      <c r="A10" s="47"/>
      <c r="B10" s="48"/>
      <c r="C10" s="48"/>
      <c r="D10" s="48"/>
      <c r="E10" s="48"/>
    </row>
    <row r="11" spans="1:8" ht="14.25">
      <c r="A11" s="44"/>
      <c r="B11" s="5"/>
      <c r="C11" s="5"/>
      <c r="D11" s="5"/>
      <c r="E11" s="5"/>
    </row>
    <row r="12" spans="1:8" ht="14.25">
      <c r="A12" s="44"/>
      <c r="B12" s="48"/>
      <c r="C12" s="48"/>
      <c r="D12" s="48"/>
      <c r="E12" s="4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B3E5A1"/>
  </sheetPr>
  <dimension ref="A1:AM1000"/>
  <sheetViews>
    <sheetView zoomScale="85" zoomScaleNormal="85" workbookViewId="0">
      <pane ySplit="1" topLeftCell="A35" activePane="bottomLeft" state="frozen"/>
      <selection pane="bottomLeft" activeCell="E32" sqref="E32"/>
    </sheetView>
  </sheetViews>
  <sheetFormatPr baseColWidth="10" defaultColWidth="12.5" defaultRowHeight="15" customHeight="1"/>
  <cols>
    <col min="1" max="1" width="11.5" customWidth="1"/>
    <col min="2" max="2" width="33.25" customWidth="1"/>
    <col min="3" max="3" width="15.5" customWidth="1"/>
    <col min="4" max="11" width="18.125" customWidth="1"/>
    <col min="12" max="12" width="16.875" customWidth="1"/>
    <col min="13" max="14" width="21.25" customWidth="1"/>
    <col min="15" max="15" width="14" customWidth="1"/>
    <col min="16" max="17" width="15.5" customWidth="1"/>
    <col min="18" max="18" width="16.25" customWidth="1"/>
    <col min="19" max="19" width="14" customWidth="1"/>
    <col min="20" max="20" width="13" customWidth="1"/>
    <col min="21" max="39" width="10.5" customWidth="1"/>
  </cols>
  <sheetData>
    <row r="1" spans="1:39" ht="28.5">
      <c r="A1" s="80" t="s">
        <v>142</v>
      </c>
      <c r="B1" s="80" t="s">
        <v>143</v>
      </c>
      <c r="C1" s="81" t="s">
        <v>144</v>
      </c>
      <c r="D1" s="81" t="s">
        <v>145</v>
      </c>
      <c r="E1" s="224" t="s">
        <v>982</v>
      </c>
      <c r="F1" s="223" t="s">
        <v>983</v>
      </c>
      <c r="G1" s="223" t="s">
        <v>984</v>
      </c>
      <c r="H1" s="223" t="s">
        <v>985</v>
      </c>
      <c r="I1" s="223" t="s">
        <v>986</v>
      </c>
      <c r="J1" s="223" t="s">
        <v>987</v>
      </c>
      <c r="K1" s="223" t="s">
        <v>988</v>
      </c>
      <c r="L1" s="80" t="s">
        <v>146</v>
      </c>
      <c r="M1" s="80" t="s">
        <v>147</v>
      </c>
      <c r="N1" s="82"/>
    </row>
    <row r="2" spans="1:39" ht="14.25">
      <c r="A2" s="75" t="s">
        <v>148</v>
      </c>
      <c r="B2" s="75" t="s">
        <v>149</v>
      </c>
      <c r="C2" s="83">
        <v>12500000</v>
      </c>
      <c r="D2" s="83">
        <v>0</v>
      </c>
      <c r="E2" s="83"/>
      <c r="F2" s="83"/>
      <c r="G2" s="83"/>
      <c r="H2" s="83"/>
      <c r="I2" s="83"/>
      <c r="J2" s="83"/>
      <c r="K2" s="83"/>
      <c r="L2" s="225" t="s">
        <v>1024</v>
      </c>
      <c r="M2" s="83">
        <f>SUM(C2:L2)</f>
        <v>12500000</v>
      </c>
      <c r="N2" s="82">
        <v>1</v>
      </c>
      <c r="P2" s="69"/>
      <c r="Q2" s="377"/>
      <c r="R2" s="366"/>
    </row>
    <row r="3" spans="1:39" ht="14.25">
      <c r="A3" s="75" t="s">
        <v>148</v>
      </c>
      <c r="B3" s="75" t="s">
        <v>150</v>
      </c>
      <c r="C3" s="83">
        <v>8500000</v>
      </c>
      <c r="D3" s="83">
        <v>0</v>
      </c>
      <c r="E3" s="83"/>
      <c r="F3" s="83"/>
      <c r="G3" s="83"/>
      <c r="H3" s="83"/>
      <c r="I3" s="83"/>
      <c r="J3" s="83"/>
      <c r="K3" s="83"/>
      <c r="L3" s="225" t="s">
        <v>1024</v>
      </c>
      <c r="M3" s="83">
        <f>SUM(C3:L3)</f>
        <v>8500000</v>
      </c>
      <c r="N3" s="82">
        <v>2</v>
      </c>
      <c r="P3" s="84" t="s">
        <v>151</v>
      </c>
      <c r="Q3" s="85" t="s">
        <v>130</v>
      </c>
    </row>
    <row r="4" spans="1:39" ht="14.25">
      <c r="A4" s="75" t="s">
        <v>148</v>
      </c>
      <c r="B4" s="75" t="s">
        <v>152</v>
      </c>
      <c r="C4" s="83">
        <v>3800000</v>
      </c>
      <c r="D4" s="83">
        <v>0</v>
      </c>
      <c r="E4" s="83"/>
      <c r="F4" s="83"/>
      <c r="G4" s="83"/>
      <c r="H4" s="83"/>
      <c r="I4" s="83"/>
      <c r="J4" s="83"/>
      <c r="K4" s="83"/>
      <c r="L4" s="225" t="s">
        <v>1024</v>
      </c>
      <c r="M4" s="83">
        <v>3800000</v>
      </c>
      <c r="N4" s="82">
        <v>3</v>
      </c>
      <c r="P4" s="68">
        <f>SUM(M2:M13)</f>
        <v>60200000</v>
      </c>
      <c r="Q4" s="68">
        <f>P4*3</f>
        <v>180600000</v>
      </c>
      <c r="R4" s="69"/>
    </row>
    <row r="5" spans="1:39" ht="14.25">
      <c r="A5" s="75" t="s">
        <v>148</v>
      </c>
      <c r="B5" s="75" t="s">
        <v>153</v>
      </c>
      <c r="C5" s="83">
        <v>5000000</v>
      </c>
      <c r="D5" s="83">
        <v>0</v>
      </c>
      <c r="E5" s="83"/>
      <c r="F5" s="83"/>
      <c r="G5" s="83"/>
      <c r="H5" s="83"/>
      <c r="I5" s="83"/>
      <c r="J5" s="83"/>
      <c r="K5" s="83"/>
      <c r="L5" s="225" t="s">
        <v>1024</v>
      </c>
      <c r="M5" s="83">
        <f>C5</f>
        <v>5000000</v>
      </c>
      <c r="N5" s="82">
        <v>4</v>
      </c>
      <c r="P5" s="69"/>
      <c r="Q5" s="69"/>
      <c r="R5" s="69"/>
    </row>
    <row r="6" spans="1:39" ht="14.25">
      <c r="A6" s="75" t="s">
        <v>148</v>
      </c>
      <c r="B6" s="75" t="s">
        <v>154</v>
      </c>
      <c r="C6" s="83">
        <v>3800000</v>
      </c>
      <c r="D6" s="83">
        <v>0</v>
      </c>
      <c r="E6" s="83"/>
      <c r="F6" s="83"/>
      <c r="G6" s="83"/>
      <c r="H6" s="83"/>
      <c r="I6" s="83"/>
      <c r="J6" s="83"/>
      <c r="K6" s="83"/>
      <c r="L6" s="225" t="s">
        <v>1024</v>
      </c>
      <c r="M6" s="83">
        <f>C6</f>
        <v>3800000</v>
      </c>
      <c r="N6" s="82">
        <v>5</v>
      </c>
      <c r="P6" s="69"/>
    </row>
    <row r="7" spans="1:39" ht="14.25">
      <c r="A7" s="75" t="s">
        <v>148</v>
      </c>
      <c r="B7" s="75" t="s">
        <v>155</v>
      </c>
      <c r="C7" s="83">
        <v>3800000</v>
      </c>
      <c r="D7" s="83">
        <v>0</v>
      </c>
      <c r="E7" s="83"/>
      <c r="F7" s="83"/>
      <c r="G7" s="83"/>
      <c r="H7" s="83"/>
      <c r="I7" s="83"/>
      <c r="J7" s="83"/>
      <c r="K7" s="83"/>
      <c r="L7" s="225" t="s">
        <v>1024</v>
      </c>
      <c r="M7" s="83">
        <f t="shared" ref="M7:M13" si="0">SUM(C7:L7)</f>
        <v>3800000</v>
      </c>
      <c r="N7" s="82">
        <v>6</v>
      </c>
    </row>
    <row r="8" spans="1:39" ht="28.5">
      <c r="A8" s="75" t="s">
        <v>148</v>
      </c>
      <c r="B8" s="225" t="s">
        <v>1051</v>
      </c>
      <c r="C8" s="83">
        <v>3800000</v>
      </c>
      <c r="D8" s="83">
        <v>0</v>
      </c>
      <c r="E8" s="83"/>
      <c r="F8" s="83"/>
      <c r="G8" s="83"/>
      <c r="H8" s="83"/>
      <c r="I8" s="83"/>
      <c r="J8" s="83"/>
      <c r="K8" s="83"/>
      <c r="L8" s="225" t="s">
        <v>1024</v>
      </c>
      <c r="M8" s="83">
        <f t="shared" si="0"/>
        <v>3800000</v>
      </c>
      <c r="N8" s="82">
        <v>7</v>
      </c>
      <c r="O8" s="69"/>
      <c r="P8" s="69"/>
      <c r="Q8" s="69"/>
    </row>
    <row r="9" spans="1:39" ht="28.5">
      <c r="A9" s="75" t="s">
        <v>148</v>
      </c>
      <c r="B9" s="225" t="s">
        <v>1026</v>
      </c>
      <c r="C9" s="83">
        <v>3800000</v>
      </c>
      <c r="D9" s="83">
        <v>0</v>
      </c>
      <c r="E9" s="83"/>
      <c r="F9" s="83"/>
      <c r="G9" s="83"/>
      <c r="H9" s="83"/>
      <c r="I9" s="83"/>
      <c r="J9" s="83"/>
      <c r="K9" s="83"/>
      <c r="L9" s="225" t="s">
        <v>1024</v>
      </c>
      <c r="M9" s="83">
        <f t="shared" si="0"/>
        <v>3800000</v>
      </c>
      <c r="N9" s="82">
        <v>8</v>
      </c>
    </row>
    <row r="10" spans="1:39" ht="28.5">
      <c r="A10" s="75" t="s">
        <v>148</v>
      </c>
      <c r="B10" s="225" t="s">
        <v>1027</v>
      </c>
      <c r="C10" s="83">
        <v>3800000</v>
      </c>
      <c r="D10" s="83">
        <v>0</v>
      </c>
      <c r="E10" s="83"/>
      <c r="F10" s="83"/>
      <c r="G10" s="83"/>
      <c r="H10" s="83"/>
      <c r="I10" s="83"/>
      <c r="J10" s="83"/>
      <c r="K10" s="83"/>
      <c r="L10" s="225" t="s">
        <v>1024</v>
      </c>
      <c r="M10" s="83">
        <f t="shared" si="0"/>
        <v>3800000</v>
      </c>
      <c r="N10" s="82">
        <v>9</v>
      </c>
    </row>
    <row r="11" spans="1:39" ht="28.5">
      <c r="A11" s="75" t="s">
        <v>148</v>
      </c>
      <c r="B11" s="225" t="s">
        <v>1025</v>
      </c>
      <c r="C11" s="83">
        <v>3800000</v>
      </c>
      <c r="D11" s="83">
        <v>0</v>
      </c>
      <c r="E11" s="83"/>
      <c r="F11" s="83"/>
      <c r="G11" s="83"/>
      <c r="H11" s="83"/>
      <c r="I11" s="83"/>
      <c r="J11" s="83"/>
      <c r="K11" s="83"/>
      <c r="L11" s="225" t="s">
        <v>1024</v>
      </c>
      <c r="M11" s="83">
        <f t="shared" si="0"/>
        <v>3800000</v>
      </c>
      <c r="N11" s="82">
        <v>10</v>
      </c>
    </row>
    <row r="12" spans="1:39" ht="28.5">
      <c r="A12" s="75" t="s">
        <v>156</v>
      </c>
      <c r="B12" s="75" t="s">
        <v>970</v>
      </c>
      <c r="C12" s="83">
        <v>3800000</v>
      </c>
      <c r="D12" s="83">
        <v>0</v>
      </c>
      <c r="E12" s="83"/>
      <c r="F12" s="83"/>
      <c r="G12" s="83"/>
      <c r="H12" s="83"/>
      <c r="I12" s="83"/>
      <c r="J12" s="83"/>
      <c r="K12" s="83"/>
      <c r="L12" s="225" t="s">
        <v>1024</v>
      </c>
      <c r="M12" s="83">
        <f t="shared" si="0"/>
        <v>3800000</v>
      </c>
      <c r="N12" s="82">
        <v>11</v>
      </c>
      <c r="O12" s="86"/>
      <c r="P12" s="86"/>
      <c r="Q12" s="86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</row>
    <row r="13" spans="1:39" ht="14.25">
      <c r="A13" s="75" t="s">
        <v>148</v>
      </c>
      <c r="B13" s="225" t="s">
        <v>989</v>
      </c>
      <c r="C13" s="83">
        <v>3800000</v>
      </c>
      <c r="D13" s="83">
        <v>0</v>
      </c>
      <c r="E13" s="83"/>
      <c r="F13" s="83"/>
      <c r="G13" s="83"/>
      <c r="H13" s="83"/>
      <c r="I13" s="83"/>
      <c r="J13" s="83"/>
      <c r="K13" s="83"/>
      <c r="L13" s="225" t="s">
        <v>1024</v>
      </c>
      <c r="M13" s="83">
        <f t="shared" si="0"/>
        <v>3800000</v>
      </c>
      <c r="N13" s="82">
        <v>12</v>
      </c>
      <c r="O13" s="86"/>
      <c r="P13" s="86"/>
      <c r="Q13" s="86"/>
    </row>
    <row r="14" spans="1:39" ht="14.25">
      <c r="A14" s="88" t="s">
        <v>157</v>
      </c>
      <c r="B14" s="88" t="s">
        <v>158</v>
      </c>
      <c r="C14" s="89">
        <v>4300000</v>
      </c>
      <c r="D14" s="89">
        <v>0</v>
      </c>
      <c r="E14" s="89">
        <f>+((C14+D14)*30)/360</f>
        <v>358333.33333333331</v>
      </c>
      <c r="F14" s="89">
        <f>+((C14+D14)*30)/360</f>
        <v>358333.33333333331</v>
      </c>
      <c r="G14" s="89">
        <f>+F14*0.12</f>
        <v>42999.999999999993</v>
      </c>
      <c r="H14" s="89">
        <f>+(C14*30)/720</f>
        <v>179166.66666666666</v>
      </c>
      <c r="I14" s="89">
        <f>+C14*2.436%</f>
        <v>104748</v>
      </c>
      <c r="J14" s="89">
        <f>+(C14*12%)</f>
        <v>516000</v>
      </c>
      <c r="K14" s="89">
        <f>+C14*8.5%</f>
        <v>365500</v>
      </c>
      <c r="L14" s="89">
        <f>+SUM(D14:K14)</f>
        <v>1925081.3333333333</v>
      </c>
      <c r="M14" s="89">
        <f>+C14+L14</f>
        <v>6225081.333333333</v>
      </c>
      <c r="N14" s="82">
        <v>1</v>
      </c>
      <c r="P14" s="69"/>
      <c r="Q14" s="69"/>
      <c r="R14" s="69"/>
      <c r="S14" s="69"/>
    </row>
    <row r="15" spans="1:39" ht="14.25">
      <c r="A15" s="88" t="s">
        <v>157</v>
      </c>
      <c r="B15" s="88" t="s">
        <v>159</v>
      </c>
      <c r="C15" s="89">
        <v>4000000</v>
      </c>
      <c r="D15" s="89">
        <v>0</v>
      </c>
      <c r="E15" s="89">
        <f t="shared" ref="E15:E78" si="1">+((C15+D15)*30)/360</f>
        <v>333333.33333333331</v>
      </c>
      <c r="F15" s="89">
        <f t="shared" ref="F15:F78" si="2">+((C15+D15)*30)/360</f>
        <v>333333.33333333331</v>
      </c>
      <c r="G15" s="89">
        <f t="shared" ref="G15:G78" si="3">+F15*0.12</f>
        <v>39999.999999999993</v>
      </c>
      <c r="H15" s="89">
        <f t="shared" ref="H15:H78" si="4">+(C15*30)/720</f>
        <v>166666.66666666666</v>
      </c>
      <c r="I15" s="89">
        <f t="shared" ref="I15:I78" si="5">+C15*2.436%</f>
        <v>97440</v>
      </c>
      <c r="J15" s="89">
        <f t="shared" ref="J15:J78" si="6">+(C15*12%)</f>
        <v>480000</v>
      </c>
      <c r="K15" s="89">
        <f t="shared" ref="K15:K78" si="7">+C15*8.5%</f>
        <v>340000</v>
      </c>
      <c r="L15" s="89">
        <f t="shared" ref="L15:L78" si="8">+SUM(D15:K15)</f>
        <v>1790773.3333333333</v>
      </c>
      <c r="M15" s="89">
        <f t="shared" ref="M15:M78" si="9">+C15+L15</f>
        <v>5790773.333333333</v>
      </c>
      <c r="N15" s="82">
        <v>2</v>
      </c>
      <c r="P15" s="229" t="s">
        <v>969</v>
      </c>
    </row>
    <row r="16" spans="1:39" ht="14.25">
      <c r="A16" s="88" t="s">
        <v>157</v>
      </c>
      <c r="B16" s="88" t="s">
        <v>160</v>
      </c>
      <c r="C16" s="89">
        <v>4000000</v>
      </c>
      <c r="D16" s="89">
        <v>0</v>
      </c>
      <c r="E16" s="89">
        <f t="shared" si="1"/>
        <v>333333.33333333331</v>
      </c>
      <c r="F16" s="89">
        <f t="shared" si="2"/>
        <v>333333.33333333331</v>
      </c>
      <c r="G16" s="89">
        <f t="shared" si="3"/>
        <v>39999.999999999993</v>
      </c>
      <c r="H16" s="89">
        <f t="shared" si="4"/>
        <v>166666.66666666666</v>
      </c>
      <c r="I16" s="89">
        <f t="shared" si="5"/>
        <v>97440</v>
      </c>
      <c r="J16" s="89">
        <f t="shared" si="6"/>
        <v>480000</v>
      </c>
      <c r="K16" s="89">
        <f t="shared" si="7"/>
        <v>340000</v>
      </c>
      <c r="L16" s="89">
        <f t="shared" si="8"/>
        <v>1790773.3333333333</v>
      </c>
      <c r="M16" s="89">
        <f t="shared" si="9"/>
        <v>5790773.333333333</v>
      </c>
      <c r="N16" s="82">
        <v>3</v>
      </c>
      <c r="P16" s="229" t="s">
        <v>1028</v>
      </c>
    </row>
    <row r="17" spans="1:19" ht="14.25">
      <c r="A17" s="88" t="s">
        <v>157</v>
      </c>
      <c r="B17" s="88" t="s">
        <v>979</v>
      </c>
      <c r="C17" s="89">
        <v>4000000</v>
      </c>
      <c r="D17" s="89">
        <v>0</v>
      </c>
      <c r="E17" s="89">
        <f t="shared" si="1"/>
        <v>333333.33333333331</v>
      </c>
      <c r="F17" s="89">
        <f t="shared" si="2"/>
        <v>333333.33333333331</v>
      </c>
      <c r="G17" s="89">
        <f t="shared" si="3"/>
        <v>39999.999999999993</v>
      </c>
      <c r="H17" s="89">
        <f t="shared" si="4"/>
        <v>166666.66666666666</v>
      </c>
      <c r="I17" s="89">
        <f t="shared" si="5"/>
        <v>97440</v>
      </c>
      <c r="J17" s="89">
        <f t="shared" si="6"/>
        <v>480000</v>
      </c>
      <c r="K17" s="89">
        <f t="shared" si="7"/>
        <v>340000</v>
      </c>
      <c r="L17" s="89">
        <f t="shared" si="8"/>
        <v>1790773.3333333333</v>
      </c>
      <c r="M17" s="89">
        <f t="shared" si="9"/>
        <v>5790773.333333333</v>
      </c>
      <c r="N17" s="82">
        <v>4</v>
      </c>
      <c r="P17" s="229" t="s">
        <v>1029</v>
      </c>
    </row>
    <row r="18" spans="1:19" ht="14.25">
      <c r="A18" s="88" t="s">
        <v>157</v>
      </c>
      <c r="B18" s="88" t="s">
        <v>980</v>
      </c>
      <c r="C18" s="89">
        <v>4000000</v>
      </c>
      <c r="D18" s="89">
        <v>0</v>
      </c>
      <c r="E18" s="89">
        <f t="shared" si="1"/>
        <v>333333.33333333331</v>
      </c>
      <c r="F18" s="89">
        <f t="shared" si="2"/>
        <v>333333.33333333331</v>
      </c>
      <c r="G18" s="89">
        <f t="shared" si="3"/>
        <v>39999.999999999993</v>
      </c>
      <c r="H18" s="89">
        <f t="shared" si="4"/>
        <v>166666.66666666666</v>
      </c>
      <c r="I18" s="89">
        <f t="shared" si="5"/>
        <v>97440</v>
      </c>
      <c r="J18" s="89">
        <f t="shared" si="6"/>
        <v>480000</v>
      </c>
      <c r="K18" s="89">
        <f t="shared" si="7"/>
        <v>340000</v>
      </c>
      <c r="L18" s="89">
        <f t="shared" si="8"/>
        <v>1790773.3333333333</v>
      </c>
      <c r="M18" s="89">
        <f t="shared" si="9"/>
        <v>5790773.333333333</v>
      </c>
      <c r="N18" s="82">
        <v>5</v>
      </c>
      <c r="P18" s="229" t="s">
        <v>1030</v>
      </c>
    </row>
    <row r="19" spans="1:19" ht="14.25">
      <c r="A19" s="88" t="s">
        <v>157</v>
      </c>
      <c r="B19" s="88" t="s">
        <v>971</v>
      </c>
      <c r="C19" s="89">
        <v>2850000</v>
      </c>
      <c r="D19" s="89">
        <v>0</v>
      </c>
      <c r="E19" s="89">
        <f t="shared" si="1"/>
        <v>237500</v>
      </c>
      <c r="F19" s="89">
        <f t="shared" si="2"/>
        <v>237500</v>
      </c>
      <c r="G19" s="89">
        <f t="shared" si="3"/>
        <v>28500</v>
      </c>
      <c r="H19" s="89">
        <f t="shared" si="4"/>
        <v>118750</v>
      </c>
      <c r="I19" s="89">
        <f t="shared" si="5"/>
        <v>69426</v>
      </c>
      <c r="J19" s="89">
        <f t="shared" si="6"/>
        <v>342000</v>
      </c>
      <c r="K19" s="89">
        <f t="shared" si="7"/>
        <v>242250.00000000003</v>
      </c>
      <c r="L19" s="89">
        <f t="shared" si="8"/>
        <v>1275926</v>
      </c>
      <c r="M19" s="89">
        <f t="shared" si="9"/>
        <v>4125926</v>
      </c>
      <c r="N19" s="82">
        <v>6</v>
      </c>
      <c r="P19" s="240" t="s">
        <v>1052</v>
      </c>
    </row>
    <row r="20" spans="1:19" ht="14.25">
      <c r="A20" s="88" t="s">
        <v>157</v>
      </c>
      <c r="B20" s="88" t="s">
        <v>972</v>
      </c>
      <c r="C20" s="89">
        <v>2850000</v>
      </c>
      <c r="D20" s="89">
        <v>0</v>
      </c>
      <c r="E20" s="89">
        <f t="shared" si="1"/>
        <v>237500</v>
      </c>
      <c r="F20" s="89">
        <f t="shared" si="2"/>
        <v>237500</v>
      </c>
      <c r="G20" s="89">
        <f t="shared" si="3"/>
        <v>28500</v>
      </c>
      <c r="H20" s="89">
        <f t="shared" si="4"/>
        <v>118750</v>
      </c>
      <c r="I20" s="89">
        <f t="shared" si="5"/>
        <v>69426</v>
      </c>
      <c r="J20" s="89">
        <f t="shared" si="6"/>
        <v>342000</v>
      </c>
      <c r="K20" s="89">
        <f t="shared" si="7"/>
        <v>242250.00000000003</v>
      </c>
      <c r="L20" s="89">
        <f t="shared" si="8"/>
        <v>1275926</v>
      </c>
      <c r="M20" s="89">
        <f t="shared" si="9"/>
        <v>4125926</v>
      </c>
      <c r="N20" s="82">
        <v>7</v>
      </c>
      <c r="P20" s="247" t="s">
        <v>1067</v>
      </c>
    </row>
    <row r="21" spans="1:19" ht="18" customHeight="1">
      <c r="A21" s="88" t="s">
        <v>157</v>
      </c>
      <c r="B21" s="88" t="s">
        <v>973</v>
      </c>
      <c r="C21" s="89">
        <v>2850000</v>
      </c>
      <c r="D21" s="89">
        <v>0</v>
      </c>
      <c r="E21" s="89">
        <f t="shared" si="1"/>
        <v>237500</v>
      </c>
      <c r="F21" s="89">
        <f t="shared" si="2"/>
        <v>237500</v>
      </c>
      <c r="G21" s="89">
        <f t="shared" si="3"/>
        <v>28500</v>
      </c>
      <c r="H21" s="89">
        <f t="shared" si="4"/>
        <v>118750</v>
      </c>
      <c r="I21" s="89">
        <f t="shared" si="5"/>
        <v>69426</v>
      </c>
      <c r="J21" s="89">
        <f t="shared" si="6"/>
        <v>342000</v>
      </c>
      <c r="K21" s="89">
        <f t="shared" si="7"/>
        <v>242250.00000000003</v>
      </c>
      <c r="L21" s="89">
        <f t="shared" si="8"/>
        <v>1275926</v>
      </c>
      <c r="M21" s="89">
        <f t="shared" si="9"/>
        <v>4125926</v>
      </c>
      <c r="N21" s="82">
        <v>8</v>
      </c>
    </row>
    <row r="22" spans="1:19" ht="23.25" customHeight="1">
      <c r="A22" s="88" t="s">
        <v>157</v>
      </c>
      <c r="B22" s="88" t="s">
        <v>974</v>
      </c>
      <c r="C22" s="89">
        <v>2850000</v>
      </c>
      <c r="D22" s="89">
        <v>0</v>
      </c>
      <c r="E22" s="89">
        <f t="shared" si="1"/>
        <v>237500</v>
      </c>
      <c r="F22" s="89">
        <f t="shared" si="2"/>
        <v>237500</v>
      </c>
      <c r="G22" s="89">
        <f t="shared" si="3"/>
        <v>28500</v>
      </c>
      <c r="H22" s="89">
        <f t="shared" si="4"/>
        <v>118750</v>
      </c>
      <c r="I22" s="89">
        <f t="shared" si="5"/>
        <v>69426</v>
      </c>
      <c r="J22" s="89">
        <f t="shared" si="6"/>
        <v>342000</v>
      </c>
      <c r="K22" s="89">
        <f t="shared" si="7"/>
        <v>242250.00000000003</v>
      </c>
      <c r="L22" s="89">
        <f t="shared" si="8"/>
        <v>1275926</v>
      </c>
      <c r="M22" s="89">
        <f t="shared" si="9"/>
        <v>4125926</v>
      </c>
      <c r="N22" s="82">
        <v>9</v>
      </c>
      <c r="Q22" s="90" t="s">
        <v>112</v>
      </c>
      <c r="R22" s="91">
        <v>1</v>
      </c>
      <c r="S22" s="92">
        <v>2</v>
      </c>
    </row>
    <row r="23" spans="1:19" ht="15.75" customHeight="1">
      <c r="A23" s="88" t="s">
        <v>157</v>
      </c>
      <c r="B23" s="88" t="s">
        <v>975</v>
      </c>
      <c r="C23" s="89">
        <v>2850000</v>
      </c>
      <c r="D23" s="89">
        <v>0</v>
      </c>
      <c r="E23" s="89">
        <f t="shared" si="1"/>
        <v>237500</v>
      </c>
      <c r="F23" s="89">
        <f t="shared" si="2"/>
        <v>237500</v>
      </c>
      <c r="G23" s="89">
        <f t="shared" si="3"/>
        <v>28500</v>
      </c>
      <c r="H23" s="89">
        <f t="shared" si="4"/>
        <v>118750</v>
      </c>
      <c r="I23" s="89">
        <f t="shared" si="5"/>
        <v>69426</v>
      </c>
      <c r="J23" s="89">
        <f t="shared" si="6"/>
        <v>342000</v>
      </c>
      <c r="K23" s="89">
        <f t="shared" si="7"/>
        <v>242250.00000000003</v>
      </c>
      <c r="L23" s="89">
        <f t="shared" si="8"/>
        <v>1275926</v>
      </c>
      <c r="M23" s="89">
        <f t="shared" si="9"/>
        <v>4125926</v>
      </c>
      <c r="N23" s="82">
        <v>10</v>
      </c>
      <c r="Q23" s="93" t="s">
        <v>161</v>
      </c>
      <c r="R23" s="68">
        <v>1423500</v>
      </c>
      <c r="S23" s="94">
        <f>R23*2</f>
        <v>2847000</v>
      </c>
    </row>
    <row r="24" spans="1:19" ht="15.75" customHeight="1">
      <c r="A24" s="88" t="s">
        <v>157</v>
      </c>
      <c r="B24" s="88" t="s">
        <v>976</v>
      </c>
      <c r="C24" s="89">
        <v>2850000</v>
      </c>
      <c r="D24" s="89">
        <v>0</v>
      </c>
      <c r="E24" s="89">
        <f t="shared" si="1"/>
        <v>237500</v>
      </c>
      <c r="F24" s="89">
        <f t="shared" si="2"/>
        <v>237500</v>
      </c>
      <c r="G24" s="89">
        <f t="shared" si="3"/>
        <v>28500</v>
      </c>
      <c r="H24" s="89">
        <f t="shared" si="4"/>
        <v>118750</v>
      </c>
      <c r="I24" s="89">
        <f t="shared" si="5"/>
        <v>69426</v>
      </c>
      <c r="J24" s="89">
        <f t="shared" si="6"/>
        <v>342000</v>
      </c>
      <c r="K24" s="89">
        <f t="shared" si="7"/>
        <v>242250.00000000003</v>
      </c>
      <c r="L24" s="89">
        <f t="shared" si="8"/>
        <v>1275926</v>
      </c>
      <c r="M24" s="89">
        <f t="shared" si="9"/>
        <v>4125926</v>
      </c>
      <c r="N24" s="82">
        <v>11</v>
      </c>
      <c r="Q24" s="95" t="s">
        <v>145</v>
      </c>
      <c r="R24" s="96">
        <v>200000</v>
      </c>
      <c r="S24" s="97">
        <v>200000</v>
      </c>
    </row>
    <row r="25" spans="1:19" ht="15.75" customHeight="1">
      <c r="A25" s="88" t="s">
        <v>157</v>
      </c>
      <c r="B25" s="88" t="s">
        <v>977</v>
      </c>
      <c r="C25" s="89">
        <v>2850000</v>
      </c>
      <c r="D25" s="89">
        <v>0</v>
      </c>
      <c r="E25" s="89">
        <f t="shared" si="1"/>
        <v>237500</v>
      </c>
      <c r="F25" s="89">
        <f t="shared" si="2"/>
        <v>237500</v>
      </c>
      <c r="G25" s="89">
        <f t="shared" si="3"/>
        <v>28500</v>
      </c>
      <c r="H25" s="89">
        <f t="shared" si="4"/>
        <v>118750</v>
      </c>
      <c r="I25" s="89">
        <f t="shared" si="5"/>
        <v>69426</v>
      </c>
      <c r="J25" s="89">
        <f t="shared" si="6"/>
        <v>342000</v>
      </c>
      <c r="K25" s="89">
        <f t="shared" si="7"/>
        <v>242250.00000000003</v>
      </c>
      <c r="L25" s="89">
        <f t="shared" si="8"/>
        <v>1275926</v>
      </c>
      <c r="M25" s="89">
        <f t="shared" si="9"/>
        <v>4125926</v>
      </c>
      <c r="N25" s="82">
        <v>12</v>
      </c>
    </row>
    <row r="26" spans="1:19" ht="15.75" customHeight="1">
      <c r="A26" s="88" t="s">
        <v>157</v>
      </c>
      <c r="B26" s="88" t="s">
        <v>978</v>
      </c>
      <c r="C26" s="89">
        <v>2850000</v>
      </c>
      <c r="D26" s="89">
        <v>0</v>
      </c>
      <c r="E26" s="89">
        <f t="shared" si="1"/>
        <v>237500</v>
      </c>
      <c r="F26" s="89">
        <f t="shared" si="2"/>
        <v>237500</v>
      </c>
      <c r="G26" s="89">
        <f t="shared" si="3"/>
        <v>28500</v>
      </c>
      <c r="H26" s="89">
        <f t="shared" si="4"/>
        <v>118750</v>
      </c>
      <c r="I26" s="89">
        <f t="shared" si="5"/>
        <v>69426</v>
      </c>
      <c r="J26" s="89">
        <f t="shared" si="6"/>
        <v>342000</v>
      </c>
      <c r="K26" s="89">
        <f t="shared" si="7"/>
        <v>242250.00000000003</v>
      </c>
      <c r="L26" s="89">
        <f t="shared" si="8"/>
        <v>1275926</v>
      </c>
      <c r="M26" s="89">
        <f t="shared" si="9"/>
        <v>4125926</v>
      </c>
      <c r="N26" s="82">
        <v>13</v>
      </c>
    </row>
    <row r="27" spans="1:19" ht="15.75" customHeight="1">
      <c r="A27" s="88" t="s">
        <v>157</v>
      </c>
      <c r="B27" s="226" t="s">
        <v>990</v>
      </c>
      <c r="C27" s="89">
        <v>2850000</v>
      </c>
      <c r="D27" s="89">
        <v>0</v>
      </c>
      <c r="E27" s="89">
        <f t="shared" si="1"/>
        <v>237500</v>
      </c>
      <c r="F27" s="89">
        <f t="shared" si="2"/>
        <v>237500</v>
      </c>
      <c r="G27" s="89">
        <f t="shared" si="3"/>
        <v>28500</v>
      </c>
      <c r="H27" s="89">
        <f t="shared" si="4"/>
        <v>118750</v>
      </c>
      <c r="I27" s="89">
        <f t="shared" si="5"/>
        <v>69426</v>
      </c>
      <c r="J27" s="89">
        <f t="shared" si="6"/>
        <v>342000</v>
      </c>
      <c r="K27" s="89">
        <f t="shared" si="7"/>
        <v>242250.00000000003</v>
      </c>
      <c r="L27" s="89">
        <f t="shared" si="8"/>
        <v>1275926</v>
      </c>
      <c r="M27" s="89">
        <f t="shared" si="9"/>
        <v>4125926</v>
      </c>
      <c r="N27" s="82">
        <v>14</v>
      </c>
    </row>
    <row r="28" spans="1:19" ht="15.75" customHeight="1">
      <c r="A28" s="88" t="s">
        <v>157</v>
      </c>
      <c r="B28" s="226" t="s">
        <v>991</v>
      </c>
      <c r="C28" s="89">
        <v>2850000</v>
      </c>
      <c r="D28" s="89">
        <v>0</v>
      </c>
      <c r="E28" s="89">
        <f t="shared" si="1"/>
        <v>237500</v>
      </c>
      <c r="F28" s="89">
        <f t="shared" si="2"/>
        <v>237500</v>
      </c>
      <c r="G28" s="89">
        <f t="shared" si="3"/>
        <v>28500</v>
      </c>
      <c r="H28" s="89">
        <f t="shared" si="4"/>
        <v>118750</v>
      </c>
      <c r="I28" s="89">
        <f t="shared" si="5"/>
        <v>69426</v>
      </c>
      <c r="J28" s="89">
        <f t="shared" si="6"/>
        <v>342000</v>
      </c>
      <c r="K28" s="89">
        <f t="shared" si="7"/>
        <v>242250.00000000003</v>
      </c>
      <c r="L28" s="89">
        <f t="shared" si="8"/>
        <v>1275926</v>
      </c>
      <c r="M28" s="89">
        <f t="shared" si="9"/>
        <v>4125926</v>
      </c>
      <c r="N28" s="82">
        <v>15</v>
      </c>
    </row>
    <row r="29" spans="1:19" ht="15.75" customHeight="1">
      <c r="A29" s="88" t="s">
        <v>157</v>
      </c>
      <c r="B29" s="226" t="s">
        <v>992</v>
      </c>
      <c r="C29" s="89">
        <v>2850000</v>
      </c>
      <c r="D29" s="89">
        <v>0</v>
      </c>
      <c r="E29" s="89">
        <f t="shared" si="1"/>
        <v>237500</v>
      </c>
      <c r="F29" s="89">
        <f t="shared" si="2"/>
        <v>237500</v>
      </c>
      <c r="G29" s="89">
        <f t="shared" si="3"/>
        <v>28500</v>
      </c>
      <c r="H29" s="89">
        <f t="shared" si="4"/>
        <v>118750</v>
      </c>
      <c r="I29" s="89">
        <f t="shared" si="5"/>
        <v>69426</v>
      </c>
      <c r="J29" s="89">
        <f t="shared" si="6"/>
        <v>342000</v>
      </c>
      <c r="K29" s="89">
        <f t="shared" si="7"/>
        <v>242250.00000000003</v>
      </c>
      <c r="L29" s="89">
        <f t="shared" si="8"/>
        <v>1275926</v>
      </c>
      <c r="M29" s="89">
        <f t="shared" si="9"/>
        <v>4125926</v>
      </c>
      <c r="N29" s="82">
        <v>16</v>
      </c>
    </row>
    <row r="30" spans="1:19" ht="15.75" customHeight="1">
      <c r="A30" s="88" t="s">
        <v>157</v>
      </c>
      <c r="B30" s="226" t="s">
        <v>993</v>
      </c>
      <c r="C30" s="89">
        <v>2850000</v>
      </c>
      <c r="D30" s="89">
        <v>0</v>
      </c>
      <c r="E30" s="89">
        <f t="shared" si="1"/>
        <v>237500</v>
      </c>
      <c r="F30" s="89">
        <f t="shared" si="2"/>
        <v>237500</v>
      </c>
      <c r="G30" s="89">
        <f t="shared" si="3"/>
        <v>28500</v>
      </c>
      <c r="H30" s="89">
        <f t="shared" si="4"/>
        <v>118750</v>
      </c>
      <c r="I30" s="89">
        <f t="shared" si="5"/>
        <v>69426</v>
      </c>
      <c r="J30" s="89">
        <f t="shared" si="6"/>
        <v>342000</v>
      </c>
      <c r="K30" s="89">
        <f t="shared" si="7"/>
        <v>242250.00000000003</v>
      </c>
      <c r="L30" s="89">
        <f t="shared" si="8"/>
        <v>1275926</v>
      </c>
      <c r="M30" s="89">
        <f t="shared" si="9"/>
        <v>4125926</v>
      </c>
      <c r="N30" s="82">
        <v>17</v>
      </c>
    </row>
    <row r="31" spans="1:19" ht="15.75" customHeight="1">
      <c r="A31" s="88" t="s">
        <v>157</v>
      </c>
      <c r="B31" s="226" t="s">
        <v>994</v>
      </c>
      <c r="C31" s="89">
        <v>2850000</v>
      </c>
      <c r="D31" s="89">
        <v>0</v>
      </c>
      <c r="E31" s="89">
        <f t="shared" si="1"/>
        <v>237500</v>
      </c>
      <c r="F31" s="89">
        <f t="shared" si="2"/>
        <v>237500</v>
      </c>
      <c r="G31" s="89">
        <f t="shared" si="3"/>
        <v>28500</v>
      </c>
      <c r="H31" s="89">
        <f t="shared" si="4"/>
        <v>118750</v>
      </c>
      <c r="I31" s="89">
        <f t="shared" si="5"/>
        <v>69426</v>
      </c>
      <c r="J31" s="89">
        <f t="shared" si="6"/>
        <v>342000</v>
      </c>
      <c r="K31" s="89">
        <f t="shared" si="7"/>
        <v>242250.00000000003</v>
      </c>
      <c r="L31" s="89">
        <f t="shared" si="8"/>
        <v>1275926</v>
      </c>
      <c r="M31" s="89">
        <f t="shared" si="9"/>
        <v>4125926</v>
      </c>
      <c r="N31" s="82">
        <v>18</v>
      </c>
    </row>
    <row r="32" spans="1:19" ht="15.75" customHeight="1">
      <c r="A32" s="88" t="s">
        <v>157</v>
      </c>
      <c r="B32" s="226" t="s">
        <v>995</v>
      </c>
      <c r="C32" s="89">
        <v>2850000</v>
      </c>
      <c r="D32" s="89">
        <v>0</v>
      </c>
      <c r="E32" s="89">
        <f t="shared" si="1"/>
        <v>237500</v>
      </c>
      <c r="F32" s="89">
        <f t="shared" si="2"/>
        <v>237500</v>
      </c>
      <c r="G32" s="89">
        <f t="shared" si="3"/>
        <v>28500</v>
      </c>
      <c r="H32" s="89">
        <f t="shared" si="4"/>
        <v>118750</v>
      </c>
      <c r="I32" s="89">
        <f t="shared" si="5"/>
        <v>69426</v>
      </c>
      <c r="J32" s="89">
        <f t="shared" si="6"/>
        <v>342000</v>
      </c>
      <c r="K32" s="89">
        <f t="shared" si="7"/>
        <v>242250.00000000003</v>
      </c>
      <c r="L32" s="89">
        <f t="shared" si="8"/>
        <v>1275926</v>
      </c>
      <c r="M32" s="89">
        <f t="shared" si="9"/>
        <v>4125926</v>
      </c>
      <c r="N32" s="82">
        <v>19</v>
      </c>
    </row>
    <row r="33" spans="1:14" ht="15.75" customHeight="1">
      <c r="A33" s="88" t="s">
        <v>157</v>
      </c>
      <c r="B33" s="226" t="s">
        <v>996</v>
      </c>
      <c r="C33" s="89">
        <v>2850000</v>
      </c>
      <c r="D33" s="89">
        <v>0</v>
      </c>
      <c r="E33" s="89">
        <f t="shared" si="1"/>
        <v>237500</v>
      </c>
      <c r="F33" s="89">
        <f t="shared" si="2"/>
        <v>237500</v>
      </c>
      <c r="G33" s="89">
        <f t="shared" si="3"/>
        <v>28500</v>
      </c>
      <c r="H33" s="89">
        <f t="shared" si="4"/>
        <v>118750</v>
      </c>
      <c r="I33" s="89">
        <f t="shared" si="5"/>
        <v>69426</v>
      </c>
      <c r="J33" s="89">
        <f t="shared" si="6"/>
        <v>342000</v>
      </c>
      <c r="K33" s="89">
        <f t="shared" si="7"/>
        <v>242250.00000000003</v>
      </c>
      <c r="L33" s="89">
        <f t="shared" si="8"/>
        <v>1275926</v>
      </c>
      <c r="M33" s="89">
        <f t="shared" si="9"/>
        <v>4125926</v>
      </c>
      <c r="N33" s="82">
        <v>20</v>
      </c>
    </row>
    <row r="34" spans="1:14" ht="15.75" customHeight="1">
      <c r="A34" s="88" t="s">
        <v>157</v>
      </c>
      <c r="B34" s="88" t="s">
        <v>162</v>
      </c>
      <c r="C34" s="89">
        <f t="shared" ref="C34:C37" si="10">2900000*1.35</f>
        <v>3915000.0000000005</v>
      </c>
      <c r="D34" s="89">
        <v>0</v>
      </c>
      <c r="E34" s="89">
        <f t="shared" si="1"/>
        <v>326250.00000000006</v>
      </c>
      <c r="F34" s="89">
        <f t="shared" si="2"/>
        <v>326250.00000000006</v>
      </c>
      <c r="G34" s="89">
        <f t="shared" si="3"/>
        <v>39150.000000000007</v>
      </c>
      <c r="H34" s="89">
        <f t="shared" si="4"/>
        <v>163125.00000000003</v>
      </c>
      <c r="I34" s="89">
        <f t="shared" si="5"/>
        <v>95369.400000000009</v>
      </c>
      <c r="J34" s="89">
        <f t="shared" si="6"/>
        <v>469800.00000000006</v>
      </c>
      <c r="K34" s="89">
        <f t="shared" si="7"/>
        <v>332775.00000000006</v>
      </c>
      <c r="L34" s="89">
        <f t="shared" si="8"/>
        <v>1752719.4000000001</v>
      </c>
      <c r="M34" s="89">
        <f t="shared" si="9"/>
        <v>5667719.4000000004</v>
      </c>
      <c r="N34" s="82">
        <v>23</v>
      </c>
    </row>
    <row r="35" spans="1:14" ht="15.75" customHeight="1">
      <c r="A35" s="88" t="s">
        <v>157</v>
      </c>
      <c r="B35" s="88" t="s">
        <v>163</v>
      </c>
      <c r="C35" s="89">
        <f t="shared" si="10"/>
        <v>3915000.0000000005</v>
      </c>
      <c r="D35" s="89">
        <v>0</v>
      </c>
      <c r="E35" s="89">
        <f t="shared" si="1"/>
        <v>326250.00000000006</v>
      </c>
      <c r="F35" s="89">
        <f t="shared" si="2"/>
        <v>326250.00000000006</v>
      </c>
      <c r="G35" s="89">
        <f t="shared" si="3"/>
        <v>39150.000000000007</v>
      </c>
      <c r="H35" s="89">
        <f t="shared" si="4"/>
        <v>163125.00000000003</v>
      </c>
      <c r="I35" s="89">
        <f t="shared" si="5"/>
        <v>95369.400000000009</v>
      </c>
      <c r="J35" s="89">
        <f t="shared" si="6"/>
        <v>469800.00000000006</v>
      </c>
      <c r="K35" s="89">
        <f t="shared" si="7"/>
        <v>332775.00000000006</v>
      </c>
      <c r="L35" s="89">
        <f t="shared" si="8"/>
        <v>1752719.4000000001</v>
      </c>
      <c r="M35" s="89">
        <f t="shared" si="9"/>
        <v>5667719.4000000004</v>
      </c>
      <c r="N35" s="82">
        <v>24</v>
      </c>
    </row>
    <row r="36" spans="1:14" ht="15.75" customHeight="1">
      <c r="A36" s="88" t="s">
        <v>157</v>
      </c>
      <c r="B36" s="88" t="s">
        <v>164</v>
      </c>
      <c r="C36" s="89">
        <f t="shared" si="10"/>
        <v>3915000.0000000005</v>
      </c>
      <c r="D36" s="89">
        <v>0</v>
      </c>
      <c r="E36" s="89">
        <f t="shared" si="1"/>
        <v>326250.00000000006</v>
      </c>
      <c r="F36" s="89">
        <f t="shared" si="2"/>
        <v>326250.00000000006</v>
      </c>
      <c r="G36" s="89">
        <f t="shared" si="3"/>
        <v>39150.000000000007</v>
      </c>
      <c r="H36" s="89">
        <f t="shared" si="4"/>
        <v>163125.00000000003</v>
      </c>
      <c r="I36" s="89">
        <f t="shared" si="5"/>
        <v>95369.400000000009</v>
      </c>
      <c r="J36" s="89">
        <f t="shared" si="6"/>
        <v>469800.00000000006</v>
      </c>
      <c r="K36" s="89">
        <f t="shared" si="7"/>
        <v>332775.00000000006</v>
      </c>
      <c r="L36" s="89">
        <f t="shared" si="8"/>
        <v>1752719.4000000001</v>
      </c>
      <c r="M36" s="89">
        <f t="shared" si="9"/>
        <v>5667719.4000000004</v>
      </c>
      <c r="N36" s="82">
        <v>25</v>
      </c>
    </row>
    <row r="37" spans="1:14" ht="15.75" customHeight="1">
      <c r="A37" s="88" t="s">
        <v>157</v>
      </c>
      <c r="B37" s="88" t="s">
        <v>165</v>
      </c>
      <c r="C37" s="89">
        <f t="shared" si="10"/>
        <v>3915000.0000000005</v>
      </c>
      <c r="D37" s="89">
        <v>0</v>
      </c>
      <c r="E37" s="89">
        <f t="shared" si="1"/>
        <v>326250.00000000006</v>
      </c>
      <c r="F37" s="89">
        <f t="shared" si="2"/>
        <v>326250.00000000006</v>
      </c>
      <c r="G37" s="89">
        <f t="shared" si="3"/>
        <v>39150.000000000007</v>
      </c>
      <c r="H37" s="89">
        <f t="shared" si="4"/>
        <v>163125.00000000003</v>
      </c>
      <c r="I37" s="89">
        <f t="shared" si="5"/>
        <v>95369.400000000009</v>
      </c>
      <c r="J37" s="89">
        <f t="shared" si="6"/>
        <v>469800.00000000006</v>
      </c>
      <c r="K37" s="89">
        <f t="shared" si="7"/>
        <v>332775.00000000006</v>
      </c>
      <c r="L37" s="89">
        <f t="shared" si="8"/>
        <v>1752719.4000000001</v>
      </c>
      <c r="M37" s="89">
        <f t="shared" si="9"/>
        <v>5667719.4000000004</v>
      </c>
      <c r="N37" s="82">
        <v>26</v>
      </c>
    </row>
    <row r="38" spans="1:14" ht="15.75" customHeight="1">
      <c r="A38" s="88" t="s">
        <v>157</v>
      </c>
      <c r="B38" s="226" t="s">
        <v>997</v>
      </c>
      <c r="C38" s="89">
        <v>1700000</v>
      </c>
      <c r="D38" s="89">
        <v>200000</v>
      </c>
      <c r="E38" s="89">
        <f t="shared" si="1"/>
        <v>158333.33333333334</v>
      </c>
      <c r="F38" s="89">
        <f t="shared" si="2"/>
        <v>158333.33333333334</v>
      </c>
      <c r="G38" s="89">
        <f t="shared" si="3"/>
        <v>19000</v>
      </c>
      <c r="H38" s="89">
        <f t="shared" si="4"/>
        <v>70833.333333333328</v>
      </c>
      <c r="I38" s="89">
        <f t="shared" si="5"/>
        <v>41412</v>
      </c>
      <c r="J38" s="89">
        <f t="shared" si="6"/>
        <v>204000</v>
      </c>
      <c r="K38" s="89">
        <f t="shared" si="7"/>
        <v>144500</v>
      </c>
      <c r="L38" s="89">
        <f t="shared" si="8"/>
        <v>996412.00000000012</v>
      </c>
      <c r="M38" s="89">
        <f t="shared" si="9"/>
        <v>2696412</v>
      </c>
      <c r="N38" s="82">
        <v>27</v>
      </c>
    </row>
    <row r="39" spans="1:14" ht="15.75" customHeight="1">
      <c r="A39" s="88" t="s">
        <v>157</v>
      </c>
      <c r="B39" s="226" t="s">
        <v>998</v>
      </c>
      <c r="C39" s="89">
        <v>1700000</v>
      </c>
      <c r="D39" s="89">
        <v>200000</v>
      </c>
      <c r="E39" s="89">
        <f t="shared" si="1"/>
        <v>158333.33333333334</v>
      </c>
      <c r="F39" s="89">
        <f t="shared" si="2"/>
        <v>158333.33333333334</v>
      </c>
      <c r="G39" s="89">
        <f t="shared" si="3"/>
        <v>19000</v>
      </c>
      <c r="H39" s="89">
        <f t="shared" si="4"/>
        <v>70833.333333333328</v>
      </c>
      <c r="I39" s="89">
        <f t="shared" si="5"/>
        <v>41412</v>
      </c>
      <c r="J39" s="89">
        <f t="shared" si="6"/>
        <v>204000</v>
      </c>
      <c r="K39" s="89">
        <f t="shared" si="7"/>
        <v>144500</v>
      </c>
      <c r="L39" s="89">
        <f t="shared" si="8"/>
        <v>996412.00000000012</v>
      </c>
      <c r="M39" s="89">
        <f t="shared" si="9"/>
        <v>2696412</v>
      </c>
      <c r="N39" s="82">
        <v>28</v>
      </c>
    </row>
    <row r="40" spans="1:14" ht="15.75" customHeight="1">
      <c r="A40" s="88" t="s">
        <v>157</v>
      </c>
      <c r="B40" s="226" t="s">
        <v>999</v>
      </c>
      <c r="C40" s="89">
        <v>1700000</v>
      </c>
      <c r="D40" s="89">
        <v>200000</v>
      </c>
      <c r="E40" s="89">
        <f t="shared" si="1"/>
        <v>158333.33333333334</v>
      </c>
      <c r="F40" s="89">
        <f t="shared" si="2"/>
        <v>158333.33333333334</v>
      </c>
      <c r="G40" s="89">
        <f t="shared" si="3"/>
        <v>19000</v>
      </c>
      <c r="H40" s="89">
        <f t="shared" si="4"/>
        <v>70833.333333333328</v>
      </c>
      <c r="I40" s="89">
        <f t="shared" si="5"/>
        <v>41412</v>
      </c>
      <c r="J40" s="89">
        <f t="shared" si="6"/>
        <v>204000</v>
      </c>
      <c r="K40" s="89">
        <f t="shared" si="7"/>
        <v>144500</v>
      </c>
      <c r="L40" s="89">
        <f t="shared" si="8"/>
        <v>996412.00000000012</v>
      </c>
      <c r="M40" s="89">
        <f t="shared" si="9"/>
        <v>2696412</v>
      </c>
      <c r="N40" s="82">
        <v>29</v>
      </c>
    </row>
    <row r="41" spans="1:14" ht="15.75" customHeight="1">
      <c r="A41" s="88" t="s">
        <v>157</v>
      </c>
      <c r="B41" s="226" t="s">
        <v>1000</v>
      </c>
      <c r="C41" s="89">
        <v>1700000</v>
      </c>
      <c r="D41" s="89">
        <v>200000</v>
      </c>
      <c r="E41" s="89">
        <f t="shared" si="1"/>
        <v>158333.33333333334</v>
      </c>
      <c r="F41" s="89">
        <f t="shared" si="2"/>
        <v>158333.33333333334</v>
      </c>
      <c r="G41" s="89">
        <f t="shared" si="3"/>
        <v>19000</v>
      </c>
      <c r="H41" s="89">
        <f t="shared" si="4"/>
        <v>70833.333333333328</v>
      </c>
      <c r="I41" s="89">
        <f t="shared" si="5"/>
        <v>41412</v>
      </c>
      <c r="J41" s="89">
        <f t="shared" si="6"/>
        <v>204000</v>
      </c>
      <c r="K41" s="89">
        <f t="shared" si="7"/>
        <v>144500</v>
      </c>
      <c r="L41" s="89">
        <f t="shared" si="8"/>
        <v>996412.00000000012</v>
      </c>
      <c r="M41" s="89">
        <f t="shared" si="9"/>
        <v>2696412</v>
      </c>
      <c r="N41" s="82">
        <v>30</v>
      </c>
    </row>
    <row r="42" spans="1:14" ht="15.75" customHeight="1">
      <c r="A42" s="88" t="s">
        <v>157</v>
      </c>
      <c r="B42" s="226" t="s">
        <v>1001</v>
      </c>
      <c r="C42" s="89">
        <v>1700000</v>
      </c>
      <c r="D42" s="89">
        <v>200000</v>
      </c>
      <c r="E42" s="89">
        <f t="shared" si="1"/>
        <v>158333.33333333334</v>
      </c>
      <c r="F42" s="89">
        <f t="shared" si="2"/>
        <v>158333.33333333334</v>
      </c>
      <c r="G42" s="89">
        <f t="shared" si="3"/>
        <v>19000</v>
      </c>
      <c r="H42" s="89">
        <f t="shared" si="4"/>
        <v>70833.333333333328</v>
      </c>
      <c r="I42" s="89">
        <f t="shared" si="5"/>
        <v>41412</v>
      </c>
      <c r="J42" s="89">
        <f t="shared" si="6"/>
        <v>204000</v>
      </c>
      <c r="K42" s="89">
        <f t="shared" si="7"/>
        <v>144500</v>
      </c>
      <c r="L42" s="89">
        <f t="shared" si="8"/>
        <v>996412.00000000012</v>
      </c>
      <c r="M42" s="89">
        <f t="shared" si="9"/>
        <v>2696412</v>
      </c>
      <c r="N42" s="82">
        <v>31</v>
      </c>
    </row>
    <row r="43" spans="1:14" ht="15.75" customHeight="1">
      <c r="A43" s="88" t="s">
        <v>157</v>
      </c>
      <c r="B43" s="226" t="s">
        <v>1002</v>
      </c>
      <c r="C43" s="89">
        <v>1700000</v>
      </c>
      <c r="D43" s="89">
        <v>200000</v>
      </c>
      <c r="E43" s="89">
        <f t="shared" si="1"/>
        <v>158333.33333333334</v>
      </c>
      <c r="F43" s="89">
        <f t="shared" si="2"/>
        <v>158333.33333333334</v>
      </c>
      <c r="G43" s="89">
        <f t="shared" si="3"/>
        <v>19000</v>
      </c>
      <c r="H43" s="89">
        <f t="shared" si="4"/>
        <v>70833.333333333328</v>
      </c>
      <c r="I43" s="89">
        <f t="shared" si="5"/>
        <v>41412</v>
      </c>
      <c r="J43" s="89">
        <f t="shared" si="6"/>
        <v>204000</v>
      </c>
      <c r="K43" s="89">
        <f t="shared" si="7"/>
        <v>144500</v>
      </c>
      <c r="L43" s="89">
        <f t="shared" si="8"/>
        <v>996412.00000000012</v>
      </c>
      <c r="M43" s="89">
        <f t="shared" si="9"/>
        <v>2696412</v>
      </c>
      <c r="N43" s="82">
        <v>32</v>
      </c>
    </row>
    <row r="44" spans="1:14" ht="15.75" customHeight="1">
      <c r="A44" s="88" t="s">
        <v>157</v>
      </c>
      <c r="B44" s="226" t="s">
        <v>1003</v>
      </c>
      <c r="C44" s="89">
        <v>1700000</v>
      </c>
      <c r="D44" s="89">
        <v>200000</v>
      </c>
      <c r="E44" s="89">
        <f t="shared" si="1"/>
        <v>158333.33333333334</v>
      </c>
      <c r="F44" s="89">
        <f t="shared" si="2"/>
        <v>158333.33333333334</v>
      </c>
      <c r="G44" s="89">
        <f t="shared" si="3"/>
        <v>19000</v>
      </c>
      <c r="H44" s="89">
        <f t="shared" si="4"/>
        <v>70833.333333333328</v>
      </c>
      <c r="I44" s="89">
        <f t="shared" si="5"/>
        <v>41412</v>
      </c>
      <c r="J44" s="89">
        <f t="shared" si="6"/>
        <v>204000</v>
      </c>
      <c r="K44" s="89">
        <f t="shared" si="7"/>
        <v>144500</v>
      </c>
      <c r="L44" s="89">
        <f t="shared" si="8"/>
        <v>996412.00000000012</v>
      </c>
      <c r="M44" s="89">
        <f t="shared" si="9"/>
        <v>2696412</v>
      </c>
      <c r="N44" s="82">
        <v>33</v>
      </c>
    </row>
    <row r="45" spans="1:14" ht="15.75" customHeight="1">
      <c r="A45" s="88" t="s">
        <v>157</v>
      </c>
      <c r="B45" s="226" t="s">
        <v>1004</v>
      </c>
      <c r="C45" s="89">
        <v>1700000</v>
      </c>
      <c r="D45" s="89">
        <v>200000</v>
      </c>
      <c r="E45" s="89">
        <f t="shared" si="1"/>
        <v>158333.33333333334</v>
      </c>
      <c r="F45" s="89">
        <f t="shared" si="2"/>
        <v>158333.33333333334</v>
      </c>
      <c r="G45" s="89">
        <f t="shared" si="3"/>
        <v>19000</v>
      </c>
      <c r="H45" s="89">
        <f t="shared" si="4"/>
        <v>70833.333333333328</v>
      </c>
      <c r="I45" s="89">
        <f t="shared" si="5"/>
        <v>41412</v>
      </c>
      <c r="J45" s="89">
        <f t="shared" si="6"/>
        <v>204000</v>
      </c>
      <c r="K45" s="89">
        <f t="shared" si="7"/>
        <v>144500</v>
      </c>
      <c r="L45" s="89">
        <f t="shared" si="8"/>
        <v>996412.00000000012</v>
      </c>
      <c r="M45" s="89">
        <f t="shared" si="9"/>
        <v>2696412</v>
      </c>
      <c r="N45" s="82">
        <v>34</v>
      </c>
    </row>
    <row r="46" spans="1:14" ht="15.75" customHeight="1">
      <c r="A46" s="88" t="s">
        <v>157</v>
      </c>
      <c r="B46" s="226" t="s">
        <v>1005</v>
      </c>
      <c r="C46" s="89">
        <v>1700000</v>
      </c>
      <c r="D46" s="89">
        <v>200000</v>
      </c>
      <c r="E46" s="89">
        <f t="shared" si="1"/>
        <v>158333.33333333334</v>
      </c>
      <c r="F46" s="89">
        <f t="shared" si="2"/>
        <v>158333.33333333334</v>
      </c>
      <c r="G46" s="89">
        <f t="shared" si="3"/>
        <v>19000</v>
      </c>
      <c r="H46" s="89">
        <f t="shared" si="4"/>
        <v>70833.333333333328</v>
      </c>
      <c r="I46" s="89">
        <f t="shared" si="5"/>
        <v>41412</v>
      </c>
      <c r="J46" s="89">
        <f t="shared" si="6"/>
        <v>204000</v>
      </c>
      <c r="K46" s="89">
        <f t="shared" si="7"/>
        <v>144500</v>
      </c>
      <c r="L46" s="89">
        <f t="shared" si="8"/>
        <v>996412.00000000012</v>
      </c>
      <c r="M46" s="89">
        <f t="shared" si="9"/>
        <v>2696412</v>
      </c>
      <c r="N46" s="82">
        <v>35</v>
      </c>
    </row>
    <row r="47" spans="1:14" ht="15.75" customHeight="1">
      <c r="A47" s="88" t="s">
        <v>157</v>
      </c>
      <c r="B47" s="226" t="s">
        <v>1006</v>
      </c>
      <c r="C47" s="89">
        <v>1700000</v>
      </c>
      <c r="D47" s="89">
        <v>200000</v>
      </c>
      <c r="E47" s="89">
        <f t="shared" si="1"/>
        <v>158333.33333333334</v>
      </c>
      <c r="F47" s="89">
        <f t="shared" si="2"/>
        <v>158333.33333333334</v>
      </c>
      <c r="G47" s="89">
        <f t="shared" si="3"/>
        <v>19000</v>
      </c>
      <c r="H47" s="89">
        <f t="shared" si="4"/>
        <v>70833.333333333328</v>
      </c>
      <c r="I47" s="89">
        <f t="shared" si="5"/>
        <v>41412</v>
      </c>
      <c r="J47" s="89">
        <f t="shared" si="6"/>
        <v>204000</v>
      </c>
      <c r="K47" s="89">
        <f t="shared" si="7"/>
        <v>144500</v>
      </c>
      <c r="L47" s="89">
        <f t="shared" si="8"/>
        <v>996412.00000000012</v>
      </c>
      <c r="M47" s="89">
        <f t="shared" si="9"/>
        <v>2696412</v>
      </c>
      <c r="N47" s="82">
        <v>36</v>
      </c>
    </row>
    <row r="48" spans="1:14" ht="15.75" customHeight="1">
      <c r="A48" s="88" t="s">
        <v>157</v>
      </c>
      <c r="B48" s="226" t="s">
        <v>1007</v>
      </c>
      <c r="C48" s="89">
        <v>1700000</v>
      </c>
      <c r="D48" s="89">
        <v>200000</v>
      </c>
      <c r="E48" s="89">
        <f t="shared" si="1"/>
        <v>158333.33333333334</v>
      </c>
      <c r="F48" s="89">
        <f t="shared" si="2"/>
        <v>158333.33333333334</v>
      </c>
      <c r="G48" s="89">
        <f t="shared" si="3"/>
        <v>19000</v>
      </c>
      <c r="H48" s="89">
        <f t="shared" si="4"/>
        <v>70833.333333333328</v>
      </c>
      <c r="I48" s="89">
        <f t="shared" si="5"/>
        <v>41412</v>
      </c>
      <c r="J48" s="89">
        <f t="shared" si="6"/>
        <v>204000</v>
      </c>
      <c r="K48" s="89">
        <f t="shared" si="7"/>
        <v>144500</v>
      </c>
      <c r="L48" s="89">
        <f t="shared" si="8"/>
        <v>996412.00000000012</v>
      </c>
      <c r="M48" s="89">
        <f t="shared" si="9"/>
        <v>2696412</v>
      </c>
      <c r="N48" s="82">
        <v>37</v>
      </c>
    </row>
    <row r="49" spans="1:16" ht="15.75" customHeight="1">
      <c r="A49" s="88" t="s">
        <v>157</v>
      </c>
      <c r="B49" s="226" t="s">
        <v>1008</v>
      </c>
      <c r="C49" s="89">
        <v>1700000</v>
      </c>
      <c r="D49" s="89">
        <v>200000</v>
      </c>
      <c r="E49" s="89">
        <f t="shared" si="1"/>
        <v>158333.33333333334</v>
      </c>
      <c r="F49" s="89">
        <f t="shared" si="2"/>
        <v>158333.33333333334</v>
      </c>
      <c r="G49" s="89">
        <f t="shared" si="3"/>
        <v>19000</v>
      </c>
      <c r="H49" s="89">
        <f t="shared" si="4"/>
        <v>70833.333333333328</v>
      </c>
      <c r="I49" s="89">
        <f t="shared" si="5"/>
        <v>41412</v>
      </c>
      <c r="J49" s="89">
        <f t="shared" si="6"/>
        <v>204000</v>
      </c>
      <c r="K49" s="89">
        <f t="shared" si="7"/>
        <v>144500</v>
      </c>
      <c r="L49" s="89">
        <f t="shared" si="8"/>
        <v>996412.00000000012</v>
      </c>
      <c r="M49" s="89">
        <f t="shared" si="9"/>
        <v>2696412</v>
      </c>
      <c r="N49" s="82">
        <v>38</v>
      </c>
    </row>
    <row r="50" spans="1:16" ht="15.75" customHeight="1">
      <c r="A50" s="88" t="s">
        <v>157</v>
      </c>
      <c r="B50" s="226" t="s">
        <v>1009</v>
      </c>
      <c r="C50" s="89">
        <v>1700000</v>
      </c>
      <c r="D50" s="89">
        <v>200000</v>
      </c>
      <c r="E50" s="89">
        <f t="shared" si="1"/>
        <v>158333.33333333334</v>
      </c>
      <c r="F50" s="89">
        <f t="shared" si="2"/>
        <v>158333.33333333334</v>
      </c>
      <c r="G50" s="89">
        <f t="shared" si="3"/>
        <v>19000</v>
      </c>
      <c r="H50" s="89">
        <f t="shared" si="4"/>
        <v>70833.333333333328</v>
      </c>
      <c r="I50" s="89">
        <f t="shared" si="5"/>
        <v>41412</v>
      </c>
      <c r="J50" s="89">
        <f t="shared" si="6"/>
        <v>204000</v>
      </c>
      <c r="K50" s="89">
        <f t="shared" si="7"/>
        <v>144500</v>
      </c>
      <c r="L50" s="89">
        <f t="shared" si="8"/>
        <v>996412.00000000012</v>
      </c>
      <c r="M50" s="89">
        <f t="shared" si="9"/>
        <v>2696412</v>
      </c>
      <c r="N50" s="82">
        <v>39</v>
      </c>
    </row>
    <row r="51" spans="1:16" ht="15.75" customHeight="1">
      <c r="A51" s="88" t="s">
        <v>157</v>
      </c>
      <c r="B51" s="226" t="s">
        <v>1010</v>
      </c>
      <c r="C51" s="89">
        <v>1700000</v>
      </c>
      <c r="D51" s="89">
        <v>200000</v>
      </c>
      <c r="E51" s="89">
        <f t="shared" si="1"/>
        <v>158333.33333333334</v>
      </c>
      <c r="F51" s="89">
        <f t="shared" si="2"/>
        <v>158333.33333333334</v>
      </c>
      <c r="G51" s="89">
        <f t="shared" si="3"/>
        <v>19000</v>
      </c>
      <c r="H51" s="89">
        <f t="shared" si="4"/>
        <v>70833.333333333328</v>
      </c>
      <c r="I51" s="89">
        <f t="shared" si="5"/>
        <v>41412</v>
      </c>
      <c r="J51" s="89">
        <f t="shared" si="6"/>
        <v>204000</v>
      </c>
      <c r="K51" s="89">
        <f t="shared" si="7"/>
        <v>144500</v>
      </c>
      <c r="L51" s="89">
        <f t="shared" si="8"/>
        <v>996412.00000000012</v>
      </c>
      <c r="M51" s="89">
        <f t="shared" si="9"/>
        <v>2696412</v>
      </c>
      <c r="N51" s="82">
        <v>40</v>
      </c>
    </row>
    <row r="52" spans="1:16" ht="15.75" customHeight="1">
      <c r="A52" s="88" t="s">
        <v>157</v>
      </c>
      <c r="B52" s="226" t="s">
        <v>1011</v>
      </c>
      <c r="C52" s="89">
        <v>1700000</v>
      </c>
      <c r="D52" s="89">
        <v>200000</v>
      </c>
      <c r="E52" s="89">
        <f t="shared" si="1"/>
        <v>158333.33333333334</v>
      </c>
      <c r="F52" s="89">
        <f t="shared" si="2"/>
        <v>158333.33333333334</v>
      </c>
      <c r="G52" s="89">
        <f t="shared" si="3"/>
        <v>19000</v>
      </c>
      <c r="H52" s="89">
        <f t="shared" si="4"/>
        <v>70833.333333333328</v>
      </c>
      <c r="I52" s="89">
        <f t="shared" si="5"/>
        <v>41412</v>
      </c>
      <c r="J52" s="89">
        <f t="shared" si="6"/>
        <v>204000</v>
      </c>
      <c r="K52" s="89">
        <f t="shared" si="7"/>
        <v>144500</v>
      </c>
      <c r="L52" s="89">
        <f t="shared" si="8"/>
        <v>996412.00000000012</v>
      </c>
      <c r="M52" s="89">
        <f t="shared" si="9"/>
        <v>2696412</v>
      </c>
      <c r="N52" s="82">
        <v>41</v>
      </c>
    </row>
    <row r="53" spans="1:16" ht="15.75" customHeight="1">
      <c r="A53" s="88" t="s">
        <v>157</v>
      </c>
      <c r="B53" s="226" t="s">
        <v>1012</v>
      </c>
      <c r="C53" s="89">
        <v>1700000</v>
      </c>
      <c r="D53" s="89">
        <v>200000</v>
      </c>
      <c r="E53" s="89">
        <f t="shared" si="1"/>
        <v>158333.33333333334</v>
      </c>
      <c r="F53" s="89">
        <f t="shared" si="2"/>
        <v>158333.33333333334</v>
      </c>
      <c r="G53" s="89">
        <f t="shared" si="3"/>
        <v>19000</v>
      </c>
      <c r="H53" s="89">
        <f t="shared" si="4"/>
        <v>70833.333333333328</v>
      </c>
      <c r="I53" s="89">
        <f t="shared" si="5"/>
        <v>41412</v>
      </c>
      <c r="J53" s="89">
        <f t="shared" si="6"/>
        <v>204000</v>
      </c>
      <c r="K53" s="89">
        <f t="shared" si="7"/>
        <v>144500</v>
      </c>
      <c r="L53" s="89">
        <f t="shared" si="8"/>
        <v>996412.00000000012</v>
      </c>
      <c r="M53" s="89">
        <f t="shared" si="9"/>
        <v>2696412</v>
      </c>
      <c r="N53" s="82">
        <v>42</v>
      </c>
    </row>
    <row r="54" spans="1:16" ht="15.75" customHeight="1">
      <c r="A54" s="88" t="s">
        <v>157</v>
      </c>
      <c r="B54" s="226" t="s">
        <v>1013</v>
      </c>
      <c r="C54" s="89">
        <v>1700000</v>
      </c>
      <c r="D54" s="89">
        <v>200000</v>
      </c>
      <c r="E54" s="89">
        <f t="shared" si="1"/>
        <v>158333.33333333334</v>
      </c>
      <c r="F54" s="89">
        <f t="shared" si="2"/>
        <v>158333.33333333334</v>
      </c>
      <c r="G54" s="89">
        <f t="shared" si="3"/>
        <v>19000</v>
      </c>
      <c r="H54" s="89">
        <f t="shared" si="4"/>
        <v>70833.333333333328</v>
      </c>
      <c r="I54" s="89">
        <f t="shared" si="5"/>
        <v>41412</v>
      </c>
      <c r="J54" s="89">
        <f t="shared" si="6"/>
        <v>204000</v>
      </c>
      <c r="K54" s="89">
        <f t="shared" si="7"/>
        <v>144500</v>
      </c>
      <c r="L54" s="89">
        <f t="shared" si="8"/>
        <v>996412.00000000012</v>
      </c>
      <c r="M54" s="89">
        <f t="shared" si="9"/>
        <v>2696412</v>
      </c>
      <c r="N54" s="82">
        <v>43</v>
      </c>
    </row>
    <row r="55" spans="1:16" ht="15.75" customHeight="1">
      <c r="A55" s="88" t="s">
        <v>157</v>
      </c>
      <c r="B55" s="88" t="s">
        <v>168</v>
      </c>
      <c r="C55" s="89">
        <f t="shared" ref="C55:C58" si="11">1700000*1.35</f>
        <v>2295000</v>
      </c>
      <c r="D55" s="89">
        <v>200000</v>
      </c>
      <c r="E55" s="89">
        <f t="shared" si="1"/>
        <v>207916.66666666666</v>
      </c>
      <c r="F55" s="89">
        <f t="shared" si="2"/>
        <v>207916.66666666666</v>
      </c>
      <c r="G55" s="89">
        <f t="shared" si="3"/>
        <v>24949.999999999996</v>
      </c>
      <c r="H55" s="89">
        <f t="shared" si="4"/>
        <v>95625</v>
      </c>
      <c r="I55" s="89">
        <f t="shared" si="5"/>
        <v>55906.2</v>
      </c>
      <c r="J55" s="89">
        <f t="shared" si="6"/>
        <v>275400</v>
      </c>
      <c r="K55" s="89">
        <f t="shared" si="7"/>
        <v>195075</v>
      </c>
      <c r="L55" s="89">
        <f t="shared" si="8"/>
        <v>1262789.5333333332</v>
      </c>
      <c r="M55" s="89">
        <f t="shared" si="9"/>
        <v>3557789.5333333332</v>
      </c>
      <c r="N55" s="82">
        <v>44</v>
      </c>
    </row>
    <row r="56" spans="1:16" ht="15.75" customHeight="1">
      <c r="A56" s="88" t="s">
        <v>157</v>
      </c>
      <c r="B56" s="88" t="s">
        <v>169</v>
      </c>
      <c r="C56" s="89">
        <f t="shared" si="11"/>
        <v>2295000</v>
      </c>
      <c r="D56" s="89">
        <v>200000</v>
      </c>
      <c r="E56" s="89">
        <f t="shared" si="1"/>
        <v>207916.66666666666</v>
      </c>
      <c r="F56" s="89">
        <f t="shared" si="2"/>
        <v>207916.66666666666</v>
      </c>
      <c r="G56" s="89">
        <f t="shared" si="3"/>
        <v>24949.999999999996</v>
      </c>
      <c r="H56" s="89">
        <f t="shared" si="4"/>
        <v>95625</v>
      </c>
      <c r="I56" s="89">
        <f t="shared" si="5"/>
        <v>55906.2</v>
      </c>
      <c r="J56" s="89">
        <f t="shared" si="6"/>
        <v>275400</v>
      </c>
      <c r="K56" s="89">
        <f t="shared" si="7"/>
        <v>195075</v>
      </c>
      <c r="L56" s="89">
        <f t="shared" si="8"/>
        <v>1262789.5333333332</v>
      </c>
      <c r="M56" s="89">
        <f t="shared" si="9"/>
        <v>3557789.5333333332</v>
      </c>
      <c r="N56" s="82">
        <v>45</v>
      </c>
    </row>
    <row r="57" spans="1:16" ht="15.75" customHeight="1">
      <c r="A57" s="88" t="s">
        <v>157</v>
      </c>
      <c r="B57" s="88" t="s">
        <v>170</v>
      </c>
      <c r="C57" s="89">
        <f t="shared" si="11"/>
        <v>2295000</v>
      </c>
      <c r="D57" s="89">
        <v>200000</v>
      </c>
      <c r="E57" s="89">
        <f t="shared" si="1"/>
        <v>207916.66666666666</v>
      </c>
      <c r="F57" s="89">
        <f t="shared" si="2"/>
        <v>207916.66666666666</v>
      </c>
      <c r="G57" s="89">
        <f t="shared" si="3"/>
        <v>24949.999999999996</v>
      </c>
      <c r="H57" s="89">
        <f t="shared" si="4"/>
        <v>95625</v>
      </c>
      <c r="I57" s="89">
        <f t="shared" si="5"/>
        <v>55906.2</v>
      </c>
      <c r="J57" s="89">
        <f t="shared" si="6"/>
        <v>275400</v>
      </c>
      <c r="K57" s="89">
        <f t="shared" si="7"/>
        <v>195075</v>
      </c>
      <c r="L57" s="89">
        <f t="shared" si="8"/>
        <v>1262789.5333333332</v>
      </c>
      <c r="M57" s="89">
        <f t="shared" si="9"/>
        <v>3557789.5333333332</v>
      </c>
      <c r="N57" s="82">
        <v>46</v>
      </c>
    </row>
    <row r="58" spans="1:16" ht="15.75" customHeight="1">
      <c r="A58" s="88" t="s">
        <v>157</v>
      </c>
      <c r="B58" s="88" t="s">
        <v>171</v>
      </c>
      <c r="C58" s="89">
        <f t="shared" si="11"/>
        <v>2295000</v>
      </c>
      <c r="D58" s="89">
        <v>200000</v>
      </c>
      <c r="E58" s="89">
        <f t="shared" si="1"/>
        <v>207916.66666666666</v>
      </c>
      <c r="F58" s="89">
        <f t="shared" si="2"/>
        <v>207916.66666666666</v>
      </c>
      <c r="G58" s="89">
        <f t="shared" si="3"/>
        <v>24949.999999999996</v>
      </c>
      <c r="H58" s="89">
        <f t="shared" si="4"/>
        <v>95625</v>
      </c>
      <c r="I58" s="89">
        <f t="shared" si="5"/>
        <v>55906.2</v>
      </c>
      <c r="J58" s="89">
        <f t="shared" si="6"/>
        <v>275400</v>
      </c>
      <c r="K58" s="89">
        <f t="shared" si="7"/>
        <v>195075</v>
      </c>
      <c r="L58" s="89">
        <f t="shared" si="8"/>
        <v>1262789.5333333332</v>
      </c>
      <c r="M58" s="89">
        <f t="shared" si="9"/>
        <v>3557789.5333333332</v>
      </c>
      <c r="N58" s="82">
        <v>47</v>
      </c>
    </row>
    <row r="59" spans="1:16" ht="15.75" customHeight="1">
      <c r="A59" s="88" t="s">
        <v>157</v>
      </c>
      <c r="B59" s="88" t="s">
        <v>172</v>
      </c>
      <c r="C59" s="89">
        <v>2850000</v>
      </c>
      <c r="D59" s="89">
        <v>0</v>
      </c>
      <c r="E59" s="89">
        <f t="shared" si="1"/>
        <v>237500</v>
      </c>
      <c r="F59" s="89">
        <f t="shared" si="2"/>
        <v>237500</v>
      </c>
      <c r="G59" s="89">
        <f t="shared" si="3"/>
        <v>28500</v>
      </c>
      <c r="H59" s="89">
        <f t="shared" si="4"/>
        <v>118750</v>
      </c>
      <c r="I59" s="89">
        <f t="shared" si="5"/>
        <v>69426</v>
      </c>
      <c r="J59" s="89">
        <f t="shared" si="6"/>
        <v>342000</v>
      </c>
      <c r="K59" s="89">
        <f t="shared" si="7"/>
        <v>242250.00000000003</v>
      </c>
      <c r="L59" s="89">
        <f t="shared" si="8"/>
        <v>1275926</v>
      </c>
      <c r="M59" s="89">
        <f t="shared" si="9"/>
        <v>4125926</v>
      </c>
      <c r="N59" s="82">
        <v>48</v>
      </c>
    </row>
    <row r="60" spans="1:16" ht="15.75" customHeight="1">
      <c r="A60" s="99" t="s">
        <v>157</v>
      </c>
      <c r="B60" s="99" t="s">
        <v>173</v>
      </c>
      <c r="C60" s="100">
        <v>2850000</v>
      </c>
      <c r="D60" s="100"/>
      <c r="E60" s="100">
        <f t="shared" si="1"/>
        <v>237500</v>
      </c>
      <c r="F60" s="100">
        <f t="shared" si="2"/>
        <v>237500</v>
      </c>
      <c r="G60" s="100">
        <f t="shared" si="3"/>
        <v>28500</v>
      </c>
      <c r="H60" s="100">
        <f t="shared" si="4"/>
        <v>118750</v>
      </c>
      <c r="I60" s="100">
        <f t="shared" si="5"/>
        <v>69426</v>
      </c>
      <c r="J60" s="100">
        <f t="shared" si="6"/>
        <v>342000</v>
      </c>
      <c r="K60" s="100">
        <f t="shared" si="7"/>
        <v>242250.00000000003</v>
      </c>
      <c r="L60" s="100">
        <f t="shared" si="8"/>
        <v>1275926</v>
      </c>
      <c r="M60" s="100">
        <f t="shared" si="9"/>
        <v>4125926</v>
      </c>
      <c r="N60" s="82">
        <v>1</v>
      </c>
    </row>
    <row r="61" spans="1:16" ht="15.75" customHeight="1">
      <c r="A61" s="99" t="s">
        <v>157</v>
      </c>
      <c r="B61" s="227" t="s">
        <v>1014</v>
      </c>
      <c r="C61" s="100">
        <v>1700000</v>
      </c>
      <c r="D61" s="100">
        <v>200000</v>
      </c>
      <c r="E61" s="100">
        <f t="shared" si="1"/>
        <v>158333.33333333334</v>
      </c>
      <c r="F61" s="100">
        <f t="shared" si="2"/>
        <v>158333.33333333334</v>
      </c>
      <c r="G61" s="100">
        <f t="shared" si="3"/>
        <v>19000</v>
      </c>
      <c r="H61" s="100">
        <f t="shared" si="4"/>
        <v>70833.333333333328</v>
      </c>
      <c r="I61" s="100">
        <f t="shared" si="5"/>
        <v>41412</v>
      </c>
      <c r="J61" s="100">
        <f t="shared" si="6"/>
        <v>204000</v>
      </c>
      <c r="K61" s="100">
        <f t="shared" si="7"/>
        <v>144500</v>
      </c>
      <c r="L61" s="100">
        <f t="shared" si="8"/>
        <v>996412.00000000012</v>
      </c>
      <c r="M61" s="100">
        <f t="shared" si="9"/>
        <v>2696412</v>
      </c>
      <c r="N61" s="82">
        <v>2</v>
      </c>
      <c r="P61" s="98"/>
    </row>
    <row r="62" spans="1:16" ht="15.75" customHeight="1">
      <c r="A62" s="99" t="s">
        <v>157</v>
      </c>
      <c r="B62" s="227" t="s">
        <v>1015</v>
      </c>
      <c r="C62" s="100">
        <v>1700000</v>
      </c>
      <c r="D62" s="100">
        <v>200000</v>
      </c>
      <c r="E62" s="100">
        <f t="shared" si="1"/>
        <v>158333.33333333334</v>
      </c>
      <c r="F62" s="100">
        <f t="shared" si="2"/>
        <v>158333.33333333334</v>
      </c>
      <c r="G62" s="100">
        <f t="shared" si="3"/>
        <v>19000</v>
      </c>
      <c r="H62" s="100">
        <f t="shared" si="4"/>
        <v>70833.333333333328</v>
      </c>
      <c r="I62" s="100">
        <f t="shared" si="5"/>
        <v>41412</v>
      </c>
      <c r="J62" s="100">
        <f t="shared" si="6"/>
        <v>204000</v>
      </c>
      <c r="K62" s="100">
        <f t="shared" si="7"/>
        <v>144500</v>
      </c>
      <c r="L62" s="100">
        <f t="shared" si="8"/>
        <v>996412.00000000012</v>
      </c>
      <c r="M62" s="100">
        <f t="shared" si="9"/>
        <v>2696412</v>
      </c>
      <c r="N62" s="82">
        <v>3</v>
      </c>
    </row>
    <row r="63" spans="1:16" ht="15.75" customHeight="1">
      <c r="A63" s="99" t="s">
        <v>157</v>
      </c>
      <c r="B63" s="227" t="s">
        <v>1016</v>
      </c>
      <c r="C63" s="100">
        <v>1700000</v>
      </c>
      <c r="D63" s="100">
        <v>200000</v>
      </c>
      <c r="E63" s="100">
        <f t="shared" si="1"/>
        <v>158333.33333333334</v>
      </c>
      <c r="F63" s="100">
        <f t="shared" si="2"/>
        <v>158333.33333333334</v>
      </c>
      <c r="G63" s="100">
        <f t="shared" si="3"/>
        <v>19000</v>
      </c>
      <c r="H63" s="100">
        <f t="shared" si="4"/>
        <v>70833.333333333328</v>
      </c>
      <c r="I63" s="100">
        <f t="shared" si="5"/>
        <v>41412</v>
      </c>
      <c r="J63" s="100">
        <f t="shared" si="6"/>
        <v>204000</v>
      </c>
      <c r="K63" s="100">
        <f t="shared" si="7"/>
        <v>144500</v>
      </c>
      <c r="L63" s="100">
        <f t="shared" si="8"/>
        <v>996412.00000000012</v>
      </c>
      <c r="M63" s="100">
        <f t="shared" si="9"/>
        <v>2696412</v>
      </c>
      <c r="N63" s="82">
        <v>4</v>
      </c>
    </row>
    <row r="64" spans="1:16" ht="15.75" customHeight="1">
      <c r="A64" s="99" t="s">
        <v>157</v>
      </c>
      <c r="B64" s="227" t="s">
        <v>1017</v>
      </c>
      <c r="C64" s="100">
        <v>1700000</v>
      </c>
      <c r="D64" s="100">
        <v>200000</v>
      </c>
      <c r="E64" s="100">
        <f t="shared" si="1"/>
        <v>158333.33333333334</v>
      </c>
      <c r="F64" s="100">
        <f t="shared" si="2"/>
        <v>158333.33333333334</v>
      </c>
      <c r="G64" s="100">
        <f t="shared" si="3"/>
        <v>19000</v>
      </c>
      <c r="H64" s="100">
        <f t="shared" si="4"/>
        <v>70833.333333333328</v>
      </c>
      <c r="I64" s="100">
        <f t="shared" si="5"/>
        <v>41412</v>
      </c>
      <c r="J64" s="100">
        <f t="shared" si="6"/>
        <v>204000</v>
      </c>
      <c r="K64" s="100">
        <f t="shared" si="7"/>
        <v>144500</v>
      </c>
      <c r="L64" s="100">
        <f t="shared" si="8"/>
        <v>996412.00000000012</v>
      </c>
      <c r="M64" s="100">
        <f t="shared" si="9"/>
        <v>2696412</v>
      </c>
      <c r="N64" s="82">
        <v>5</v>
      </c>
    </row>
    <row r="65" spans="1:39" ht="15.75" customHeight="1">
      <c r="A65" s="99" t="s">
        <v>157</v>
      </c>
      <c r="B65" s="228" t="s">
        <v>1018</v>
      </c>
      <c r="C65" s="100">
        <v>1423500</v>
      </c>
      <c r="D65" s="100">
        <v>200000</v>
      </c>
      <c r="E65" s="100">
        <f t="shared" si="1"/>
        <v>135291.66666666666</v>
      </c>
      <c r="F65" s="100">
        <f t="shared" si="2"/>
        <v>135291.66666666666</v>
      </c>
      <c r="G65" s="100">
        <f t="shared" si="3"/>
        <v>16234.999999999998</v>
      </c>
      <c r="H65" s="100">
        <f t="shared" si="4"/>
        <v>59312.5</v>
      </c>
      <c r="I65" s="100">
        <f t="shared" si="5"/>
        <v>34676.46</v>
      </c>
      <c r="J65" s="100">
        <f t="shared" si="6"/>
        <v>170820</v>
      </c>
      <c r="K65" s="100">
        <f t="shared" si="7"/>
        <v>120997.50000000001</v>
      </c>
      <c r="L65" s="100">
        <f t="shared" si="8"/>
        <v>872624.79333333322</v>
      </c>
      <c r="M65" s="100">
        <f t="shared" si="9"/>
        <v>2296124.793333333</v>
      </c>
      <c r="N65" s="82">
        <v>6</v>
      </c>
    </row>
    <row r="66" spans="1:39" ht="15.75" customHeight="1">
      <c r="A66" s="99" t="s">
        <v>157</v>
      </c>
      <c r="B66" s="228" t="s">
        <v>1019</v>
      </c>
      <c r="C66" s="100">
        <v>1423500</v>
      </c>
      <c r="D66" s="100">
        <v>200000</v>
      </c>
      <c r="E66" s="100">
        <f t="shared" si="1"/>
        <v>135291.66666666666</v>
      </c>
      <c r="F66" s="100">
        <f t="shared" si="2"/>
        <v>135291.66666666666</v>
      </c>
      <c r="G66" s="100">
        <f t="shared" si="3"/>
        <v>16234.999999999998</v>
      </c>
      <c r="H66" s="100">
        <f t="shared" si="4"/>
        <v>59312.5</v>
      </c>
      <c r="I66" s="100">
        <f t="shared" si="5"/>
        <v>34676.46</v>
      </c>
      <c r="J66" s="100">
        <f t="shared" si="6"/>
        <v>170820</v>
      </c>
      <c r="K66" s="100">
        <f t="shared" si="7"/>
        <v>120997.50000000001</v>
      </c>
      <c r="L66" s="100">
        <f t="shared" si="8"/>
        <v>872624.79333333322</v>
      </c>
      <c r="M66" s="100">
        <f t="shared" si="9"/>
        <v>2296124.793333333</v>
      </c>
      <c r="N66" s="82">
        <v>7</v>
      </c>
    </row>
    <row r="67" spans="1:39" ht="15.75" customHeight="1">
      <c r="A67" s="99" t="s">
        <v>157</v>
      </c>
      <c r="B67" s="227" t="s">
        <v>1020</v>
      </c>
      <c r="C67" s="100">
        <v>1423500</v>
      </c>
      <c r="D67" s="100">
        <v>200000</v>
      </c>
      <c r="E67" s="100">
        <f t="shared" si="1"/>
        <v>135291.66666666666</v>
      </c>
      <c r="F67" s="100">
        <f t="shared" si="2"/>
        <v>135291.66666666666</v>
      </c>
      <c r="G67" s="100">
        <f t="shared" si="3"/>
        <v>16234.999999999998</v>
      </c>
      <c r="H67" s="100">
        <f t="shared" si="4"/>
        <v>59312.5</v>
      </c>
      <c r="I67" s="100">
        <f t="shared" si="5"/>
        <v>34676.46</v>
      </c>
      <c r="J67" s="100">
        <f t="shared" si="6"/>
        <v>170820</v>
      </c>
      <c r="K67" s="100">
        <f t="shared" si="7"/>
        <v>120997.50000000001</v>
      </c>
      <c r="L67" s="100">
        <f t="shared" si="8"/>
        <v>872624.79333333322</v>
      </c>
      <c r="M67" s="100">
        <f t="shared" si="9"/>
        <v>2296124.793333333</v>
      </c>
      <c r="N67" s="82">
        <v>8</v>
      </c>
    </row>
    <row r="68" spans="1:39" ht="15.75" customHeight="1">
      <c r="A68" s="99" t="s">
        <v>157</v>
      </c>
      <c r="B68" s="227" t="s">
        <v>1021</v>
      </c>
      <c r="C68" s="100">
        <v>1423500</v>
      </c>
      <c r="D68" s="100">
        <v>200000</v>
      </c>
      <c r="E68" s="100">
        <f t="shared" si="1"/>
        <v>135291.66666666666</v>
      </c>
      <c r="F68" s="100">
        <f t="shared" si="2"/>
        <v>135291.66666666666</v>
      </c>
      <c r="G68" s="100">
        <f t="shared" si="3"/>
        <v>16234.999999999998</v>
      </c>
      <c r="H68" s="100">
        <f t="shared" si="4"/>
        <v>59312.5</v>
      </c>
      <c r="I68" s="100">
        <f t="shared" si="5"/>
        <v>34676.46</v>
      </c>
      <c r="J68" s="100">
        <f t="shared" si="6"/>
        <v>170820</v>
      </c>
      <c r="K68" s="100">
        <f t="shared" si="7"/>
        <v>120997.50000000001</v>
      </c>
      <c r="L68" s="100">
        <f t="shared" si="8"/>
        <v>872624.79333333322</v>
      </c>
      <c r="M68" s="100">
        <f t="shared" si="9"/>
        <v>2296124.793333333</v>
      </c>
      <c r="N68" s="82">
        <v>9</v>
      </c>
    </row>
    <row r="69" spans="1:39" ht="15.75" customHeight="1">
      <c r="A69" s="99" t="s">
        <v>157</v>
      </c>
      <c r="B69" s="99" t="s">
        <v>174</v>
      </c>
      <c r="C69" s="100">
        <v>1700000</v>
      </c>
      <c r="D69" s="100">
        <v>200000</v>
      </c>
      <c r="E69" s="100">
        <f t="shared" si="1"/>
        <v>158333.33333333334</v>
      </c>
      <c r="F69" s="100">
        <f t="shared" si="2"/>
        <v>158333.33333333334</v>
      </c>
      <c r="G69" s="100">
        <f t="shared" si="3"/>
        <v>19000</v>
      </c>
      <c r="H69" s="100">
        <f t="shared" si="4"/>
        <v>70833.333333333328</v>
      </c>
      <c r="I69" s="100">
        <f t="shared" si="5"/>
        <v>41412</v>
      </c>
      <c r="J69" s="100">
        <f t="shared" si="6"/>
        <v>204000</v>
      </c>
      <c r="K69" s="100">
        <f t="shared" si="7"/>
        <v>144500</v>
      </c>
      <c r="L69" s="100">
        <f t="shared" si="8"/>
        <v>996412.00000000012</v>
      </c>
      <c r="M69" s="100">
        <f t="shared" si="9"/>
        <v>2696412</v>
      </c>
      <c r="N69" s="82">
        <v>10</v>
      </c>
    </row>
    <row r="70" spans="1:39" ht="15.75" customHeight="1">
      <c r="A70" s="99" t="s">
        <v>157</v>
      </c>
      <c r="B70" s="227" t="s">
        <v>1022</v>
      </c>
      <c r="C70" s="100">
        <v>1700000</v>
      </c>
      <c r="D70" s="100">
        <v>200000</v>
      </c>
      <c r="E70" s="100">
        <f t="shared" si="1"/>
        <v>158333.33333333334</v>
      </c>
      <c r="F70" s="100">
        <f t="shared" si="2"/>
        <v>158333.33333333334</v>
      </c>
      <c r="G70" s="100">
        <f t="shared" si="3"/>
        <v>19000</v>
      </c>
      <c r="H70" s="100">
        <f t="shared" si="4"/>
        <v>70833.333333333328</v>
      </c>
      <c r="I70" s="100">
        <f t="shared" si="5"/>
        <v>41412</v>
      </c>
      <c r="J70" s="100">
        <f t="shared" si="6"/>
        <v>204000</v>
      </c>
      <c r="K70" s="100">
        <f t="shared" si="7"/>
        <v>144500</v>
      </c>
      <c r="L70" s="100">
        <f t="shared" si="8"/>
        <v>996412.00000000012</v>
      </c>
      <c r="M70" s="100">
        <f t="shared" si="9"/>
        <v>2696412</v>
      </c>
      <c r="N70" s="82">
        <v>11</v>
      </c>
      <c r="V70" s="86"/>
      <c r="W70" s="86"/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</row>
    <row r="71" spans="1:39" ht="15.75" customHeight="1">
      <c r="A71" s="99" t="s">
        <v>157</v>
      </c>
      <c r="B71" s="228" t="s">
        <v>1023</v>
      </c>
      <c r="C71" s="100">
        <f>1700000*1.35</f>
        <v>2295000</v>
      </c>
      <c r="D71" s="100">
        <v>200000</v>
      </c>
      <c r="E71" s="100">
        <f t="shared" si="1"/>
        <v>207916.66666666666</v>
      </c>
      <c r="F71" s="100">
        <f t="shared" si="2"/>
        <v>207916.66666666666</v>
      </c>
      <c r="G71" s="100">
        <f t="shared" si="3"/>
        <v>24949.999999999996</v>
      </c>
      <c r="H71" s="100">
        <f t="shared" si="4"/>
        <v>95625</v>
      </c>
      <c r="I71" s="100">
        <f t="shared" si="5"/>
        <v>55906.2</v>
      </c>
      <c r="J71" s="100">
        <f t="shared" si="6"/>
        <v>275400</v>
      </c>
      <c r="K71" s="100">
        <f t="shared" si="7"/>
        <v>195075</v>
      </c>
      <c r="L71" s="100">
        <f t="shared" si="8"/>
        <v>1262789.5333333332</v>
      </c>
      <c r="M71" s="100">
        <f t="shared" si="9"/>
        <v>3557789.5333333332</v>
      </c>
      <c r="N71" s="82">
        <v>12</v>
      </c>
      <c r="V71" s="86"/>
      <c r="W71" s="86"/>
      <c r="X71" s="101"/>
      <c r="Y71" s="101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</row>
    <row r="72" spans="1:39" ht="15.75" customHeight="1">
      <c r="A72" s="102" t="s">
        <v>157</v>
      </c>
      <c r="B72" s="102" t="s">
        <v>175</v>
      </c>
      <c r="C72" s="103">
        <v>2850000</v>
      </c>
      <c r="D72" s="103"/>
      <c r="E72" s="103">
        <f t="shared" si="1"/>
        <v>237500</v>
      </c>
      <c r="F72" s="103">
        <f t="shared" si="2"/>
        <v>237500</v>
      </c>
      <c r="G72" s="103">
        <f t="shared" si="3"/>
        <v>28500</v>
      </c>
      <c r="H72" s="103">
        <f t="shared" si="4"/>
        <v>118750</v>
      </c>
      <c r="I72" s="103">
        <f t="shared" si="5"/>
        <v>69426</v>
      </c>
      <c r="J72" s="103">
        <f t="shared" si="6"/>
        <v>342000</v>
      </c>
      <c r="K72" s="103">
        <f t="shared" si="7"/>
        <v>242250.00000000003</v>
      </c>
      <c r="L72" s="103">
        <f t="shared" si="8"/>
        <v>1275926</v>
      </c>
      <c r="M72" s="103">
        <f t="shared" si="9"/>
        <v>4125926</v>
      </c>
      <c r="N72" s="82">
        <v>1</v>
      </c>
      <c r="P72" s="86"/>
      <c r="Q72" s="86"/>
      <c r="R72" s="86"/>
      <c r="S72" s="86"/>
      <c r="T72" s="86"/>
      <c r="U72" s="86"/>
    </row>
    <row r="73" spans="1:39" ht="15.75" customHeight="1">
      <c r="A73" s="102" t="s">
        <v>157</v>
      </c>
      <c r="B73" s="102" t="s">
        <v>176</v>
      </c>
      <c r="C73" s="103">
        <v>1423500</v>
      </c>
      <c r="D73" s="103">
        <v>200000</v>
      </c>
      <c r="E73" s="103">
        <f t="shared" si="1"/>
        <v>135291.66666666666</v>
      </c>
      <c r="F73" s="103">
        <f t="shared" si="2"/>
        <v>135291.66666666666</v>
      </c>
      <c r="G73" s="103">
        <f t="shared" si="3"/>
        <v>16234.999999999998</v>
      </c>
      <c r="H73" s="103">
        <f t="shared" si="4"/>
        <v>59312.5</v>
      </c>
      <c r="I73" s="103">
        <f t="shared" si="5"/>
        <v>34676.46</v>
      </c>
      <c r="J73" s="103">
        <f t="shared" si="6"/>
        <v>170820</v>
      </c>
      <c r="K73" s="103">
        <f t="shared" si="7"/>
        <v>120997.50000000001</v>
      </c>
      <c r="L73" s="103">
        <f t="shared" si="8"/>
        <v>872624.79333333322</v>
      </c>
      <c r="M73" s="103">
        <f t="shared" si="9"/>
        <v>2296124.793333333</v>
      </c>
      <c r="N73" s="82">
        <v>2</v>
      </c>
      <c r="P73" s="86"/>
      <c r="Q73" s="86"/>
      <c r="R73" s="86"/>
      <c r="S73" s="86"/>
      <c r="T73" s="86"/>
      <c r="U73" s="86"/>
    </row>
    <row r="74" spans="1:39" ht="15.75" customHeight="1">
      <c r="A74" s="102" t="s">
        <v>157</v>
      </c>
      <c r="B74" s="102" t="s">
        <v>177</v>
      </c>
      <c r="C74" s="103">
        <v>1423500</v>
      </c>
      <c r="D74" s="103">
        <v>200000</v>
      </c>
      <c r="E74" s="103">
        <f t="shared" si="1"/>
        <v>135291.66666666666</v>
      </c>
      <c r="F74" s="103">
        <f t="shared" si="2"/>
        <v>135291.66666666666</v>
      </c>
      <c r="G74" s="103">
        <f t="shared" si="3"/>
        <v>16234.999999999998</v>
      </c>
      <c r="H74" s="103">
        <f t="shared" si="4"/>
        <v>59312.5</v>
      </c>
      <c r="I74" s="103">
        <f t="shared" si="5"/>
        <v>34676.46</v>
      </c>
      <c r="J74" s="103">
        <f t="shared" si="6"/>
        <v>170820</v>
      </c>
      <c r="K74" s="103">
        <f t="shared" si="7"/>
        <v>120997.50000000001</v>
      </c>
      <c r="L74" s="103">
        <f t="shared" si="8"/>
        <v>872624.79333333322</v>
      </c>
      <c r="M74" s="103">
        <f t="shared" si="9"/>
        <v>2296124.793333333</v>
      </c>
      <c r="N74" s="82">
        <v>3</v>
      </c>
      <c r="P74" s="215"/>
    </row>
    <row r="75" spans="1:39" ht="15.75" customHeight="1">
      <c r="A75" s="102" t="s">
        <v>157</v>
      </c>
      <c r="B75" s="102" t="s">
        <v>178</v>
      </c>
      <c r="C75" s="103">
        <v>1423500</v>
      </c>
      <c r="D75" s="103">
        <v>200000</v>
      </c>
      <c r="E75" s="103">
        <f t="shared" si="1"/>
        <v>135291.66666666666</v>
      </c>
      <c r="F75" s="103">
        <f t="shared" si="2"/>
        <v>135291.66666666666</v>
      </c>
      <c r="G75" s="103">
        <f t="shared" si="3"/>
        <v>16234.999999999998</v>
      </c>
      <c r="H75" s="103">
        <f t="shared" si="4"/>
        <v>59312.5</v>
      </c>
      <c r="I75" s="103">
        <f t="shared" si="5"/>
        <v>34676.46</v>
      </c>
      <c r="J75" s="103">
        <f t="shared" si="6"/>
        <v>170820</v>
      </c>
      <c r="K75" s="103">
        <f t="shared" si="7"/>
        <v>120997.50000000001</v>
      </c>
      <c r="L75" s="103">
        <f t="shared" si="8"/>
        <v>872624.79333333322</v>
      </c>
      <c r="M75" s="103">
        <f t="shared" si="9"/>
        <v>2296124.793333333</v>
      </c>
      <c r="N75" s="82">
        <v>4</v>
      </c>
      <c r="P75" s="215"/>
    </row>
    <row r="76" spans="1:39" ht="15.75" customHeight="1">
      <c r="A76" s="102" t="s">
        <v>157</v>
      </c>
      <c r="B76" s="102" t="s">
        <v>179</v>
      </c>
      <c r="C76" s="103">
        <v>1423500</v>
      </c>
      <c r="D76" s="103">
        <v>200000</v>
      </c>
      <c r="E76" s="103">
        <f t="shared" si="1"/>
        <v>135291.66666666666</v>
      </c>
      <c r="F76" s="103">
        <f t="shared" si="2"/>
        <v>135291.66666666666</v>
      </c>
      <c r="G76" s="103">
        <f t="shared" si="3"/>
        <v>16234.999999999998</v>
      </c>
      <c r="H76" s="103">
        <f t="shared" si="4"/>
        <v>59312.5</v>
      </c>
      <c r="I76" s="103">
        <f t="shared" si="5"/>
        <v>34676.46</v>
      </c>
      <c r="J76" s="103">
        <f t="shared" si="6"/>
        <v>170820</v>
      </c>
      <c r="K76" s="103">
        <f t="shared" si="7"/>
        <v>120997.50000000001</v>
      </c>
      <c r="L76" s="103">
        <f t="shared" si="8"/>
        <v>872624.79333333322</v>
      </c>
      <c r="M76" s="103">
        <f t="shared" si="9"/>
        <v>2296124.793333333</v>
      </c>
      <c r="N76" s="82">
        <v>5</v>
      </c>
      <c r="P76" s="215"/>
    </row>
    <row r="77" spans="1:39" ht="15.75" customHeight="1">
      <c r="A77" s="102" t="s">
        <v>157</v>
      </c>
      <c r="B77" s="102" t="s">
        <v>180</v>
      </c>
      <c r="C77" s="103">
        <v>1423500</v>
      </c>
      <c r="D77" s="103">
        <v>200000</v>
      </c>
      <c r="E77" s="103">
        <f t="shared" si="1"/>
        <v>135291.66666666666</v>
      </c>
      <c r="F77" s="103">
        <f t="shared" si="2"/>
        <v>135291.66666666666</v>
      </c>
      <c r="G77" s="103">
        <f t="shared" si="3"/>
        <v>16234.999999999998</v>
      </c>
      <c r="H77" s="103">
        <f t="shared" si="4"/>
        <v>59312.5</v>
      </c>
      <c r="I77" s="103">
        <f t="shared" si="5"/>
        <v>34676.46</v>
      </c>
      <c r="J77" s="103">
        <f t="shared" si="6"/>
        <v>170820</v>
      </c>
      <c r="K77" s="103">
        <f t="shared" si="7"/>
        <v>120997.50000000001</v>
      </c>
      <c r="L77" s="103">
        <f t="shared" si="8"/>
        <v>872624.79333333322</v>
      </c>
      <c r="M77" s="103">
        <f t="shared" si="9"/>
        <v>2296124.793333333</v>
      </c>
      <c r="N77" s="82">
        <v>6</v>
      </c>
      <c r="P77" s="215"/>
    </row>
    <row r="78" spans="1:39" ht="15.75" customHeight="1">
      <c r="A78" s="102" t="s">
        <v>157</v>
      </c>
      <c r="B78" s="102" t="s">
        <v>181</v>
      </c>
      <c r="C78" s="103">
        <v>1423500</v>
      </c>
      <c r="D78" s="103">
        <v>200000</v>
      </c>
      <c r="E78" s="103">
        <f t="shared" si="1"/>
        <v>135291.66666666666</v>
      </c>
      <c r="F78" s="103">
        <f t="shared" si="2"/>
        <v>135291.66666666666</v>
      </c>
      <c r="G78" s="103">
        <f t="shared" si="3"/>
        <v>16234.999999999998</v>
      </c>
      <c r="H78" s="103">
        <f t="shared" si="4"/>
        <v>59312.5</v>
      </c>
      <c r="I78" s="103">
        <f t="shared" si="5"/>
        <v>34676.46</v>
      </c>
      <c r="J78" s="103">
        <f t="shared" si="6"/>
        <v>170820</v>
      </c>
      <c r="K78" s="103">
        <f t="shared" si="7"/>
        <v>120997.50000000001</v>
      </c>
      <c r="L78" s="103">
        <f t="shared" si="8"/>
        <v>872624.79333333322</v>
      </c>
      <c r="M78" s="103">
        <f t="shared" si="9"/>
        <v>2296124.793333333</v>
      </c>
      <c r="N78" s="82">
        <v>7</v>
      </c>
      <c r="P78" s="216"/>
    </row>
    <row r="79" spans="1:39" ht="15.75" customHeight="1">
      <c r="A79" s="102" t="s">
        <v>157</v>
      </c>
      <c r="B79" s="102" t="s">
        <v>182</v>
      </c>
      <c r="C79" s="103">
        <v>2850000</v>
      </c>
      <c r="D79" s="103">
        <v>0</v>
      </c>
      <c r="E79" s="103">
        <f t="shared" ref="E79:E88" si="12">+((C79+D79)*30)/360</f>
        <v>237500</v>
      </c>
      <c r="F79" s="103">
        <f t="shared" ref="F79:F88" si="13">+((C79+D79)*30)/360</f>
        <v>237500</v>
      </c>
      <c r="G79" s="103">
        <f t="shared" ref="G79:G88" si="14">+F79*0.12</f>
        <v>28500</v>
      </c>
      <c r="H79" s="103">
        <f t="shared" ref="H79:H88" si="15">+(C79*30)/720</f>
        <v>118750</v>
      </c>
      <c r="I79" s="103">
        <f t="shared" ref="I79:I88" si="16">+C79*2.436%</f>
        <v>69426</v>
      </c>
      <c r="J79" s="103">
        <f t="shared" ref="J79:J88" si="17">+(C79*12%)</f>
        <v>342000</v>
      </c>
      <c r="K79" s="103">
        <f t="shared" ref="K79:K88" si="18">+C79*8.5%</f>
        <v>242250.00000000003</v>
      </c>
      <c r="L79" s="103">
        <f t="shared" ref="L79:L88" si="19">+SUM(D79:K79)</f>
        <v>1275926</v>
      </c>
      <c r="M79" s="103">
        <f t="shared" ref="M79:M88" si="20">+C79+L79</f>
        <v>4125926</v>
      </c>
      <c r="N79" s="82">
        <v>8</v>
      </c>
      <c r="P79" s="215"/>
    </row>
    <row r="80" spans="1:39" ht="15.75" customHeight="1">
      <c r="A80" s="102" t="s">
        <v>157</v>
      </c>
      <c r="B80" s="102" t="s">
        <v>183</v>
      </c>
      <c r="C80" s="103">
        <v>2850000</v>
      </c>
      <c r="D80" s="103">
        <v>0</v>
      </c>
      <c r="E80" s="103">
        <f t="shared" si="12"/>
        <v>237500</v>
      </c>
      <c r="F80" s="103">
        <f t="shared" si="13"/>
        <v>237500</v>
      </c>
      <c r="G80" s="103">
        <f t="shared" si="14"/>
        <v>28500</v>
      </c>
      <c r="H80" s="103">
        <f t="shared" si="15"/>
        <v>118750</v>
      </c>
      <c r="I80" s="103">
        <f t="shared" si="16"/>
        <v>69426</v>
      </c>
      <c r="J80" s="103">
        <f t="shared" si="17"/>
        <v>342000</v>
      </c>
      <c r="K80" s="103">
        <f t="shared" si="18"/>
        <v>242250.00000000003</v>
      </c>
      <c r="L80" s="103">
        <f t="shared" si="19"/>
        <v>1275926</v>
      </c>
      <c r="M80" s="103">
        <f t="shared" si="20"/>
        <v>4125926</v>
      </c>
      <c r="N80" s="82">
        <v>9</v>
      </c>
      <c r="P80" s="215"/>
    </row>
    <row r="81" spans="1:20" ht="15.75" customHeight="1">
      <c r="A81" s="102" t="s">
        <v>157</v>
      </c>
      <c r="B81" s="102" t="s">
        <v>166</v>
      </c>
      <c r="C81" s="103">
        <v>1700000</v>
      </c>
      <c r="D81" s="103">
        <v>200000</v>
      </c>
      <c r="E81" s="103">
        <f t="shared" si="12"/>
        <v>158333.33333333334</v>
      </c>
      <c r="F81" s="103">
        <f t="shared" si="13"/>
        <v>158333.33333333334</v>
      </c>
      <c r="G81" s="103">
        <f t="shared" si="14"/>
        <v>19000</v>
      </c>
      <c r="H81" s="103">
        <f t="shared" si="15"/>
        <v>70833.333333333328</v>
      </c>
      <c r="I81" s="103">
        <f t="shared" si="16"/>
        <v>41412</v>
      </c>
      <c r="J81" s="103">
        <f t="shared" si="17"/>
        <v>204000</v>
      </c>
      <c r="K81" s="103">
        <f t="shared" si="18"/>
        <v>144500</v>
      </c>
      <c r="L81" s="103">
        <f t="shared" si="19"/>
        <v>996412.00000000012</v>
      </c>
      <c r="M81" s="103">
        <f t="shared" si="20"/>
        <v>2696412</v>
      </c>
      <c r="N81" s="82">
        <v>10</v>
      </c>
      <c r="P81" s="215"/>
    </row>
    <row r="82" spans="1:20" ht="15.75" customHeight="1">
      <c r="A82" s="102" t="s">
        <v>157</v>
      </c>
      <c r="B82" s="102" t="s">
        <v>167</v>
      </c>
      <c r="C82" s="103">
        <v>1700000</v>
      </c>
      <c r="D82" s="103">
        <v>200000</v>
      </c>
      <c r="E82" s="103">
        <f t="shared" si="12"/>
        <v>158333.33333333334</v>
      </c>
      <c r="F82" s="103">
        <f t="shared" si="13"/>
        <v>158333.33333333334</v>
      </c>
      <c r="G82" s="103">
        <f t="shared" si="14"/>
        <v>19000</v>
      </c>
      <c r="H82" s="103">
        <f t="shared" si="15"/>
        <v>70833.333333333328</v>
      </c>
      <c r="I82" s="103">
        <f t="shared" si="16"/>
        <v>41412</v>
      </c>
      <c r="J82" s="103">
        <f t="shared" si="17"/>
        <v>204000</v>
      </c>
      <c r="K82" s="103">
        <f t="shared" si="18"/>
        <v>144500</v>
      </c>
      <c r="L82" s="103">
        <f t="shared" si="19"/>
        <v>996412.00000000012</v>
      </c>
      <c r="M82" s="103">
        <f t="shared" si="20"/>
        <v>2696412</v>
      </c>
      <c r="N82" s="82">
        <v>11</v>
      </c>
      <c r="P82" s="215"/>
    </row>
    <row r="83" spans="1:20" ht="15" customHeight="1">
      <c r="A83" s="102" t="s">
        <v>157</v>
      </c>
      <c r="B83" s="102" t="s">
        <v>184</v>
      </c>
      <c r="C83" s="103">
        <v>2850000</v>
      </c>
      <c r="D83" s="103">
        <v>0</v>
      </c>
      <c r="E83" s="103">
        <f t="shared" si="12"/>
        <v>237500</v>
      </c>
      <c r="F83" s="103">
        <f t="shared" si="13"/>
        <v>237500</v>
      </c>
      <c r="G83" s="103">
        <f t="shared" si="14"/>
        <v>28500</v>
      </c>
      <c r="H83" s="103">
        <f t="shared" si="15"/>
        <v>118750</v>
      </c>
      <c r="I83" s="103">
        <f t="shared" si="16"/>
        <v>69426</v>
      </c>
      <c r="J83" s="103">
        <f t="shared" si="17"/>
        <v>342000</v>
      </c>
      <c r="K83" s="103">
        <f t="shared" si="18"/>
        <v>242250.00000000003</v>
      </c>
      <c r="L83" s="103">
        <f t="shared" si="19"/>
        <v>1275926</v>
      </c>
      <c r="M83" s="103">
        <f t="shared" si="20"/>
        <v>4125926</v>
      </c>
      <c r="N83" s="44">
        <v>12</v>
      </c>
      <c r="P83" s="215"/>
    </row>
    <row r="84" spans="1:20" ht="15.75" customHeight="1">
      <c r="A84" s="102" t="s">
        <v>157</v>
      </c>
      <c r="B84" s="102" t="s">
        <v>185</v>
      </c>
      <c r="C84" s="103">
        <v>1423500</v>
      </c>
      <c r="D84" s="103">
        <v>200000</v>
      </c>
      <c r="E84" s="103">
        <f t="shared" si="12"/>
        <v>135291.66666666666</v>
      </c>
      <c r="F84" s="103">
        <f t="shared" si="13"/>
        <v>135291.66666666666</v>
      </c>
      <c r="G84" s="103">
        <f t="shared" si="14"/>
        <v>16234.999999999998</v>
      </c>
      <c r="H84" s="103">
        <f t="shared" si="15"/>
        <v>59312.5</v>
      </c>
      <c r="I84" s="103">
        <f t="shared" si="16"/>
        <v>34676.46</v>
      </c>
      <c r="J84" s="103">
        <f t="shared" si="17"/>
        <v>170820</v>
      </c>
      <c r="K84" s="103">
        <f t="shared" si="18"/>
        <v>120997.50000000001</v>
      </c>
      <c r="L84" s="103">
        <f t="shared" si="19"/>
        <v>872624.79333333322</v>
      </c>
      <c r="M84" s="103">
        <f t="shared" si="20"/>
        <v>2296124.793333333</v>
      </c>
      <c r="N84" s="82">
        <v>13</v>
      </c>
      <c r="P84" s="215"/>
    </row>
    <row r="85" spans="1:20" ht="15.75" customHeight="1">
      <c r="A85" s="102" t="s">
        <v>157</v>
      </c>
      <c r="B85" s="102" t="s">
        <v>186</v>
      </c>
      <c r="C85" s="103">
        <v>1700000</v>
      </c>
      <c r="D85" s="103">
        <v>200000</v>
      </c>
      <c r="E85" s="103">
        <f t="shared" si="12"/>
        <v>158333.33333333334</v>
      </c>
      <c r="F85" s="103">
        <f t="shared" si="13"/>
        <v>158333.33333333334</v>
      </c>
      <c r="G85" s="103">
        <f t="shared" si="14"/>
        <v>19000</v>
      </c>
      <c r="H85" s="103">
        <f t="shared" si="15"/>
        <v>70833.333333333328</v>
      </c>
      <c r="I85" s="103">
        <f t="shared" si="16"/>
        <v>41412</v>
      </c>
      <c r="J85" s="103">
        <f t="shared" si="17"/>
        <v>204000</v>
      </c>
      <c r="K85" s="103">
        <f t="shared" si="18"/>
        <v>144500</v>
      </c>
      <c r="L85" s="103">
        <f t="shared" si="19"/>
        <v>996412.00000000012</v>
      </c>
      <c r="M85" s="103">
        <f t="shared" si="20"/>
        <v>2696412</v>
      </c>
      <c r="N85" s="82">
        <v>14</v>
      </c>
      <c r="P85" s="217"/>
    </row>
    <row r="86" spans="1:20" ht="15.75" customHeight="1">
      <c r="A86" s="102" t="s">
        <v>157</v>
      </c>
      <c r="B86" s="102" t="s">
        <v>187</v>
      </c>
      <c r="C86" s="103">
        <v>2850000</v>
      </c>
      <c r="D86" s="103"/>
      <c r="E86" s="103">
        <f t="shared" si="12"/>
        <v>237500</v>
      </c>
      <c r="F86" s="103">
        <f t="shared" si="13"/>
        <v>237500</v>
      </c>
      <c r="G86" s="103">
        <f t="shared" si="14"/>
        <v>28500</v>
      </c>
      <c r="H86" s="103">
        <f t="shared" si="15"/>
        <v>118750</v>
      </c>
      <c r="I86" s="103">
        <f t="shared" si="16"/>
        <v>69426</v>
      </c>
      <c r="J86" s="103">
        <f t="shared" si="17"/>
        <v>342000</v>
      </c>
      <c r="K86" s="103">
        <f t="shared" si="18"/>
        <v>242250.00000000003</v>
      </c>
      <c r="L86" s="103">
        <f t="shared" si="19"/>
        <v>1275926</v>
      </c>
      <c r="M86" s="103">
        <f t="shared" si="20"/>
        <v>4125926</v>
      </c>
      <c r="N86" s="82">
        <v>15</v>
      </c>
    </row>
    <row r="87" spans="1:20" ht="15.75" customHeight="1">
      <c r="A87" s="102" t="s">
        <v>157</v>
      </c>
      <c r="B87" s="102" t="s">
        <v>173</v>
      </c>
      <c r="C87" s="103">
        <v>2850000</v>
      </c>
      <c r="D87" s="103"/>
      <c r="E87" s="103">
        <f t="shared" si="12"/>
        <v>237500</v>
      </c>
      <c r="F87" s="103">
        <f t="shared" si="13"/>
        <v>237500</v>
      </c>
      <c r="G87" s="103">
        <f t="shared" si="14"/>
        <v>28500</v>
      </c>
      <c r="H87" s="103">
        <f t="shared" si="15"/>
        <v>118750</v>
      </c>
      <c r="I87" s="103">
        <f t="shared" si="16"/>
        <v>69426</v>
      </c>
      <c r="J87" s="103">
        <f t="shared" si="17"/>
        <v>342000</v>
      </c>
      <c r="K87" s="103">
        <f t="shared" si="18"/>
        <v>242250.00000000003</v>
      </c>
      <c r="L87" s="103">
        <f t="shared" si="19"/>
        <v>1275926</v>
      </c>
      <c r="M87" s="103">
        <f t="shared" si="20"/>
        <v>4125926</v>
      </c>
      <c r="N87" s="82">
        <v>16</v>
      </c>
    </row>
    <row r="88" spans="1:20" ht="15.75" customHeight="1">
      <c r="A88" s="104" t="s">
        <v>157</v>
      </c>
      <c r="B88" s="104" t="s">
        <v>188</v>
      </c>
      <c r="C88" s="105">
        <v>2500000</v>
      </c>
      <c r="D88" s="105">
        <v>200000</v>
      </c>
      <c r="E88" s="105">
        <f t="shared" si="12"/>
        <v>225000</v>
      </c>
      <c r="F88" s="105">
        <f t="shared" si="13"/>
        <v>225000</v>
      </c>
      <c r="G88" s="105">
        <f t="shared" si="14"/>
        <v>27000</v>
      </c>
      <c r="H88" s="105">
        <f t="shared" si="15"/>
        <v>104166.66666666667</v>
      </c>
      <c r="I88" s="105">
        <f t="shared" si="16"/>
        <v>60900</v>
      </c>
      <c r="J88" s="105">
        <f t="shared" si="17"/>
        <v>300000</v>
      </c>
      <c r="K88" s="105">
        <f t="shared" si="18"/>
        <v>212500.00000000003</v>
      </c>
      <c r="L88" s="105">
        <f t="shared" si="19"/>
        <v>1354566.6666666665</v>
      </c>
      <c r="M88" s="105">
        <f t="shared" si="20"/>
        <v>3854566.6666666665</v>
      </c>
      <c r="N88" s="82">
        <v>1</v>
      </c>
    </row>
    <row r="89" spans="1:20" ht="15.75" customHeight="1">
      <c r="A89" s="44"/>
      <c r="B89" s="44"/>
      <c r="C89" s="106"/>
      <c r="D89" s="106"/>
      <c r="E89" s="106"/>
      <c r="F89" s="106"/>
      <c r="G89" s="106"/>
      <c r="H89" s="106"/>
      <c r="I89" s="106"/>
      <c r="J89" s="106"/>
      <c r="K89" s="106"/>
      <c r="L89" s="67" t="s">
        <v>103</v>
      </c>
      <c r="M89" s="78">
        <f>SUM(M14:M88)</f>
        <v>263962949.32666653</v>
      </c>
      <c r="N89" s="82"/>
    </row>
    <row r="90" spans="1:20" ht="15.75" customHeight="1">
      <c r="A90" s="44"/>
      <c r="B90" s="44"/>
      <c r="C90" s="106"/>
      <c r="D90" s="106"/>
      <c r="E90" s="106"/>
      <c r="F90" s="106"/>
      <c r="G90" s="106"/>
      <c r="H90" s="106"/>
      <c r="I90" s="106"/>
      <c r="J90" s="106"/>
      <c r="K90" s="106"/>
      <c r="L90" s="67" t="s">
        <v>189</v>
      </c>
      <c r="M90" s="78" cm="1">
        <f t="array" ref="M90">+SUM((C84:C85)+SUM(C81:C82)+SUM(C73:C78)+SUM(C61:C71)+SUM(C38:C58))*0.05</f>
        <v>6977175</v>
      </c>
      <c r="N90" s="82"/>
      <c r="O90" s="69"/>
    </row>
    <row r="91" spans="1:20" ht="15.75" customHeight="1">
      <c r="A91" s="44"/>
      <c r="B91" s="44"/>
      <c r="C91" s="106"/>
      <c r="D91" s="106"/>
      <c r="E91" s="106"/>
      <c r="F91" s="106"/>
      <c r="G91" s="106"/>
      <c r="H91" s="106"/>
      <c r="I91" s="106"/>
      <c r="J91" s="106"/>
      <c r="K91" s="106"/>
      <c r="L91" s="67" t="s">
        <v>190</v>
      </c>
      <c r="M91" s="78">
        <f>(M89+M90)*0.12</f>
        <v>32512814.919199985</v>
      </c>
      <c r="N91" s="82"/>
      <c r="P91" s="69"/>
    </row>
    <row r="92" spans="1:20" ht="15.75" customHeight="1">
      <c r="A92" s="44"/>
      <c r="B92" s="44"/>
      <c r="C92" s="106"/>
      <c r="D92" s="106"/>
      <c r="E92" s="106"/>
      <c r="F92" s="106"/>
      <c r="G92" s="106"/>
      <c r="H92" s="106"/>
      <c r="I92" s="106"/>
      <c r="J92" s="106"/>
      <c r="K92" s="106"/>
      <c r="L92" s="67" t="s">
        <v>191</v>
      </c>
      <c r="M92" s="78">
        <f>M91*0.19</f>
        <v>6177434.8346479973</v>
      </c>
      <c r="N92" s="82"/>
      <c r="P92" s="69"/>
    </row>
    <row r="93" spans="1:20" ht="15.75" customHeight="1">
      <c r="A93" s="44"/>
      <c r="B93" s="44"/>
      <c r="C93" s="106"/>
      <c r="D93" s="106"/>
      <c r="E93" s="106"/>
      <c r="F93" s="106"/>
      <c r="G93" s="106"/>
      <c r="H93" s="106"/>
      <c r="I93" s="106"/>
      <c r="J93" s="106"/>
      <c r="K93" s="106"/>
      <c r="L93" s="67" t="s">
        <v>192</v>
      </c>
      <c r="M93" s="78">
        <f>M89*0.08</f>
        <v>21117035.946133323</v>
      </c>
      <c r="N93" s="82"/>
      <c r="P93" s="69"/>
      <c r="R93" s="69"/>
      <c r="S93" s="69"/>
      <c r="T93" s="69"/>
    </row>
    <row r="94" spans="1:20" ht="15.75" customHeight="1">
      <c r="A94" s="44"/>
      <c r="B94" s="44"/>
      <c r="C94" s="106"/>
      <c r="D94" s="106"/>
      <c r="E94" s="106"/>
      <c r="F94" s="106"/>
      <c r="G94" s="106"/>
      <c r="H94" s="106"/>
      <c r="I94" s="106"/>
      <c r="J94" s="106"/>
      <c r="K94" s="106"/>
      <c r="L94" s="67" t="s">
        <v>193</v>
      </c>
      <c r="M94" s="78">
        <f>SUM(M89:M93)</f>
        <v>330747410.02664787</v>
      </c>
      <c r="N94" s="82"/>
      <c r="O94" s="69"/>
      <c r="P94" s="69"/>
      <c r="S94" s="69"/>
    </row>
    <row r="95" spans="1:20" ht="15.75" customHeight="1">
      <c r="A95" s="44"/>
      <c r="B95" s="44"/>
      <c r="C95" s="106"/>
      <c r="D95" s="106"/>
      <c r="E95" s="106"/>
      <c r="F95" s="106"/>
      <c r="G95" s="106"/>
      <c r="H95" s="106"/>
      <c r="I95" s="106"/>
      <c r="J95" s="106"/>
      <c r="K95" s="106"/>
      <c r="L95" s="44"/>
      <c r="M95" s="107"/>
      <c r="N95" s="82"/>
    </row>
    <row r="96" spans="1:20" ht="15.75" customHeight="1">
      <c r="A96" s="44"/>
      <c r="B96" s="44"/>
      <c r="C96" s="106"/>
      <c r="D96" s="106"/>
      <c r="E96" s="106"/>
      <c r="F96" s="106"/>
      <c r="G96" s="106"/>
      <c r="H96" s="106"/>
      <c r="I96" s="106"/>
      <c r="J96" s="106"/>
      <c r="K96" s="106"/>
      <c r="L96" s="44"/>
      <c r="M96" s="82"/>
      <c r="N96" s="82"/>
      <c r="P96" s="69"/>
    </row>
    <row r="97" spans="1:14" ht="15.75" customHeight="1">
      <c r="A97" s="44"/>
      <c r="B97" s="44"/>
      <c r="C97" s="106"/>
      <c r="D97" s="382" t="s">
        <v>194</v>
      </c>
      <c r="E97" s="383"/>
      <c r="F97" s="383"/>
      <c r="G97" s="383"/>
      <c r="H97" s="383"/>
      <c r="I97" s="383"/>
      <c r="J97" s="383"/>
      <c r="K97" s="383"/>
      <c r="L97" s="384"/>
      <c r="M97" s="82"/>
      <c r="N97" s="82"/>
    </row>
    <row r="98" spans="1:14" ht="15.75" customHeight="1">
      <c r="A98" s="44"/>
      <c r="B98" s="44"/>
      <c r="C98" s="106"/>
      <c r="D98" s="108" t="s">
        <v>112</v>
      </c>
      <c r="E98" s="220"/>
      <c r="F98" s="220"/>
      <c r="G98" s="220"/>
      <c r="H98" s="220"/>
      <c r="I98" s="220"/>
      <c r="J98" s="220"/>
      <c r="K98" s="220"/>
      <c r="L98" s="109" t="s">
        <v>130</v>
      </c>
      <c r="M98" s="82"/>
      <c r="N98" s="82"/>
    </row>
    <row r="99" spans="1:14" ht="15.75" customHeight="1">
      <c r="A99" s="44"/>
      <c r="B99" s="44"/>
      <c r="C99" s="106"/>
      <c r="D99" s="110" t="s">
        <v>195</v>
      </c>
      <c r="E99" s="221"/>
      <c r="F99" s="221"/>
      <c r="G99" s="221"/>
      <c r="H99" s="221"/>
      <c r="I99" s="221"/>
      <c r="J99" s="221"/>
      <c r="K99" s="221"/>
      <c r="L99" s="111">
        <f>M94*3</f>
        <v>992242230.07994366</v>
      </c>
      <c r="M99" s="82"/>
      <c r="N99" s="82"/>
    </row>
    <row r="100" spans="1:14" ht="15.75" customHeight="1">
      <c r="A100" s="44"/>
      <c r="B100" s="44"/>
      <c r="C100" s="106"/>
      <c r="D100" s="110" t="s">
        <v>196</v>
      </c>
      <c r="E100" s="221"/>
      <c r="F100" s="221"/>
      <c r="G100" s="221"/>
      <c r="H100" s="221"/>
      <c r="I100" s="221"/>
      <c r="J100" s="221"/>
      <c r="K100" s="221"/>
      <c r="L100" s="111">
        <f>Q4</f>
        <v>180600000</v>
      </c>
      <c r="M100" s="82"/>
      <c r="N100" s="82"/>
    </row>
    <row r="101" spans="1:14" ht="15.75" customHeight="1">
      <c r="A101" s="44"/>
      <c r="B101" s="44"/>
      <c r="C101" s="106"/>
      <c r="D101" s="112" t="s">
        <v>197</v>
      </c>
      <c r="E101" s="222"/>
      <c r="F101" s="222"/>
      <c r="G101" s="222"/>
      <c r="H101" s="222"/>
      <c r="I101" s="222"/>
      <c r="J101" s="222"/>
      <c r="K101" s="222"/>
      <c r="L101" s="113">
        <f>SUM(L99:L100)</f>
        <v>1172842230.0799437</v>
      </c>
      <c r="M101" s="82"/>
      <c r="N101" s="82"/>
    </row>
    <row r="102" spans="1:14" ht="15.75" customHeight="1">
      <c r="A102" s="44"/>
      <c r="B102" s="44"/>
      <c r="C102" s="106"/>
      <c r="D102" s="106"/>
      <c r="E102" s="106"/>
      <c r="F102" s="106"/>
      <c r="G102" s="106"/>
      <c r="H102" s="106"/>
      <c r="I102" s="106"/>
      <c r="J102" s="106"/>
      <c r="K102" s="106"/>
      <c r="L102" s="44"/>
      <c r="M102" s="82"/>
      <c r="N102" s="82"/>
    </row>
    <row r="103" spans="1:14" ht="15.75" customHeight="1">
      <c r="A103" s="44"/>
      <c r="B103" s="44"/>
      <c r="C103" s="106"/>
      <c r="D103" s="106"/>
      <c r="E103" s="106"/>
      <c r="F103" s="106"/>
      <c r="G103" s="106"/>
      <c r="H103" s="106"/>
      <c r="I103" s="106"/>
      <c r="J103" s="106"/>
      <c r="K103" s="106"/>
      <c r="L103" s="44"/>
      <c r="M103" s="44"/>
      <c r="N103" s="82"/>
    </row>
    <row r="104" spans="1:14" ht="15.75" customHeight="1">
      <c r="A104" s="44"/>
      <c r="B104" s="44"/>
      <c r="C104" s="106"/>
      <c r="D104" s="106"/>
      <c r="E104" s="106"/>
      <c r="F104" s="106"/>
      <c r="G104" s="106"/>
      <c r="H104" s="106"/>
      <c r="I104" s="106"/>
      <c r="J104" s="106"/>
      <c r="K104" s="106"/>
      <c r="L104" s="44"/>
      <c r="M104" s="44"/>
      <c r="N104" s="82"/>
    </row>
    <row r="105" spans="1:14" ht="15.75" customHeight="1">
      <c r="A105" s="44"/>
      <c r="B105" s="44"/>
      <c r="C105" s="106"/>
      <c r="D105" s="106"/>
      <c r="E105" s="106"/>
      <c r="F105" s="106"/>
      <c r="G105" s="106"/>
      <c r="H105" s="106"/>
      <c r="I105" s="106"/>
      <c r="J105" s="106"/>
      <c r="K105" s="106"/>
      <c r="L105" s="44"/>
      <c r="M105" s="44"/>
      <c r="N105" s="82"/>
    </row>
    <row r="106" spans="1:14" ht="15.75" customHeight="1">
      <c r="A106" s="44"/>
      <c r="B106" s="44"/>
      <c r="C106" s="106"/>
      <c r="D106" s="106"/>
      <c r="E106" s="106"/>
      <c r="F106" s="106"/>
      <c r="G106" s="106"/>
      <c r="H106" s="106"/>
      <c r="I106" s="106"/>
      <c r="J106" s="106"/>
      <c r="K106" s="106"/>
      <c r="L106" s="44"/>
      <c r="M106" s="44"/>
      <c r="N106" s="82"/>
    </row>
    <row r="107" spans="1:14" ht="15.75" customHeight="1">
      <c r="A107" s="44"/>
      <c r="B107" s="44"/>
      <c r="C107" s="106"/>
      <c r="D107" s="106"/>
      <c r="E107" s="106"/>
      <c r="F107" s="106"/>
      <c r="G107" s="106"/>
      <c r="H107" s="106"/>
      <c r="I107" s="106"/>
      <c r="J107" s="106"/>
      <c r="K107" s="106"/>
      <c r="L107" s="44"/>
      <c r="M107" s="44"/>
      <c r="N107" s="82"/>
    </row>
    <row r="108" spans="1:14" ht="15.75" customHeight="1">
      <c r="A108" s="44"/>
      <c r="B108" s="44"/>
      <c r="C108" s="106"/>
      <c r="D108" s="106"/>
      <c r="E108" s="106"/>
      <c r="F108" s="106"/>
      <c r="G108" s="106"/>
      <c r="H108" s="106"/>
      <c r="I108" s="106"/>
      <c r="J108" s="106"/>
      <c r="K108" s="106"/>
      <c r="L108" s="44"/>
      <c r="M108" s="44"/>
      <c r="N108" s="82"/>
    </row>
    <row r="109" spans="1:14" ht="15.75" customHeight="1">
      <c r="A109" s="44"/>
      <c r="B109" s="44"/>
      <c r="C109" s="106"/>
      <c r="D109" s="106"/>
      <c r="E109" s="106"/>
      <c r="F109" s="106"/>
      <c r="G109" s="106"/>
      <c r="H109" s="106"/>
      <c r="I109" s="106"/>
      <c r="J109" s="106"/>
      <c r="K109" s="106"/>
      <c r="L109" s="44"/>
      <c r="M109" s="44"/>
      <c r="N109" s="82"/>
    </row>
    <row r="110" spans="1:14" ht="15.75" customHeight="1">
      <c r="A110" s="44"/>
      <c r="B110" s="44"/>
      <c r="C110" s="106"/>
      <c r="D110" s="106"/>
      <c r="E110" s="106"/>
      <c r="F110" s="106"/>
      <c r="G110" s="106"/>
      <c r="H110" s="106"/>
      <c r="I110" s="106"/>
      <c r="J110" s="106"/>
      <c r="K110" s="106"/>
      <c r="L110" s="44"/>
      <c r="M110" s="44"/>
      <c r="N110" s="82"/>
    </row>
    <row r="111" spans="1:14" ht="15.75" customHeight="1">
      <c r="A111" s="44"/>
      <c r="B111" s="44"/>
      <c r="C111" s="106"/>
      <c r="D111" s="106"/>
      <c r="E111" s="106"/>
      <c r="F111" s="106"/>
      <c r="G111" s="106"/>
      <c r="H111" s="106"/>
      <c r="I111" s="106"/>
      <c r="J111" s="106"/>
      <c r="K111" s="106"/>
      <c r="L111" s="44"/>
      <c r="M111" s="44"/>
      <c r="N111" s="82"/>
    </row>
    <row r="112" spans="1:14" ht="15.75" customHeight="1">
      <c r="A112" s="44"/>
      <c r="B112" s="44"/>
      <c r="C112" s="106"/>
      <c r="D112" s="106"/>
      <c r="E112" s="106"/>
      <c r="F112" s="106"/>
      <c r="G112" s="106"/>
      <c r="H112" s="106"/>
      <c r="I112" s="106"/>
      <c r="J112" s="106"/>
      <c r="K112" s="106"/>
      <c r="L112" s="44"/>
      <c r="M112" s="44"/>
      <c r="N112" s="82"/>
    </row>
    <row r="113" spans="1:14" ht="15.75" customHeight="1">
      <c r="A113" s="44"/>
      <c r="B113" s="44"/>
      <c r="C113" s="106"/>
      <c r="D113" s="106"/>
      <c r="E113" s="106"/>
      <c r="F113" s="106"/>
      <c r="G113" s="106"/>
      <c r="H113" s="106"/>
      <c r="I113" s="106"/>
      <c r="J113" s="106"/>
      <c r="K113" s="106"/>
      <c r="L113" s="44"/>
      <c r="M113" s="44"/>
      <c r="N113" s="82"/>
    </row>
    <row r="114" spans="1:14" ht="15.75" customHeight="1">
      <c r="A114" s="44"/>
      <c r="B114" s="44"/>
      <c r="C114" s="106"/>
      <c r="D114" s="106"/>
      <c r="E114" s="106"/>
      <c r="F114" s="106"/>
      <c r="G114" s="106"/>
      <c r="H114" s="106"/>
      <c r="I114" s="106"/>
      <c r="J114" s="106"/>
      <c r="K114" s="106"/>
      <c r="L114" s="44"/>
      <c r="M114" s="44"/>
      <c r="N114" s="82"/>
    </row>
    <row r="115" spans="1:14" ht="15.75" customHeight="1">
      <c r="A115" s="44"/>
      <c r="B115" s="44"/>
      <c r="C115" s="106"/>
      <c r="D115" s="106"/>
      <c r="E115" s="106"/>
      <c r="F115" s="106"/>
      <c r="G115" s="106"/>
      <c r="H115" s="106"/>
      <c r="I115" s="106"/>
      <c r="J115" s="106"/>
      <c r="K115" s="106"/>
      <c r="L115" s="44"/>
      <c r="M115" s="44"/>
      <c r="N115" s="82"/>
    </row>
    <row r="116" spans="1:14" ht="15.75" customHeight="1">
      <c r="A116" s="44"/>
      <c r="B116" s="44"/>
      <c r="C116" s="106"/>
      <c r="D116" s="106"/>
      <c r="E116" s="106"/>
      <c r="F116" s="106"/>
      <c r="G116" s="106"/>
      <c r="H116" s="106"/>
      <c r="I116" s="106"/>
      <c r="J116" s="106"/>
      <c r="K116" s="106"/>
      <c r="L116" s="44"/>
      <c r="M116" s="44"/>
      <c r="N116" s="82"/>
    </row>
    <row r="117" spans="1:14" ht="15.75" customHeight="1">
      <c r="A117" s="44"/>
      <c r="B117" s="44"/>
      <c r="C117" s="106"/>
      <c r="D117" s="106"/>
      <c r="E117" s="106"/>
      <c r="F117" s="106"/>
      <c r="G117" s="106"/>
      <c r="H117" s="106"/>
      <c r="I117" s="106"/>
      <c r="J117" s="106"/>
      <c r="K117" s="106"/>
      <c r="L117" s="44"/>
      <c r="M117" s="44"/>
      <c r="N117" s="82"/>
    </row>
    <row r="118" spans="1:14" ht="15.75" customHeight="1">
      <c r="A118" s="44"/>
      <c r="B118" s="44"/>
      <c r="C118" s="106"/>
      <c r="D118" s="106"/>
      <c r="E118" s="106"/>
      <c r="F118" s="106"/>
      <c r="G118" s="106"/>
      <c r="H118" s="106"/>
      <c r="I118" s="106"/>
      <c r="J118" s="106"/>
      <c r="K118" s="106"/>
      <c r="L118" s="44"/>
      <c r="M118" s="44"/>
      <c r="N118" s="82"/>
    </row>
    <row r="119" spans="1:14" ht="15.75" customHeight="1">
      <c r="A119" s="44"/>
      <c r="B119" s="44"/>
      <c r="C119" s="106"/>
      <c r="D119" s="106"/>
      <c r="E119" s="106"/>
      <c r="F119" s="106"/>
      <c r="G119" s="106"/>
      <c r="H119" s="106"/>
      <c r="I119" s="106"/>
      <c r="J119" s="106"/>
      <c r="K119" s="106"/>
      <c r="L119" s="44"/>
      <c r="M119" s="44"/>
      <c r="N119" s="82"/>
    </row>
    <row r="120" spans="1:14" ht="15.75" customHeight="1">
      <c r="A120" s="44"/>
      <c r="B120" s="44"/>
      <c r="C120" s="106"/>
      <c r="D120" s="106"/>
      <c r="E120" s="106"/>
      <c r="F120" s="106"/>
      <c r="G120" s="106"/>
      <c r="H120" s="106"/>
      <c r="I120" s="106"/>
      <c r="J120" s="106"/>
      <c r="K120" s="106"/>
      <c r="L120" s="44"/>
      <c r="M120" s="44"/>
      <c r="N120" s="82"/>
    </row>
    <row r="121" spans="1:14" ht="15.75" customHeight="1">
      <c r="A121" s="44"/>
      <c r="B121" s="44"/>
      <c r="C121" s="106"/>
      <c r="D121" s="106"/>
      <c r="E121" s="106"/>
      <c r="F121" s="106"/>
      <c r="G121" s="106"/>
      <c r="H121" s="106"/>
      <c r="I121" s="106"/>
      <c r="J121" s="106"/>
      <c r="K121" s="106"/>
      <c r="L121" s="44"/>
      <c r="M121" s="44"/>
      <c r="N121" s="82"/>
    </row>
    <row r="122" spans="1:14" ht="15.75" customHeight="1">
      <c r="A122" s="44"/>
      <c r="B122" s="44"/>
      <c r="C122" s="106"/>
      <c r="D122" s="106"/>
      <c r="E122" s="106"/>
      <c r="F122" s="106"/>
      <c r="G122" s="106"/>
      <c r="H122" s="106"/>
      <c r="I122" s="106"/>
      <c r="J122" s="106"/>
      <c r="K122" s="106"/>
      <c r="L122" s="44"/>
      <c r="M122" s="44"/>
      <c r="N122" s="82"/>
    </row>
    <row r="123" spans="1:14" ht="15.75" customHeight="1">
      <c r="A123" s="44"/>
      <c r="B123" s="44"/>
      <c r="C123" s="106"/>
      <c r="D123" s="106"/>
      <c r="E123" s="106"/>
      <c r="F123" s="106"/>
      <c r="G123" s="106"/>
      <c r="H123" s="106"/>
      <c r="I123" s="106"/>
      <c r="J123" s="106"/>
      <c r="K123" s="106"/>
      <c r="L123" s="44"/>
      <c r="M123" s="44"/>
      <c r="N123" s="82"/>
    </row>
    <row r="124" spans="1:14" ht="15.75" customHeight="1">
      <c r="A124" s="44"/>
      <c r="B124" s="44"/>
      <c r="C124" s="106"/>
      <c r="D124" s="106"/>
      <c r="E124" s="106"/>
      <c r="F124" s="106"/>
      <c r="G124" s="106"/>
      <c r="H124" s="106"/>
      <c r="I124" s="106"/>
      <c r="J124" s="106"/>
      <c r="K124" s="106"/>
      <c r="L124" s="44"/>
      <c r="M124" s="44"/>
      <c r="N124" s="82"/>
    </row>
    <row r="125" spans="1:14" ht="15.75" customHeight="1">
      <c r="A125" s="44"/>
      <c r="B125" s="44"/>
      <c r="C125" s="106"/>
      <c r="D125" s="106"/>
      <c r="E125" s="106"/>
      <c r="F125" s="106"/>
      <c r="G125" s="106"/>
      <c r="H125" s="106"/>
      <c r="I125" s="106"/>
      <c r="J125" s="106"/>
      <c r="K125" s="106"/>
      <c r="L125" s="44"/>
      <c r="M125" s="44"/>
      <c r="N125" s="82"/>
    </row>
    <row r="126" spans="1:14" ht="15.75" customHeight="1">
      <c r="A126" s="44"/>
      <c r="B126" s="44"/>
      <c r="C126" s="106"/>
      <c r="D126" s="106"/>
      <c r="E126" s="106"/>
      <c r="F126" s="106"/>
      <c r="G126" s="106"/>
      <c r="H126" s="106"/>
      <c r="I126" s="106"/>
      <c r="J126" s="106"/>
      <c r="K126" s="106"/>
      <c r="L126" s="44"/>
      <c r="M126" s="44"/>
      <c r="N126" s="82"/>
    </row>
    <row r="127" spans="1:14" ht="15.75" customHeight="1">
      <c r="A127" s="44"/>
      <c r="B127" s="44"/>
      <c r="C127" s="106"/>
      <c r="D127" s="106"/>
      <c r="E127" s="106"/>
      <c r="F127" s="106"/>
      <c r="G127" s="106"/>
      <c r="H127" s="106"/>
      <c r="I127" s="106"/>
      <c r="J127" s="106"/>
      <c r="K127" s="106"/>
      <c r="L127" s="44"/>
      <c r="M127" s="44"/>
      <c r="N127" s="82"/>
    </row>
    <row r="128" spans="1:14" ht="15.75" customHeight="1">
      <c r="A128" s="44"/>
      <c r="B128" s="44"/>
      <c r="C128" s="106"/>
      <c r="D128" s="106"/>
      <c r="E128" s="106"/>
      <c r="F128" s="106"/>
      <c r="G128" s="106"/>
      <c r="H128" s="106"/>
      <c r="I128" s="106"/>
      <c r="J128" s="106"/>
      <c r="K128" s="106"/>
      <c r="L128" s="44"/>
      <c r="M128" s="44"/>
      <c r="N128" s="82"/>
    </row>
    <row r="129" spans="1:14" ht="15.75" customHeight="1">
      <c r="A129" s="44"/>
      <c r="B129" s="44"/>
      <c r="C129" s="106"/>
      <c r="D129" s="106"/>
      <c r="E129" s="106"/>
      <c r="F129" s="106"/>
      <c r="G129" s="106"/>
      <c r="H129" s="106"/>
      <c r="I129" s="106"/>
      <c r="J129" s="106"/>
      <c r="K129" s="106"/>
      <c r="L129" s="44"/>
      <c r="M129" s="44"/>
      <c r="N129" s="82"/>
    </row>
    <row r="130" spans="1:14" ht="15.75" customHeight="1">
      <c r="A130" s="44"/>
      <c r="B130" s="44"/>
      <c r="C130" s="106"/>
      <c r="D130" s="106"/>
      <c r="E130" s="106"/>
      <c r="F130" s="106"/>
      <c r="G130" s="106"/>
      <c r="H130" s="106"/>
      <c r="I130" s="106"/>
      <c r="J130" s="106"/>
      <c r="K130" s="106"/>
      <c r="L130" s="44"/>
      <c r="M130" s="44"/>
      <c r="N130" s="82"/>
    </row>
    <row r="131" spans="1:14" ht="15.75" customHeight="1">
      <c r="A131" s="44"/>
      <c r="B131" s="44"/>
      <c r="C131" s="106"/>
      <c r="D131" s="106"/>
      <c r="E131" s="106"/>
      <c r="F131" s="106"/>
      <c r="G131" s="106"/>
      <c r="H131" s="106"/>
      <c r="I131" s="106"/>
      <c r="J131" s="106"/>
      <c r="K131" s="106"/>
      <c r="L131" s="44"/>
      <c r="M131" s="44"/>
      <c r="N131" s="82"/>
    </row>
    <row r="132" spans="1:14" ht="15.75" customHeight="1">
      <c r="A132" s="44"/>
      <c r="B132" s="44"/>
      <c r="C132" s="106"/>
      <c r="D132" s="106"/>
      <c r="E132" s="106"/>
      <c r="F132" s="106"/>
      <c r="G132" s="106"/>
      <c r="H132" s="106"/>
      <c r="I132" s="106"/>
      <c r="J132" s="106"/>
      <c r="K132" s="106"/>
      <c r="L132" s="44"/>
      <c r="M132" s="44"/>
      <c r="N132" s="82"/>
    </row>
    <row r="133" spans="1:14" ht="15.75" customHeight="1">
      <c r="A133" s="44"/>
      <c r="B133" s="44"/>
      <c r="C133" s="106"/>
      <c r="D133" s="106"/>
      <c r="E133" s="106"/>
      <c r="F133" s="106"/>
      <c r="G133" s="106"/>
      <c r="H133" s="106"/>
      <c r="I133" s="106"/>
      <c r="J133" s="106"/>
      <c r="K133" s="106"/>
      <c r="L133" s="44"/>
      <c r="M133" s="44"/>
      <c r="N133" s="82"/>
    </row>
    <row r="134" spans="1:14" ht="15.75" customHeight="1">
      <c r="A134" s="44"/>
      <c r="B134" s="44"/>
      <c r="C134" s="106"/>
      <c r="D134" s="106"/>
      <c r="E134" s="106"/>
      <c r="F134" s="106"/>
      <c r="G134" s="106"/>
      <c r="H134" s="106"/>
      <c r="I134" s="106"/>
      <c r="J134" s="106"/>
      <c r="K134" s="106"/>
      <c r="L134" s="44"/>
      <c r="M134" s="44"/>
      <c r="N134" s="82"/>
    </row>
    <row r="135" spans="1:14" ht="15.75" customHeight="1">
      <c r="A135" s="44"/>
      <c r="B135" s="44"/>
      <c r="C135" s="106"/>
      <c r="D135" s="106"/>
      <c r="E135" s="106"/>
      <c r="F135" s="106"/>
      <c r="G135" s="106"/>
      <c r="H135" s="106"/>
      <c r="I135" s="106"/>
      <c r="J135" s="106"/>
      <c r="K135" s="106"/>
      <c r="L135" s="44"/>
      <c r="M135" s="44"/>
      <c r="N135" s="82"/>
    </row>
    <row r="136" spans="1:14" ht="15.75" customHeight="1">
      <c r="A136" s="44"/>
      <c r="B136" s="44"/>
      <c r="C136" s="106"/>
      <c r="D136" s="106"/>
      <c r="E136" s="106"/>
      <c r="F136" s="106"/>
      <c r="G136" s="106"/>
      <c r="H136" s="106"/>
      <c r="I136" s="106"/>
      <c r="J136" s="106"/>
      <c r="K136" s="106"/>
      <c r="L136" s="44"/>
      <c r="M136" s="44"/>
      <c r="N136" s="82"/>
    </row>
    <row r="137" spans="1:14" ht="15.75" customHeight="1">
      <c r="A137" s="44"/>
      <c r="B137" s="44"/>
      <c r="C137" s="106"/>
      <c r="D137" s="106"/>
      <c r="E137" s="106"/>
      <c r="F137" s="106"/>
      <c r="G137" s="106"/>
      <c r="H137" s="106"/>
      <c r="I137" s="106"/>
      <c r="J137" s="106"/>
      <c r="K137" s="106"/>
      <c r="L137" s="44"/>
      <c r="M137" s="44"/>
      <c r="N137" s="82"/>
    </row>
    <row r="138" spans="1:14" ht="15.75" customHeight="1">
      <c r="A138" s="44"/>
      <c r="B138" s="44"/>
      <c r="C138" s="106"/>
      <c r="D138" s="106"/>
      <c r="E138" s="106"/>
      <c r="F138" s="106"/>
      <c r="G138" s="106"/>
      <c r="H138" s="106"/>
      <c r="I138" s="106"/>
      <c r="J138" s="106"/>
      <c r="K138" s="106"/>
      <c r="L138" s="44"/>
      <c r="M138" s="44"/>
      <c r="N138" s="82"/>
    </row>
    <row r="139" spans="1:14" ht="15.75" customHeight="1">
      <c r="A139" s="44"/>
      <c r="B139" s="44"/>
      <c r="C139" s="106"/>
      <c r="D139" s="106"/>
      <c r="E139" s="106"/>
      <c r="F139" s="106"/>
      <c r="G139" s="106"/>
      <c r="H139" s="106"/>
      <c r="I139" s="106"/>
      <c r="J139" s="106"/>
      <c r="K139" s="106"/>
      <c r="L139" s="44"/>
      <c r="M139" s="44"/>
      <c r="N139" s="82"/>
    </row>
    <row r="140" spans="1:14" ht="15.75" customHeight="1">
      <c r="A140" s="44"/>
      <c r="B140" s="44"/>
      <c r="C140" s="106"/>
      <c r="D140" s="106"/>
      <c r="E140" s="106"/>
      <c r="F140" s="106"/>
      <c r="G140" s="106"/>
      <c r="H140" s="106"/>
      <c r="I140" s="106"/>
      <c r="J140" s="106"/>
      <c r="K140" s="106"/>
      <c r="L140" s="44"/>
      <c r="M140" s="44"/>
      <c r="N140" s="82"/>
    </row>
    <row r="141" spans="1:14" ht="15.75" customHeight="1">
      <c r="A141" s="44"/>
      <c r="B141" s="44"/>
      <c r="C141" s="106"/>
      <c r="D141" s="106"/>
      <c r="E141" s="106"/>
      <c r="F141" s="106"/>
      <c r="G141" s="106"/>
      <c r="H141" s="106"/>
      <c r="I141" s="106"/>
      <c r="J141" s="106"/>
      <c r="K141" s="106"/>
      <c r="L141" s="44"/>
      <c r="M141" s="44"/>
      <c r="N141" s="82"/>
    </row>
    <row r="142" spans="1:14" ht="15.75" customHeight="1">
      <c r="A142" s="44"/>
      <c r="B142" s="44"/>
      <c r="C142" s="106"/>
      <c r="D142" s="106"/>
      <c r="E142" s="106"/>
      <c r="F142" s="106"/>
      <c r="G142" s="106"/>
      <c r="H142" s="106"/>
      <c r="I142" s="106"/>
      <c r="J142" s="106"/>
      <c r="K142" s="106"/>
      <c r="L142" s="44"/>
      <c r="M142" s="44"/>
      <c r="N142" s="82"/>
    </row>
    <row r="143" spans="1:14" ht="15.75" customHeight="1">
      <c r="A143" s="44"/>
      <c r="B143" s="44"/>
      <c r="C143" s="106"/>
      <c r="D143" s="106"/>
      <c r="E143" s="106"/>
      <c r="F143" s="106"/>
      <c r="G143" s="106"/>
      <c r="H143" s="106"/>
      <c r="I143" s="106"/>
      <c r="J143" s="106"/>
      <c r="K143" s="106"/>
      <c r="L143" s="44"/>
      <c r="M143" s="44"/>
      <c r="N143" s="82"/>
    </row>
    <row r="144" spans="1:14" ht="15.75" customHeight="1">
      <c r="A144" s="44"/>
      <c r="B144" s="44"/>
      <c r="C144" s="106"/>
      <c r="D144" s="106"/>
      <c r="E144" s="106"/>
      <c r="F144" s="106"/>
      <c r="G144" s="106"/>
      <c r="H144" s="106"/>
      <c r="I144" s="106"/>
      <c r="J144" s="106"/>
      <c r="K144" s="106"/>
      <c r="L144" s="44"/>
      <c r="M144" s="44"/>
      <c r="N144" s="82"/>
    </row>
    <row r="145" spans="1:14" ht="15.75" customHeight="1">
      <c r="A145" s="44"/>
      <c r="B145" s="44"/>
      <c r="C145" s="106"/>
      <c r="D145" s="106"/>
      <c r="E145" s="106"/>
      <c r="F145" s="106"/>
      <c r="G145" s="106"/>
      <c r="H145" s="106"/>
      <c r="I145" s="106"/>
      <c r="J145" s="106"/>
      <c r="K145" s="106"/>
      <c r="L145" s="44"/>
      <c r="M145" s="44"/>
      <c r="N145" s="82"/>
    </row>
    <row r="146" spans="1:14" ht="15.75" customHeight="1">
      <c r="A146" s="44"/>
      <c r="B146" s="44"/>
      <c r="C146" s="106"/>
      <c r="D146" s="106"/>
      <c r="E146" s="106"/>
      <c r="F146" s="106"/>
      <c r="G146" s="106"/>
      <c r="H146" s="106"/>
      <c r="I146" s="106"/>
      <c r="J146" s="106"/>
      <c r="K146" s="106"/>
      <c r="L146" s="44"/>
      <c r="M146" s="44"/>
      <c r="N146" s="82"/>
    </row>
    <row r="147" spans="1:14" ht="15.75" customHeight="1">
      <c r="A147" s="44"/>
      <c r="B147" s="44"/>
      <c r="C147" s="106"/>
      <c r="D147" s="106"/>
      <c r="E147" s="106"/>
      <c r="F147" s="106"/>
      <c r="G147" s="106"/>
      <c r="H147" s="106"/>
      <c r="I147" s="106"/>
      <c r="J147" s="106"/>
      <c r="K147" s="106"/>
      <c r="L147" s="44"/>
      <c r="M147" s="44"/>
      <c r="N147" s="82"/>
    </row>
    <row r="148" spans="1:14" ht="15.75" customHeight="1">
      <c r="A148" s="44"/>
      <c r="B148" s="44"/>
      <c r="C148" s="106"/>
      <c r="D148" s="106"/>
      <c r="E148" s="106"/>
      <c r="F148" s="106"/>
      <c r="G148" s="106"/>
      <c r="H148" s="106"/>
      <c r="I148" s="106"/>
      <c r="J148" s="106"/>
      <c r="K148" s="106"/>
      <c r="L148" s="44"/>
      <c r="M148" s="44"/>
      <c r="N148" s="82"/>
    </row>
    <row r="149" spans="1:14" ht="15.75" customHeight="1">
      <c r="A149" s="44"/>
      <c r="B149" s="44"/>
      <c r="C149" s="106"/>
      <c r="D149" s="106"/>
      <c r="E149" s="106"/>
      <c r="F149" s="106"/>
      <c r="G149" s="106"/>
      <c r="H149" s="106"/>
      <c r="I149" s="106"/>
      <c r="J149" s="106"/>
      <c r="K149" s="106"/>
      <c r="L149" s="44"/>
      <c r="M149" s="44"/>
      <c r="N149" s="82"/>
    </row>
    <row r="150" spans="1:14" ht="15.75" customHeight="1">
      <c r="A150" s="44"/>
      <c r="B150" s="44"/>
      <c r="C150" s="106"/>
      <c r="D150" s="106"/>
      <c r="E150" s="106"/>
      <c r="F150" s="106"/>
      <c r="G150" s="106"/>
      <c r="H150" s="106"/>
      <c r="I150" s="106"/>
      <c r="J150" s="106"/>
      <c r="K150" s="106"/>
      <c r="L150" s="44"/>
      <c r="M150" s="44"/>
      <c r="N150" s="82"/>
    </row>
    <row r="151" spans="1:14" ht="15.75" customHeight="1">
      <c r="A151" s="44"/>
      <c r="B151" s="44"/>
      <c r="C151" s="106"/>
      <c r="D151" s="106"/>
      <c r="E151" s="106"/>
      <c r="F151" s="106"/>
      <c r="G151" s="106"/>
      <c r="H151" s="106"/>
      <c r="I151" s="106"/>
      <c r="J151" s="106"/>
      <c r="K151" s="106"/>
      <c r="L151" s="44"/>
      <c r="M151" s="44"/>
      <c r="N151" s="82"/>
    </row>
    <row r="152" spans="1:14" ht="15.75" customHeight="1">
      <c r="A152" s="44"/>
      <c r="B152" s="44"/>
      <c r="C152" s="106"/>
      <c r="D152" s="106"/>
      <c r="E152" s="106"/>
      <c r="F152" s="106"/>
      <c r="G152" s="106"/>
      <c r="H152" s="106"/>
      <c r="I152" s="106"/>
      <c r="J152" s="106"/>
      <c r="K152" s="106"/>
      <c r="L152" s="44"/>
      <c r="M152" s="44"/>
      <c r="N152" s="82"/>
    </row>
    <row r="153" spans="1:14" ht="15.75" customHeight="1">
      <c r="A153" s="44"/>
      <c r="B153" s="44"/>
      <c r="C153" s="106"/>
      <c r="D153" s="106"/>
      <c r="E153" s="106"/>
      <c r="F153" s="106"/>
      <c r="G153" s="106"/>
      <c r="H153" s="106"/>
      <c r="I153" s="106"/>
      <c r="J153" s="106"/>
      <c r="K153" s="106"/>
      <c r="L153" s="44"/>
      <c r="M153" s="44"/>
      <c r="N153" s="82"/>
    </row>
    <row r="154" spans="1:14" ht="15.75" customHeight="1">
      <c r="A154" s="44"/>
      <c r="B154" s="44"/>
      <c r="C154" s="106"/>
      <c r="D154" s="106"/>
      <c r="E154" s="106"/>
      <c r="F154" s="106"/>
      <c r="G154" s="106"/>
      <c r="H154" s="106"/>
      <c r="I154" s="106"/>
      <c r="J154" s="106"/>
      <c r="K154" s="106"/>
      <c r="L154" s="44"/>
      <c r="M154" s="44"/>
      <c r="N154" s="82"/>
    </row>
    <row r="155" spans="1:14" ht="15.75" customHeight="1">
      <c r="A155" s="44"/>
      <c r="B155" s="44"/>
      <c r="C155" s="106"/>
      <c r="D155" s="106"/>
      <c r="E155" s="106"/>
      <c r="F155" s="106"/>
      <c r="G155" s="106"/>
      <c r="H155" s="106"/>
      <c r="I155" s="106"/>
      <c r="J155" s="106"/>
      <c r="K155" s="106"/>
      <c r="L155" s="44"/>
      <c r="M155" s="44"/>
      <c r="N155" s="82"/>
    </row>
    <row r="156" spans="1:14" ht="15.75" customHeight="1">
      <c r="A156" s="44"/>
      <c r="B156" s="44"/>
      <c r="C156" s="106"/>
      <c r="D156" s="106"/>
      <c r="E156" s="106"/>
      <c r="F156" s="106"/>
      <c r="G156" s="106"/>
      <c r="H156" s="106"/>
      <c r="I156" s="106"/>
      <c r="J156" s="106"/>
      <c r="K156" s="106"/>
      <c r="L156" s="44"/>
      <c r="M156" s="44"/>
      <c r="N156" s="82"/>
    </row>
    <row r="157" spans="1:14" ht="15.75" customHeight="1">
      <c r="A157" s="44"/>
      <c r="B157" s="44"/>
      <c r="C157" s="106"/>
      <c r="D157" s="106"/>
      <c r="E157" s="106"/>
      <c r="F157" s="106"/>
      <c r="G157" s="106"/>
      <c r="H157" s="106"/>
      <c r="I157" s="106"/>
      <c r="J157" s="106"/>
      <c r="K157" s="106"/>
      <c r="L157" s="44"/>
      <c r="M157" s="44"/>
      <c r="N157" s="82"/>
    </row>
    <row r="158" spans="1:14" ht="15.75" customHeight="1">
      <c r="A158" s="44"/>
      <c r="B158" s="44"/>
      <c r="C158" s="106"/>
      <c r="D158" s="106"/>
      <c r="E158" s="106"/>
      <c r="F158" s="106"/>
      <c r="G158" s="106"/>
      <c r="H158" s="106"/>
      <c r="I158" s="106"/>
      <c r="J158" s="106"/>
      <c r="K158" s="106"/>
      <c r="L158" s="44"/>
      <c r="M158" s="44"/>
      <c r="N158" s="82"/>
    </row>
    <row r="159" spans="1:14" ht="15.75" customHeight="1">
      <c r="A159" s="44"/>
      <c r="B159" s="44"/>
      <c r="C159" s="106"/>
      <c r="D159" s="106"/>
      <c r="E159" s="106"/>
      <c r="F159" s="106"/>
      <c r="G159" s="106"/>
      <c r="H159" s="106"/>
      <c r="I159" s="106"/>
      <c r="J159" s="106"/>
      <c r="K159" s="106"/>
      <c r="L159" s="44"/>
      <c r="M159" s="44"/>
      <c r="N159" s="82"/>
    </row>
    <row r="160" spans="1:14" ht="15.75" customHeight="1">
      <c r="A160" s="44"/>
      <c r="B160" s="44"/>
      <c r="C160" s="106"/>
      <c r="D160" s="106"/>
      <c r="E160" s="106"/>
      <c r="F160" s="106"/>
      <c r="G160" s="106"/>
      <c r="H160" s="106"/>
      <c r="I160" s="106"/>
      <c r="J160" s="106"/>
      <c r="K160" s="106"/>
      <c r="L160" s="44"/>
      <c r="M160" s="44"/>
      <c r="N160" s="82"/>
    </row>
    <row r="161" spans="1:14" ht="15.75" customHeight="1">
      <c r="A161" s="44"/>
      <c r="B161" s="44"/>
      <c r="C161" s="106"/>
      <c r="D161" s="106"/>
      <c r="E161" s="106"/>
      <c r="F161" s="106"/>
      <c r="G161" s="106"/>
      <c r="H161" s="106"/>
      <c r="I161" s="106"/>
      <c r="J161" s="106"/>
      <c r="K161" s="106"/>
      <c r="L161" s="44"/>
      <c r="M161" s="44"/>
      <c r="N161" s="82"/>
    </row>
    <row r="162" spans="1:14" ht="15.75" customHeight="1">
      <c r="A162" s="44"/>
      <c r="B162" s="44"/>
      <c r="C162" s="106"/>
      <c r="D162" s="106"/>
      <c r="E162" s="106"/>
      <c r="F162" s="106"/>
      <c r="G162" s="106"/>
      <c r="H162" s="106"/>
      <c r="I162" s="106"/>
      <c r="J162" s="106"/>
      <c r="K162" s="106"/>
      <c r="L162" s="44"/>
      <c r="M162" s="44"/>
      <c r="N162" s="82"/>
    </row>
    <row r="163" spans="1:14" ht="15.75" customHeight="1">
      <c r="A163" s="44"/>
      <c r="B163" s="44"/>
      <c r="C163" s="106"/>
      <c r="D163" s="106"/>
      <c r="E163" s="106"/>
      <c r="F163" s="106"/>
      <c r="G163" s="106"/>
      <c r="H163" s="106"/>
      <c r="I163" s="106"/>
      <c r="J163" s="106"/>
      <c r="K163" s="106"/>
      <c r="L163" s="44"/>
      <c r="M163" s="44"/>
      <c r="N163" s="82"/>
    </row>
    <row r="164" spans="1:14" ht="15.75" customHeight="1">
      <c r="A164" s="44"/>
      <c r="B164" s="44"/>
      <c r="C164" s="106"/>
      <c r="D164" s="106"/>
      <c r="E164" s="106"/>
      <c r="F164" s="106"/>
      <c r="G164" s="106"/>
      <c r="H164" s="106"/>
      <c r="I164" s="106"/>
      <c r="J164" s="106"/>
      <c r="K164" s="106"/>
      <c r="L164" s="44"/>
      <c r="M164" s="44"/>
      <c r="N164" s="82"/>
    </row>
    <row r="165" spans="1:14" ht="15.75" customHeight="1">
      <c r="A165" s="44"/>
      <c r="B165" s="44"/>
      <c r="C165" s="106"/>
      <c r="D165" s="106"/>
      <c r="E165" s="106"/>
      <c r="F165" s="106"/>
      <c r="G165" s="106"/>
      <c r="H165" s="106"/>
      <c r="I165" s="106"/>
      <c r="J165" s="106"/>
      <c r="K165" s="106"/>
      <c r="L165" s="44"/>
      <c r="M165" s="44"/>
      <c r="N165" s="82"/>
    </row>
    <row r="166" spans="1:14" ht="15.75" customHeight="1">
      <c r="A166" s="44"/>
      <c r="B166" s="44"/>
      <c r="C166" s="106"/>
      <c r="D166" s="106"/>
      <c r="E166" s="106"/>
      <c r="F166" s="106"/>
      <c r="G166" s="106"/>
      <c r="H166" s="106"/>
      <c r="I166" s="106"/>
      <c r="J166" s="106"/>
      <c r="K166" s="106"/>
      <c r="L166" s="44"/>
      <c r="M166" s="44"/>
      <c r="N166" s="82"/>
    </row>
    <row r="167" spans="1:14" ht="15.75" customHeight="1">
      <c r="A167" s="44"/>
      <c r="B167" s="44"/>
      <c r="C167" s="106"/>
      <c r="D167" s="106"/>
      <c r="E167" s="106"/>
      <c r="F167" s="106"/>
      <c r="G167" s="106"/>
      <c r="H167" s="106"/>
      <c r="I167" s="106"/>
      <c r="J167" s="106"/>
      <c r="K167" s="106"/>
      <c r="L167" s="44"/>
      <c r="M167" s="44"/>
      <c r="N167" s="82"/>
    </row>
    <row r="168" spans="1:14" ht="15.75" customHeight="1">
      <c r="A168" s="44"/>
      <c r="B168" s="44"/>
      <c r="C168" s="106"/>
      <c r="D168" s="106"/>
      <c r="E168" s="106"/>
      <c r="F168" s="106"/>
      <c r="G168" s="106"/>
      <c r="H168" s="106"/>
      <c r="I168" s="106"/>
      <c r="J168" s="106"/>
      <c r="K168" s="106"/>
      <c r="L168" s="44"/>
      <c r="M168" s="44"/>
      <c r="N168" s="82"/>
    </row>
    <row r="169" spans="1:14" ht="15.75" customHeight="1">
      <c r="A169" s="44"/>
      <c r="B169" s="44"/>
      <c r="C169" s="106"/>
      <c r="D169" s="106"/>
      <c r="E169" s="106"/>
      <c r="F169" s="106"/>
      <c r="G169" s="106"/>
      <c r="H169" s="106"/>
      <c r="I169" s="106"/>
      <c r="J169" s="106"/>
      <c r="K169" s="106"/>
      <c r="L169" s="44"/>
      <c r="M169" s="44"/>
      <c r="N169" s="82"/>
    </row>
    <row r="170" spans="1:14" ht="15.75" customHeight="1">
      <c r="A170" s="44"/>
      <c r="B170" s="44"/>
      <c r="C170" s="106"/>
      <c r="D170" s="106"/>
      <c r="E170" s="106"/>
      <c r="F170" s="106"/>
      <c r="G170" s="106"/>
      <c r="H170" s="106"/>
      <c r="I170" s="106"/>
      <c r="J170" s="106"/>
      <c r="K170" s="106"/>
      <c r="L170" s="44"/>
      <c r="M170" s="44"/>
      <c r="N170" s="82"/>
    </row>
    <row r="171" spans="1:14" ht="15.75" customHeight="1">
      <c r="A171" s="44"/>
      <c r="B171" s="44"/>
      <c r="C171" s="106"/>
      <c r="D171" s="106"/>
      <c r="E171" s="106"/>
      <c r="F171" s="106"/>
      <c r="G171" s="106"/>
      <c r="H171" s="106"/>
      <c r="I171" s="106"/>
      <c r="J171" s="106"/>
      <c r="K171" s="106"/>
      <c r="L171" s="44"/>
      <c r="M171" s="44"/>
      <c r="N171" s="82"/>
    </row>
    <row r="172" spans="1:14" ht="15.75" customHeight="1">
      <c r="A172" s="44"/>
      <c r="B172" s="44"/>
      <c r="C172" s="106"/>
      <c r="D172" s="106"/>
      <c r="E172" s="106"/>
      <c r="F172" s="106"/>
      <c r="G172" s="106"/>
      <c r="H172" s="106"/>
      <c r="I172" s="106"/>
      <c r="J172" s="106"/>
      <c r="K172" s="106"/>
      <c r="L172" s="44"/>
      <c r="M172" s="44"/>
      <c r="N172" s="82"/>
    </row>
    <row r="173" spans="1:14" ht="15.75" customHeight="1">
      <c r="A173" s="44"/>
      <c r="B173" s="44"/>
      <c r="C173" s="106"/>
      <c r="D173" s="106"/>
      <c r="E173" s="106"/>
      <c r="F173" s="106"/>
      <c r="G173" s="106"/>
      <c r="H173" s="106"/>
      <c r="I173" s="106"/>
      <c r="J173" s="106"/>
      <c r="K173" s="106"/>
      <c r="L173" s="44"/>
      <c r="M173" s="44"/>
      <c r="N173" s="82"/>
    </row>
    <row r="174" spans="1:14" ht="15.75" customHeight="1">
      <c r="A174" s="44"/>
      <c r="B174" s="44"/>
      <c r="C174" s="106"/>
      <c r="D174" s="106"/>
      <c r="E174" s="106"/>
      <c r="F174" s="106"/>
      <c r="G174" s="106"/>
      <c r="H174" s="106"/>
      <c r="I174" s="106"/>
      <c r="J174" s="106"/>
      <c r="K174" s="106"/>
      <c r="L174" s="44"/>
      <c r="M174" s="44"/>
      <c r="N174" s="82"/>
    </row>
    <row r="175" spans="1:14" ht="15.75" customHeight="1">
      <c r="A175" s="44"/>
      <c r="B175" s="44"/>
      <c r="C175" s="106"/>
      <c r="D175" s="106"/>
      <c r="E175" s="106"/>
      <c r="F175" s="106"/>
      <c r="G175" s="106"/>
      <c r="H175" s="106"/>
      <c r="I175" s="106"/>
      <c r="J175" s="106"/>
      <c r="K175" s="106"/>
      <c r="L175" s="44"/>
      <c r="M175" s="44"/>
      <c r="N175" s="82"/>
    </row>
    <row r="176" spans="1:14" ht="15.75" customHeight="1">
      <c r="A176" s="44"/>
      <c r="B176" s="44"/>
      <c r="C176" s="106"/>
      <c r="D176" s="106"/>
      <c r="E176" s="106"/>
      <c r="F176" s="106"/>
      <c r="G176" s="106"/>
      <c r="H176" s="106"/>
      <c r="I176" s="106"/>
      <c r="J176" s="106"/>
      <c r="K176" s="106"/>
      <c r="L176" s="44"/>
      <c r="M176" s="44"/>
      <c r="N176" s="82"/>
    </row>
    <row r="177" spans="1:14" ht="15.75" customHeight="1">
      <c r="A177" s="44"/>
      <c r="B177" s="44"/>
      <c r="C177" s="106"/>
      <c r="D177" s="106"/>
      <c r="E177" s="106"/>
      <c r="F177" s="106"/>
      <c r="G177" s="106"/>
      <c r="H177" s="106"/>
      <c r="I177" s="106"/>
      <c r="J177" s="106"/>
      <c r="K177" s="106"/>
      <c r="L177" s="44"/>
      <c r="M177" s="44"/>
      <c r="N177" s="82"/>
    </row>
    <row r="178" spans="1:14" ht="15.75" customHeight="1">
      <c r="A178" s="44"/>
      <c r="B178" s="44"/>
      <c r="C178" s="106"/>
      <c r="D178" s="106"/>
      <c r="E178" s="106"/>
      <c r="F178" s="106"/>
      <c r="G178" s="106"/>
      <c r="H178" s="106"/>
      <c r="I178" s="106"/>
      <c r="J178" s="106"/>
      <c r="K178" s="106"/>
      <c r="L178" s="44"/>
      <c r="M178" s="44"/>
      <c r="N178" s="82"/>
    </row>
    <row r="179" spans="1:14" ht="15.75" customHeight="1">
      <c r="A179" s="44"/>
      <c r="B179" s="44"/>
      <c r="C179" s="106"/>
      <c r="D179" s="106"/>
      <c r="E179" s="106"/>
      <c r="F179" s="106"/>
      <c r="G179" s="106"/>
      <c r="H179" s="106"/>
      <c r="I179" s="106"/>
      <c r="J179" s="106"/>
      <c r="K179" s="106"/>
      <c r="L179" s="44"/>
      <c r="M179" s="44"/>
      <c r="N179" s="82"/>
    </row>
    <row r="180" spans="1:14" ht="15.75" customHeight="1">
      <c r="A180" s="44"/>
      <c r="B180" s="44"/>
      <c r="C180" s="106"/>
      <c r="D180" s="106"/>
      <c r="E180" s="106"/>
      <c r="F180" s="106"/>
      <c r="G180" s="106"/>
      <c r="H180" s="106"/>
      <c r="I180" s="106"/>
      <c r="J180" s="106"/>
      <c r="K180" s="106"/>
      <c r="L180" s="44"/>
      <c r="M180" s="44"/>
      <c r="N180" s="82"/>
    </row>
    <row r="181" spans="1:14" ht="15.75" customHeight="1">
      <c r="A181" s="44"/>
      <c r="B181" s="44"/>
      <c r="C181" s="106"/>
      <c r="D181" s="106"/>
      <c r="E181" s="106"/>
      <c r="F181" s="106"/>
      <c r="G181" s="106"/>
      <c r="H181" s="106"/>
      <c r="I181" s="106"/>
      <c r="J181" s="106"/>
      <c r="K181" s="106"/>
      <c r="L181" s="44"/>
      <c r="M181" s="44"/>
      <c r="N181" s="82"/>
    </row>
    <row r="182" spans="1:14" ht="15.75" customHeight="1">
      <c r="A182" s="44"/>
      <c r="B182" s="44"/>
      <c r="C182" s="106"/>
      <c r="D182" s="106"/>
      <c r="E182" s="106"/>
      <c r="F182" s="106"/>
      <c r="G182" s="106"/>
      <c r="H182" s="106"/>
      <c r="I182" s="106"/>
      <c r="J182" s="106"/>
      <c r="K182" s="106"/>
      <c r="L182" s="44"/>
      <c r="M182" s="44"/>
      <c r="N182" s="82"/>
    </row>
    <row r="183" spans="1:14" ht="15.75" customHeight="1">
      <c r="A183" s="44"/>
      <c r="B183" s="44"/>
      <c r="C183" s="106"/>
      <c r="D183" s="106"/>
      <c r="E183" s="106"/>
      <c r="F183" s="106"/>
      <c r="G183" s="106"/>
      <c r="H183" s="106"/>
      <c r="I183" s="106"/>
      <c r="J183" s="106"/>
      <c r="K183" s="106"/>
      <c r="L183" s="44"/>
      <c r="M183" s="44"/>
      <c r="N183" s="82"/>
    </row>
    <row r="184" spans="1:14" ht="15.75" customHeight="1">
      <c r="A184" s="44"/>
      <c r="B184" s="44"/>
      <c r="C184" s="106"/>
      <c r="D184" s="106"/>
      <c r="E184" s="106"/>
      <c r="F184" s="106"/>
      <c r="G184" s="106"/>
      <c r="H184" s="106"/>
      <c r="I184" s="106"/>
      <c r="J184" s="106"/>
      <c r="K184" s="106"/>
      <c r="L184" s="44"/>
      <c r="M184" s="44"/>
      <c r="N184" s="82"/>
    </row>
    <row r="185" spans="1:14" ht="15.75" customHeight="1">
      <c r="A185" s="44"/>
      <c r="B185" s="44"/>
      <c r="C185" s="106"/>
      <c r="D185" s="106"/>
      <c r="E185" s="106"/>
      <c r="F185" s="106"/>
      <c r="G185" s="106"/>
      <c r="H185" s="106"/>
      <c r="I185" s="106"/>
      <c r="J185" s="106"/>
      <c r="K185" s="106"/>
      <c r="L185" s="44"/>
      <c r="M185" s="44"/>
      <c r="N185" s="82"/>
    </row>
    <row r="186" spans="1:14" ht="15.75" customHeight="1">
      <c r="A186" s="44"/>
      <c r="B186" s="44"/>
      <c r="C186" s="106"/>
      <c r="D186" s="106"/>
      <c r="E186" s="106"/>
      <c r="F186" s="106"/>
      <c r="G186" s="106"/>
      <c r="H186" s="106"/>
      <c r="I186" s="106"/>
      <c r="J186" s="106"/>
      <c r="K186" s="106"/>
      <c r="L186" s="44"/>
      <c r="M186" s="44"/>
      <c r="N186" s="82"/>
    </row>
    <row r="187" spans="1:14" ht="15.75" customHeight="1">
      <c r="A187" s="44"/>
      <c r="B187" s="44"/>
      <c r="C187" s="106"/>
      <c r="D187" s="106"/>
      <c r="E187" s="106"/>
      <c r="F187" s="106"/>
      <c r="G187" s="106"/>
      <c r="H187" s="106"/>
      <c r="I187" s="106"/>
      <c r="J187" s="106"/>
      <c r="K187" s="106"/>
      <c r="L187" s="44"/>
      <c r="M187" s="44"/>
      <c r="N187" s="82"/>
    </row>
    <row r="188" spans="1:14" ht="15.75" customHeight="1">
      <c r="A188" s="44"/>
      <c r="B188" s="44"/>
      <c r="C188" s="106"/>
      <c r="D188" s="106"/>
      <c r="E188" s="106"/>
      <c r="F188" s="106"/>
      <c r="G188" s="106"/>
      <c r="H188" s="106"/>
      <c r="I188" s="106"/>
      <c r="J188" s="106"/>
      <c r="K188" s="106"/>
      <c r="L188" s="44"/>
      <c r="M188" s="44"/>
      <c r="N188" s="82"/>
    </row>
    <row r="189" spans="1:14" ht="15.75" customHeight="1">
      <c r="A189" s="44"/>
      <c r="B189" s="44"/>
      <c r="C189" s="106"/>
      <c r="D189" s="106"/>
      <c r="E189" s="106"/>
      <c r="F189" s="106"/>
      <c r="G189" s="106"/>
      <c r="H189" s="106"/>
      <c r="I189" s="106"/>
      <c r="J189" s="106"/>
      <c r="K189" s="106"/>
      <c r="L189" s="44"/>
      <c r="M189" s="44"/>
      <c r="N189" s="82"/>
    </row>
    <row r="190" spans="1:14" ht="15.75" customHeight="1">
      <c r="A190" s="44"/>
      <c r="B190" s="44"/>
      <c r="C190" s="106"/>
      <c r="D190" s="106"/>
      <c r="E190" s="106"/>
      <c r="F190" s="106"/>
      <c r="G190" s="106"/>
      <c r="H190" s="106"/>
      <c r="I190" s="106"/>
      <c r="J190" s="106"/>
      <c r="K190" s="106"/>
      <c r="L190" s="44"/>
      <c r="M190" s="44"/>
      <c r="N190" s="82"/>
    </row>
    <row r="191" spans="1:14" ht="15.75" customHeight="1">
      <c r="A191" s="44"/>
      <c r="B191" s="44"/>
      <c r="C191" s="106"/>
      <c r="D191" s="106"/>
      <c r="E191" s="106"/>
      <c r="F191" s="106"/>
      <c r="G191" s="106"/>
      <c r="H191" s="106"/>
      <c r="I191" s="106"/>
      <c r="J191" s="106"/>
      <c r="K191" s="106"/>
      <c r="L191" s="44"/>
      <c r="M191" s="44"/>
      <c r="N191" s="82"/>
    </row>
    <row r="192" spans="1:14" ht="15.75" customHeight="1">
      <c r="A192" s="44"/>
      <c r="B192" s="44"/>
      <c r="C192" s="106"/>
      <c r="D192" s="106"/>
      <c r="E192" s="106"/>
      <c r="F192" s="106"/>
      <c r="G192" s="106"/>
      <c r="H192" s="106"/>
      <c r="I192" s="106"/>
      <c r="J192" s="106"/>
      <c r="K192" s="106"/>
      <c r="L192" s="44"/>
      <c r="M192" s="44"/>
      <c r="N192" s="82"/>
    </row>
    <row r="193" spans="1:14" ht="15.75" customHeight="1">
      <c r="A193" s="44"/>
      <c r="B193" s="44"/>
      <c r="C193" s="106"/>
      <c r="D193" s="106"/>
      <c r="E193" s="106"/>
      <c r="F193" s="106"/>
      <c r="G193" s="106"/>
      <c r="H193" s="106"/>
      <c r="I193" s="106"/>
      <c r="J193" s="106"/>
      <c r="K193" s="106"/>
      <c r="L193" s="44"/>
      <c r="M193" s="44"/>
      <c r="N193" s="82"/>
    </row>
    <row r="194" spans="1:14" ht="15.75" customHeight="1">
      <c r="A194" s="44"/>
      <c r="B194" s="44"/>
      <c r="C194" s="106"/>
      <c r="D194" s="106"/>
      <c r="E194" s="106"/>
      <c r="F194" s="106"/>
      <c r="G194" s="106"/>
      <c r="H194" s="106"/>
      <c r="I194" s="106"/>
      <c r="J194" s="106"/>
      <c r="K194" s="106"/>
      <c r="L194" s="44"/>
      <c r="M194" s="44"/>
      <c r="N194" s="82"/>
    </row>
    <row r="195" spans="1:14" ht="15.75" customHeight="1">
      <c r="A195" s="44"/>
      <c r="B195" s="44"/>
      <c r="C195" s="106"/>
      <c r="D195" s="106"/>
      <c r="E195" s="106"/>
      <c r="F195" s="106"/>
      <c r="G195" s="106"/>
      <c r="H195" s="106"/>
      <c r="I195" s="106"/>
      <c r="J195" s="106"/>
      <c r="K195" s="106"/>
      <c r="L195" s="44"/>
      <c r="M195" s="44"/>
      <c r="N195" s="82"/>
    </row>
    <row r="196" spans="1:14" ht="15.75" customHeight="1">
      <c r="A196" s="44"/>
      <c r="B196" s="44"/>
      <c r="C196" s="106"/>
      <c r="D196" s="106"/>
      <c r="E196" s="106"/>
      <c r="F196" s="106"/>
      <c r="G196" s="106"/>
      <c r="H196" s="106"/>
      <c r="I196" s="106"/>
      <c r="J196" s="106"/>
      <c r="K196" s="106"/>
      <c r="L196" s="44"/>
      <c r="M196" s="44"/>
      <c r="N196" s="82"/>
    </row>
    <row r="197" spans="1:14" ht="15.75" customHeight="1">
      <c r="A197" s="44"/>
      <c r="B197" s="44"/>
      <c r="C197" s="106"/>
      <c r="D197" s="106"/>
      <c r="E197" s="106"/>
      <c r="F197" s="106"/>
      <c r="G197" s="106"/>
      <c r="H197" s="106"/>
      <c r="I197" s="106"/>
      <c r="J197" s="106"/>
      <c r="K197" s="106"/>
      <c r="L197" s="44"/>
      <c r="M197" s="44"/>
      <c r="N197" s="82"/>
    </row>
    <row r="198" spans="1:14" ht="15.75" customHeight="1">
      <c r="A198" s="44"/>
      <c r="B198" s="44"/>
      <c r="C198" s="106"/>
      <c r="D198" s="106"/>
      <c r="E198" s="106"/>
      <c r="F198" s="106"/>
      <c r="G198" s="106"/>
      <c r="H198" s="106"/>
      <c r="I198" s="106"/>
      <c r="J198" s="106"/>
      <c r="K198" s="106"/>
      <c r="L198" s="44"/>
      <c r="M198" s="44"/>
      <c r="N198" s="82"/>
    </row>
    <row r="199" spans="1:14" ht="15.75" customHeight="1">
      <c r="A199" s="44"/>
      <c r="B199" s="44"/>
      <c r="C199" s="106"/>
      <c r="D199" s="106"/>
      <c r="E199" s="106"/>
      <c r="F199" s="106"/>
      <c r="G199" s="106"/>
      <c r="H199" s="106"/>
      <c r="I199" s="106"/>
      <c r="J199" s="106"/>
      <c r="K199" s="106"/>
      <c r="L199" s="44"/>
      <c r="M199" s="44"/>
      <c r="N199" s="82"/>
    </row>
    <row r="200" spans="1:14" ht="15.75" customHeight="1">
      <c r="A200" s="44"/>
      <c r="B200" s="44"/>
      <c r="C200" s="106"/>
      <c r="D200" s="106"/>
      <c r="E200" s="106"/>
      <c r="F200" s="106"/>
      <c r="G200" s="106"/>
      <c r="H200" s="106"/>
      <c r="I200" s="106"/>
      <c r="J200" s="106"/>
      <c r="K200" s="106"/>
      <c r="L200" s="44"/>
      <c r="M200" s="44"/>
      <c r="N200" s="82"/>
    </row>
    <row r="201" spans="1:14" ht="15.75" customHeight="1">
      <c r="A201" s="44"/>
      <c r="B201" s="44"/>
      <c r="C201" s="106"/>
      <c r="D201" s="106"/>
      <c r="E201" s="106"/>
      <c r="F201" s="106"/>
      <c r="G201" s="106"/>
      <c r="H201" s="106"/>
      <c r="I201" s="106"/>
      <c r="J201" s="106"/>
      <c r="K201" s="106"/>
      <c r="L201" s="44"/>
      <c r="M201" s="44"/>
      <c r="N201" s="82"/>
    </row>
    <row r="202" spans="1:14" ht="15.75" customHeight="1">
      <c r="A202" s="44"/>
      <c r="B202" s="44"/>
      <c r="C202" s="106"/>
      <c r="D202" s="106"/>
      <c r="E202" s="106"/>
      <c r="F202" s="106"/>
      <c r="G202" s="106"/>
      <c r="H202" s="106"/>
      <c r="I202" s="106"/>
      <c r="J202" s="106"/>
      <c r="K202" s="106"/>
      <c r="L202" s="44"/>
      <c r="M202" s="44"/>
      <c r="N202" s="82"/>
    </row>
    <row r="203" spans="1:14" ht="15.75" customHeight="1">
      <c r="A203" s="44"/>
      <c r="B203" s="44"/>
      <c r="C203" s="106"/>
      <c r="D203" s="106"/>
      <c r="E203" s="106"/>
      <c r="F203" s="106"/>
      <c r="G203" s="106"/>
      <c r="H203" s="106"/>
      <c r="I203" s="106"/>
      <c r="J203" s="106"/>
      <c r="K203" s="106"/>
      <c r="L203" s="44"/>
      <c r="M203" s="44"/>
      <c r="N203" s="82"/>
    </row>
    <row r="204" spans="1:14" ht="15.75" customHeight="1">
      <c r="A204" s="44"/>
      <c r="B204" s="44"/>
      <c r="C204" s="106"/>
      <c r="D204" s="106"/>
      <c r="E204" s="106"/>
      <c r="F204" s="106"/>
      <c r="G204" s="106"/>
      <c r="H204" s="106"/>
      <c r="I204" s="106"/>
      <c r="J204" s="106"/>
      <c r="K204" s="106"/>
      <c r="L204" s="44"/>
      <c r="M204" s="44"/>
      <c r="N204" s="82"/>
    </row>
    <row r="205" spans="1:14" ht="15.75" customHeight="1">
      <c r="A205" s="44"/>
      <c r="B205" s="44"/>
      <c r="C205" s="106"/>
      <c r="D205" s="106"/>
      <c r="E205" s="106"/>
      <c r="F205" s="106"/>
      <c r="G205" s="106"/>
      <c r="H205" s="106"/>
      <c r="I205" s="106"/>
      <c r="J205" s="106"/>
      <c r="K205" s="106"/>
      <c r="L205" s="44"/>
      <c r="M205" s="44"/>
      <c r="N205" s="82"/>
    </row>
    <row r="206" spans="1:14" ht="15.75" customHeight="1">
      <c r="A206" s="44"/>
      <c r="B206" s="44"/>
      <c r="C206" s="106"/>
      <c r="D206" s="106"/>
      <c r="E206" s="106"/>
      <c r="F206" s="106"/>
      <c r="G206" s="106"/>
      <c r="H206" s="106"/>
      <c r="I206" s="106"/>
      <c r="J206" s="106"/>
      <c r="K206" s="106"/>
      <c r="L206" s="44"/>
      <c r="M206" s="44"/>
      <c r="N206" s="82"/>
    </row>
    <row r="207" spans="1:14" ht="15.75" customHeight="1">
      <c r="A207" s="44"/>
      <c r="B207" s="44"/>
      <c r="C207" s="106"/>
      <c r="D207" s="106"/>
      <c r="E207" s="106"/>
      <c r="F207" s="106"/>
      <c r="G207" s="106"/>
      <c r="H207" s="106"/>
      <c r="I207" s="106"/>
      <c r="J207" s="106"/>
      <c r="K207" s="106"/>
      <c r="L207" s="44"/>
      <c r="M207" s="44"/>
      <c r="N207" s="82"/>
    </row>
    <row r="208" spans="1:14" ht="15.75" customHeight="1">
      <c r="A208" s="44"/>
      <c r="B208" s="44"/>
      <c r="C208" s="106"/>
      <c r="D208" s="106"/>
      <c r="E208" s="106"/>
      <c r="F208" s="106"/>
      <c r="G208" s="106"/>
      <c r="H208" s="106"/>
      <c r="I208" s="106"/>
      <c r="J208" s="106"/>
      <c r="K208" s="106"/>
      <c r="L208" s="44"/>
      <c r="M208" s="44"/>
      <c r="N208" s="82"/>
    </row>
    <row r="209" spans="1:14" ht="15.75" customHeight="1">
      <c r="A209" s="44"/>
      <c r="B209" s="44"/>
      <c r="C209" s="106"/>
      <c r="D209" s="106"/>
      <c r="E209" s="106"/>
      <c r="F209" s="106"/>
      <c r="G209" s="106"/>
      <c r="H209" s="106"/>
      <c r="I209" s="106"/>
      <c r="J209" s="106"/>
      <c r="K209" s="106"/>
      <c r="L209" s="44"/>
      <c r="M209" s="44"/>
      <c r="N209" s="82"/>
    </row>
    <row r="210" spans="1:14" ht="15.75" customHeight="1">
      <c r="A210" s="44"/>
      <c r="B210" s="44"/>
      <c r="C210" s="106"/>
      <c r="D210" s="106"/>
      <c r="E210" s="106"/>
      <c r="F210" s="106"/>
      <c r="G210" s="106"/>
      <c r="H210" s="106"/>
      <c r="I210" s="106"/>
      <c r="J210" s="106"/>
      <c r="K210" s="106"/>
      <c r="L210" s="44"/>
      <c r="M210" s="44"/>
      <c r="N210" s="82"/>
    </row>
    <row r="211" spans="1:14" ht="15.75" customHeight="1">
      <c r="A211" s="44"/>
      <c r="B211" s="44"/>
      <c r="C211" s="106"/>
      <c r="D211" s="106"/>
      <c r="E211" s="106"/>
      <c r="F211" s="106"/>
      <c r="G211" s="106"/>
      <c r="H211" s="106"/>
      <c r="I211" s="106"/>
      <c r="J211" s="106"/>
      <c r="K211" s="106"/>
      <c r="L211" s="44"/>
      <c r="M211" s="44"/>
      <c r="N211" s="82"/>
    </row>
    <row r="212" spans="1:14" ht="15.75" customHeight="1">
      <c r="A212" s="44"/>
      <c r="B212" s="44"/>
      <c r="C212" s="106"/>
      <c r="D212" s="106"/>
      <c r="E212" s="106"/>
      <c r="F212" s="106"/>
      <c r="G212" s="106"/>
      <c r="H212" s="106"/>
      <c r="I212" s="106"/>
      <c r="J212" s="106"/>
      <c r="K212" s="106"/>
      <c r="L212" s="44"/>
      <c r="M212" s="44"/>
      <c r="N212" s="82"/>
    </row>
    <row r="213" spans="1:14" ht="15.75" customHeight="1">
      <c r="A213" s="44"/>
      <c r="B213" s="44"/>
      <c r="C213" s="106"/>
      <c r="D213" s="106"/>
      <c r="E213" s="106"/>
      <c r="F213" s="106"/>
      <c r="G213" s="106"/>
      <c r="H213" s="106"/>
      <c r="I213" s="106"/>
      <c r="J213" s="106"/>
      <c r="K213" s="106"/>
      <c r="L213" s="44"/>
      <c r="M213" s="44"/>
      <c r="N213" s="82"/>
    </row>
    <row r="214" spans="1:14" ht="15.75" customHeight="1">
      <c r="A214" s="44"/>
      <c r="B214" s="44"/>
      <c r="C214" s="106"/>
      <c r="D214" s="106"/>
      <c r="E214" s="106"/>
      <c r="F214" s="106"/>
      <c r="G214" s="106"/>
      <c r="H214" s="106"/>
      <c r="I214" s="106"/>
      <c r="J214" s="106"/>
      <c r="K214" s="106"/>
      <c r="L214" s="44"/>
      <c r="M214" s="44"/>
      <c r="N214" s="82"/>
    </row>
    <row r="215" spans="1:14" ht="15.75" customHeight="1">
      <c r="A215" s="44"/>
      <c r="B215" s="44"/>
      <c r="C215" s="106"/>
      <c r="D215" s="106"/>
      <c r="E215" s="106"/>
      <c r="F215" s="106"/>
      <c r="G215" s="106"/>
      <c r="H215" s="106"/>
      <c r="I215" s="106"/>
      <c r="J215" s="106"/>
      <c r="K215" s="106"/>
      <c r="L215" s="44"/>
      <c r="M215" s="44"/>
      <c r="N215" s="82"/>
    </row>
    <row r="216" spans="1:14" ht="15.75" customHeight="1">
      <c r="A216" s="44"/>
      <c r="B216" s="44"/>
      <c r="C216" s="106"/>
      <c r="D216" s="106"/>
      <c r="E216" s="106"/>
      <c r="F216" s="106"/>
      <c r="G216" s="106"/>
      <c r="H216" s="106"/>
      <c r="I216" s="106"/>
      <c r="J216" s="106"/>
      <c r="K216" s="106"/>
      <c r="L216" s="44"/>
      <c r="M216" s="44"/>
      <c r="N216" s="82"/>
    </row>
    <row r="217" spans="1:14" ht="15.75" customHeight="1">
      <c r="A217" s="44"/>
      <c r="B217" s="44"/>
      <c r="C217" s="106"/>
      <c r="D217" s="106"/>
      <c r="E217" s="106"/>
      <c r="F217" s="106"/>
      <c r="G217" s="106"/>
      <c r="H217" s="106"/>
      <c r="I217" s="106"/>
      <c r="J217" s="106"/>
      <c r="K217" s="106"/>
      <c r="L217" s="44"/>
      <c r="M217" s="44"/>
      <c r="N217" s="82"/>
    </row>
    <row r="218" spans="1:14" ht="15.75" customHeight="1">
      <c r="A218" s="44"/>
      <c r="B218" s="44"/>
      <c r="C218" s="106"/>
      <c r="D218" s="106"/>
      <c r="E218" s="106"/>
      <c r="F218" s="106"/>
      <c r="G218" s="106"/>
      <c r="H218" s="106"/>
      <c r="I218" s="106"/>
      <c r="J218" s="106"/>
      <c r="K218" s="106"/>
      <c r="L218" s="44"/>
      <c r="M218" s="44"/>
      <c r="N218" s="82"/>
    </row>
    <row r="219" spans="1:14" ht="15.75" customHeight="1">
      <c r="A219" s="44"/>
      <c r="B219" s="44"/>
      <c r="C219" s="106"/>
      <c r="D219" s="106"/>
      <c r="E219" s="106"/>
      <c r="F219" s="106"/>
      <c r="G219" s="106"/>
      <c r="H219" s="106"/>
      <c r="I219" s="106"/>
      <c r="J219" s="106"/>
      <c r="K219" s="106"/>
      <c r="L219" s="44"/>
      <c r="M219" s="44"/>
      <c r="N219" s="82"/>
    </row>
    <row r="220" spans="1:14" ht="15.75" customHeight="1">
      <c r="A220" s="44"/>
      <c r="B220" s="44"/>
      <c r="C220" s="106"/>
      <c r="D220" s="106"/>
      <c r="E220" s="106"/>
      <c r="F220" s="106"/>
      <c r="G220" s="106"/>
      <c r="H220" s="106"/>
      <c r="I220" s="106"/>
      <c r="J220" s="106"/>
      <c r="K220" s="106"/>
      <c r="L220" s="44"/>
      <c r="M220" s="44"/>
      <c r="N220" s="82"/>
    </row>
    <row r="221" spans="1:14" ht="15.75" customHeight="1">
      <c r="A221" s="44"/>
      <c r="B221" s="44"/>
      <c r="C221" s="106"/>
      <c r="D221" s="106"/>
      <c r="E221" s="106"/>
      <c r="F221" s="106"/>
      <c r="G221" s="106"/>
      <c r="H221" s="106"/>
      <c r="I221" s="106"/>
      <c r="J221" s="106"/>
      <c r="K221" s="106"/>
      <c r="L221" s="44"/>
      <c r="M221" s="44"/>
      <c r="N221" s="82"/>
    </row>
    <row r="222" spans="1:14" ht="15.75" customHeight="1">
      <c r="A222" s="44"/>
      <c r="B222" s="44"/>
      <c r="C222" s="106"/>
      <c r="D222" s="106"/>
      <c r="E222" s="106"/>
      <c r="F222" s="106"/>
      <c r="G222" s="106"/>
      <c r="H222" s="106"/>
      <c r="I222" s="106"/>
      <c r="J222" s="106"/>
      <c r="K222" s="106"/>
      <c r="L222" s="44"/>
      <c r="M222" s="44"/>
      <c r="N222" s="82"/>
    </row>
    <row r="223" spans="1:14" ht="15.75" customHeight="1">
      <c r="A223" s="44"/>
      <c r="B223" s="44"/>
      <c r="C223" s="106"/>
      <c r="D223" s="106"/>
      <c r="E223" s="106"/>
      <c r="F223" s="106"/>
      <c r="G223" s="106"/>
      <c r="H223" s="106"/>
      <c r="I223" s="106"/>
      <c r="J223" s="106"/>
      <c r="K223" s="106"/>
      <c r="L223" s="44"/>
      <c r="M223" s="44"/>
      <c r="N223" s="82"/>
    </row>
    <row r="224" spans="1:14" ht="15.75" customHeight="1">
      <c r="A224" s="44"/>
      <c r="B224" s="44"/>
      <c r="C224" s="106"/>
      <c r="D224" s="106"/>
      <c r="E224" s="106"/>
      <c r="F224" s="106"/>
      <c r="G224" s="106"/>
      <c r="H224" s="106"/>
      <c r="I224" s="106"/>
      <c r="J224" s="106"/>
      <c r="K224" s="106"/>
      <c r="L224" s="44"/>
      <c r="M224" s="44"/>
      <c r="N224" s="82"/>
    </row>
    <row r="225" spans="1:14" ht="15.75" customHeight="1">
      <c r="A225" s="44"/>
      <c r="B225" s="44"/>
      <c r="C225" s="106"/>
      <c r="D225" s="106"/>
      <c r="E225" s="106"/>
      <c r="F225" s="106"/>
      <c r="G225" s="106"/>
      <c r="H225" s="106"/>
      <c r="I225" s="106"/>
      <c r="J225" s="106"/>
      <c r="K225" s="106"/>
      <c r="L225" s="44"/>
      <c r="M225" s="44"/>
      <c r="N225" s="82"/>
    </row>
    <row r="226" spans="1:14" ht="15.75" customHeight="1">
      <c r="A226" s="44"/>
      <c r="B226" s="44"/>
      <c r="C226" s="106"/>
      <c r="D226" s="106"/>
      <c r="E226" s="106"/>
      <c r="F226" s="106"/>
      <c r="G226" s="106"/>
      <c r="H226" s="106"/>
      <c r="I226" s="106"/>
      <c r="J226" s="106"/>
      <c r="K226" s="106"/>
      <c r="L226" s="44"/>
      <c r="M226" s="44"/>
      <c r="N226" s="82"/>
    </row>
    <row r="227" spans="1:14" ht="15.75" customHeight="1">
      <c r="A227" s="44"/>
      <c r="B227" s="44"/>
      <c r="C227" s="106"/>
      <c r="D227" s="106"/>
      <c r="E227" s="106"/>
      <c r="F227" s="106"/>
      <c r="G227" s="106"/>
      <c r="H227" s="106"/>
      <c r="I227" s="106"/>
      <c r="J227" s="106"/>
      <c r="K227" s="106"/>
      <c r="L227" s="44"/>
      <c r="M227" s="44"/>
      <c r="N227" s="82"/>
    </row>
    <row r="228" spans="1:14" ht="15.75" customHeight="1">
      <c r="A228" s="44"/>
      <c r="B228" s="44"/>
      <c r="C228" s="106"/>
      <c r="D228" s="106"/>
      <c r="E228" s="106"/>
      <c r="F228" s="106"/>
      <c r="G228" s="106"/>
      <c r="H228" s="106"/>
      <c r="I228" s="106"/>
      <c r="J228" s="106"/>
      <c r="K228" s="106"/>
      <c r="L228" s="44"/>
      <c r="M228" s="44"/>
      <c r="N228" s="82"/>
    </row>
    <row r="229" spans="1:14" ht="15.75" customHeight="1">
      <c r="A229" s="44"/>
      <c r="B229" s="44"/>
      <c r="C229" s="106"/>
      <c r="D229" s="106"/>
      <c r="E229" s="106"/>
      <c r="F229" s="106"/>
      <c r="G229" s="106"/>
      <c r="H229" s="106"/>
      <c r="I229" s="106"/>
      <c r="J229" s="106"/>
      <c r="K229" s="106"/>
      <c r="L229" s="44"/>
      <c r="M229" s="44"/>
      <c r="N229" s="82"/>
    </row>
    <row r="230" spans="1:14" ht="15.75" customHeight="1">
      <c r="A230" s="44"/>
      <c r="B230" s="44"/>
      <c r="C230" s="106"/>
      <c r="D230" s="106"/>
      <c r="E230" s="106"/>
      <c r="F230" s="106"/>
      <c r="G230" s="106"/>
      <c r="H230" s="106"/>
      <c r="I230" s="106"/>
      <c r="J230" s="106"/>
      <c r="K230" s="106"/>
      <c r="L230" s="44"/>
      <c r="M230" s="44"/>
      <c r="N230" s="82"/>
    </row>
    <row r="231" spans="1:14" ht="15.75" customHeight="1">
      <c r="A231" s="44"/>
      <c r="B231" s="44"/>
      <c r="C231" s="106"/>
      <c r="D231" s="106"/>
      <c r="E231" s="106"/>
      <c r="F231" s="106"/>
      <c r="G231" s="106"/>
      <c r="H231" s="106"/>
      <c r="I231" s="106"/>
      <c r="J231" s="106"/>
      <c r="K231" s="106"/>
      <c r="L231" s="44"/>
      <c r="M231" s="44"/>
      <c r="N231" s="82"/>
    </row>
    <row r="232" spans="1:14" ht="15.75" customHeight="1">
      <c r="A232" s="44"/>
      <c r="B232" s="44"/>
      <c r="C232" s="106"/>
      <c r="D232" s="106"/>
      <c r="E232" s="106"/>
      <c r="F232" s="106"/>
      <c r="G232" s="106"/>
      <c r="H232" s="106"/>
      <c r="I232" s="106"/>
      <c r="J232" s="106"/>
      <c r="K232" s="106"/>
      <c r="L232" s="44"/>
      <c r="M232" s="44"/>
      <c r="N232" s="82"/>
    </row>
    <row r="233" spans="1:14" ht="15.75" customHeight="1">
      <c r="A233" s="44"/>
      <c r="B233" s="44"/>
      <c r="C233" s="106"/>
      <c r="D233" s="106"/>
      <c r="E233" s="106"/>
      <c r="F233" s="106"/>
      <c r="G233" s="106"/>
      <c r="H233" s="106"/>
      <c r="I233" s="106"/>
      <c r="J233" s="106"/>
      <c r="K233" s="106"/>
      <c r="L233" s="44"/>
      <c r="M233" s="44"/>
      <c r="N233" s="82"/>
    </row>
    <row r="234" spans="1:14" ht="15.75" customHeight="1">
      <c r="A234" s="44"/>
      <c r="B234" s="44"/>
      <c r="C234" s="106"/>
      <c r="D234" s="106"/>
      <c r="E234" s="106"/>
      <c r="F234" s="106"/>
      <c r="G234" s="106"/>
      <c r="H234" s="106"/>
      <c r="I234" s="106"/>
      <c r="J234" s="106"/>
      <c r="K234" s="106"/>
      <c r="L234" s="44"/>
      <c r="M234" s="44"/>
      <c r="N234" s="82"/>
    </row>
    <row r="235" spans="1:14" ht="15.75" customHeight="1">
      <c r="A235" s="44"/>
      <c r="B235" s="44"/>
      <c r="C235" s="106"/>
      <c r="D235" s="106"/>
      <c r="E235" s="106"/>
      <c r="F235" s="106"/>
      <c r="G235" s="106"/>
      <c r="H235" s="106"/>
      <c r="I235" s="106"/>
      <c r="J235" s="106"/>
      <c r="K235" s="106"/>
      <c r="L235" s="44"/>
      <c r="M235" s="44"/>
      <c r="N235" s="82"/>
    </row>
    <row r="236" spans="1:14" ht="15.75" customHeight="1">
      <c r="A236" s="44"/>
      <c r="B236" s="44"/>
      <c r="C236" s="106"/>
      <c r="D236" s="106"/>
      <c r="E236" s="106"/>
      <c r="F236" s="106"/>
      <c r="G236" s="106"/>
      <c r="H236" s="106"/>
      <c r="I236" s="106"/>
      <c r="J236" s="106"/>
      <c r="K236" s="106"/>
      <c r="L236" s="44"/>
      <c r="M236" s="44"/>
      <c r="N236" s="82"/>
    </row>
    <row r="237" spans="1:14" ht="15.75" customHeight="1">
      <c r="A237" s="44"/>
      <c r="B237" s="44"/>
      <c r="C237" s="106"/>
      <c r="D237" s="106"/>
      <c r="E237" s="106"/>
      <c r="F237" s="106"/>
      <c r="G237" s="106"/>
      <c r="H237" s="106"/>
      <c r="I237" s="106"/>
      <c r="J237" s="106"/>
      <c r="K237" s="106"/>
      <c r="L237" s="44"/>
      <c r="M237" s="44"/>
      <c r="N237" s="82"/>
    </row>
    <row r="238" spans="1:14" ht="15.75" customHeight="1">
      <c r="A238" s="44"/>
      <c r="B238" s="44"/>
      <c r="C238" s="106"/>
      <c r="D238" s="106"/>
      <c r="E238" s="106"/>
      <c r="F238" s="106"/>
      <c r="G238" s="106"/>
      <c r="H238" s="106"/>
      <c r="I238" s="106"/>
      <c r="J238" s="106"/>
      <c r="K238" s="106"/>
      <c r="L238" s="44"/>
      <c r="M238" s="44"/>
      <c r="N238" s="82"/>
    </row>
    <row r="239" spans="1:14" ht="15.75" customHeight="1">
      <c r="A239" s="44"/>
      <c r="B239" s="44"/>
      <c r="C239" s="106"/>
      <c r="D239" s="106"/>
      <c r="E239" s="106"/>
      <c r="F239" s="106"/>
      <c r="G239" s="106"/>
      <c r="H239" s="106"/>
      <c r="I239" s="106"/>
      <c r="J239" s="106"/>
      <c r="K239" s="106"/>
      <c r="L239" s="44"/>
      <c r="M239" s="44"/>
      <c r="N239" s="82"/>
    </row>
    <row r="240" spans="1:14" ht="15.75" customHeight="1">
      <c r="A240" s="44"/>
      <c r="B240" s="44"/>
      <c r="C240" s="106"/>
      <c r="D240" s="106"/>
      <c r="E240" s="106"/>
      <c r="F240" s="106"/>
      <c r="G240" s="106"/>
      <c r="H240" s="106"/>
      <c r="I240" s="106"/>
      <c r="J240" s="106"/>
      <c r="K240" s="106"/>
      <c r="L240" s="44"/>
      <c r="M240" s="44"/>
      <c r="N240" s="82"/>
    </row>
    <row r="241" spans="1:14" ht="15.75" customHeight="1">
      <c r="A241" s="44"/>
      <c r="B241" s="44"/>
      <c r="C241" s="106"/>
      <c r="D241" s="106"/>
      <c r="E241" s="106"/>
      <c r="F241" s="106"/>
      <c r="G241" s="106"/>
      <c r="H241" s="106"/>
      <c r="I241" s="106"/>
      <c r="J241" s="106"/>
      <c r="K241" s="106"/>
      <c r="L241" s="44"/>
      <c r="M241" s="44"/>
      <c r="N241" s="82"/>
    </row>
    <row r="242" spans="1:14" ht="15.75" customHeight="1">
      <c r="A242" s="44"/>
      <c r="B242" s="44"/>
      <c r="C242" s="106"/>
      <c r="D242" s="106"/>
      <c r="E242" s="106"/>
      <c r="F242" s="106"/>
      <c r="G242" s="106"/>
      <c r="H242" s="106"/>
      <c r="I242" s="106"/>
      <c r="J242" s="106"/>
      <c r="K242" s="106"/>
      <c r="L242" s="44"/>
      <c r="M242" s="44"/>
      <c r="N242" s="82"/>
    </row>
    <row r="243" spans="1:14" ht="15.75" customHeight="1">
      <c r="A243" s="44"/>
      <c r="B243" s="44"/>
      <c r="C243" s="106"/>
      <c r="D243" s="106"/>
      <c r="E243" s="106"/>
      <c r="F243" s="106"/>
      <c r="G243" s="106"/>
      <c r="H243" s="106"/>
      <c r="I243" s="106"/>
      <c r="J243" s="106"/>
      <c r="K243" s="106"/>
      <c r="L243" s="44"/>
      <c r="M243" s="44"/>
      <c r="N243" s="82"/>
    </row>
    <row r="244" spans="1:14" ht="15.75" customHeight="1">
      <c r="A244" s="44"/>
      <c r="B244" s="44"/>
      <c r="C244" s="106"/>
      <c r="D244" s="106"/>
      <c r="E244" s="106"/>
      <c r="F244" s="106"/>
      <c r="G244" s="106"/>
      <c r="H244" s="106"/>
      <c r="I244" s="106"/>
      <c r="J244" s="106"/>
      <c r="K244" s="106"/>
      <c r="L244" s="44"/>
      <c r="M244" s="44"/>
      <c r="N244" s="82"/>
    </row>
    <row r="245" spans="1:14" ht="15.75" customHeight="1">
      <c r="A245" s="44"/>
      <c r="B245" s="44"/>
      <c r="C245" s="106"/>
      <c r="D245" s="106"/>
      <c r="E245" s="106"/>
      <c r="F245" s="106"/>
      <c r="G245" s="106"/>
      <c r="H245" s="106"/>
      <c r="I245" s="106"/>
      <c r="J245" s="106"/>
      <c r="K245" s="106"/>
      <c r="L245" s="44"/>
      <c r="M245" s="44"/>
      <c r="N245" s="82"/>
    </row>
    <row r="246" spans="1:14" ht="15.75" customHeight="1">
      <c r="A246" s="44"/>
      <c r="B246" s="44"/>
      <c r="C246" s="106"/>
      <c r="D246" s="106"/>
      <c r="E246" s="106"/>
      <c r="F246" s="106"/>
      <c r="G246" s="106"/>
      <c r="H246" s="106"/>
      <c r="I246" s="106"/>
      <c r="J246" s="106"/>
      <c r="K246" s="106"/>
      <c r="L246" s="44"/>
      <c r="M246" s="44"/>
      <c r="N246" s="82"/>
    </row>
    <row r="247" spans="1:14" ht="15.75" customHeight="1">
      <c r="A247" s="44"/>
      <c r="B247" s="44"/>
      <c r="C247" s="106"/>
      <c r="D247" s="106"/>
      <c r="E247" s="106"/>
      <c r="F247" s="106"/>
      <c r="G247" s="106"/>
      <c r="H247" s="106"/>
      <c r="I247" s="106"/>
      <c r="J247" s="106"/>
      <c r="K247" s="106"/>
      <c r="L247" s="44"/>
      <c r="M247" s="44"/>
      <c r="N247" s="82"/>
    </row>
    <row r="248" spans="1:14" ht="15.75" customHeight="1">
      <c r="A248" s="44"/>
      <c r="B248" s="44"/>
      <c r="C248" s="106"/>
      <c r="D248" s="106"/>
      <c r="E248" s="106"/>
      <c r="F248" s="106"/>
      <c r="G248" s="106"/>
      <c r="H248" s="106"/>
      <c r="I248" s="106"/>
      <c r="J248" s="106"/>
      <c r="K248" s="106"/>
      <c r="L248" s="44"/>
      <c r="M248" s="44"/>
      <c r="N248" s="82"/>
    </row>
    <row r="249" spans="1:14" ht="15.75" customHeight="1">
      <c r="A249" s="44"/>
      <c r="B249" s="44"/>
      <c r="C249" s="106"/>
      <c r="D249" s="106"/>
      <c r="E249" s="106"/>
      <c r="F249" s="106"/>
      <c r="G249" s="106"/>
      <c r="H249" s="106"/>
      <c r="I249" s="106"/>
      <c r="J249" s="106"/>
      <c r="K249" s="106"/>
      <c r="L249" s="44"/>
      <c r="M249" s="44"/>
      <c r="N249" s="82"/>
    </row>
    <row r="250" spans="1:14" ht="15.75" customHeight="1">
      <c r="A250" s="44"/>
      <c r="B250" s="44"/>
      <c r="C250" s="106"/>
      <c r="D250" s="106"/>
      <c r="E250" s="106"/>
      <c r="F250" s="106"/>
      <c r="G250" s="106"/>
      <c r="H250" s="106"/>
      <c r="I250" s="106"/>
      <c r="J250" s="106"/>
      <c r="K250" s="106"/>
      <c r="L250" s="44"/>
      <c r="M250" s="44"/>
      <c r="N250" s="82"/>
    </row>
    <row r="251" spans="1:14" ht="15.75" customHeight="1">
      <c r="A251" s="44"/>
      <c r="B251" s="44"/>
      <c r="C251" s="106"/>
      <c r="D251" s="106"/>
      <c r="E251" s="106"/>
      <c r="F251" s="106"/>
      <c r="G251" s="106"/>
      <c r="H251" s="106"/>
      <c r="I251" s="106"/>
      <c r="J251" s="106"/>
      <c r="K251" s="106"/>
      <c r="L251" s="44"/>
      <c r="M251" s="44"/>
      <c r="N251" s="82"/>
    </row>
    <row r="252" spans="1:14" ht="15.75" customHeight="1">
      <c r="A252" s="44"/>
      <c r="B252" s="44"/>
      <c r="C252" s="106"/>
      <c r="D252" s="106"/>
      <c r="E252" s="106"/>
      <c r="F252" s="106"/>
      <c r="G252" s="106"/>
      <c r="H252" s="106"/>
      <c r="I252" s="106"/>
      <c r="J252" s="106"/>
      <c r="K252" s="106"/>
      <c r="L252" s="44"/>
      <c r="M252" s="44"/>
      <c r="N252" s="82"/>
    </row>
    <row r="253" spans="1:14" ht="15.75" customHeight="1">
      <c r="A253" s="44"/>
      <c r="B253" s="44"/>
      <c r="C253" s="106"/>
      <c r="D253" s="106"/>
      <c r="E253" s="106"/>
      <c r="F253" s="106"/>
      <c r="G253" s="106"/>
      <c r="H253" s="106"/>
      <c r="I253" s="106"/>
      <c r="J253" s="106"/>
      <c r="K253" s="106"/>
      <c r="L253" s="44"/>
      <c r="M253" s="44"/>
      <c r="N253" s="82"/>
    </row>
    <row r="254" spans="1:14" ht="15.75" customHeight="1">
      <c r="A254" s="44"/>
      <c r="B254" s="44"/>
      <c r="C254" s="106"/>
      <c r="D254" s="106"/>
      <c r="E254" s="106"/>
      <c r="F254" s="106"/>
      <c r="G254" s="106"/>
      <c r="H254" s="106"/>
      <c r="I254" s="106"/>
      <c r="J254" s="106"/>
      <c r="K254" s="106"/>
      <c r="L254" s="44"/>
      <c r="M254" s="44"/>
      <c r="N254" s="82"/>
    </row>
    <row r="255" spans="1:14" ht="15.75" customHeight="1">
      <c r="A255" s="44"/>
      <c r="B255" s="44"/>
      <c r="C255" s="106"/>
      <c r="D255" s="106"/>
      <c r="E255" s="106"/>
      <c r="F255" s="106"/>
      <c r="G255" s="106"/>
      <c r="H255" s="106"/>
      <c r="I255" s="106"/>
      <c r="J255" s="106"/>
      <c r="K255" s="106"/>
      <c r="L255" s="44"/>
      <c r="M255" s="44"/>
      <c r="N255" s="82"/>
    </row>
    <row r="256" spans="1:14" ht="15.75" customHeight="1">
      <c r="A256" s="44"/>
      <c r="B256" s="44"/>
      <c r="C256" s="106"/>
      <c r="D256" s="106"/>
      <c r="E256" s="106"/>
      <c r="F256" s="106"/>
      <c r="G256" s="106"/>
      <c r="H256" s="106"/>
      <c r="I256" s="106"/>
      <c r="J256" s="106"/>
      <c r="K256" s="106"/>
      <c r="L256" s="44"/>
      <c r="M256" s="44"/>
      <c r="N256" s="82"/>
    </row>
    <row r="257" spans="1:14" ht="15.75" customHeight="1">
      <c r="A257" s="44"/>
      <c r="B257" s="44"/>
      <c r="C257" s="106"/>
      <c r="D257" s="106"/>
      <c r="E257" s="106"/>
      <c r="F257" s="106"/>
      <c r="G257" s="106"/>
      <c r="H257" s="106"/>
      <c r="I257" s="106"/>
      <c r="J257" s="106"/>
      <c r="K257" s="106"/>
      <c r="L257" s="44"/>
      <c r="M257" s="44"/>
      <c r="N257" s="82"/>
    </row>
    <row r="258" spans="1:14" ht="15.75" customHeight="1">
      <c r="A258" s="44"/>
      <c r="B258" s="44"/>
      <c r="C258" s="106"/>
      <c r="D258" s="106"/>
      <c r="E258" s="106"/>
      <c r="F258" s="106"/>
      <c r="G258" s="106"/>
      <c r="H258" s="106"/>
      <c r="I258" s="106"/>
      <c r="J258" s="106"/>
      <c r="K258" s="106"/>
      <c r="L258" s="44"/>
      <c r="M258" s="44"/>
      <c r="N258" s="82"/>
    </row>
    <row r="259" spans="1:14" ht="15.75" customHeight="1">
      <c r="A259" s="44"/>
      <c r="B259" s="44"/>
      <c r="C259" s="106"/>
      <c r="D259" s="106"/>
      <c r="E259" s="106"/>
      <c r="F259" s="106"/>
      <c r="G259" s="106"/>
      <c r="H259" s="106"/>
      <c r="I259" s="106"/>
      <c r="J259" s="106"/>
      <c r="K259" s="106"/>
      <c r="L259" s="44"/>
      <c r="M259" s="44"/>
      <c r="N259" s="82"/>
    </row>
    <row r="260" spans="1:14" ht="15.75" customHeight="1">
      <c r="A260" s="44"/>
      <c r="B260" s="44"/>
      <c r="C260" s="106"/>
      <c r="D260" s="106"/>
      <c r="E260" s="106"/>
      <c r="F260" s="106"/>
      <c r="G260" s="106"/>
      <c r="H260" s="106"/>
      <c r="I260" s="106"/>
      <c r="J260" s="106"/>
      <c r="K260" s="106"/>
      <c r="L260" s="44"/>
      <c r="M260" s="44"/>
      <c r="N260" s="82"/>
    </row>
    <row r="261" spans="1:14" ht="15.75" customHeight="1">
      <c r="A261" s="44"/>
      <c r="B261" s="44"/>
      <c r="C261" s="106"/>
      <c r="D261" s="106"/>
      <c r="E261" s="106"/>
      <c r="F261" s="106"/>
      <c r="G261" s="106"/>
      <c r="H261" s="106"/>
      <c r="I261" s="106"/>
      <c r="J261" s="106"/>
      <c r="K261" s="106"/>
      <c r="L261" s="44"/>
      <c r="M261" s="44"/>
      <c r="N261" s="82"/>
    </row>
    <row r="262" spans="1:14" ht="15.75" customHeight="1">
      <c r="A262" s="44"/>
      <c r="B262" s="44"/>
      <c r="C262" s="106"/>
      <c r="D262" s="106"/>
      <c r="E262" s="106"/>
      <c r="F262" s="106"/>
      <c r="G262" s="106"/>
      <c r="H262" s="106"/>
      <c r="I262" s="106"/>
      <c r="J262" s="106"/>
      <c r="K262" s="106"/>
      <c r="L262" s="44"/>
      <c r="M262" s="44"/>
      <c r="N262" s="82"/>
    </row>
    <row r="263" spans="1:14" ht="15.75" customHeight="1">
      <c r="A263" s="44"/>
      <c r="B263" s="44"/>
      <c r="C263" s="106"/>
      <c r="D263" s="106"/>
      <c r="E263" s="106"/>
      <c r="F263" s="106"/>
      <c r="G263" s="106"/>
      <c r="H263" s="106"/>
      <c r="I263" s="106"/>
      <c r="J263" s="106"/>
      <c r="K263" s="106"/>
      <c r="L263" s="44"/>
      <c r="M263" s="44"/>
      <c r="N263" s="82"/>
    </row>
    <row r="264" spans="1:14" ht="15.75" customHeight="1">
      <c r="A264" s="44"/>
      <c r="B264" s="44"/>
      <c r="C264" s="106"/>
      <c r="D264" s="106"/>
      <c r="E264" s="106"/>
      <c r="F264" s="106"/>
      <c r="G264" s="106"/>
      <c r="H264" s="106"/>
      <c r="I264" s="106"/>
      <c r="J264" s="106"/>
      <c r="K264" s="106"/>
      <c r="L264" s="44"/>
      <c r="M264" s="44"/>
      <c r="N264" s="82"/>
    </row>
    <row r="265" spans="1:14" ht="15.75" customHeight="1">
      <c r="A265" s="44"/>
      <c r="B265" s="44"/>
      <c r="C265" s="106"/>
      <c r="D265" s="106"/>
      <c r="E265" s="106"/>
      <c r="F265" s="106"/>
      <c r="G265" s="106"/>
      <c r="H265" s="106"/>
      <c r="I265" s="106"/>
      <c r="J265" s="106"/>
      <c r="K265" s="106"/>
      <c r="L265" s="44"/>
      <c r="M265" s="44"/>
      <c r="N265" s="82"/>
    </row>
    <row r="266" spans="1:14" ht="15.75" customHeight="1">
      <c r="A266" s="44"/>
      <c r="B266" s="44"/>
      <c r="C266" s="106"/>
      <c r="D266" s="106"/>
      <c r="E266" s="106"/>
      <c r="F266" s="106"/>
      <c r="G266" s="106"/>
      <c r="H266" s="106"/>
      <c r="I266" s="106"/>
      <c r="J266" s="106"/>
      <c r="K266" s="106"/>
      <c r="L266" s="44"/>
      <c r="M266" s="44"/>
      <c r="N266" s="82"/>
    </row>
    <row r="267" spans="1:14" ht="15.75" customHeight="1">
      <c r="A267" s="44"/>
      <c r="B267" s="44"/>
      <c r="C267" s="106"/>
      <c r="D267" s="106"/>
      <c r="E267" s="106"/>
      <c r="F267" s="106"/>
      <c r="G267" s="106"/>
      <c r="H267" s="106"/>
      <c r="I267" s="106"/>
      <c r="J267" s="106"/>
      <c r="K267" s="106"/>
      <c r="L267" s="44"/>
      <c r="M267" s="44"/>
      <c r="N267" s="82"/>
    </row>
    <row r="268" spans="1:14" ht="15.75" customHeight="1">
      <c r="A268" s="44"/>
      <c r="B268" s="44"/>
      <c r="C268" s="106"/>
      <c r="D268" s="106"/>
      <c r="E268" s="106"/>
      <c r="F268" s="106"/>
      <c r="G268" s="106"/>
      <c r="H268" s="106"/>
      <c r="I268" s="106"/>
      <c r="J268" s="106"/>
      <c r="K268" s="106"/>
      <c r="L268" s="44"/>
      <c r="M268" s="44"/>
      <c r="N268" s="82"/>
    </row>
    <row r="269" spans="1:14" ht="15.75" customHeight="1">
      <c r="A269" s="44"/>
      <c r="B269" s="44"/>
      <c r="C269" s="106"/>
      <c r="D269" s="106"/>
      <c r="E269" s="106"/>
      <c r="F269" s="106"/>
      <c r="G269" s="106"/>
      <c r="H269" s="106"/>
      <c r="I269" s="106"/>
      <c r="J269" s="106"/>
      <c r="K269" s="106"/>
      <c r="L269" s="44"/>
      <c r="M269" s="44"/>
      <c r="N269" s="82"/>
    </row>
    <row r="270" spans="1:14" ht="15.75" customHeight="1">
      <c r="A270" s="44"/>
      <c r="B270" s="44"/>
      <c r="C270" s="106"/>
      <c r="D270" s="106"/>
      <c r="E270" s="106"/>
      <c r="F270" s="106"/>
      <c r="G270" s="106"/>
      <c r="H270" s="106"/>
      <c r="I270" s="106"/>
      <c r="J270" s="106"/>
      <c r="K270" s="106"/>
      <c r="L270" s="44"/>
      <c r="M270" s="44"/>
      <c r="N270" s="82"/>
    </row>
    <row r="271" spans="1:14" ht="15.75" customHeight="1">
      <c r="A271" s="44"/>
      <c r="B271" s="44"/>
      <c r="C271" s="106"/>
      <c r="D271" s="106"/>
      <c r="E271" s="106"/>
      <c r="F271" s="106"/>
      <c r="G271" s="106"/>
      <c r="H271" s="106"/>
      <c r="I271" s="106"/>
      <c r="J271" s="106"/>
      <c r="K271" s="106"/>
      <c r="L271" s="44"/>
      <c r="M271" s="44"/>
      <c r="N271" s="82"/>
    </row>
    <row r="272" spans="1:14" ht="15.75" customHeight="1">
      <c r="A272" s="44"/>
      <c r="B272" s="44"/>
      <c r="C272" s="106"/>
      <c r="D272" s="106"/>
      <c r="E272" s="106"/>
      <c r="F272" s="106"/>
      <c r="G272" s="106"/>
      <c r="H272" s="106"/>
      <c r="I272" s="106"/>
      <c r="J272" s="106"/>
      <c r="K272" s="106"/>
      <c r="L272" s="44"/>
      <c r="M272" s="44"/>
      <c r="N272" s="82"/>
    </row>
    <row r="273" spans="1:14" ht="15.75" customHeight="1">
      <c r="A273" s="44"/>
      <c r="B273" s="44"/>
      <c r="C273" s="106"/>
      <c r="D273" s="106"/>
      <c r="E273" s="106"/>
      <c r="F273" s="106"/>
      <c r="G273" s="106"/>
      <c r="H273" s="106"/>
      <c r="I273" s="106"/>
      <c r="J273" s="106"/>
      <c r="K273" s="106"/>
      <c r="L273" s="44"/>
      <c r="M273" s="44"/>
      <c r="N273" s="82"/>
    </row>
    <row r="274" spans="1:14" ht="15.75" customHeight="1">
      <c r="A274" s="44"/>
      <c r="B274" s="44"/>
      <c r="C274" s="106"/>
      <c r="D274" s="106"/>
      <c r="E274" s="106"/>
      <c r="F274" s="106"/>
      <c r="G274" s="106"/>
      <c r="H274" s="106"/>
      <c r="I274" s="106"/>
      <c r="J274" s="106"/>
      <c r="K274" s="106"/>
      <c r="L274" s="44"/>
      <c r="M274" s="44"/>
      <c r="N274" s="82"/>
    </row>
    <row r="275" spans="1:14" ht="15.75" customHeight="1">
      <c r="A275" s="44"/>
      <c r="B275" s="44"/>
      <c r="C275" s="106"/>
      <c r="D275" s="106"/>
      <c r="E275" s="106"/>
      <c r="F275" s="106"/>
      <c r="G275" s="106"/>
      <c r="H275" s="106"/>
      <c r="I275" s="106"/>
      <c r="J275" s="106"/>
      <c r="K275" s="106"/>
      <c r="L275" s="44"/>
      <c r="M275" s="44"/>
      <c r="N275" s="82"/>
    </row>
    <row r="276" spans="1:14" ht="15.75" customHeight="1">
      <c r="A276" s="44"/>
      <c r="B276" s="44"/>
      <c r="C276" s="106"/>
      <c r="D276" s="106"/>
      <c r="E276" s="106"/>
      <c r="F276" s="106"/>
      <c r="G276" s="106"/>
      <c r="H276" s="106"/>
      <c r="I276" s="106"/>
      <c r="J276" s="106"/>
      <c r="K276" s="106"/>
      <c r="L276" s="44"/>
      <c r="M276" s="44"/>
      <c r="N276" s="82"/>
    </row>
    <row r="277" spans="1:14" ht="15.75" customHeight="1">
      <c r="A277" s="44"/>
      <c r="B277" s="44"/>
      <c r="C277" s="106"/>
      <c r="D277" s="106"/>
      <c r="E277" s="106"/>
      <c r="F277" s="106"/>
      <c r="G277" s="106"/>
      <c r="H277" s="106"/>
      <c r="I277" s="106"/>
      <c r="J277" s="106"/>
      <c r="K277" s="106"/>
      <c r="L277" s="44"/>
      <c r="M277" s="44"/>
      <c r="N277" s="82"/>
    </row>
    <row r="278" spans="1:14" ht="15.75" customHeight="1">
      <c r="A278" s="44"/>
      <c r="B278" s="44"/>
      <c r="C278" s="106"/>
      <c r="D278" s="106"/>
      <c r="E278" s="106"/>
      <c r="F278" s="106"/>
      <c r="G278" s="106"/>
      <c r="H278" s="106"/>
      <c r="I278" s="106"/>
      <c r="J278" s="106"/>
      <c r="K278" s="106"/>
      <c r="L278" s="44"/>
      <c r="M278" s="44"/>
      <c r="N278" s="82"/>
    </row>
    <row r="279" spans="1:14" ht="15.75" customHeight="1">
      <c r="A279" s="44"/>
      <c r="B279" s="44"/>
      <c r="C279" s="106"/>
      <c r="D279" s="106"/>
      <c r="E279" s="106"/>
      <c r="F279" s="106"/>
      <c r="G279" s="106"/>
      <c r="H279" s="106"/>
      <c r="I279" s="106"/>
      <c r="J279" s="106"/>
      <c r="K279" s="106"/>
      <c r="L279" s="44"/>
      <c r="M279" s="44"/>
      <c r="N279" s="82"/>
    </row>
    <row r="280" spans="1:14" ht="15.75" customHeight="1">
      <c r="A280" s="44"/>
      <c r="B280" s="44"/>
      <c r="C280" s="106"/>
      <c r="D280" s="106"/>
      <c r="E280" s="106"/>
      <c r="F280" s="106"/>
      <c r="G280" s="106"/>
      <c r="H280" s="106"/>
      <c r="I280" s="106"/>
      <c r="J280" s="106"/>
      <c r="K280" s="106"/>
      <c r="L280" s="44"/>
      <c r="M280" s="44"/>
      <c r="N280" s="82"/>
    </row>
    <row r="281" spans="1:14" ht="15.75" customHeight="1">
      <c r="A281" s="44"/>
      <c r="B281" s="44"/>
      <c r="C281" s="106"/>
      <c r="D281" s="106"/>
      <c r="E281" s="106"/>
      <c r="F281" s="106"/>
      <c r="G281" s="106"/>
      <c r="H281" s="106"/>
      <c r="I281" s="106"/>
      <c r="J281" s="106"/>
      <c r="K281" s="106"/>
      <c r="L281" s="44"/>
      <c r="M281" s="44"/>
      <c r="N281" s="82"/>
    </row>
    <row r="282" spans="1:14" ht="15.75" customHeight="1">
      <c r="A282" s="44"/>
      <c r="B282" s="44"/>
      <c r="C282" s="106"/>
      <c r="D282" s="106"/>
      <c r="E282" s="106"/>
      <c r="F282" s="106"/>
      <c r="G282" s="106"/>
      <c r="H282" s="106"/>
      <c r="I282" s="106"/>
      <c r="J282" s="106"/>
      <c r="K282" s="106"/>
      <c r="L282" s="44"/>
      <c r="M282" s="44"/>
      <c r="N282" s="82"/>
    </row>
    <row r="283" spans="1:14" ht="15.75" customHeight="1">
      <c r="A283" s="44"/>
      <c r="B283" s="44"/>
      <c r="C283" s="106"/>
      <c r="D283" s="106"/>
      <c r="E283" s="106"/>
      <c r="F283" s="106"/>
      <c r="G283" s="106"/>
      <c r="H283" s="106"/>
      <c r="I283" s="106"/>
      <c r="J283" s="106"/>
      <c r="K283" s="106"/>
      <c r="L283" s="44"/>
      <c r="M283" s="44"/>
      <c r="N283" s="82"/>
    </row>
    <row r="284" spans="1:14" ht="15.75" customHeight="1">
      <c r="A284" s="44"/>
      <c r="B284" s="44"/>
      <c r="C284" s="106"/>
      <c r="D284" s="106"/>
      <c r="E284" s="106"/>
      <c r="F284" s="106"/>
      <c r="G284" s="106"/>
      <c r="H284" s="106"/>
      <c r="I284" s="106"/>
      <c r="J284" s="106"/>
      <c r="K284" s="106"/>
      <c r="L284" s="44"/>
      <c r="M284" s="44"/>
      <c r="N284" s="82"/>
    </row>
    <row r="285" spans="1:14" ht="15.75" customHeight="1">
      <c r="A285" s="44"/>
      <c r="B285" s="44"/>
      <c r="C285" s="106"/>
      <c r="D285" s="106"/>
      <c r="E285" s="106"/>
      <c r="F285" s="106"/>
      <c r="G285" s="106"/>
      <c r="H285" s="106"/>
      <c r="I285" s="106"/>
      <c r="J285" s="106"/>
      <c r="K285" s="106"/>
      <c r="L285" s="44"/>
      <c r="M285" s="44"/>
      <c r="N285" s="82"/>
    </row>
    <row r="286" spans="1:14" ht="15.75" customHeight="1">
      <c r="A286" s="44"/>
      <c r="B286" s="44"/>
      <c r="C286" s="106"/>
      <c r="D286" s="106"/>
      <c r="E286" s="106"/>
      <c r="F286" s="106"/>
      <c r="G286" s="106"/>
      <c r="H286" s="106"/>
      <c r="I286" s="106"/>
      <c r="J286" s="106"/>
      <c r="K286" s="106"/>
      <c r="L286" s="44"/>
      <c r="M286" s="44"/>
      <c r="N286" s="82"/>
    </row>
    <row r="287" spans="1:14" ht="15.75" customHeight="1">
      <c r="A287" s="44"/>
      <c r="B287" s="44"/>
      <c r="C287" s="106"/>
      <c r="D287" s="106"/>
      <c r="E287" s="106"/>
      <c r="F287" s="106"/>
      <c r="G287" s="106"/>
      <c r="H287" s="106"/>
      <c r="I287" s="106"/>
      <c r="J287" s="106"/>
      <c r="K287" s="106"/>
      <c r="L287" s="44"/>
      <c r="M287" s="44"/>
      <c r="N287" s="82"/>
    </row>
    <row r="288" spans="1:14" ht="15.75" customHeight="1">
      <c r="A288" s="44"/>
      <c r="B288" s="44"/>
      <c r="C288" s="106"/>
      <c r="D288" s="106"/>
      <c r="E288" s="106"/>
      <c r="F288" s="106"/>
      <c r="G288" s="106"/>
      <c r="H288" s="106"/>
      <c r="I288" s="106"/>
      <c r="J288" s="106"/>
      <c r="K288" s="106"/>
      <c r="L288" s="44"/>
      <c r="M288" s="44"/>
      <c r="N288" s="82"/>
    </row>
    <row r="289" spans="1:14" ht="15.75" customHeight="1">
      <c r="A289" s="44"/>
      <c r="B289" s="44"/>
      <c r="C289" s="106"/>
      <c r="D289" s="106"/>
      <c r="E289" s="106"/>
      <c r="F289" s="106"/>
      <c r="G289" s="106"/>
      <c r="H289" s="106"/>
      <c r="I289" s="106"/>
      <c r="J289" s="106"/>
      <c r="K289" s="106"/>
      <c r="L289" s="44"/>
      <c r="M289" s="44"/>
      <c r="N289" s="82"/>
    </row>
    <row r="290" spans="1:14" ht="15.75" customHeight="1">
      <c r="A290" s="44"/>
      <c r="B290" s="44"/>
      <c r="C290" s="106"/>
      <c r="D290" s="106"/>
      <c r="E290" s="106"/>
      <c r="F290" s="106"/>
      <c r="G290" s="106"/>
      <c r="H290" s="106"/>
      <c r="I290" s="106"/>
      <c r="J290" s="106"/>
      <c r="K290" s="106"/>
      <c r="L290" s="44"/>
      <c r="M290" s="44"/>
      <c r="N290" s="82"/>
    </row>
    <row r="291" spans="1:14" ht="15.75" customHeight="1">
      <c r="A291" s="44"/>
      <c r="B291" s="44"/>
      <c r="C291" s="106"/>
      <c r="D291" s="106"/>
      <c r="E291" s="106"/>
      <c r="F291" s="106"/>
      <c r="G291" s="106"/>
      <c r="H291" s="106"/>
      <c r="I291" s="106"/>
      <c r="J291" s="106"/>
      <c r="K291" s="106"/>
      <c r="L291" s="44"/>
      <c r="M291" s="44"/>
      <c r="N291" s="82"/>
    </row>
    <row r="292" spans="1:14" ht="15.75" customHeight="1">
      <c r="A292" s="44"/>
      <c r="B292" s="44"/>
      <c r="C292" s="106"/>
      <c r="D292" s="106"/>
      <c r="E292" s="106"/>
      <c r="F292" s="106"/>
      <c r="G292" s="106"/>
      <c r="H292" s="106"/>
      <c r="I292" s="106"/>
      <c r="J292" s="106"/>
      <c r="K292" s="106"/>
      <c r="L292" s="44"/>
      <c r="M292" s="44"/>
      <c r="N292" s="82"/>
    </row>
    <row r="293" spans="1:14" ht="15.75" customHeight="1">
      <c r="A293" s="44"/>
      <c r="B293" s="44"/>
      <c r="C293" s="106"/>
      <c r="D293" s="106"/>
      <c r="E293" s="106"/>
      <c r="F293" s="106"/>
      <c r="G293" s="106"/>
      <c r="H293" s="106"/>
      <c r="I293" s="106"/>
      <c r="J293" s="106"/>
      <c r="K293" s="106"/>
      <c r="L293" s="44"/>
      <c r="M293" s="44"/>
      <c r="N293" s="82"/>
    </row>
    <row r="294" spans="1:14" ht="15.75" customHeight="1">
      <c r="A294" s="44"/>
      <c r="B294" s="44"/>
      <c r="C294" s="106"/>
      <c r="D294" s="106"/>
      <c r="E294" s="106"/>
      <c r="F294" s="106"/>
      <c r="G294" s="106"/>
      <c r="H294" s="106"/>
      <c r="I294" s="106"/>
      <c r="J294" s="106"/>
      <c r="K294" s="106"/>
      <c r="L294" s="44"/>
      <c r="M294" s="44"/>
      <c r="N294" s="82"/>
    </row>
    <row r="295" spans="1:14" ht="15.75" customHeight="1">
      <c r="A295" s="44"/>
      <c r="B295" s="44"/>
      <c r="C295" s="106"/>
      <c r="D295" s="106"/>
      <c r="E295" s="106"/>
      <c r="F295" s="106"/>
      <c r="G295" s="106"/>
      <c r="H295" s="106"/>
      <c r="I295" s="106"/>
      <c r="J295" s="106"/>
      <c r="K295" s="106"/>
      <c r="L295" s="44"/>
      <c r="M295" s="44"/>
      <c r="N295" s="82"/>
    </row>
    <row r="296" spans="1:14" ht="15.75" customHeight="1">
      <c r="A296" s="44"/>
      <c r="B296" s="44"/>
      <c r="C296" s="106"/>
      <c r="D296" s="106"/>
      <c r="E296" s="106"/>
      <c r="F296" s="106"/>
      <c r="G296" s="106"/>
      <c r="H296" s="106"/>
      <c r="I296" s="106"/>
      <c r="J296" s="106"/>
      <c r="K296" s="106"/>
      <c r="L296" s="44"/>
      <c r="M296" s="44"/>
      <c r="N296" s="82"/>
    </row>
    <row r="297" spans="1:14" ht="15.75" customHeight="1">
      <c r="A297" s="44"/>
      <c r="B297" s="44"/>
      <c r="C297" s="106"/>
      <c r="D297" s="106"/>
      <c r="E297" s="106"/>
      <c r="F297" s="106"/>
      <c r="G297" s="106"/>
      <c r="H297" s="106"/>
      <c r="I297" s="106"/>
      <c r="J297" s="106"/>
      <c r="K297" s="106"/>
      <c r="L297" s="44"/>
      <c r="M297" s="44"/>
      <c r="N297" s="82"/>
    </row>
    <row r="298" spans="1:14" ht="15.75" customHeight="1">
      <c r="A298" s="44"/>
      <c r="B298" s="44"/>
      <c r="C298" s="106"/>
      <c r="D298" s="106"/>
      <c r="E298" s="106"/>
      <c r="F298" s="106"/>
      <c r="G298" s="106"/>
      <c r="H298" s="106"/>
      <c r="I298" s="106"/>
      <c r="J298" s="106"/>
      <c r="K298" s="106"/>
      <c r="L298" s="44"/>
      <c r="M298" s="44"/>
      <c r="N298" s="82"/>
    </row>
    <row r="299" spans="1:14" ht="15.75" customHeight="1">
      <c r="A299" s="44"/>
      <c r="B299" s="44"/>
      <c r="C299" s="106"/>
      <c r="D299" s="106"/>
      <c r="E299" s="106"/>
      <c r="F299" s="106"/>
      <c r="G299" s="106"/>
      <c r="H299" s="106"/>
      <c r="I299" s="106"/>
      <c r="J299" s="106"/>
      <c r="K299" s="106"/>
      <c r="L299" s="44"/>
      <c r="M299" s="44"/>
      <c r="N299" s="82"/>
    </row>
    <row r="300" spans="1:14" ht="15.75" customHeight="1">
      <c r="A300" s="44"/>
      <c r="B300" s="44"/>
      <c r="C300" s="106"/>
      <c r="D300" s="106"/>
      <c r="E300" s="106"/>
      <c r="F300" s="106"/>
      <c r="G300" s="106"/>
      <c r="H300" s="106"/>
      <c r="I300" s="106"/>
      <c r="J300" s="106"/>
      <c r="K300" s="106"/>
      <c r="L300" s="44"/>
      <c r="M300" s="44"/>
      <c r="N300" s="82"/>
    </row>
    <row r="301" spans="1:14" ht="15.75" customHeight="1">
      <c r="A301" s="44"/>
      <c r="B301" s="44"/>
      <c r="C301" s="106"/>
      <c r="D301" s="106"/>
      <c r="E301" s="106"/>
      <c r="F301" s="106"/>
      <c r="G301" s="106"/>
      <c r="H301" s="106"/>
      <c r="I301" s="106"/>
      <c r="J301" s="106"/>
      <c r="K301" s="106"/>
      <c r="L301" s="44"/>
      <c r="M301" s="44"/>
      <c r="N301" s="82"/>
    </row>
    <row r="302" spans="1:14" ht="15.75" customHeight="1"/>
    <row r="303" spans="1:14" ht="15.75" customHeight="1"/>
    <row r="304" spans="1:1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Q2:R2"/>
    <mergeCell ref="D97:L97"/>
  </mergeCells>
  <pageMargins left="0.7" right="0.7" top="0.75" bottom="0.75" header="0" footer="0"/>
  <pageSetup orientation="landscape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B3E5A1"/>
  </sheetPr>
  <dimension ref="A2:J1003"/>
  <sheetViews>
    <sheetView workbookViewId="0">
      <selection activeCell="C3" sqref="C3"/>
    </sheetView>
  </sheetViews>
  <sheetFormatPr baseColWidth="10" defaultColWidth="12.5" defaultRowHeight="15" customHeight="1"/>
  <cols>
    <col min="1" max="1" width="23.875" customWidth="1"/>
    <col min="2" max="2" width="16.25" customWidth="1"/>
    <col min="3" max="3" width="20.125" customWidth="1"/>
    <col min="4" max="5" width="14" customWidth="1"/>
    <col min="6" max="6" width="10.5" customWidth="1"/>
    <col min="9" max="9" width="17.25" customWidth="1"/>
  </cols>
  <sheetData>
    <row r="2" spans="1:10">
      <c r="A2" s="308" t="s">
        <v>198</v>
      </c>
      <c r="B2" s="308" t="s">
        <v>199</v>
      </c>
      <c r="C2" s="308" t="s">
        <v>130</v>
      </c>
      <c r="D2" s="5"/>
      <c r="E2" s="5"/>
    </row>
    <row r="3" spans="1:10" ht="14.25">
      <c r="A3" s="309" t="s">
        <v>200</v>
      </c>
      <c r="B3" s="310">
        <f>J7</f>
        <v>21121416.52613828</v>
      </c>
      <c r="C3" s="311">
        <f>B3*3</f>
        <v>63364249.578414842</v>
      </c>
      <c r="D3" s="52"/>
      <c r="E3" s="52"/>
    </row>
    <row r="4" spans="1:10" ht="14.25">
      <c r="A4" s="312" t="s">
        <v>1031</v>
      </c>
      <c r="B4" s="310">
        <v>20000000</v>
      </c>
      <c r="C4" s="311"/>
      <c r="D4" s="52"/>
      <c r="E4" s="52"/>
    </row>
    <row r="5" spans="1:10" ht="14.25">
      <c r="A5" s="230"/>
      <c r="B5" s="231"/>
      <c r="C5" s="315"/>
      <c r="D5" s="52"/>
      <c r="E5" s="52"/>
      <c r="F5" s="385" t="s">
        <v>1069</v>
      </c>
      <c r="G5" s="385"/>
      <c r="H5" s="385"/>
      <c r="I5" s="385"/>
    </row>
    <row r="6" spans="1:10" ht="14.25">
      <c r="A6" s="230"/>
      <c r="B6" s="231"/>
      <c r="C6" s="315"/>
      <c r="D6" s="52"/>
      <c r="E6" s="52"/>
      <c r="F6" s="296">
        <v>45809</v>
      </c>
      <c r="G6" s="296">
        <v>45748</v>
      </c>
      <c r="H6" s="288" t="s">
        <v>732</v>
      </c>
      <c r="I6" s="288" t="s">
        <v>1068</v>
      </c>
    </row>
    <row r="7" spans="1:10" ht="15" customHeight="1">
      <c r="F7" s="288">
        <v>150.30000000000001</v>
      </c>
      <c r="G7" s="288">
        <v>142.32</v>
      </c>
      <c r="H7" s="288">
        <f>F7/G7</f>
        <v>1.0560708263069141</v>
      </c>
      <c r="I7" s="297">
        <v>20000000</v>
      </c>
      <c r="J7" s="314">
        <f>I7*H7</f>
        <v>21121416.52613828</v>
      </c>
    </row>
    <row r="8" spans="1:10">
      <c r="A8" s="114" t="s">
        <v>201</v>
      </c>
      <c r="B8" s="114" t="s">
        <v>202</v>
      </c>
    </row>
    <row r="9" spans="1:10" ht="48" customHeight="1">
      <c r="A9" s="116" t="s">
        <v>203</v>
      </c>
      <c r="B9" s="115">
        <v>12000000</v>
      </c>
      <c r="E9" s="246"/>
      <c r="H9" s="288" t="s">
        <v>1070</v>
      </c>
      <c r="I9" s="288" t="s">
        <v>1071</v>
      </c>
    </row>
    <row r="10" spans="1:10" ht="14.25">
      <c r="A10" s="40" t="s">
        <v>204</v>
      </c>
      <c r="B10" s="115">
        <v>4000000</v>
      </c>
      <c r="C10" s="246"/>
      <c r="E10" s="295"/>
      <c r="H10" s="313">
        <v>20000000</v>
      </c>
      <c r="I10" s="313">
        <v>21121417</v>
      </c>
    </row>
    <row r="11" spans="1:10" ht="14.25">
      <c r="A11" s="40" t="s">
        <v>205</v>
      </c>
      <c r="B11" s="115">
        <v>5121417</v>
      </c>
      <c r="E11" s="295"/>
    </row>
    <row r="12" spans="1:10" ht="14.25">
      <c r="A12" s="117" t="s">
        <v>197</v>
      </c>
      <c r="B12" s="118">
        <f>SUM(B9:B11)</f>
        <v>21121417</v>
      </c>
      <c r="C12" s="246"/>
    </row>
    <row r="13" spans="1:10" ht="14.25">
      <c r="A13" s="40"/>
      <c r="B13" s="119"/>
    </row>
    <row r="15" spans="1:10" ht="14.25">
      <c r="A15" s="120" t="s">
        <v>206</v>
      </c>
    </row>
    <row r="16" spans="1:10" ht="14.25">
      <c r="A16" s="232" t="s">
        <v>1032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">
    <mergeCell ref="F5:I5"/>
  </mergeCells>
  <pageMargins left="0.7" right="0.7" top="0.75" bottom="0.75" header="0" footer="0"/>
  <pageSetup orientation="landscape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3E5A1"/>
  </sheetPr>
  <dimension ref="A1:K1000"/>
  <sheetViews>
    <sheetView topLeftCell="A21" workbookViewId="0">
      <selection activeCell="H33" sqref="H33"/>
    </sheetView>
  </sheetViews>
  <sheetFormatPr baseColWidth="10" defaultColWidth="12.5" defaultRowHeight="15" customHeight="1"/>
  <cols>
    <col min="1" max="1" width="7.125" customWidth="1"/>
    <col min="2" max="2" width="6.125" customWidth="1"/>
    <col min="3" max="3" width="40.875" customWidth="1"/>
    <col min="4" max="4" width="10.5" customWidth="1"/>
    <col min="5" max="5" width="13" customWidth="1"/>
    <col min="6" max="6" width="20.5" customWidth="1"/>
    <col min="7" max="8" width="13" customWidth="1"/>
    <col min="9" max="11" width="10.5" customWidth="1"/>
  </cols>
  <sheetData>
    <row r="1" spans="1:8" ht="38.25">
      <c r="A1" s="47" t="s">
        <v>112</v>
      </c>
      <c r="B1" s="386" t="s">
        <v>207</v>
      </c>
      <c r="C1" s="387"/>
      <c r="D1" s="121" t="s">
        <v>208</v>
      </c>
      <c r="E1" s="122" t="s">
        <v>209</v>
      </c>
      <c r="F1" s="122" t="s">
        <v>210</v>
      </c>
      <c r="G1" s="122" t="s">
        <v>211</v>
      </c>
      <c r="H1" s="122" t="s">
        <v>137</v>
      </c>
    </row>
    <row r="2" spans="1:8">
      <c r="A2" s="45">
        <v>1</v>
      </c>
      <c r="B2" s="388" t="s">
        <v>212</v>
      </c>
      <c r="C2" s="387"/>
      <c r="D2" s="123">
        <v>1</v>
      </c>
      <c r="E2" s="124">
        <v>36900</v>
      </c>
      <c r="F2" s="124">
        <v>40000</v>
      </c>
      <c r="G2" s="124">
        <v>39900</v>
      </c>
      <c r="H2" s="124">
        <f t="shared" ref="H2:H17" si="0">AVERAGE(E2:G2)</f>
        <v>38933.333333333336</v>
      </c>
    </row>
    <row r="3" spans="1:8">
      <c r="A3" s="45">
        <v>2</v>
      </c>
      <c r="B3" s="388" t="s">
        <v>213</v>
      </c>
      <c r="C3" s="387"/>
      <c r="D3" s="123">
        <v>1</v>
      </c>
      <c r="E3" s="124">
        <v>86400</v>
      </c>
      <c r="F3" s="124">
        <v>95000</v>
      </c>
      <c r="G3" s="124">
        <v>100000</v>
      </c>
      <c r="H3" s="124">
        <f t="shared" si="0"/>
        <v>93800</v>
      </c>
    </row>
    <row r="4" spans="1:8">
      <c r="A4" s="45">
        <v>3</v>
      </c>
      <c r="B4" s="388" t="s">
        <v>214</v>
      </c>
      <c r="C4" s="387"/>
      <c r="D4" s="123">
        <v>1</v>
      </c>
      <c r="E4" s="124">
        <v>98200</v>
      </c>
      <c r="F4" s="124">
        <v>105000</v>
      </c>
      <c r="G4" s="124">
        <v>102000</v>
      </c>
      <c r="H4" s="124">
        <f t="shared" si="0"/>
        <v>101733.33333333333</v>
      </c>
    </row>
    <row r="5" spans="1:8">
      <c r="A5" s="45">
        <v>4</v>
      </c>
      <c r="B5" s="388" t="s">
        <v>215</v>
      </c>
      <c r="C5" s="387"/>
      <c r="D5" s="123">
        <v>1</v>
      </c>
      <c r="E5" s="124">
        <v>98200</v>
      </c>
      <c r="F5" s="124">
        <v>105000</v>
      </c>
      <c r="G5" s="124">
        <v>102000</v>
      </c>
      <c r="H5" s="124">
        <f t="shared" si="0"/>
        <v>101733.33333333333</v>
      </c>
    </row>
    <row r="6" spans="1:8">
      <c r="A6" s="45">
        <v>5</v>
      </c>
      <c r="B6" s="388" t="s">
        <v>216</v>
      </c>
      <c r="C6" s="387"/>
      <c r="D6" s="123">
        <v>1</v>
      </c>
      <c r="E6" s="124">
        <v>98200</v>
      </c>
      <c r="F6" s="124">
        <v>105000</v>
      </c>
      <c r="G6" s="124">
        <v>102000</v>
      </c>
      <c r="H6" s="124">
        <f t="shared" si="0"/>
        <v>101733.33333333333</v>
      </c>
    </row>
    <row r="7" spans="1:8">
      <c r="A7" s="45">
        <v>6</v>
      </c>
      <c r="B7" s="388" t="s">
        <v>217</v>
      </c>
      <c r="C7" s="387"/>
      <c r="D7" s="123">
        <v>1</v>
      </c>
      <c r="E7" s="124">
        <v>155550</v>
      </c>
      <c r="F7" s="124">
        <v>201200</v>
      </c>
      <c r="G7" s="124">
        <v>201000</v>
      </c>
      <c r="H7" s="124">
        <f t="shared" si="0"/>
        <v>185916.66666666666</v>
      </c>
    </row>
    <row r="8" spans="1:8">
      <c r="A8" s="45">
        <v>7</v>
      </c>
      <c r="B8" s="388" t="s">
        <v>218</v>
      </c>
      <c r="C8" s="387"/>
      <c r="D8" s="123">
        <v>1</v>
      </c>
      <c r="E8" s="124">
        <v>179230</v>
      </c>
      <c r="F8" s="124">
        <v>230000</v>
      </c>
      <c r="G8" s="124">
        <v>231000</v>
      </c>
      <c r="H8" s="124">
        <f t="shared" si="0"/>
        <v>213410</v>
      </c>
    </row>
    <row r="9" spans="1:8">
      <c r="A9" s="45">
        <v>8</v>
      </c>
      <c r="B9" s="388" t="s">
        <v>219</v>
      </c>
      <c r="C9" s="387"/>
      <c r="D9" s="123">
        <v>1</v>
      </c>
      <c r="E9" s="124">
        <v>259000</v>
      </c>
      <c r="F9" s="124">
        <v>302000</v>
      </c>
      <c r="G9" s="124">
        <v>331000</v>
      </c>
      <c r="H9" s="124">
        <f t="shared" si="0"/>
        <v>297333.33333333331</v>
      </c>
    </row>
    <row r="10" spans="1:8">
      <c r="A10" s="45">
        <v>9</v>
      </c>
      <c r="B10" s="388" t="s">
        <v>220</v>
      </c>
      <c r="C10" s="387"/>
      <c r="D10" s="123">
        <v>1</v>
      </c>
      <c r="E10" s="124">
        <v>248000</v>
      </c>
      <c r="F10" s="124">
        <v>367999</v>
      </c>
      <c r="G10" s="124">
        <v>290000</v>
      </c>
      <c r="H10" s="124">
        <f t="shared" si="0"/>
        <v>301999.66666666669</v>
      </c>
    </row>
    <row r="11" spans="1:8">
      <c r="A11" s="45">
        <v>10</v>
      </c>
      <c r="B11" s="388" t="s">
        <v>221</v>
      </c>
      <c r="C11" s="387"/>
      <c r="D11" s="123">
        <v>1</v>
      </c>
      <c r="E11" s="124">
        <v>400000</v>
      </c>
      <c r="F11" s="124">
        <v>520000</v>
      </c>
      <c r="G11" s="124">
        <v>489000</v>
      </c>
      <c r="H11" s="124">
        <f t="shared" si="0"/>
        <v>469666.66666666669</v>
      </c>
    </row>
    <row r="12" spans="1:8">
      <c r="A12" s="45">
        <v>11</v>
      </c>
      <c r="B12" s="388" t="s">
        <v>222</v>
      </c>
      <c r="C12" s="387"/>
      <c r="D12" s="123">
        <v>1</v>
      </c>
      <c r="E12" s="124">
        <v>723700</v>
      </c>
      <c r="F12" s="124">
        <v>845000</v>
      </c>
      <c r="G12" s="124">
        <v>1000000</v>
      </c>
      <c r="H12" s="124">
        <f t="shared" si="0"/>
        <v>856233.33333333337</v>
      </c>
    </row>
    <row r="13" spans="1:8">
      <c r="A13" s="45">
        <v>12</v>
      </c>
      <c r="B13" s="388" t="s">
        <v>223</v>
      </c>
      <c r="C13" s="387"/>
      <c r="D13" s="123">
        <v>1</v>
      </c>
      <c r="E13" s="124">
        <v>193890</v>
      </c>
      <c r="F13" s="124">
        <v>239990</v>
      </c>
      <c r="G13" s="124">
        <v>234000</v>
      </c>
      <c r="H13" s="124">
        <f t="shared" si="0"/>
        <v>222626.66666666666</v>
      </c>
    </row>
    <row r="14" spans="1:8">
      <c r="A14" s="45">
        <v>13</v>
      </c>
      <c r="B14" s="388" t="s">
        <v>224</v>
      </c>
      <c r="C14" s="387"/>
      <c r="D14" s="123">
        <v>1</v>
      </c>
      <c r="E14" s="124">
        <v>712800</v>
      </c>
      <c r="F14" s="124">
        <v>890000</v>
      </c>
      <c r="G14" s="124">
        <v>819000</v>
      </c>
      <c r="H14" s="124">
        <f t="shared" si="0"/>
        <v>807266.66666666663</v>
      </c>
    </row>
    <row r="15" spans="1:8">
      <c r="A15" s="45">
        <v>14</v>
      </c>
      <c r="B15" s="388" t="s">
        <v>225</v>
      </c>
      <c r="C15" s="387"/>
      <c r="D15" s="123">
        <v>1</v>
      </c>
      <c r="E15" s="124">
        <v>136790</v>
      </c>
      <c r="F15" s="124">
        <v>189999</v>
      </c>
      <c r="G15" s="124">
        <v>230000</v>
      </c>
      <c r="H15" s="124">
        <f t="shared" si="0"/>
        <v>185596.33333333334</v>
      </c>
    </row>
    <row r="16" spans="1:8" ht="30.75" customHeight="1">
      <c r="A16" s="45">
        <v>15</v>
      </c>
      <c r="B16" s="388" t="s">
        <v>226</v>
      </c>
      <c r="C16" s="387"/>
      <c r="D16" s="123">
        <v>1</v>
      </c>
      <c r="E16" s="124">
        <v>91692</v>
      </c>
      <c r="F16" s="124">
        <v>145000</v>
      </c>
      <c r="G16" s="124">
        <v>100000</v>
      </c>
      <c r="H16" s="124">
        <f t="shared" si="0"/>
        <v>112230.66666666667</v>
      </c>
    </row>
    <row r="17" spans="1:11" ht="36" customHeight="1">
      <c r="A17" s="45">
        <v>16</v>
      </c>
      <c r="B17" s="388" t="s">
        <v>227</v>
      </c>
      <c r="C17" s="387"/>
      <c r="D17" s="123">
        <v>1</v>
      </c>
      <c r="E17" s="124">
        <v>53000</v>
      </c>
      <c r="F17" s="124">
        <v>67900</v>
      </c>
      <c r="G17" s="124">
        <v>54000</v>
      </c>
      <c r="H17" s="124">
        <f t="shared" si="0"/>
        <v>58300</v>
      </c>
    </row>
    <row r="18" spans="1:11" s="256" customFormat="1" ht="36" customHeight="1">
      <c r="A18" s="263">
        <v>17</v>
      </c>
      <c r="B18" s="389" t="s">
        <v>1033</v>
      </c>
      <c r="C18" s="390"/>
      <c r="D18" s="264">
        <v>1</v>
      </c>
      <c r="E18" s="265"/>
      <c r="F18" s="265">
        <v>2500000</v>
      </c>
      <c r="G18" s="265">
        <v>2300000</v>
      </c>
      <c r="H18" s="265">
        <f>AVERAGE(F18:G18)</f>
        <v>2400000</v>
      </c>
    </row>
    <row r="19" spans="1:11" ht="24" customHeight="1">
      <c r="A19" s="45">
        <v>18</v>
      </c>
      <c r="B19" s="388" t="s">
        <v>228</v>
      </c>
      <c r="C19" s="387"/>
      <c r="D19" s="123">
        <v>1</v>
      </c>
      <c r="E19" s="124">
        <v>123012</v>
      </c>
      <c r="F19" s="124">
        <v>133000</v>
      </c>
      <c r="G19" s="124">
        <v>155000</v>
      </c>
      <c r="H19" s="124">
        <f t="shared" ref="H19:H32" si="1">AVERAGE(E19:G19)</f>
        <v>137004</v>
      </c>
    </row>
    <row r="20" spans="1:11" ht="28.5" customHeight="1">
      <c r="A20" s="45">
        <v>19</v>
      </c>
      <c r="B20" s="388" t="s">
        <v>229</v>
      </c>
      <c r="C20" s="387"/>
      <c r="D20" s="123">
        <v>1</v>
      </c>
      <c r="E20" s="262">
        <v>594000</v>
      </c>
      <c r="F20" s="124">
        <v>678900</v>
      </c>
      <c r="G20" s="124">
        <v>670000</v>
      </c>
      <c r="H20" s="124">
        <f t="shared" si="1"/>
        <v>647633.33333333337</v>
      </c>
    </row>
    <row r="21" spans="1:11" ht="23.25" customHeight="1">
      <c r="A21" s="45">
        <v>20</v>
      </c>
      <c r="B21" s="388" t="s">
        <v>230</v>
      </c>
      <c r="C21" s="387"/>
      <c r="D21" s="123">
        <v>1</v>
      </c>
      <c r="E21" s="124">
        <v>336860</v>
      </c>
      <c r="F21" s="124">
        <v>456000</v>
      </c>
      <c r="G21" s="124">
        <v>450000</v>
      </c>
      <c r="H21" s="124">
        <f t="shared" si="1"/>
        <v>414286.66666666669</v>
      </c>
    </row>
    <row r="22" spans="1:11" ht="25.5" customHeight="1">
      <c r="A22" s="45">
        <v>21</v>
      </c>
      <c r="B22" s="388" t="s">
        <v>231</v>
      </c>
      <c r="C22" s="387"/>
      <c r="D22" s="123">
        <v>1</v>
      </c>
      <c r="E22" s="124">
        <v>292680</v>
      </c>
      <c r="F22" s="124">
        <v>567000</v>
      </c>
      <c r="G22" s="124">
        <v>340000</v>
      </c>
      <c r="H22" s="124">
        <f t="shared" si="1"/>
        <v>399893.33333333331</v>
      </c>
    </row>
    <row r="23" spans="1:11" ht="25.5" customHeight="1">
      <c r="A23" s="45">
        <v>22</v>
      </c>
      <c r="B23" s="388" t="s">
        <v>232</v>
      </c>
      <c r="C23" s="387"/>
      <c r="D23" s="123">
        <v>1</v>
      </c>
      <c r="E23" s="124">
        <v>136790</v>
      </c>
      <c r="F23" s="124">
        <v>564000</v>
      </c>
      <c r="G23" s="124">
        <v>156000</v>
      </c>
      <c r="H23" s="124">
        <f t="shared" si="1"/>
        <v>285596.66666666669</v>
      </c>
    </row>
    <row r="24" spans="1:11" ht="31.5" customHeight="1">
      <c r="A24" s="45">
        <v>23</v>
      </c>
      <c r="B24" s="388" t="s">
        <v>233</v>
      </c>
      <c r="C24" s="387"/>
      <c r="D24" s="123">
        <v>1</v>
      </c>
      <c r="E24" s="124">
        <v>142999</v>
      </c>
      <c r="F24" s="124">
        <v>234000</v>
      </c>
      <c r="G24" s="124">
        <v>154000</v>
      </c>
      <c r="H24" s="124">
        <f t="shared" si="1"/>
        <v>176999.66666666666</v>
      </c>
      <c r="K24" s="125"/>
    </row>
    <row r="25" spans="1:11" ht="21" customHeight="1">
      <c r="A25" s="45">
        <v>24</v>
      </c>
      <c r="B25" s="388" t="s">
        <v>234</v>
      </c>
      <c r="C25" s="387"/>
      <c r="D25" s="123">
        <v>1</v>
      </c>
      <c r="E25" s="124">
        <v>204984</v>
      </c>
      <c r="F25" s="124">
        <v>245000</v>
      </c>
      <c r="G25" s="124">
        <v>267000</v>
      </c>
      <c r="H25" s="124">
        <f t="shared" si="1"/>
        <v>238994.66666666666</v>
      </c>
      <c r="K25" s="47"/>
    </row>
    <row r="26" spans="1:11" ht="23.25" customHeight="1">
      <c r="A26" s="45">
        <v>25</v>
      </c>
      <c r="B26" s="388" t="s">
        <v>235</v>
      </c>
      <c r="C26" s="387"/>
      <c r="D26" s="123">
        <v>1</v>
      </c>
      <c r="E26" s="124">
        <v>119235</v>
      </c>
      <c r="F26" s="124">
        <v>156000</v>
      </c>
      <c r="G26" s="124">
        <v>230000</v>
      </c>
      <c r="H26" s="124">
        <f t="shared" si="1"/>
        <v>168411.66666666666</v>
      </c>
      <c r="K26" s="47"/>
    </row>
    <row r="27" spans="1:11" ht="21" customHeight="1">
      <c r="A27" s="45">
        <v>26</v>
      </c>
      <c r="B27" s="388" t="s">
        <v>236</v>
      </c>
      <c r="C27" s="387"/>
      <c r="D27" s="123">
        <v>1</v>
      </c>
      <c r="E27" s="124">
        <v>375740</v>
      </c>
      <c r="F27" s="124">
        <v>420000</v>
      </c>
      <c r="G27" s="124">
        <v>456000</v>
      </c>
      <c r="H27" s="124">
        <f t="shared" si="1"/>
        <v>417246.66666666669</v>
      </c>
      <c r="K27" s="47"/>
    </row>
    <row r="28" spans="1:11" ht="27.75" customHeight="1">
      <c r="A28" s="45">
        <v>27</v>
      </c>
      <c r="B28" s="388" t="s">
        <v>237</v>
      </c>
      <c r="C28" s="387"/>
      <c r="D28" s="123">
        <v>1</v>
      </c>
      <c r="E28" s="124">
        <v>186000</v>
      </c>
      <c r="F28" s="124">
        <v>215000</v>
      </c>
      <c r="G28" s="124">
        <v>240000</v>
      </c>
      <c r="H28" s="124">
        <f t="shared" si="1"/>
        <v>213666.66666666666</v>
      </c>
      <c r="K28" s="47"/>
    </row>
    <row r="29" spans="1:11" ht="24" customHeight="1">
      <c r="A29" s="45">
        <v>28</v>
      </c>
      <c r="B29" s="388" t="s">
        <v>238</v>
      </c>
      <c r="C29" s="387"/>
      <c r="D29" s="126">
        <v>1</v>
      </c>
      <c r="E29" s="127">
        <v>186000</v>
      </c>
      <c r="F29" s="127">
        <v>215000</v>
      </c>
      <c r="G29" s="127">
        <v>240000</v>
      </c>
      <c r="H29" s="124">
        <f t="shared" si="1"/>
        <v>213666.66666666666</v>
      </c>
      <c r="K29" s="47"/>
    </row>
    <row r="30" spans="1:11" ht="20.25" customHeight="1">
      <c r="A30" s="45">
        <v>29</v>
      </c>
      <c r="B30" s="388" t="s">
        <v>239</v>
      </c>
      <c r="C30" s="387"/>
      <c r="D30" s="123">
        <v>1</v>
      </c>
      <c r="E30" s="124">
        <v>359748</v>
      </c>
      <c r="F30" s="124">
        <v>400000</v>
      </c>
      <c r="G30" s="124">
        <v>420000</v>
      </c>
      <c r="H30" s="124">
        <f t="shared" si="1"/>
        <v>393249.33333333331</v>
      </c>
      <c r="K30" s="47"/>
    </row>
    <row r="31" spans="1:11" ht="22.5" customHeight="1">
      <c r="A31" s="45">
        <v>30</v>
      </c>
      <c r="B31" s="388" t="s">
        <v>240</v>
      </c>
      <c r="C31" s="387"/>
      <c r="D31" s="123">
        <v>1</v>
      </c>
      <c r="E31" s="124">
        <v>375000</v>
      </c>
      <c r="F31" s="124">
        <v>450000</v>
      </c>
      <c r="G31" s="124">
        <v>390000</v>
      </c>
      <c r="H31" s="124">
        <f t="shared" si="1"/>
        <v>405000</v>
      </c>
      <c r="K31" s="47"/>
    </row>
    <row r="32" spans="1:11" ht="24.75" customHeight="1">
      <c r="A32" s="45">
        <v>31</v>
      </c>
      <c r="B32" s="388" t="s">
        <v>241</v>
      </c>
      <c r="C32" s="387"/>
      <c r="D32" s="123">
        <v>1</v>
      </c>
      <c r="E32" s="124">
        <v>595000</v>
      </c>
      <c r="F32" s="124">
        <v>700000</v>
      </c>
      <c r="G32" s="124">
        <v>678000</v>
      </c>
      <c r="H32" s="124">
        <f t="shared" si="1"/>
        <v>657666.66666666663</v>
      </c>
      <c r="K32" s="47"/>
    </row>
    <row r="33" spans="3:11" ht="15.75" customHeight="1">
      <c r="C33" s="120" t="s">
        <v>103</v>
      </c>
      <c r="E33" s="69">
        <f>SUM(E2:E32)</f>
        <v>7599600</v>
      </c>
      <c r="F33" s="69"/>
      <c r="G33" s="69"/>
      <c r="H33" s="69">
        <f>SUM(H2:H32)</f>
        <v>11317829.333333328</v>
      </c>
      <c r="K33" s="47"/>
    </row>
    <row r="34" spans="3:11" ht="15.75" customHeight="1">
      <c r="E34" s="69"/>
      <c r="F34" s="69"/>
      <c r="G34" s="69"/>
      <c r="H34" s="69"/>
      <c r="K34" s="47"/>
    </row>
    <row r="35" spans="3:11" ht="15.75" customHeight="1">
      <c r="E35" s="391" t="s">
        <v>242</v>
      </c>
      <c r="F35" s="356"/>
      <c r="G35" s="356"/>
      <c r="H35" s="368"/>
      <c r="K35" s="47"/>
    </row>
    <row r="36" spans="3:11" ht="15.75" customHeight="1">
      <c r="E36" s="68" t="s">
        <v>141</v>
      </c>
      <c r="F36" s="68">
        <v>100000000</v>
      </c>
      <c r="G36" s="68"/>
      <c r="H36" s="68"/>
      <c r="K36" s="47"/>
    </row>
    <row r="37" spans="3:11" ht="15.75" customHeight="1">
      <c r="E37" s="68" t="s">
        <v>199</v>
      </c>
      <c r="F37" s="68">
        <f>F36/3</f>
        <v>33333333.333333332</v>
      </c>
      <c r="G37" s="68"/>
      <c r="H37" s="68"/>
      <c r="K37" s="47"/>
    </row>
    <row r="38" spans="3:11" ht="15.75" customHeight="1">
      <c r="E38" s="69"/>
      <c r="F38" s="69"/>
      <c r="G38" s="69"/>
      <c r="H38" s="69"/>
      <c r="K38" s="47"/>
    </row>
    <row r="39" spans="3:11" ht="15.75" customHeight="1">
      <c r="C39" s="79"/>
      <c r="E39" s="69"/>
      <c r="F39" s="69"/>
      <c r="G39" s="69"/>
      <c r="H39" s="69"/>
      <c r="K39" s="47"/>
    </row>
    <row r="40" spans="3:11" ht="15.75" customHeight="1">
      <c r="C40" s="44"/>
      <c r="E40" s="46"/>
      <c r="F40" s="46"/>
      <c r="G40" s="46"/>
      <c r="H40" s="69"/>
      <c r="K40" s="47"/>
    </row>
    <row r="41" spans="3:11" ht="15.75" customHeight="1">
      <c r="C41" s="47"/>
      <c r="E41" s="48"/>
      <c r="F41" s="48"/>
      <c r="G41" s="48"/>
      <c r="H41" s="69"/>
      <c r="K41" s="47"/>
    </row>
    <row r="42" spans="3:11" ht="15.75" customHeight="1">
      <c r="C42" s="44"/>
      <c r="E42" s="5"/>
      <c r="F42" s="5"/>
      <c r="G42" s="5"/>
      <c r="H42" s="69"/>
      <c r="K42" s="47"/>
    </row>
    <row r="43" spans="3:11" ht="15.75" customHeight="1">
      <c r="C43" s="44"/>
      <c r="E43" s="48"/>
      <c r="F43" s="48"/>
      <c r="G43" s="48"/>
      <c r="H43" s="69"/>
      <c r="K43" s="47"/>
    </row>
    <row r="44" spans="3:11" ht="15.75" customHeight="1">
      <c r="C44" s="47"/>
      <c r="E44" s="128"/>
      <c r="F44" s="128"/>
      <c r="G44" s="128"/>
      <c r="H44" s="69"/>
      <c r="K44" s="47"/>
    </row>
    <row r="45" spans="3:11" ht="15.75" customHeight="1">
      <c r="E45" s="69"/>
      <c r="F45" s="69"/>
      <c r="G45" s="69"/>
      <c r="H45" s="69"/>
      <c r="K45" s="47"/>
    </row>
    <row r="46" spans="3:11" ht="15.75" customHeight="1">
      <c r="C46" s="258"/>
      <c r="D46" s="259"/>
      <c r="E46" s="260"/>
      <c r="F46" s="260"/>
      <c r="G46" s="69"/>
      <c r="H46" s="69"/>
      <c r="K46" s="47"/>
    </row>
    <row r="47" spans="3:11" ht="15.75" customHeight="1">
      <c r="C47" s="261"/>
      <c r="D47" s="259"/>
      <c r="E47" s="260"/>
      <c r="F47" s="260"/>
      <c r="G47" s="69"/>
      <c r="H47" s="69"/>
      <c r="K47" s="47"/>
    </row>
    <row r="48" spans="3:11" ht="15.75" customHeight="1">
      <c r="C48" s="256"/>
      <c r="D48" s="259"/>
      <c r="E48" s="260"/>
      <c r="F48" s="260"/>
      <c r="G48" s="69"/>
      <c r="H48" s="69"/>
      <c r="K48" s="47"/>
    </row>
    <row r="49" spans="5:11" ht="15.75" customHeight="1">
      <c r="E49" s="69"/>
      <c r="F49" s="69"/>
      <c r="G49" s="69"/>
      <c r="H49" s="69"/>
      <c r="K49" s="47"/>
    </row>
    <row r="50" spans="5:11" ht="15.75" customHeight="1">
      <c r="E50" s="69"/>
      <c r="F50" s="69"/>
      <c r="G50" s="69"/>
      <c r="H50" s="69"/>
      <c r="K50" s="47"/>
    </row>
    <row r="51" spans="5:11" ht="15.75" customHeight="1">
      <c r="E51" s="69"/>
      <c r="F51" s="69"/>
      <c r="G51" s="69"/>
      <c r="H51" s="69"/>
      <c r="K51" s="47"/>
    </row>
    <row r="52" spans="5:11" ht="15.75" customHeight="1">
      <c r="E52" s="69"/>
      <c r="F52" s="69"/>
      <c r="G52" s="69"/>
      <c r="H52" s="69"/>
      <c r="K52" s="47"/>
    </row>
    <row r="53" spans="5:11" ht="15.75" customHeight="1">
      <c r="E53" s="69"/>
      <c r="F53" s="69"/>
      <c r="G53" s="69"/>
      <c r="H53" s="69"/>
      <c r="K53" s="47"/>
    </row>
    <row r="54" spans="5:11" ht="15.75" customHeight="1">
      <c r="E54" s="69"/>
      <c r="F54" s="69"/>
      <c r="G54" s="69"/>
      <c r="H54" s="69"/>
      <c r="K54" s="47"/>
    </row>
    <row r="55" spans="5:11" ht="15.75" customHeight="1">
      <c r="E55" s="69"/>
      <c r="F55" s="69"/>
      <c r="G55" s="69"/>
      <c r="H55" s="69"/>
      <c r="K55" s="47"/>
    </row>
    <row r="56" spans="5:11" ht="15.75" customHeight="1">
      <c r="E56" s="69"/>
      <c r="F56" s="69"/>
      <c r="G56" s="69"/>
      <c r="H56" s="69"/>
      <c r="K56" s="47"/>
    </row>
    <row r="57" spans="5:11" ht="15.75" customHeight="1">
      <c r="E57" s="69"/>
      <c r="F57" s="69"/>
      <c r="G57" s="69"/>
      <c r="H57" s="69"/>
      <c r="K57" s="47"/>
    </row>
    <row r="58" spans="5:11" ht="15.75" customHeight="1">
      <c r="E58" s="69"/>
      <c r="F58" s="69"/>
      <c r="G58" s="69"/>
      <c r="H58" s="69"/>
      <c r="K58" s="47"/>
    </row>
    <row r="59" spans="5:11" ht="15.75" customHeight="1">
      <c r="E59" s="69"/>
      <c r="F59" s="69"/>
      <c r="G59" s="69"/>
      <c r="H59" s="69"/>
      <c r="K59" s="47"/>
    </row>
    <row r="60" spans="5:11" ht="15.75" customHeight="1">
      <c r="E60" s="69"/>
      <c r="F60" s="69"/>
      <c r="G60" s="69"/>
      <c r="H60" s="69"/>
    </row>
    <row r="61" spans="5:11" ht="15.75" customHeight="1">
      <c r="E61" s="69"/>
      <c r="F61" s="69"/>
      <c r="G61" s="69"/>
      <c r="H61" s="69"/>
    </row>
    <row r="62" spans="5:11" ht="15.75" customHeight="1">
      <c r="E62" s="69"/>
      <c r="F62" s="69"/>
      <c r="G62" s="69"/>
      <c r="H62" s="69"/>
    </row>
    <row r="63" spans="5:11" ht="15.75" customHeight="1">
      <c r="E63" s="69"/>
      <c r="F63" s="69"/>
      <c r="G63" s="69"/>
      <c r="H63" s="69"/>
    </row>
    <row r="64" spans="5:11" ht="15.75" customHeight="1">
      <c r="E64" s="69"/>
      <c r="F64" s="69"/>
      <c r="G64" s="69"/>
      <c r="H64" s="69"/>
    </row>
    <row r="65" spans="5:8" ht="15.75" customHeight="1">
      <c r="E65" s="69"/>
      <c r="F65" s="69"/>
      <c r="G65" s="69"/>
      <c r="H65" s="69"/>
    </row>
    <row r="66" spans="5:8" ht="15.75" customHeight="1">
      <c r="E66" s="69"/>
      <c r="F66" s="69"/>
      <c r="G66" s="69"/>
      <c r="H66" s="69"/>
    </row>
    <row r="67" spans="5:8" ht="15.75" customHeight="1">
      <c r="E67" s="69"/>
      <c r="F67" s="69"/>
      <c r="G67" s="69"/>
      <c r="H67" s="69"/>
    </row>
    <row r="68" spans="5:8" ht="15.75" customHeight="1">
      <c r="E68" s="69"/>
      <c r="F68" s="69"/>
      <c r="G68" s="69"/>
      <c r="H68" s="69"/>
    </row>
    <row r="69" spans="5:8" ht="15.75" customHeight="1">
      <c r="E69" s="69"/>
      <c r="F69" s="69"/>
      <c r="G69" s="69"/>
      <c r="H69" s="69"/>
    </row>
    <row r="70" spans="5:8" ht="15.75" customHeight="1">
      <c r="E70" s="69"/>
      <c r="F70" s="69"/>
      <c r="G70" s="69"/>
      <c r="H70" s="69"/>
    </row>
    <row r="71" spans="5:8" ht="15.75" customHeight="1">
      <c r="E71" s="69"/>
      <c r="F71" s="69"/>
      <c r="G71" s="69"/>
      <c r="H71" s="69"/>
    </row>
    <row r="72" spans="5:8" ht="15.75" customHeight="1">
      <c r="E72" s="69"/>
      <c r="F72" s="69"/>
      <c r="G72" s="69"/>
      <c r="H72" s="69"/>
    </row>
    <row r="73" spans="5:8" ht="15.75" customHeight="1">
      <c r="E73" s="69"/>
      <c r="F73" s="69"/>
      <c r="G73" s="69"/>
      <c r="H73" s="69"/>
    </row>
    <row r="74" spans="5:8" ht="15.75" customHeight="1">
      <c r="E74" s="69"/>
      <c r="F74" s="69"/>
      <c r="G74" s="69"/>
      <c r="H74" s="69"/>
    </row>
    <row r="75" spans="5:8" ht="15.75" customHeight="1">
      <c r="E75" s="69"/>
      <c r="F75" s="69"/>
      <c r="G75" s="69"/>
      <c r="H75" s="69"/>
    </row>
    <row r="76" spans="5:8" ht="15.75" customHeight="1">
      <c r="E76" s="69"/>
      <c r="F76" s="69"/>
      <c r="G76" s="69"/>
      <c r="H76" s="69"/>
    </row>
    <row r="77" spans="5:8" ht="15.75" customHeight="1">
      <c r="E77" s="69"/>
      <c r="F77" s="69"/>
      <c r="G77" s="69"/>
      <c r="H77" s="69"/>
    </row>
    <row r="78" spans="5:8" ht="15.75" customHeight="1">
      <c r="E78" s="69"/>
      <c r="F78" s="69"/>
      <c r="G78" s="69"/>
      <c r="H78" s="69"/>
    </row>
    <row r="79" spans="5:8" ht="15.75" customHeight="1">
      <c r="E79" s="69"/>
      <c r="F79" s="69"/>
      <c r="G79" s="69"/>
      <c r="H79" s="69"/>
    </row>
    <row r="80" spans="5:8" ht="15.75" customHeight="1">
      <c r="E80" s="69"/>
      <c r="F80" s="69"/>
      <c r="G80" s="69"/>
      <c r="H80" s="69"/>
    </row>
    <row r="81" spans="5:8" ht="15.75" customHeight="1">
      <c r="E81" s="69"/>
      <c r="F81" s="69"/>
      <c r="G81" s="69"/>
      <c r="H81" s="69"/>
    </row>
    <row r="82" spans="5:8" ht="15.75" customHeight="1">
      <c r="E82" s="69"/>
      <c r="F82" s="69"/>
      <c r="G82" s="69"/>
      <c r="H82" s="69"/>
    </row>
    <row r="83" spans="5:8" ht="15.75" customHeight="1">
      <c r="E83" s="69"/>
      <c r="F83" s="69"/>
      <c r="G83" s="69"/>
      <c r="H83" s="69"/>
    </row>
    <row r="84" spans="5:8" ht="15.75" customHeight="1">
      <c r="E84" s="69"/>
      <c r="F84" s="69"/>
      <c r="G84" s="69"/>
      <c r="H84" s="69"/>
    </row>
    <row r="85" spans="5:8" ht="15.75" customHeight="1">
      <c r="E85" s="69"/>
      <c r="F85" s="69"/>
      <c r="G85" s="69"/>
      <c r="H85" s="69"/>
    </row>
    <row r="86" spans="5:8" ht="15.75" customHeight="1">
      <c r="E86" s="69"/>
      <c r="F86" s="69"/>
      <c r="G86" s="69"/>
      <c r="H86" s="69"/>
    </row>
    <row r="87" spans="5:8" ht="15.75" customHeight="1">
      <c r="E87" s="69"/>
      <c r="F87" s="69"/>
      <c r="G87" s="69"/>
      <c r="H87" s="69"/>
    </row>
    <row r="88" spans="5:8" ht="15.75" customHeight="1">
      <c r="E88" s="69"/>
      <c r="F88" s="69"/>
      <c r="G88" s="69"/>
      <c r="H88" s="69"/>
    </row>
    <row r="89" spans="5:8" ht="15.75" customHeight="1">
      <c r="E89" s="69"/>
      <c r="F89" s="69"/>
      <c r="G89" s="69"/>
      <c r="H89" s="69"/>
    </row>
    <row r="90" spans="5:8" ht="15.75" customHeight="1">
      <c r="E90" s="69"/>
      <c r="F90" s="69"/>
      <c r="G90" s="69"/>
      <c r="H90" s="69"/>
    </row>
    <row r="91" spans="5:8" ht="15.75" customHeight="1">
      <c r="E91" s="69"/>
      <c r="F91" s="69"/>
      <c r="G91" s="69"/>
      <c r="H91" s="69"/>
    </row>
    <row r="92" spans="5:8" ht="15.75" customHeight="1">
      <c r="E92" s="69"/>
      <c r="F92" s="69"/>
      <c r="G92" s="69"/>
      <c r="H92" s="69"/>
    </row>
    <row r="93" spans="5:8" ht="15.75" customHeight="1">
      <c r="E93" s="69"/>
      <c r="F93" s="69"/>
      <c r="G93" s="69"/>
      <c r="H93" s="69"/>
    </row>
    <row r="94" spans="5:8" ht="15.75" customHeight="1">
      <c r="E94" s="69"/>
      <c r="F94" s="69"/>
      <c r="G94" s="69"/>
      <c r="H94" s="69"/>
    </row>
    <row r="95" spans="5:8" ht="15.75" customHeight="1">
      <c r="E95" s="69"/>
      <c r="F95" s="69"/>
      <c r="G95" s="69"/>
      <c r="H95" s="69"/>
    </row>
    <row r="96" spans="5:8" ht="15.75" customHeight="1">
      <c r="E96" s="69"/>
      <c r="F96" s="69"/>
      <c r="G96" s="69"/>
      <c r="H96" s="69"/>
    </row>
    <row r="97" spans="5:8" ht="15.75" customHeight="1">
      <c r="E97" s="69"/>
      <c r="F97" s="69"/>
      <c r="G97" s="69"/>
      <c r="H97" s="69"/>
    </row>
    <row r="98" spans="5:8" ht="15.75" customHeight="1">
      <c r="E98" s="69"/>
      <c r="F98" s="69"/>
      <c r="G98" s="69"/>
      <c r="H98" s="69"/>
    </row>
    <row r="99" spans="5:8" ht="15.75" customHeight="1">
      <c r="E99" s="69"/>
      <c r="F99" s="69"/>
      <c r="G99" s="69"/>
      <c r="H99" s="69"/>
    </row>
    <row r="100" spans="5:8" ht="15.75" customHeight="1">
      <c r="E100" s="69"/>
      <c r="F100" s="69"/>
      <c r="G100" s="69"/>
      <c r="H100" s="69"/>
    </row>
    <row r="101" spans="5:8" ht="15.75" customHeight="1">
      <c r="E101" s="69"/>
      <c r="F101" s="69"/>
      <c r="G101" s="69"/>
      <c r="H101" s="69"/>
    </row>
    <row r="102" spans="5:8" ht="15.75" customHeight="1">
      <c r="E102" s="69"/>
      <c r="F102" s="69"/>
      <c r="G102" s="69"/>
      <c r="H102" s="69"/>
    </row>
    <row r="103" spans="5:8" ht="15.75" customHeight="1">
      <c r="E103" s="69"/>
      <c r="F103" s="69"/>
      <c r="G103" s="69"/>
      <c r="H103" s="69"/>
    </row>
    <row r="104" spans="5:8" ht="15.75" customHeight="1">
      <c r="E104" s="69"/>
      <c r="F104" s="69"/>
      <c r="G104" s="69"/>
      <c r="H104" s="69"/>
    </row>
    <row r="105" spans="5:8" ht="15.75" customHeight="1">
      <c r="E105" s="69"/>
      <c r="F105" s="69"/>
      <c r="G105" s="69"/>
      <c r="H105" s="69"/>
    </row>
    <row r="106" spans="5:8" ht="15.75" customHeight="1">
      <c r="E106" s="69"/>
      <c r="F106" s="69"/>
      <c r="G106" s="69"/>
      <c r="H106" s="69"/>
    </row>
    <row r="107" spans="5:8" ht="15.75" customHeight="1">
      <c r="E107" s="69"/>
      <c r="F107" s="69"/>
      <c r="G107" s="69"/>
      <c r="H107" s="69"/>
    </row>
    <row r="108" spans="5:8" ht="15.75" customHeight="1">
      <c r="E108" s="69"/>
      <c r="F108" s="69"/>
      <c r="G108" s="69"/>
      <c r="H108" s="69"/>
    </row>
    <row r="109" spans="5:8" ht="15.75" customHeight="1">
      <c r="E109" s="69"/>
      <c r="F109" s="69"/>
      <c r="G109" s="69"/>
      <c r="H109" s="69"/>
    </row>
    <row r="110" spans="5:8" ht="15.75" customHeight="1">
      <c r="E110" s="69"/>
      <c r="F110" s="69"/>
      <c r="G110" s="69"/>
      <c r="H110" s="69"/>
    </row>
    <row r="111" spans="5:8" ht="15.75" customHeight="1">
      <c r="E111" s="69"/>
      <c r="F111" s="69"/>
      <c r="G111" s="69"/>
      <c r="H111" s="69"/>
    </row>
    <row r="112" spans="5:8" ht="15.75" customHeight="1">
      <c r="E112" s="69"/>
      <c r="F112" s="69"/>
      <c r="G112" s="69"/>
      <c r="H112" s="69"/>
    </row>
    <row r="113" spans="5:8" ht="15.75" customHeight="1">
      <c r="E113" s="69"/>
      <c r="F113" s="69"/>
      <c r="G113" s="69"/>
      <c r="H113" s="69"/>
    </row>
    <row r="114" spans="5:8" ht="15.75" customHeight="1">
      <c r="E114" s="69"/>
      <c r="F114" s="69"/>
      <c r="G114" s="69"/>
      <c r="H114" s="69"/>
    </row>
    <row r="115" spans="5:8" ht="15.75" customHeight="1">
      <c r="E115" s="69"/>
      <c r="F115" s="69"/>
      <c r="G115" s="69"/>
      <c r="H115" s="69"/>
    </row>
    <row r="116" spans="5:8" ht="15.75" customHeight="1">
      <c r="E116" s="69"/>
      <c r="F116" s="69"/>
      <c r="G116" s="69"/>
      <c r="H116" s="69"/>
    </row>
    <row r="117" spans="5:8" ht="15.75" customHeight="1">
      <c r="E117" s="69"/>
      <c r="F117" s="69"/>
      <c r="G117" s="69"/>
      <c r="H117" s="69"/>
    </row>
    <row r="118" spans="5:8" ht="15.75" customHeight="1">
      <c r="E118" s="69"/>
      <c r="F118" s="69"/>
      <c r="G118" s="69"/>
      <c r="H118" s="69"/>
    </row>
    <row r="119" spans="5:8" ht="15.75" customHeight="1">
      <c r="E119" s="69"/>
      <c r="F119" s="69"/>
      <c r="G119" s="69"/>
      <c r="H119" s="69"/>
    </row>
    <row r="120" spans="5:8" ht="15.75" customHeight="1">
      <c r="E120" s="69"/>
      <c r="F120" s="69"/>
      <c r="G120" s="69"/>
      <c r="H120" s="69"/>
    </row>
    <row r="121" spans="5:8" ht="15.75" customHeight="1">
      <c r="E121" s="69"/>
      <c r="F121" s="69"/>
      <c r="G121" s="69"/>
      <c r="H121" s="69"/>
    </row>
    <row r="122" spans="5:8" ht="15.75" customHeight="1">
      <c r="E122" s="69"/>
      <c r="F122" s="69"/>
      <c r="G122" s="69"/>
      <c r="H122" s="69"/>
    </row>
    <row r="123" spans="5:8" ht="15.75" customHeight="1">
      <c r="E123" s="69"/>
      <c r="F123" s="69"/>
      <c r="G123" s="69"/>
      <c r="H123" s="69"/>
    </row>
    <row r="124" spans="5:8" ht="15.75" customHeight="1">
      <c r="E124" s="69"/>
      <c r="F124" s="69"/>
      <c r="G124" s="69"/>
      <c r="H124" s="69"/>
    </row>
    <row r="125" spans="5:8" ht="15.75" customHeight="1">
      <c r="E125" s="69"/>
      <c r="F125" s="69"/>
      <c r="G125" s="69"/>
      <c r="H125" s="69"/>
    </row>
    <row r="126" spans="5:8" ht="15.75" customHeight="1">
      <c r="E126" s="69"/>
      <c r="F126" s="69"/>
      <c r="G126" s="69"/>
      <c r="H126" s="69"/>
    </row>
    <row r="127" spans="5:8" ht="15.75" customHeight="1">
      <c r="E127" s="69"/>
      <c r="F127" s="69"/>
      <c r="G127" s="69"/>
      <c r="H127" s="69"/>
    </row>
    <row r="128" spans="5:8" ht="15.75" customHeight="1">
      <c r="E128" s="69"/>
      <c r="F128" s="69"/>
      <c r="G128" s="69"/>
      <c r="H128" s="69"/>
    </row>
    <row r="129" spans="5:8" ht="15.75" customHeight="1">
      <c r="E129" s="69"/>
      <c r="F129" s="69"/>
      <c r="G129" s="69"/>
      <c r="H129" s="69"/>
    </row>
    <row r="130" spans="5:8" ht="15.75" customHeight="1">
      <c r="E130" s="69"/>
      <c r="F130" s="69"/>
      <c r="G130" s="69"/>
      <c r="H130" s="69"/>
    </row>
    <row r="131" spans="5:8" ht="15.75" customHeight="1">
      <c r="E131" s="69"/>
      <c r="F131" s="69"/>
      <c r="G131" s="69"/>
      <c r="H131" s="69"/>
    </row>
    <row r="132" spans="5:8" ht="15.75" customHeight="1">
      <c r="E132" s="69"/>
      <c r="F132" s="69"/>
      <c r="G132" s="69"/>
      <c r="H132" s="69"/>
    </row>
    <row r="133" spans="5:8" ht="15.75" customHeight="1">
      <c r="E133" s="69"/>
      <c r="F133" s="69"/>
      <c r="G133" s="69"/>
      <c r="H133" s="69"/>
    </row>
    <row r="134" spans="5:8" ht="15.75" customHeight="1">
      <c r="E134" s="69"/>
      <c r="F134" s="69"/>
      <c r="G134" s="69"/>
      <c r="H134" s="69"/>
    </row>
    <row r="135" spans="5:8" ht="15.75" customHeight="1">
      <c r="E135" s="69"/>
      <c r="F135" s="69"/>
      <c r="G135" s="69"/>
      <c r="H135" s="69"/>
    </row>
    <row r="136" spans="5:8" ht="15.75" customHeight="1">
      <c r="E136" s="69"/>
      <c r="F136" s="69"/>
      <c r="G136" s="69"/>
      <c r="H136" s="69"/>
    </row>
    <row r="137" spans="5:8" ht="15.75" customHeight="1">
      <c r="E137" s="69"/>
      <c r="F137" s="69"/>
      <c r="G137" s="69"/>
      <c r="H137" s="69"/>
    </row>
    <row r="138" spans="5:8" ht="15.75" customHeight="1">
      <c r="E138" s="69"/>
      <c r="F138" s="69"/>
      <c r="G138" s="69"/>
      <c r="H138" s="69"/>
    </row>
    <row r="139" spans="5:8" ht="15.75" customHeight="1">
      <c r="E139" s="69"/>
      <c r="F139" s="69"/>
      <c r="G139" s="69"/>
      <c r="H139" s="69"/>
    </row>
    <row r="140" spans="5:8" ht="15.75" customHeight="1">
      <c r="E140" s="69"/>
      <c r="F140" s="69"/>
      <c r="G140" s="69"/>
      <c r="H140" s="69"/>
    </row>
    <row r="141" spans="5:8" ht="15.75" customHeight="1">
      <c r="E141" s="69"/>
      <c r="F141" s="69"/>
      <c r="G141" s="69"/>
      <c r="H141" s="69"/>
    </row>
    <row r="142" spans="5:8" ht="15.75" customHeight="1">
      <c r="E142" s="69"/>
      <c r="F142" s="69"/>
      <c r="G142" s="69"/>
      <c r="H142" s="69"/>
    </row>
    <row r="143" spans="5:8" ht="15.75" customHeight="1">
      <c r="E143" s="69"/>
      <c r="F143" s="69"/>
      <c r="G143" s="69"/>
      <c r="H143" s="69"/>
    </row>
    <row r="144" spans="5:8" ht="15.75" customHeight="1">
      <c r="E144" s="69"/>
      <c r="F144" s="69"/>
      <c r="G144" s="69"/>
      <c r="H144" s="69"/>
    </row>
    <row r="145" spans="5:8" ht="15.75" customHeight="1">
      <c r="E145" s="69"/>
      <c r="F145" s="69"/>
      <c r="G145" s="69"/>
      <c r="H145" s="69"/>
    </row>
    <row r="146" spans="5:8" ht="15.75" customHeight="1">
      <c r="E146" s="69"/>
      <c r="F146" s="69"/>
      <c r="G146" s="69"/>
      <c r="H146" s="69"/>
    </row>
    <row r="147" spans="5:8" ht="15.75" customHeight="1">
      <c r="E147" s="69"/>
      <c r="F147" s="69"/>
      <c r="G147" s="69"/>
      <c r="H147" s="69"/>
    </row>
    <row r="148" spans="5:8" ht="15.75" customHeight="1">
      <c r="E148" s="69"/>
      <c r="F148" s="69"/>
      <c r="G148" s="69"/>
      <c r="H148" s="69"/>
    </row>
    <row r="149" spans="5:8" ht="15.75" customHeight="1">
      <c r="E149" s="69"/>
      <c r="F149" s="69"/>
      <c r="G149" s="69"/>
      <c r="H149" s="69"/>
    </row>
    <row r="150" spans="5:8" ht="15.75" customHeight="1">
      <c r="E150" s="69"/>
      <c r="F150" s="69"/>
      <c r="G150" s="69"/>
      <c r="H150" s="69"/>
    </row>
    <row r="151" spans="5:8" ht="15.75" customHeight="1">
      <c r="E151" s="69"/>
      <c r="F151" s="69"/>
      <c r="G151" s="69"/>
      <c r="H151" s="69"/>
    </row>
    <row r="152" spans="5:8" ht="15.75" customHeight="1">
      <c r="E152" s="69"/>
      <c r="F152" s="69"/>
      <c r="G152" s="69"/>
      <c r="H152" s="69"/>
    </row>
    <row r="153" spans="5:8" ht="15.75" customHeight="1">
      <c r="E153" s="69"/>
      <c r="F153" s="69"/>
      <c r="G153" s="69"/>
      <c r="H153" s="69"/>
    </row>
    <row r="154" spans="5:8" ht="15.75" customHeight="1">
      <c r="E154" s="69"/>
      <c r="F154" s="69"/>
      <c r="G154" s="69"/>
      <c r="H154" s="69"/>
    </row>
    <row r="155" spans="5:8" ht="15.75" customHeight="1">
      <c r="E155" s="69"/>
      <c r="F155" s="69"/>
      <c r="G155" s="69"/>
      <c r="H155" s="69"/>
    </row>
    <row r="156" spans="5:8" ht="15.75" customHeight="1">
      <c r="E156" s="69"/>
      <c r="F156" s="69"/>
      <c r="G156" s="69"/>
      <c r="H156" s="69"/>
    </row>
    <row r="157" spans="5:8" ht="15.75" customHeight="1">
      <c r="E157" s="69"/>
      <c r="F157" s="69"/>
      <c r="G157" s="69"/>
      <c r="H157" s="69"/>
    </row>
    <row r="158" spans="5:8" ht="15.75" customHeight="1">
      <c r="E158" s="69"/>
      <c r="F158" s="69"/>
      <c r="G158" s="69"/>
      <c r="H158" s="69"/>
    </row>
    <row r="159" spans="5:8" ht="15.75" customHeight="1">
      <c r="E159" s="69"/>
      <c r="F159" s="69"/>
      <c r="G159" s="69"/>
      <c r="H159" s="69"/>
    </row>
    <row r="160" spans="5:8" ht="15.75" customHeight="1">
      <c r="E160" s="69"/>
      <c r="F160" s="69"/>
      <c r="G160" s="69"/>
      <c r="H160" s="69"/>
    </row>
    <row r="161" spans="5:8" ht="15.75" customHeight="1">
      <c r="E161" s="69"/>
      <c r="F161" s="69"/>
      <c r="G161" s="69"/>
      <c r="H161" s="69"/>
    </row>
    <row r="162" spans="5:8" ht="15.75" customHeight="1">
      <c r="E162" s="69"/>
      <c r="F162" s="69"/>
      <c r="G162" s="69"/>
      <c r="H162" s="69"/>
    </row>
    <row r="163" spans="5:8" ht="15.75" customHeight="1">
      <c r="E163" s="69"/>
      <c r="F163" s="69"/>
      <c r="G163" s="69"/>
      <c r="H163" s="69"/>
    </row>
    <row r="164" spans="5:8" ht="15.75" customHeight="1">
      <c r="E164" s="69"/>
      <c r="F164" s="69"/>
      <c r="G164" s="69"/>
      <c r="H164" s="69"/>
    </row>
    <row r="165" spans="5:8" ht="15.75" customHeight="1">
      <c r="E165" s="69"/>
      <c r="F165" s="69"/>
      <c r="G165" s="69"/>
      <c r="H165" s="69"/>
    </row>
    <row r="166" spans="5:8" ht="15.75" customHeight="1">
      <c r="E166" s="69"/>
      <c r="F166" s="69"/>
      <c r="G166" s="69"/>
      <c r="H166" s="69"/>
    </row>
    <row r="167" spans="5:8" ht="15.75" customHeight="1">
      <c r="E167" s="69"/>
      <c r="F167" s="69"/>
      <c r="G167" s="69"/>
      <c r="H167" s="69"/>
    </row>
    <row r="168" spans="5:8" ht="15.75" customHeight="1">
      <c r="E168" s="69"/>
      <c r="F168" s="69"/>
      <c r="G168" s="69"/>
      <c r="H168" s="69"/>
    </row>
    <row r="169" spans="5:8" ht="15.75" customHeight="1">
      <c r="E169" s="69"/>
      <c r="F169" s="69"/>
      <c r="G169" s="69"/>
      <c r="H169" s="69"/>
    </row>
    <row r="170" spans="5:8" ht="15.75" customHeight="1">
      <c r="E170" s="69"/>
      <c r="F170" s="69"/>
      <c r="G170" s="69"/>
      <c r="H170" s="69"/>
    </row>
    <row r="171" spans="5:8" ht="15.75" customHeight="1">
      <c r="E171" s="69"/>
      <c r="F171" s="69"/>
      <c r="G171" s="69"/>
      <c r="H171" s="69"/>
    </row>
    <row r="172" spans="5:8" ht="15.75" customHeight="1">
      <c r="E172" s="69"/>
      <c r="F172" s="69"/>
      <c r="G172" s="69"/>
      <c r="H172" s="69"/>
    </row>
    <row r="173" spans="5:8" ht="15.75" customHeight="1">
      <c r="E173" s="69"/>
      <c r="F173" s="69"/>
      <c r="G173" s="69"/>
      <c r="H173" s="69"/>
    </row>
    <row r="174" spans="5:8" ht="15.75" customHeight="1">
      <c r="E174" s="69"/>
      <c r="F174" s="69"/>
      <c r="G174" s="69"/>
      <c r="H174" s="69"/>
    </row>
    <row r="175" spans="5:8" ht="15.75" customHeight="1">
      <c r="E175" s="69"/>
      <c r="F175" s="69"/>
      <c r="G175" s="69"/>
      <c r="H175" s="69"/>
    </row>
    <row r="176" spans="5:8" ht="15.75" customHeight="1">
      <c r="E176" s="69"/>
      <c r="F176" s="69"/>
      <c r="G176" s="69"/>
      <c r="H176" s="69"/>
    </row>
    <row r="177" spans="5:8" ht="15.75" customHeight="1">
      <c r="E177" s="69"/>
      <c r="F177" s="69"/>
      <c r="G177" s="69"/>
      <c r="H177" s="69"/>
    </row>
    <row r="178" spans="5:8" ht="15.75" customHeight="1">
      <c r="E178" s="69"/>
      <c r="F178" s="69"/>
      <c r="G178" s="69"/>
      <c r="H178" s="69"/>
    </row>
    <row r="179" spans="5:8" ht="15.75" customHeight="1">
      <c r="E179" s="69"/>
      <c r="F179" s="69"/>
      <c r="G179" s="69"/>
      <c r="H179" s="69"/>
    </row>
    <row r="180" spans="5:8" ht="15.75" customHeight="1">
      <c r="E180" s="69"/>
      <c r="F180" s="69"/>
      <c r="G180" s="69"/>
      <c r="H180" s="69"/>
    </row>
    <row r="181" spans="5:8" ht="15.75" customHeight="1">
      <c r="E181" s="69"/>
      <c r="F181" s="69"/>
      <c r="G181" s="69"/>
      <c r="H181" s="69"/>
    </row>
    <row r="182" spans="5:8" ht="15.75" customHeight="1">
      <c r="E182" s="69"/>
      <c r="F182" s="69"/>
      <c r="G182" s="69"/>
      <c r="H182" s="69"/>
    </row>
    <row r="183" spans="5:8" ht="15.75" customHeight="1">
      <c r="E183" s="69"/>
      <c r="F183" s="69"/>
      <c r="G183" s="69"/>
      <c r="H183" s="69"/>
    </row>
    <row r="184" spans="5:8" ht="15.75" customHeight="1">
      <c r="E184" s="69"/>
      <c r="F184" s="69"/>
      <c r="G184" s="69"/>
      <c r="H184" s="69"/>
    </row>
    <row r="185" spans="5:8" ht="15.75" customHeight="1">
      <c r="E185" s="69"/>
      <c r="F185" s="69"/>
      <c r="G185" s="69"/>
      <c r="H185" s="69"/>
    </row>
    <row r="186" spans="5:8" ht="15.75" customHeight="1">
      <c r="E186" s="69"/>
      <c r="F186" s="69"/>
      <c r="G186" s="69"/>
      <c r="H186" s="69"/>
    </row>
    <row r="187" spans="5:8" ht="15.75" customHeight="1">
      <c r="E187" s="69"/>
      <c r="F187" s="69"/>
      <c r="G187" s="69"/>
      <c r="H187" s="69"/>
    </row>
    <row r="188" spans="5:8" ht="15.75" customHeight="1">
      <c r="E188" s="69"/>
      <c r="F188" s="69"/>
      <c r="G188" s="69"/>
      <c r="H188" s="69"/>
    </row>
    <row r="189" spans="5:8" ht="15.75" customHeight="1">
      <c r="E189" s="69"/>
      <c r="F189" s="69"/>
      <c r="G189" s="69"/>
      <c r="H189" s="69"/>
    </row>
    <row r="190" spans="5:8" ht="15.75" customHeight="1">
      <c r="E190" s="69"/>
      <c r="F190" s="69"/>
      <c r="G190" s="69"/>
      <c r="H190" s="69"/>
    </row>
    <row r="191" spans="5:8" ht="15.75" customHeight="1">
      <c r="E191" s="69"/>
      <c r="F191" s="69"/>
      <c r="G191" s="69"/>
      <c r="H191" s="69"/>
    </row>
    <row r="192" spans="5:8" ht="15.75" customHeight="1">
      <c r="E192" s="69"/>
      <c r="F192" s="69"/>
      <c r="G192" s="69"/>
      <c r="H192" s="69"/>
    </row>
    <row r="193" spans="5:8" ht="15.75" customHeight="1">
      <c r="E193" s="69"/>
      <c r="F193" s="69"/>
      <c r="G193" s="69"/>
      <c r="H193" s="69"/>
    </row>
    <row r="194" spans="5:8" ht="15.75" customHeight="1">
      <c r="E194" s="69"/>
      <c r="F194" s="69"/>
      <c r="G194" s="69"/>
      <c r="H194" s="69"/>
    </row>
    <row r="195" spans="5:8" ht="15.75" customHeight="1">
      <c r="E195" s="69"/>
      <c r="F195" s="69"/>
      <c r="G195" s="69"/>
      <c r="H195" s="69"/>
    </row>
    <row r="196" spans="5:8" ht="15.75" customHeight="1">
      <c r="E196" s="69"/>
      <c r="F196" s="69"/>
      <c r="G196" s="69"/>
      <c r="H196" s="69"/>
    </row>
    <row r="197" spans="5:8" ht="15.75" customHeight="1">
      <c r="E197" s="69"/>
      <c r="F197" s="69"/>
      <c r="G197" s="69"/>
      <c r="H197" s="69"/>
    </row>
    <row r="198" spans="5:8" ht="15.75" customHeight="1">
      <c r="E198" s="69"/>
      <c r="F198" s="69"/>
      <c r="G198" s="69"/>
      <c r="H198" s="69"/>
    </row>
    <row r="199" spans="5:8" ht="15.75" customHeight="1">
      <c r="E199" s="69"/>
      <c r="F199" s="69"/>
      <c r="G199" s="69"/>
      <c r="H199" s="69"/>
    </row>
    <row r="200" spans="5:8" ht="15.75" customHeight="1">
      <c r="E200" s="69"/>
      <c r="F200" s="69"/>
      <c r="G200" s="69"/>
      <c r="H200" s="69"/>
    </row>
    <row r="201" spans="5:8" ht="15.75" customHeight="1">
      <c r="E201" s="69"/>
      <c r="F201" s="69"/>
      <c r="G201" s="69"/>
      <c r="H201" s="69"/>
    </row>
    <row r="202" spans="5:8" ht="15.75" customHeight="1">
      <c r="E202" s="69"/>
      <c r="F202" s="69"/>
      <c r="G202" s="69"/>
      <c r="H202" s="69"/>
    </row>
    <row r="203" spans="5:8" ht="15.75" customHeight="1">
      <c r="E203" s="69"/>
      <c r="F203" s="69"/>
      <c r="G203" s="69"/>
      <c r="H203" s="69"/>
    </row>
    <row r="204" spans="5:8" ht="15.75" customHeight="1">
      <c r="E204" s="69"/>
      <c r="F204" s="69"/>
      <c r="G204" s="69"/>
      <c r="H204" s="69"/>
    </row>
    <row r="205" spans="5:8" ht="15.75" customHeight="1">
      <c r="E205" s="69"/>
      <c r="F205" s="69"/>
      <c r="G205" s="69"/>
      <c r="H205" s="69"/>
    </row>
    <row r="206" spans="5:8" ht="15.75" customHeight="1">
      <c r="E206" s="69"/>
      <c r="F206" s="69"/>
      <c r="G206" s="69"/>
      <c r="H206" s="69"/>
    </row>
    <row r="207" spans="5:8" ht="15.75" customHeight="1">
      <c r="E207" s="69"/>
      <c r="F207" s="69"/>
      <c r="G207" s="69"/>
      <c r="H207" s="69"/>
    </row>
    <row r="208" spans="5:8" ht="15.75" customHeight="1">
      <c r="E208" s="69"/>
      <c r="F208" s="69"/>
      <c r="G208" s="69"/>
      <c r="H208" s="69"/>
    </row>
    <row r="209" spans="5:8" ht="15.75" customHeight="1">
      <c r="E209" s="69"/>
      <c r="F209" s="69"/>
      <c r="G209" s="69"/>
      <c r="H209" s="69"/>
    </row>
    <row r="210" spans="5:8" ht="15.75" customHeight="1">
      <c r="E210" s="69"/>
      <c r="F210" s="69"/>
      <c r="G210" s="69"/>
      <c r="H210" s="69"/>
    </row>
    <row r="211" spans="5:8" ht="15.75" customHeight="1">
      <c r="E211" s="69"/>
      <c r="F211" s="69"/>
      <c r="G211" s="69"/>
      <c r="H211" s="69"/>
    </row>
    <row r="212" spans="5:8" ht="15.75" customHeight="1">
      <c r="E212" s="69"/>
      <c r="F212" s="69"/>
      <c r="G212" s="69"/>
      <c r="H212" s="69"/>
    </row>
    <row r="213" spans="5:8" ht="15.75" customHeight="1">
      <c r="E213" s="69"/>
      <c r="F213" s="69"/>
      <c r="G213" s="69"/>
      <c r="H213" s="69"/>
    </row>
    <row r="214" spans="5:8" ht="15.75" customHeight="1">
      <c r="E214" s="69"/>
      <c r="F214" s="69"/>
      <c r="G214" s="69"/>
      <c r="H214" s="69"/>
    </row>
    <row r="215" spans="5:8" ht="15.75" customHeight="1">
      <c r="E215" s="69"/>
      <c r="F215" s="69"/>
      <c r="G215" s="69"/>
      <c r="H215" s="69"/>
    </row>
    <row r="216" spans="5:8" ht="15.75" customHeight="1">
      <c r="E216" s="69"/>
      <c r="F216" s="69"/>
      <c r="G216" s="69"/>
      <c r="H216" s="69"/>
    </row>
    <row r="217" spans="5:8" ht="15.75" customHeight="1">
      <c r="E217" s="69"/>
      <c r="F217" s="69"/>
      <c r="G217" s="69"/>
      <c r="H217" s="69"/>
    </row>
    <row r="218" spans="5:8" ht="15.75" customHeight="1">
      <c r="E218" s="69"/>
      <c r="F218" s="69"/>
      <c r="G218" s="69"/>
      <c r="H218" s="69"/>
    </row>
    <row r="219" spans="5:8" ht="15.75" customHeight="1">
      <c r="E219" s="69"/>
      <c r="F219" s="69"/>
      <c r="G219" s="69"/>
      <c r="H219" s="69"/>
    </row>
    <row r="220" spans="5:8" ht="15.75" customHeight="1">
      <c r="E220" s="69"/>
      <c r="F220" s="69"/>
      <c r="G220" s="69"/>
      <c r="H220" s="69"/>
    </row>
    <row r="221" spans="5:8" ht="15.75" customHeight="1">
      <c r="E221" s="69"/>
      <c r="F221" s="69"/>
      <c r="G221" s="69"/>
      <c r="H221" s="69"/>
    </row>
    <row r="222" spans="5:8" ht="15.75" customHeight="1">
      <c r="E222" s="69"/>
      <c r="F222" s="69"/>
      <c r="G222" s="69"/>
      <c r="H222" s="69"/>
    </row>
    <row r="223" spans="5:8" ht="15.75" customHeight="1">
      <c r="E223" s="69"/>
      <c r="F223" s="69"/>
      <c r="G223" s="69"/>
      <c r="H223" s="69"/>
    </row>
    <row r="224" spans="5:8" ht="15.75" customHeight="1">
      <c r="E224" s="69"/>
      <c r="F224" s="69"/>
      <c r="G224" s="69"/>
      <c r="H224" s="69"/>
    </row>
    <row r="225" spans="5:8" ht="15.75" customHeight="1">
      <c r="E225" s="69"/>
      <c r="F225" s="69"/>
      <c r="G225" s="69"/>
      <c r="H225" s="69"/>
    </row>
    <row r="226" spans="5:8" ht="15.75" customHeight="1">
      <c r="E226" s="69"/>
      <c r="F226" s="69"/>
      <c r="G226" s="69"/>
      <c r="H226" s="69"/>
    </row>
    <row r="227" spans="5:8" ht="15.75" customHeight="1">
      <c r="E227" s="69"/>
      <c r="F227" s="69"/>
      <c r="G227" s="69"/>
      <c r="H227" s="69"/>
    </row>
    <row r="228" spans="5:8" ht="15.75" customHeight="1">
      <c r="E228" s="69"/>
      <c r="F228" s="69"/>
      <c r="G228" s="69"/>
      <c r="H228" s="69"/>
    </row>
    <row r="229" spans="5:8" ht="15.75" customHeight="1">
      <c r="E229" s="69"/>
      <c r="F229" s="69"/>
      <c r="G229" s="69"/>
      <c r="H229" s="69"/>
    </row>
    <row r="230" spans="5:8" ht="15.75" customHeight="1">
      <c r="E230" s="69"/>
      <c r="F230" s="69"/>
      <c r="G230" s="69"/>
      <c r="H230" s="69"/>
    </row>
    <row r="231" spans="5:8" ht="15.75" customHeight="1">
      <c r="E231" s="69"/>
      <c r="F231" s="69"/>
      <c r="G231" s="69"/>
      <c r="H231" s="69"/>
    </row>
    <row r="232" spans="5:8" ht="15.75" customHeight="1">
      <c r="E232" s="69"/>
      <c r="F232" s="69"/>
      <c r="G232" s="69"/>
      <c r="H232" s="69"/>
    </row>
    <row r="233" spans="5:8" ht="15.75" customHeight="1">
      <c r="E233" s="69"/>
      <c r="F233" s="69"/>
      <c r="G233" s="69"/>
      <c r="H233" s="69"/>
    </row>
    <row r="234" spans="5:8" ht="15.75" customHeight="1">
      <c r="E234" s="69"/>
      <c r="F234" s="69"/>
      <c r="G234" s="69"/>
      <c r="H234" s="69"/>
    </row>
    <row r="235" spans="5:8" ht="15.75" customHeight="1">
      <c r="E235" s="69"/>
      <c r="F235" s="69"/>
      <c r="G235" s="69"/>
      <c r="H235" s="69"/>
    </row>
    <row r="236" spans="5:8" ht="15.75" customHeight="1">
      <c r="E236" s="69"/>
      <c r="F236" s="69"/>
      <c r="G236" s="69"/>
      <c r="H236" s="69"/>
    </row>
    <row r="237" spans="5:8" ht="15.75" customHeight="1">
      <c r="E237" s="69"/>
      <c r="F237" s="69"/>
      <c r="G237" s="69"/>
      <c r="H237" s="69"/>
    </row>
    <row r="238" spans="5:8" ht="15.75" customHeight="1"/>
    <row r="239" spans="5:8" ht="15.75" customHeight="1"/>
    <row r="240" spans="5:8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3">
    <mergeCell ref="B22:C22"/>
    <mergeCell ref="B30:C30"/>
    <mergeCell ref="B31:C31"/>
    <mergeCell ref="B32:C32"/>
    <mergeCell ref="E35:H35"/>
    <mergeCell ref="B23:C23"/>
    <mergeCell ref="B24:C24"/>
    <mergeCell ref="B25:C25"/>
    <mergeCell ref="B26:C26"/>
    <mergeCell ref="B27:C27"/>
    <mergeCell ref="B28:C28"/>
    <mergeCell ref="B29:C29"/>
    <mergeCell ref="B16:C16"/>
    <mergeCell ref="B17:C17"/>
    <mergeCell ref="B19:C19"/>
    <mergeCell ref="B20:C20"/>
    <mergeCell ref="B21:C21"/>
    <mergeCell ref="B18:C18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B1:C1"/>
    <mergeCell ref="B2:C2"/>
    <mergeCell ref="B3:C3"/>
    <mergeCell ref="B4:C4"/>
    <mergeCell ref="B5:C5"/>
  </mergeCells>
  <pageMargins left="0.7" right="0.7" top="0.75" bottom="0.75" header="0" footer="0"/>
  <pageSetup orientation="landscape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B3E5A1"/>
  </sheetPr>
  <dimension ref="A1:Z1000"/>
  <sheetViews>
    <sheetView topLeftCell="D319" workbookViewId="0">
      <selection activeCell="AB323" sqref="AB323"/>
    </sheetView>
  </sheetViews>
  <sheetFormatPr baseColWidth="10" defaultColWidth="12.5" defaultRowHeight="15" customHeight="1"/>
  <cols>
    <col min="1" max="1" width="10.5" customWidth="1"/>
    <col min="2" max="2" width="51.25" customWidth="1"/>
    <col min="3" max="3" width="16.875" customWidth="1"/>
    <col min="4" max="4" width="11.75" customWidth="1"/>
    <col min="5" max="5" width="6.75" customWidth="1"/>
    <col min="6" max="6" width="10.75" customWidth="1"/>
    <col min="7" max="7" width="13.5" customWidth="1"/>
    <col min="8" max="8" width="5.5" customWidth="1"/>
    <col min="9" max="9" width="13.75" customWidth="1"/>
    <col min="10" max="10" width="11.75" customWidth="1"/>
    <col min="11" max="11" width="10.5" customWidth="1"/>
    <col min="12" max="12" width="11.5" customWidth="1"/>
    <col min="13" max="26" width="10.5" customWidth="1"/>
  </cols>
  <sheetData>
    <row r="1" spans="1:26" ht="14.25">
      <c r="A1" s="395" t="s">
        <v>243</v>
      </c>
      <c r="B1" s="396"/>
      <c r="C1" s="397"/>
      <c r="D1" s="398" t="s">
        <v>244</v>
      </c>
      <c r="E1" s="396"/>
      <c r="F1" s="397"/>
      <c r="G1" s="399" t="s">
        <v>245</v>
      </c>
      <c r="H1" s="400"/>
      <c r="I1" s="401"/>
      <c r="J1" s="402" t="s">
        <v>246</v>
      </c>
      <c r="K1" s="400"/>
      <c r="L1" s="401"/>
      <c r="M1" s="392" t="s">
        <v>137</v>
      </c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6" ht="38.25">
      <c r="A2" s="131" t="s">
        <v>95</v>
      </c>
      <c r="B2" s="132" t="s">
        <v>247</v>
      </c>
      <c r="C2" s="132" t="s">
        <v>248</v>
      </c>
      <c r="D2" s="133" t="s">
        <v>249</v>
      </c>
      <c r="E2" s="133" t="s">
        <v>250</v>
      </c>
      <c r="F2" s="134" t="s">
        <v>251</v>
      </c>
      <c r="G2" s="135" t="s">
        <v>249</v>
      </c>
      <c r="H2" s="135" t="s">
        <v>250</v>
      </c>
      <c r="I2" s="135" t="s">
        <v>251</v>
      </c>
      <c r="J2" s="136" t="s">
        <v>249</v>
      </c>
      <c r="K2" s="136" t="s">
        <v>250</v>
      </c>
      <c r="L2" s="136" t="s">
        <v>251</v>
      </c>
      <c r="M2" s="393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</row>
    <row r="3" spans="1:26" ht="14.25">
      <c r="A3" s="137">
        <v>1</v>
      </c>
      <c r="B3" s="138" t="s">
        <v>252</v>
      </c>
      <c r="C3" s="139" t="s">
        <v>253</v>
      </c>
      <c r="D3" s="140">
        <v>10223</v>
      </c>
      <c r="E3" s="141">
        <v>0.19</v>
      </c>
      <c r="F3" s="142">
        <v>12165.37</v>
      </c>
      <c r="G3" s="143">
        <v>11143</v>
      </c>
      <c r="H3" s="144">
        <v>0.19</v>
      </c>
      <c r="I3" s="143">
        <v>13260.17</v>
      </c>
      <c r="J3" s="145">
        <v>11812</v>
      </c>
      <c r="K3" s="146">
        <v>0.19</v>
      </c>
      <c r="L3" s="145">
        <v>14056.28</v>
      </c>
      <c r="M3" s="147">
        <f t="shared" ref="M3:M257" si="0">AVERAGE(L3,I3,F3)</f>
        <v>13160.606666666667</v>
      </c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</row>
    <row r="4" spans="1:26" ht="14.25">
      <c r="A4" s="148">
        <v>2</v>
      </c>
      <c r="B4" s="138" t="s">
        <v>254</v>
      </c>
      <c r="C4" s="139" t="s">
        <v>255</v>
      </c>
      <c r="D4" s="140">
        <v>6182</v>
      </c>
      <c r="E4" s="141">
        <v>0</v>
      </c>
      <c r="F4" s="142">
        <v>6182</v>
      </c>
      <c r="G4" s="149">
        <v>6738</v>
      </c>
      <c r="H4" s="150">
        <v>0</v>
      </c>
      <c r="I4" s="149">
        <v>6738</v>
      </c>
      <c r="J4" s="151">
        <v>7142</v>
      </c>
      <c r="K4" s="152">
        <v>0</v>
      </c>
      <c r="L4" s="151">
        <v>7142</v>
      </c>
      <c r="M4" s="153">
        <f t="shared" si="0"/>
        <v>6687.333333333333</v>
      </c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</row>
    <row r="5" spans="1:26" ht="14.25">
      <c r="A5" s="148">
        <v>3</v>
      </c>
      <c r="B5" s="138" t="s">
        <v>256</v>
      </c>
      <c r="C5" s="139" t="s">
        <v>257</v>
      </c>
      <c r="D5" s="140">
        <v>65789</v>
      </c>
      <c r="E5" s="141">
        <v>0</v>
      </c>
      <c r="F5" s="142">
        <v>65789</v>
      </c>
      <c r="G5" s="149">
        <v>71710</v>
      </c>
      <c r="H5" s="150">
        <v>0</v>
      </c>
      <c r="I5" s="149">
        <v>71710</v>
      </c>
      <c r="J5" s="151">
        <v>76013</v>
      </c>
      <c r="K5" s="152">
        <v>0</v>
      </c>
      <c r="L5" s="151">
        <v>76013</v>
      </c>
      <c r="M5" s="153">
        <f t="shared" si="0"/>
        <v>71170.666666666672</v>
      </c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</row>
    <row r="6" spans="1:26" ht="14.25">
      <c r="A6" s="148">
        <v>4</v>
      </c>
      <c r="B6" s="138" t="s">
        <v>258</v>
      </c>
      <c r="C6" s="139" t="s">
        <v>259</v>
      </c>
      <c r="D6" s="140">
        <v>116</v>
      </c>
      <c r="E6" s="141">
        <v>0.19</v>
      </c>
      <c r="F6" s="142">
        <v>138.04</v>
      </c>
      <c r="G6" s="149">
        <v>126</v>
      </c>
      <c r="H6" s="150">
        <v>0.19</v>
      </c>
      <c r="I6" s="149">
        <v>149.94</v>
      </c>
      <c r="J6" s="151">
        <v>134</v>
      </c>
      <c r="K6" s="152">
        <v>0.19</v>
      </c>
      <c r="L6" s="151">
        <v>159.46</v>
      </c>
      <c r="M6" s="153">
        <f t="shared" si="0"/>
        <v>149.14666666666665</v>
      </c>
      <c r="N6" s="130"/>
      <c r="O6" s="130"/>
      <c r="P6" s="130"/>
      <c r="Q6" s="130"/>
      <c r="R6" s="130"/>
      <c r="S6" s="130"/>
      <c r="T6" s="130"/>
      <c r="U6" s="130"/>
      <c r="W6" s="130"/>
      <c r="X6" s="130"/>
      <c r="Y6" s="130"/>
      <c r="Z6" s="130"/>
    </row>
    <row r="7" spans="1:26" ht="14.25">
      <c r="A7" s="137">
        <v>5</v>
      </c>
      <c r="B7" s="138" t="s">
        <v>260</v>
      </c>
      <c r="C7" s="139" t="s">
        <v>259</v>
      </c>
      <c r="D7" s="140">
        <v>127</v>
      </c>
      <c r="E7" s="141">
        <v>0.19</v>
      </c>
      <c r="F7" s="142">
        <v>151.13</v>
      </c>
      <c r="G7" s="149">
        <v>138</v>
      </c>
      <c r="H7" s="150">
        <v>0.19</v>
      </c>
      <c r="I7" s="149">
        <v>164.22</v>
      </c>
      <c r="J7" s="151">
        <v>146</v>
      </c>
      <c r="K7" s="152">
        <v>0.19</v>
      </c>
      <c r="L7" s="151">
        <v>173.74</v>
      </c>
      <c r="M7" s="153">
        <f t="shared" si="0"/>
        <v>163.03</v>
      </c>
      <c r="N7" s="130"/>
      <c r="O7" s="130"/>
      <c r="P7" s="130"/>
      <c r="Q7" s="130"/>
      <c r="R7" s="130"/>
      <c r="S7" s="130"/>
      <c r="T7" s="130"/>
      <c r="U7" s="130"/>
      <c r="W7" s="130"/>
      <c r="X7" s="130"/>
      <c r="Y7" s="130"/>
      <c r="Z7" s="130"/>
    </row>
    <row r="8" spans="1:26" ht="14.25">
      <c r="A8" s="148">
        <v>6</v>
      </c>
      <c r="B8" s="138" t="s">
        <v>261</v>
      </c>
      <c r="C8" s="139" t="s">
        <v>259</v>
      </c>
      <c r="D8" s="140">
        <v>139</v>
      </c>
      <c r="E8" s="141">
        <v>0.19</v>
      </c>
      <c r="F8" s="142">
        <v>165.41</v>
      </c>
      <c r="G8" s="149">
        <v>152</v>
      </c>
      <c r="H8" s="150">
        <v>0.19</v>
      </c>
      <c r="I8" s="149">
        <v>180.88</v>
      </c>
      <c r="J8" s="151">
        <v>161</v>
      </c>
      <c r="K8" s="152">
        <v>0.19</v>
      </c>
      <c r="L8" s="151">
        <v>191.59</v>
      </c>
      <c r="M8" s="153">
        <f t="shared" si="0"/>
        <v>179.29333333333332</v>
      </c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</row>
    <row r="9" spans="1:26" ht="14.25">
      <c r="A9" s="148">
        <v>7</v>
      </c>
      <c r="B9" s="138" t="s">
        <v>262</v>
      </c>
      <c r="C9" s="139" t="s">
        <v>259</v>
      </c>
      <c r="D9" s="140">
        <v>112</v>
      </c>
      <c r="E9" s="141">
        <v>0.19</v>
      </c>
      <c r="F9" s="142">
        <v>133.28</v>
      </c>
      <c r="G9" s="149">
        <v>122</v>
      </c>
      <c r="H9" s="150">
        <v>0.19</v>
      </c>
      <c r="I9" s="149">
        <v>145.18</v>
      </c>
      <c r="J9" s="151">
        <v>129</v>
      </c>
      <c r="K9" s="152">
        <v>0.19</v>
      </c>
      <c r="L9" s="151">
        <v>153.51</v>
      </c>
      <c r="M9" s="153">
        <f t="shared" si="0"/>
        <v>143.99</v>
      </c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</row>
    <row r="10" spans="1:26" ht="14.25">
      <c r="A10" s="148">
        <v>8</v>
      </c>
      <c r="B10" s="138" t="s">
        <v>263</v>
      </c>
      <c r="C10" s="139" t="s">
        <v>259</v>
      </c>
      <c r="D10" s="140">
        <v>109</v>
      </c>
      <c r="E10" s="141">
        <v>0.19</v>
      </c>
      <c r="F10" s="142">
        <v>129.71</v>
      </c>
      <c r="G10" s="149">
        <v>119</v>
      </c>
      <c r="H10" s="150">
        <v>0.19</v>
      </c>
      <c r="I10" s="149">
        <v>141.61000000000001</v>
      </c>
      <c r="J10" s="151">
        <v>126</v>
      </c>
      <c r="K10" s="152">
        <v>0.19</v>
      </c>
      <c r="L10" s="151">
        <v>149.94</v>
      </c>
      <c r="M10" s="153">
        <f t="shared" si="0"/>
        <v>140.41999999999999</v>
      </c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</row>
    <row r="11" spans="1:26" ht="14.25">
      <c r="A11" s="137">
        <v>9</v>
      </c>
      <c r="B11" s="138" t="s">
        <v>264</v>
      </c>
      <c r="C11" s="139" t="s">
        <v>259</v>
      </c>
      <c r="D11" s="140">
        <v>118</v>
      </c>
      <c r="E11" s="141">
        <v>0.19</v>
      </c>
      <c r="F11" s="142">
        <v>140.41999999999999</v>
      </c>
      <c r="G11" s="149">
        <v>129</v>
      </c>
      <c r="H11" s="150">
        <v>0.19</v>
      </c>
      <c r="I11" s="149">
        <v>153.51</v>
      </c>
      <c r="J11" s="151">
        <v>137</v>
      </c>
      <c r="K11" s="152">
        <v>0.19</v>
      </c>
      <c r="L11" s="151">
        <v>163.03</v>
      </c>
      <c r="M11" s="153">
        <f t="shared" si="0"/>
        <v>152.31999999999996</v>
      </c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</row>
    <row r="12" spans="1:26" ht="14.25">
      <c r="A12" s="148">
        <v>10</v>
      </c>
      <c r="B12" s="138" t="s">
        <v>265</v>
      </c>
      <c r="C12" s="139" t="s">
        <v>266</v>
      </c>
      <c r="D12" s="140">
        <v>79545</v>
      </c>
      <c r="E12" s="141">
        <v>0.19</v>
      </c>
      <c r="F12" s="142">
        <v>94658.55</v>
      </c>
      <c r="G12" s="149">
        <v>86704</v>
      </c>
      <c r="H12" s="150">
        <v>0.19</v>
      </c>
      <c r="I12" s="149">
        <v>103177.76</v>
      </c>
      <c r="J12" s="151">
        <v>91906</v>
      </c>
      <c r="K12" s="152">
        <v>0.19</v>
      </c>
      <c r="L12" s="151">
        <v>109368.14</v>
      </c>
      <c r="M12" s="153">
        <f t="shared" si="0"/>
        <v>102401.48333333334</v>
      </c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</row>
    <row r="13" spans="1:26" ht="14.25">
      <c r="A13" s="148">
        <v>11</v>
      </c>
      <c r="B13" s="138" t="s">
        <v>267</v>
      </c>
      <c r="C13" s="139" t="s">
        <v>257</v>
      </c>
      <c r="D13" s="140">
        <v>55251</v>
      </c>
      <c r="E13" s="141">
        <v>0</v>
      </c>
      <c r="F13" s="142">
        <v>55251</v>
      </c>
      <c r="G13" s="143">
        <v>60224</v>
      </c>
      <c r="H13" s="144">
        <v>0</v>
      </c>
      <c r="I13" s="154">
        <v>60224</v>
      </c>
      <c r="J13" s="151">
        <v>63837</v>
      </c>
      <c r="K13" s="152">
        <v>0</v>
      </c>
      <c r="L13" s="151">
        <v>63837</v>
      </c>
      <c r="M13" s="153">
        <f t="shared" si="0"/>
        <v>59770.666666666664</v>
      </c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</row>
    <row r="14" spans="1:26" ht="14.25">
      <c r="A14" s="148">
        <v>12</v>
      </c>
      <c r="B14" s="138" t="s">
        <v>268</v>
      </c>
      <c r="C14" s="139" t="s">
        <v>257</v>
      </c>
      <c r="D14" s="140">
        <v>59893</v>
      </c>
      <c r="E14" s="141">
        <v>0.19</v>
      </c>
      <c r="F14" s="142">
        <v>71272.67</v>
      </c>
      <c r="G14" s="149">
        <v>65283</v>
      </c>
      <c r="H14" s="150">
        <v>0.19</v>
      </c>
      <c r="I14" s="149">
        <v>77686.77</v>
      </c>
      <c r="J14" s="151">
        <v>69200</v>
      </c>
      <c r="K14" s="152">
        <v>0.19</v>
      </c>
      <c r="L14" s="151">
        <v>82348</v>
      </c>
      <c r="M14" s="153">
        <f t="shared" si="0"/>
        <v>77102.48</v>
      </c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</row>
    <row r="15" spans="1:26" ht="14.25">
      <c r="A15" s="137">
        <v>13</v>
      </c>
      <c r="B15" s="138" t="s">
        <v>269</v>
      </c>
      <c r="C15" s="139" t="s">
        <v>270</v>
      </c>
      <c r="D15" s="140">
        <v>37620</v>
      </c>
      <c r="E15" s="141">
        <v>0</v>
      </c>
      <c r="F15" s="142">
        <v>37620</v>
      </c>
      <c r="G15" s="149">
        <v>41006</v>
      </c>
      <c r="H15" s="150">
        <v>0</v>
      </c>
      <c r="I15" s="149">
        <v>41006</v>
      </c>
      <c r="J15" s="151">
        <v>43466</v>
      </c>
      <c r="K15" s="152">
        <v>0</v>
      </c>
      <c r="L15" s="151">
        <v>43466</v>
      </c>
      <c r="M15" s="153">
        <f t="shared" si="0"/>
        <v>40697.333333333336</v>
      </c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</row>
    <row r="16" spans="1:26" ht="14.25">
      <c r="A16" s="148">
        <v>14</v>
      </c>
      <c r="B16" s="138" t="s">
        <v>271</v>
      </c>
      <c r="C16" s="139" t="s">
        <v>270</v>
      </c>
      <c r="D16" s="140">
        <v>35219</v>
      </c>
      <c r="E16" s="141">
        <v>0</v>
      </c>
      <c r="F16" s="142">
        <v>35219</v>
      </c>
      <c r="G16" s="149">
        <v>38389</v>
      </c>
      <c r="H16" s="150">
        <v>0</v>
      </c>
      <c r="I16" s="149">
        <v>38389</v>
      </c>
      <c r="J16" s="151">
        <v>40692</v>
      </c>
      <c r="K16" s="152">
        <v>0</v>
      </c>
      <c r="L16" s="151">
        <v>40692</v>
      </c>
      <c r="M16" s="153">
        <f t="shared" si="0"/>
        <v>38100</v>
      </c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</row>
    <row r="17" spans="1:26" ht="14.25">
      <c r="A17" s="148">
        <v>15</v>
      </c>
      <c r="B17" s="138" t="s">
        <v>272</v>
      </c>
      <c r="C17" s="139" t="s">
        <v>273</v>
      </c>
      <c r="D17" s="140">
        <v>3930</v>
      </c>
      <c r="E17" s="141">
        <v>0.19</v>
      </c>
      <c r="F17" s="142">
        <v>4676.7</v>
      </c>
      <c r="G17" s="149">
        <v>4284</v>
      </c>
      <c r="H17" s="150">
        <v>0.19</v>
      </c>
      <c r="I17" s="149">
        <v>5097.96</v>
      </c>
      <c r="J17" s="151">
        <v>4541</v>
      </c>
      <c r="K17" s="152">
        <v>0.19</v>
      </c>
      <c r="L17" s="151">
        <v>5403.79</v>
      </c>
      <c r="M17" s="153">
        <f t="shared" si="0"/>
        <v>5059.4833333333336</v>
      </c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</row>
    <row r="18" spans="1:26" ht="14.25">
      <c r="A18" s="148">
        <v>16</v>
      </c>
      <c r="B18" s="138" t="s">
        <v>274</v>
      </c>
      <c r="C18" s="139" t="s">
        <v>275</v>
      </c>
      <c r="D18" s="140">
        <v>90</v>
      </c>
      <c r="E18" s="141">
        <v>0.19</v>
      </c>
      <c r="F18" s="142">
        <v>107.1</v>
      </c>
      <c r="G18" s="149">
        <v>98</v>
      </c>
      <c r="H18" s="150">
        <v>0.19</v>
      </c>
      <c r="I18" s="149">
        <v>116.62</v>
      </c>
      <c r="J18" s="151">
        <v>104</v>
      </c>
      <c r="K18" s="152">
        <v>0.19</v>
      </c>
      <c r="L18" s="151">
        <v>123.76</v>
      </c>
      <c r="M18" s="153">
        <f t="shared" si="0"/>
        <v>115.82666666666667</v>
      </c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</row>
    <row r="19" spans="1:26" ht="14.25">
      <c r="A19" s="137">
        <v>17</v>
      </c>
      <c r="B19" s="138" t="s">
        <v>276</v>
      </c>
      <c r="C19" s="139" t="s">
        <v>266</v>
      </c>
      <c r="D19" s="140">
        <v>142620</v>
      </c>
      <c r="E19" s="141">
        <v>0.19</v>
      </c>
      <c r="F19" s="142">
        <v>169717.8</v>
      </c>
      <c r="G19" s="149">
        <v>155456</v>
      </c>
      <c r="H19" s="150">
        <v>0.19</v>
      </c>
      <c r="I19" s="149">
        <v>184992.64000000001</v>
      </c>
      <c r="J19" s="151">
        <v>164783</v>
      </c>
      <c r="K19" s="152">
        <v>0.19</v>
      </c>
      <c r="L19" s="151">
        <v>196091.77</v>
      </c>
      <c r="M19" s="153">
        <f t="shared" si="0"/>
        <v>183600.73666666666</v>
      </c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</row>
    <row r="20" spans="1:26" ht="14.25">
      <c r="A20" s="148">
        <v>18</v>
      </c>
      <c r="B20" s="138" t="s">
        <v>277</v>
      </c>
      <c r="C20" s="139" t="s">
        <v>278</v>
      </c>
      <c r="D20" s="140">
        <v>4960</v>
      </c>
      <c r="E20" s="141">
        <v>0</v>
      </c>
      <c r="F20" s="142">
        <v>4960</v>
      </c>
      <c r="G20" s="149">
        <v>5406</v>
      </c>
      <c r="H20" s="150">
        <v>0</v>
      </c>
      <c r="I20" s="149">
        <v>5406</v>
      </c>
      <c r="J20" s="151">
        <v>5730</v>
      </c>
      <c r="K20" s="152">
        <v>0</v>
      </c>
      <c r="L20" s="151">
        <v>5730</v>
      </c>
      <c r="M20" s="153">
        <f t="shared" si="0"/>
        <v>5365.333333333333</v>
      </c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</row>
    <row r="21" spans="1:26" ht="15.75" customHeight="1">
      <c r="A21" s="148">
        <v>19</v>
      </c>
      <c r="B21" s="138" t="s">
        <v>279</v>
      </c>
      <c r="C21" s="139" t="s">
        <v>266</v>
      </c>
      <c r="D21" s="140">
        <v>4398</v>
      </c>
      <c r="E21" s="141">
        <v>0.19</v>
      </c>
      <c r="F21" s="142">
        <v>5233.62</v>
      </c>
      <c r="G21" s="149">
        <v>4794</v>
      </c>
      <c r="H21" s="150">
        <v>0.19</v>
      </c>
      <c r="I21" s="149">
        <v>5704.86</v>
      </c>
      <c r="J21" s="151">
        <v>5082</v>
      </c>
      <c r="K21" s="152">
        <v>0.19</v>
      </c>
      <c r="L21" s="151">
        <v>6047.58</v>
      </c>
      <c r="M21" s="153">
        <f t="shared" si="0"/>
        <v>5662.0199999999995</v>
      </c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</row>
    <row r="22" spans="1:26" ht="15.75" customHeight="1">
      <c r="A22" s="148">
        <v>20</v>
      </c>
      <c r="B22" s="138" t="s">
        <v>280</v>
      </c>
      <c r="C22" s="139" t="s">
        <v>266</v>
      </c>
      <c r="D22" s="140">
        <v>2564</v>
      </c>
      <c r="E22" s="141">
        <v>0.19</v>
      </c>
      <c r="F22" s="142">
        <v>3051.16</v>
      </c>
      <c r="G22" s="149">
        <v>2795</v>
      </c>
      <c r="H22" s="150">
        <v>0.19</v>
      </c>
      <c r="I22" s="149">
        <v>3326.05</v>
      </c>
      <c r="J22" s="151">
        <v>2963</v>
      </c>
      <c r="K22" s="152">
        <v>0.19</v>
      </c>
      <c r="L22" s="151">
        <v>3525.97</v>
      </c>
      <c r="M22" s="153">
        <f t="shared" si="0"/>
        <v>3301.06</v>
      </c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</row>
    <row r="23" spans="1:26" ht="15.75" customHeight="1">
      <c r="A23" s="137">
        <v>21</v>
      </c>
      <c r="B23" s="138" t="s">
        <v>281</v>
      </c>
      <c r="C23" s="139" t="s">
        <v>282</v>
      </c>
      <c r="D23" s="140">
        <v>4586</v>
      </c>
      <c r="E23" s="141">
        <v>0</v>
      </c>
      <c r="F23" s="142">
        <v>4586</v>
      </c>
      <c r="G23" s="149">
        <v>4999</v>
      </c>
      <c r="H23" s="150">
        <v>0</v>
      </c>
      <c r="I23" s="149">
        <v>4999</v>
      </c>
      <c r="J23" s="151">
        <v>5299</v>
      </c>
      <c r="K23" s="152">
        <v>0</v>
      </c>
      <c r="L23" s="151">
        <v>5299</v>
      </c>
      <c r="M23" s="153">
        <f t="shared" si="0"/>
        <v>4961.333333333333</v>
      </c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</row>
    <row r="24" spans="1:26" ht="15.75" customHeight="1">
      <c r="A24" s="148">
        <v>22</v>
      </c>
      <c r="B24" s="138" t="s">
        <v>283</v>
      </c>
      <c r="C24" s="139" t="s">
        <v>282</v>
      </c>
      <c r="D24" s="140">
        <v>4586</v>
      </c>
      <c r="E24" s="141">
        <v>0</v>
      </c>
      <c r="F24" s="142">
        <v>4586</v>
      </c>
      <c r="G24" s="149">
        <v>4999</v>
      </c>
      <c r="H24" s="150">
        <v>0</v>
      </c>
      <c r="I24" s="149">
        <v>4999</v>
      </c>
      <c r="J24" s="151">
        <v>5299</v>
      </c>
      <c r="K24" s="152">
        <v>0</v>
      </c>
      <c r="L24" s="151">
        <v>5299</v>
      </c>
      <c r="M24" s="153">
        <f t="shared" si="0"/>
        <v>4961.333333333333</v>
      </c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</row>
    <row r="25" spans="1:26" ht="15.75" customHeight="1">
      <c r="A25" s="148">
        <v>23</v>
      </c>
      <c r="B25" s="138" t="s">
        <v>284</v>
      </c>
      <c r="C25" s="139" t="s">
        <v>282</v>
      </c>
      <c r="D25" s="140">
        <v>4586</v>
      </c>
      <c r="E25" s="141">
        <v>0</v>
      </c>
      <c r="F25" s="142">
        <v>4586</v>
      </c>
      <c r="G25" s="149">
        <v>4999</v>
      </c>
      <c r="H25" s="150">
        <v>0</v>
      </c>
      <c r="I25" s="149">
        <v>4999</v>
      </c>
      <c r="J25" s="151">
        <v>5299</v>
      </c>
      <c r="K25" s="152">
        <v>0</v>
      </c>
      <c r="L25" s="151">
        <v>5299</v>
      </c>
      <c r="M25" s="153">
        <f t="shared" si="0"/>
        <v>4961.333333333333</v>
      </c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</row>
    <row r="26" spans="1:26" ht="15.75" customHeight="1">
      <c r="A26" s="148">
        <v>24</v>
      </c>
      <c r="B26" s="138" t="s">
        <v>285</v>
      </c>
      <c r="C26" s="139" t="s">
        <v>282</v>
      </c>
      <c r="D26" s="140">
        <v>4586</v>
      </c>
      <c r="E26" s="141">
        <v>0</v>
      </c>
      <c r="F26" s="142">
        <v>4586</v>
      </c>
      <c r="G26" s="149">
        <v>4999</v>
      </c>
      <c r="H26" s="150">
        <v>0</v>
      </c>
      <c r="I26" s="149">
        <v>4999</v>
      </c>
      <c r="J26" s="151">
        <v>5299</v>
      </c>
      <c r="K26" s="152">
        <v>0</v>
      </c>
      <c r="L26" s="151">
        <v>5299</v>
      </c>
      <c r="M26" s="153">
        <f t="shared" si="0"/>
        <v>4961.333333333333</v>
      </c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</row>
    <row r="27" spans="1:26" ht="40.5" customHeight="1">
      <c r="A27" s="137">
        <v>25</v>
      </c>
      <c r="B27" s="233" t="s">
        <v>286</v>
      </c>
      <c r="C27" s="139" t="s">
        <v>282</v>
      </c>
      <c r="D27" s="140">
        <v>4586</v>
      </c>
      <c r="E27" s="141">
        <v>0</v>
      </c>
      <c r="F27" s="142">
        <v>4586</v>
      </c>
      <c r="G27" s="149">
        <v>4999</v>
      </c>
      <c r="H27" s="150">
        <v>0</v>
      </c>
      <c r="I27" s="149">
        <v>4999</v>
      </c>
      <c r="J27" s="151">
        <v>5299</v>
      </c>
      <c r="K27" s="152">
        <v>0</v>
      </c>
      <c r="L27" s="151">
        <v>5299</v>
      </c>
      <c r="M27" s="153">
        <f t="shared" si="0"/>
        <v>4961.333333333333</v>
      </c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</row>
    <row r="28" spans="1:26" ht="40.5" customHeight="1">
      <c r="A28" s="148">
        <v>26</v>
      </c>
      <c r="B28" s="138" t="s">
        <v>287</v>
      </c>
      <c r="C28" s="139" t="s">
        <v>282</v>
      </c>
      <c r="D28" s="140">
        <v>4586</v>
      </c>
      <c r="E28" s="141">
        <v>0</v>
      </c>
      <c r="F28" s="142">
        <v>4586</v>
      </c>
      <c r="G28" s="149">
        <v>4999</v>
      </c>
      <c r="H28" s="150">
        <v>0</v>
      </c>
      <c r="I28" s="149">
        <v>4999</v>
      </c>
      <c r="J28" s="151">
        <v>5299</v>
      </c>
      <c r="K28" s="152">
        <v>0</v>
      </c>
      <c r="L28" s="151">
        <v>5299</v>
      </c>
      <c r="M28" s="153">
        <f t="shared" si="0"/>
        <v>4961.333333333333</v>
      </c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</row>
    <row r="29" spans="1:26" ht="40.5" customHeight="1">
      <c r="A29" s="148">
        <v>27</v>
      </c>
      <c r="B29" s="138" t="s">
        <v>288</v>
      </c>
      <c r="C29" s="139" t="s">
        <v>282</v>
      </c>
      <c r="D29" s="140">
        <v>4586</v>
      </c>
      <c r="E29" s="141">
        <v>0</v>
      </c>
      <c r="F29" s="142">
        <v>4586</v>
      </c>
      <c r="G29" s="149">
        <v>4999</v>
      </c>
      <c r="H29" s="150">
        <v>0</v>
      </c>
      <c r="I29" s="149">
        <v>4999</v>
      </c>
      <c r="J29" s="151">
        <v>5299</v>
      </c>
      <c r="K29" s="152">
        <v>0</v>
      </c>
      <c r="L29" s="151">
        <v>5299</v>
      </c>
      <c r="M29" s="153">
        <f t="shared" si="0"/>
        <v>4961.333333333333</v>
      </c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</row>
    <row r="30" spans="1:26" ht="40.5" customHeight="1">
      <c r="A30" s="148">
        <v>28</v>
      </c>
      <c r="B30" s="138" t="s">
        <v>289</v>
      </c>
      <c r="C30" s="139" t="s">
        <v>290</v>
      </c>
      <c r="D30" s="140">
        <v>11386</v>
      </c>
      <c r="E30" s="141">
        <v>0</v>
      </c>
      <c r="F30" s="142">
        <v>11386</v>
      </c>
      <c r="G30" s="149">
        <v>12411</v>
      </c>
      <c r="H30" s="150">
        <v>0</v>
      </c>
      <c r="I30" s="149">
        <v>12411</v>
      </c>
      <c r="J30" s="151">
        <v>13156</v>
      </c>
      <c r="K30" s="152">
        <v>0</v>
      </c>
      <c r="L30" s="151">
        <v>13156</v>
      </c>
      <c r="M30" s="153">
        <f t="shared" si="0"/>
        <v>12317.666666666666</v>
      </c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</row>
    <row r="31" spans="1:26" ht="15.75" customHeight="1">
      <c r="A31" s="137">
        <v>29</v>
      </c>
      <c r="B31" s="138" t="s">
        <v>291</v>
      </c>
      <c r="C31" s="139" t="s">
        <v>266</v>
      </c>
      <c r="D31" s="140">
        <v>28636</v>
      </c>
      <c r="E31" s="141">
        <v>0.19</v>
      </c>
      <c r="F31" s="142">
        <v>34076.839999999997</v>
      </c>
      <c r="G31" s="149">
        <v>31213</v>
      </c>
      <c r="H31" s="150">
        <v>0.19</v>
      </c>
      <c r="I31" s="149">
        <v>37143.47</v>
      </c>
      <c r="J31" s="151">
        <v>33086</v>
      </c>
      <c r="K31" s="152">
        <v>0.19</v>
      </c>
      <c r="L31" s="151">
        <v>39372.339999999997</v>
      </c>
      <c r="M31" s="153">
        <f t="shared" si="0"/>
        <v>36864.216666666667</v>
      </c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</row>
    <row r="32" spans="1:26" ht="15.75" customHeight="1">
      <c r="A32" s="148">
        <v>30</v>
      </c>
      <c r="B32" s="138" t="s">
        <v>292</v>
      </c>
      <c r="C32" s="139" t="s">
        <v>293</v>
      </c>
      <c r="D32" s="140">
        <v>100134</v>
      </c>
      <c r="E32" s="141">
        <v>0.19</v>
      </c>
      <c r="F32" s="142">
        <v>119159.46</v>
      </c>
      <c r="G32" s="149">
        <v>109146</v>
      </c>
      <c r="H32" s="150">
        <v>0.19</v>
      </c>
      <c r="I32" s="149">
        <v>129883.74</v>
      </c>
      <c r="J32" s="151">
        <v>115695</v>
      </c>
      <c r="K32" s="152">
        <v>0.19</v>
      </c>
      <c r="L32" s="151">
        <v>137677.04999999999</v>
      </c>
      <c r="M32" s="153">
        <f t="shared" si="0"/>
        <v>128906.75</v>
      </c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</row>
    <row r="33" spans="1:26" ht="15.75" customHeight="1">
      <c r="A33" s="148">
        <v>31</v>
      </c>
      <c r="B33" s="138" t="s">
        <v>294</v>
      </c>
      <c r="C33" s="139" t="s">
        <v>266</v>
      </c>
      <c r="D33" s="140">
        <v>311912</v>
      </c>
      <c r="E33" s="141">
        <v>0.19</v>
      </c>
      <c r="F33" s="142">
        <v>371175.28</v>
      </c>
      <c r="G33" s="149">
        <v>339984</v>
      </c>
      <c r="H33" s="150">
        <v>0.19</v>
      </c>
      <c r="I33" s="149">
        <v>404580.96</v>
      </c>
      <c r="J33" s="151">
        <v>360383</v>
      </c>
      <c r="K33" s="152">
        <v>0.19</v>
      </c>
      <c r="L33" s="151">
        <v>428855.77</v>
      </c>
      <c r="M33" s="153">
        <f t="shared" si="0"/>
        <v>401537.33666666667</v>
      </c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</row>
    <row r="34" spans="1:26" ht="15.75" customHeight="1">
      <c r="A34" s="148">
        <v>32</v>
      </c>
      <c r="B34" s="138" t="s">
        <v>295</v>
      </c>
      <c r="C34" s="139" t="s">
        <v>296</v>
      </c>
      <c r="D34" s="140">
        <v>8703</v>
      </c>
      <c r="E34" s="141">
        <v>0</v>
      </c>
      <c r="F34" s="142">
        <v>8703</v>
      </c>
      <c r="G34" s="149">
        <v>9486</v>
      </c>
      <c r="H34" s="150">
        <v>0</v>
      </c>
      <c r="I34" s="149">
        <v>9486</v>
      </c>
      <c r="J34" s="151">
        <v>10055</v>
      </c>
      <c r="K34" s="152">
        <v>0</v>
      </c>
      <c r="L34" s="151">
        <v>10055</v>
      </c>
      <c r="M34" s="153">
        <f t="shared" si="0"/>
        <v>9414.6666666666661</v>
      </c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</row>
    <row r="35" spans="1:26" ht="15.75" customHeight="1">
      <c r="A35" s="137">
        <v>33</v>
      </c>
      <c r="B35" s="138" t="s">
        <v>297</v>
      </c>
      <c r="C35" s="139" t="s">
        <v>266</v>
      </c>
      <c r="D35" s="140">
        <v>10856</v>
      </c>
      <c r="E35" s="141">
        <v>0.19</v>
      </c>
      <c r="F35" s="142">
        <v>12918.64</v>
      </c>
      <c r="G35" s="149">
        <v>11833</v>
      </c>
      <c r="H35" s="150">
        <v>0.19</v>
      </c>
      <c r="I35" s="149">
        <v>14081.27</v>
      </c>
      <c r="J35" s="151">
        <v>12543</v>
      </c>
      <c r="K35" s="152">
        <v>0.19</v>
      </c>
      <c r="L35" s="151">
        <v>14926.17</v>
      </c>
      <c r="M35" s="153">
        <f t="shared" si="0"/>
        <v>13975.36</v>
      </c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</row>
    <row r="36" spans="1:26" ht="15.75" customHeight="1">
      <c r="A36" s="148">
        <v>34</v>
      </c>
      <c r="B36" s="138" t="s">
        <v>298</v>
      </c>
      <c r="C36" s="139" t="s">
        <v>266</v>
      </c>
      <c r="D36" s="140">
        <v>32193</v>
      </c>
      <c r="E36" s="141">
        <v>0.19</v>
      </c>
      <c r="F36" s="142">
        <v>38309.67</v>
      </c>
      <c r="G36" s="149">
        <v>35090</v>
      </c>
      <c r="H36" s="150">
        <v>0.19</v>
      </c>
      <c r="I36" s="149">
        <v>41757.1</v>
      </c>
      <c r="J36" s="151">
        <v>37195</v>
      </c>
      <c r="K36" s="152">
        <v>0.19</v>
      </c>
      <c r="L36" s="151">
        <v>44262.05</v>
      </c>
      <c r="M36" s="153">
        <f t="shared" si="0"/>
        <v>41442.939999999995</v>
      </c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</row>
    <row r="37" spans="1:26" ht="15.75" customHeight="1">
      <c r="A37" s="148">
        <v>35</v>
      </c>
      <c r="B37" s="138" t="s">
        <v>299</v>
      </c>
      <c r="C37" s="139" t="s">
        <v>266</v>
      </c>
      <c r="D37" s="140">
        <v>10856</v>
      </c>
      <c r="E37" s="141">
        <v>0.19</v>
      </c>
      <c r="F37" s="142">
        <v>12918.64</v>
      </c>
      <c r="G37" s="149">
        <v>11833</v>
      </c>
      <c r="H37" s="150">
        <v>0.19</v>
      </c>
      <c r="I37" s="149">
        <v>14081.27</v>
      </c>
      <c r="J37" s="151">
        <v>12543</v>
      </c>
      <c r="K37" s="152">
        <v>0.19</v>
      </c>
      <c r="L37" s="151">
        <v>14926.17</v>
      </c>
      <c r="M37" s="153">
        <f t="shared" si="0"/>
        <v>13975.36</v>
      </c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</row>
    <row r="38" spans="1:26" ht="15.75" customHeight="1">
      <c r="A38" s="137">
        <v>36</v>
      </c>
      <c r="B38" s="138" t="s">
        <v>300</v>
      </c>
      <c r="C38" s="139" t="s">
        <v>266</v>
      </c>
      <c r="D38" s="140">
        <v>10856</v>
      </c>
      <c r="E38" s="141">
        <v>0.19</v>
      </c>
      <c r="F38" s="142">
        <v>12918.64</v>
      </c>
      <c r="G38" s="149">
        <v>11833</v>
      </c>
      <c r="H38" s="150">
        <v>0.19</v>
      </c>
      <c r="I38" s="149">
        <v>14081.27</v>
      </c>
      <c r="J38" s="151">
        <v>12543</v>
      </c>
      <c r="K38" s="152">
        <v>0.19</v>
      </c>
      <c r="L38" s="151">
        <v>14926.17</v>
      </c>
      <c r="M38" s="153">
        <f t="shared" si="0"/>
        <v>13975.36</v>
      </c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</row>
    <row r="39" spans="1:26" ht="15.75" customHeight="1">
      <c r="A39" s="148">
        <v>37</v>
      </c>
      <c r="B39" s="138" t="s">
        <v>301</v>
      </c>
      <c r="C39" s="139" t="s">
        <v>266</v>
      </c>
      <c r="D39" s="140">
        <v>10856</v>
      </c>
      <c r="E39" s="141">
        <v>0.19</v>
      </c>
      <c r="F39" s="142">
        <v>12918.64</v>
      </c>
      <c r="G39" s="149">
        <v>11833</v>
      </c>
      <c r="H39" s="150">
        <v>0.19</v>
      </c>
      <c r="I39" s="149">
        <v>14081.27</v>
      </c>
      <c r="J39" s="151">
        <v>12543</v>
      </c>
      <c r="K39" s="152">
        <v>0.19</v>
      </c>
      <c r="L39" s="151">
        <v>14926.17</v>
      </c>
      <c r="M39" s="153">
        <f t="shared" si="0"/>
        <v>13975.36</v>
      </c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</row>
    <row r="40" spans="1:26" ht="15.75" customHeight="1">
      <c r="A40" s="148">
        <v>38</v>
      </c>
      <c r="B40" s="138" t="s">
        <v>302</v>
      </c>
      <c r="C40" s="139" t="s">
        <v>266</v>
      </c>
      <c r="D40" s="140">
        <v>14973</v>
      </c>
      <c r="E40" s="141">
        <v>0.19</v>
      </c>
      <c r="F40" s="142">
        <v>17817.87</v>
      </c>
      <c r="G40" s="149">
        <v>16321</v>
      </c>
      <c r="H40" s="150">
        <v>0.19</v>
      </c>
      <c r="I40" s="149">
        <v>19421.990000000002</v>
      </c>
      <c r="J40" s="151">
        <v>17300</v>
      </c>
      <c r="K40" s="152">
        <v>0.19</v>
      </c>
      <c r="L40" s="151">
        <v>20587</v>
      </c>
      <c r="M40" s="153">
        <f t="shared" si="0"/>
        <v>19275.62</v>
      </c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</row>
    <row r="41" spans="1:26" ht="15.75" customHeight="1">
      <c r="A41" s="148">
        <v>39</v>
      </c>
      <c r="B41" s="138" t="s">
        <v>303</v>
      </c>
      <c r="C41" s="139" t="s">
        <v>266</v>
      </c>
      <c r="D41" s="140">
        <v>14973</v>
      </c>
      <c r="E41" s="141">
        <v>0.19</v>
      </c>
      <c r="F41" s="142">
        <v>17817.87</v>
      </c>
      <c r="G41" s="149">
        <v>16321</v>
      </c>
      <c r="H41" s="150">
        <v>0.19</v>
      </c>
      <c r="I41" s="149">
        <v>19421.990000000002</v>
      </c>
      <c r="J41" s="151">
        <v>17300</v>
      </c>
      <c r="K41" s="152">
        <v>0.19</v>
      </c>
      <c r="L41" s="151">
        <v>20587</v>
      </c>
      <c r="M41" s="153">
        <f t="shared" si="0"/>
        <v>19275.62</v>
      </c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</row>
    <row r="42" spans="1:26" ht="15.75" customHeight="1">
      <c r="A42" s="137">
        <v>40</v>
      </c>
      <c r="B42" s="138" t="s">
        <v>304</v>
      </c>
      <c r="C42" s="139" t="s">
        <v>266</v>
      </c>
      <c r="D42" s="140">
        <v>20775</v>
      </c>
      <c r="E42" s="141">
        <v>0.19</v>
      </c>
      <c r="F42" s="142">
        <v>24722.25</v>
      </c>
      <c r="G42" s="149">
        <v>22645</v>
      </c>
      <c r="H42" s="150">
        <v>0.19</v>
      </c>
      <c r="I42" s="149">
        <v>26947.55</v>
      </c>
      <c r="J42" s="151">
        <v>24004</v>
      </c>
      <c r="K42" s="152">
        <v>0.19</v>
      </c>
      <c r="L42" s="151">
        <v>28564.76</v>
      </c>
      <c r="M42" s="153">
        <f t="shared" si="0"/>
        <v>26744.853333333333</v>
      </c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</row>
    <row r="43" spans="1:26" ht="15.75" customHeight="1">
      <c r="A43" s="148">
        <v>41</v>
      </c>
      <c r="B43" s="138" t="s">
        <v>305</v>
      </c>
      <c r="C43" s="139" t="s">
        <v>266</v>
      </c>
      <c r="D43" s="140">
        <v>23396</v>
      </c>
      <c r="E43" s="141">
        <v>0.19</v>
      </c>
      <c r="F43" s="142">
        <v>27841.24</v>
      </c>
      <c r="G43" s="149">
        <v>25502</v>
      </c>
      <c r="H43" s="150">
        <v>0.19</v>
      </c>
      <c r="I43" s="149">
        <v>30347.38</v>
      </c>
      <c r="J43" s="151">
        <v>27032</v>
      </c>
      <c r="K43" s="152">
        <v>0.19</v>
      </c>
      <c r="L43" s="151">
        <v>32168.080000000002</v>
      </c>
      <c r="M43" s="153">
        <f t="shared" si="0"/>
        <v>30118.900000000005</v>
      </c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</row>
    <row r="44" spans="1:26" ht="15.75" customHeight="1">
      <c r="A44" s="148">
        <v>42</v>
      </c>
      <c r="B44" s="138" t="s">
        <v>306</v>
      </c>
      <c r="C44" s="139" t="s">
        <v>266</v>
      </c>
      <c r="D44" s="140">
        <v>23396</v>
      </c>
      <c r="E44" s="141">
        <v>0.19</v>
      </c>
      <c r="F44" s="142">
        <v>27841.24</v>
      </c>
      <c r="G44" s="149">
        <v>25502</v>
      </c>
      <c r="H44" s="150">
        <v>0.19</v>
      </c>
      <c r="I44" s="149">
        <v>30347.38</v>
      </c>
      <c r="J44" s="151">
        <v>27032</v>
      </c>
      <c r="K44" s="152">
        <v>0.19</v>
      </c>
      <c r="L44" s="151">
        <v>32168.080000000002</v>
      </c>
      <c r="M44" s="153">
        <f t="shared" si="0"/>
        <v>30118.900000000005</v>
      </c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</row>
    <row r="45" spans="1:26" ht="15.75" customHeight="1">
      <c r="A45" s="148">
        <v>43</v>
      </c>
      <c r="B45" s="138" t="s">
        <v>307</v>
      </c>
      <c r="C45" s="139" t="s">
        <v>308</v>
      </c>
      <c r="D45" s="140">
        <v>2246</v>
      </c>
      <c r="E45" s="141">
        <v>0</v>
      </c>
      <c r="F45" s="142">
        <v>2246</v>
      </c>
      <c r="G45" s="149">
        <v>2448</v>
      </c>
      <c r="H45" s="150">
        <v>0</v>
      </c>
      <c r="I45" s="149">
        <v>2448</v>
      </c>
      <c r="J45" s="151">
        <v>2595</v>
      </c>
      <c r="K45" s="152">
        <v>0</v>
      </c>
      <c r="L45" s="151">
        <v>2595</v>
      </c>
      <c r="M45" s="153">
        <f t="shared" si="0"/>
        <v>2429.6666666666665</v>
      </c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</row>
    <row r="46" spans="1:26" ht="15.75" customHeight="1">
      <c r="A46" s="137">
        <v>44</v>
      </c>
      <c r="B46" s="138" t="s">
        <v>309</v>
      </c>
      <c r="C46" s="139" t="s">
        <v>310</v>
      </c>
      <c r="D46" s="140">
        <v>60</v>
      </c>
      <c r="E46" s="141">
        <v>0.19</v>
      </c>
      <c r="F46" s="142">
        <v>71.400000000000006</v>
      </c>
      <c r="G46" s="151">
        <v>65</v>
      </c>
      <c r="H46" s="152">
        <v>0.19</v>
      </c>
      <c r="I46" s="151">
        <v>77.349999999999994</v>
      </c>
      <c r="J46" s="151">
        <v>69</v>
      </c>
      <c r="K46" s="152">
        <v>0.19</v>
      </c>
      <c r="L46" s="151">
        <v>82.11</v>
      </c>
      <c r="M46" s="153">
        <f t="shared" si="0"/>
        <v>76.953333333333333</v>
      </c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</row>
    <row r="47" spans="1:26" ht="15.75" customHeight="1">
      <c r="A47" s="148">
        <v>45</v>
      </c>
      <c r="B47" s="138" t="s">
        <v>311</v>
      </c>
      <c r="C47" s="139" t="s">
        <v>259</v>
      </c>
      <c r="D47" s="140">
        <v>702</v>
      </c>
      <c r="E47" s="141">
        <v>0.19</v>
      </c>
      <c r="F47" s="142">
        <v>835.38</v>
      </c>
      <c r="G47" s="151">
        <v>765</v>
      </c>
      <c r="H47" s="152">
        <v>0.19</v>
      </c>
      <c r="I47" s="151">
        <v>910.35</v>
      </c>
      <c r="J47" s="151">
        <v>811</v>
      </c>
      <c r="K47" s="152">
        <v>0.19</v>
      </c>
      <c r="L47" s="151">
        <v>965.09</v>
      </c>
      <c r="M47" s="153">
        <f t="shared" si="0"/>
        <v>903.60666666666668</v>
      </c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</row>
    <row r="48" spans="1:26" ht="15.75" customHeight="1">
      <c r="A48" s="148">
        <v>46</v>
      </c>
      <c r="B48" s="138" t="s">
        <v>312</v>
      </c>
      <c r="C48" s="139" t="s">
        <v>259</v>
      </c>
      <c r="D48" s="140">
        <v>702</v>
      </c>
      <c r="E48" s="141">
        <v>0.19</v>
      </c>
      <c r="F48" s="142">
        <v>835.38</v>
      </c>
      <c r="G48" s="151">
        <v>765</v>
      </c>
      <c r="H48" s="152">
        <v>0.19</v>
      </c>
      <c r="I48" s="151">
        <v>910.35</v>
      </c>
      <c r="J48" s="151">
        <v>811</v>
      </c>
      <c r="K48" s="152">
        <v>0.19</v>
      </c>
      <c r="L48" s="151">
        <v>965.09</v>
      </c>
      <c r="M48" s="153">
        <f t="shared" si="0"/>
        <v>903.60666666666668</v>
      </c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</row>
    <row r="49" spans="1:26" ht="15.75" customHeight="1">
      <c r="A49" s="148">
        <v>47</v>
      </c>
      <c r="B49" s="138" t="s">
        <v>313</v>
      </c>
      <c r="C49" s="139" t="s">
        <v>314</v>
      </c>
      <c r="D49" s="140">
        <v>354</v>
      </c>
      <c r="E49" s="141">
        <v>0.19</v>
      </c>
      <c r="F49" s="142">
        <v>421.26</v>
      </c>
      <c r="G49" s="151">
        <v>386</v>
      </c>
      <c r="H49" s="152">
        <v>0.19</v>
      </c>
      <c r="I49" s="151">
        <v>459.34</v>
      </c>
      <c r="J49" s="151">
        <v>409</v>
      </c>
      <c r="K49" s="152">
        <v>0.19</v>
      </c>
      <c r="L49" s="151">
        <v>486.71</v>
      </c>
      <c r="M49" s="153">
        <f t="shared" si="0"/>
        <v>455.77</v>
      </c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</row>
    <row r="50" spans="1:26" ht="15.75" customHeight="1">
      <c r="A50" s="137">
        <v>48</v>
      </c>
      <c r="B50" s="138" t="s">
        <v>315</v>
      </c>
      <c r="C50" s="139" t="s">
        <v>316</v>
      </c>
      <c r="D50" s="140">
        <v>244064</v>
      </c>
      <c r="E50" s="141">
        <v>0</v>
      </c>
      <c r="F50" s="142">
        <v>244064</v>
      </c>
      <c r="G50" s="151">
        <v>266030</v>
      </c>
      <c r="H50" s="152">
        <v>0</v>
      </c>
      <c r="I50" s="151">
        <v>266030</v>
      </c>
      <c r="J50" s="151">
        <v>281992</v>
      </c>
      <c r="K50" s="152">
        <v>0</v>
      </c>
      <c r="L50" s="151">
        <v>281992</v>
      </c>
      <c r="M50" s="153">
        <f t="shared" si="0"/>
        <v>264028.66666666669</v>
      </c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</row>
    <row r="51" spans="1:26" ht="15.75" customHeight="1">
      <c r="A51" s="148">
        <v>49</v>
      </c>
      <c r="B51" s="138" t="s">
        <v>317</v>
      </c>
      <c r="C51" s="139" t="s">
        <v>266</v>
      </c>
      <c r="D51" s="140">
        <v>1123</v>
      </c>
      <c r="E51" s="141">
        <v>0</v>
      </c>
      <c r="F51" s="142">
        <v>1123</v>
      </c>
      <c r="G51" s="151">
        <v>1224</v>
      </c>
      <c r="H51" s="152">
        <v>0</v>
      </c>
      <c r="I51" s="151">
        <v>1224</v>
      </c>
      <c r="J51" s="151">
        <v>1297</v>
      </c>
      <c r="K51" s="152">
        <v>0</v>
      </c>
      <c r="L51" s="151">
        <v>1297</v>
      </c>
      <c r="M51" s="153">
        <f t="shared" si="0"/>
        <v>1214.6666666666667</v>
      </c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</row>
    <row r="52" spans="1:26" ht="15.75" customHeight="1">
      <c r="A52" s="148">
        <v>50</v>
      </c>
      <c r="B52" s="138" t="s">
        <v>318</v>
      </c>
      <c r="C52" s="139" t="s">
        <v>319</v>
      </c>
      <c r="D52" s="140">
        <v>31126</v>
      </c>
      <c r="E52" s="141">
        <v>0</v>
      </c>
      <c r="F52" s="142">
        <v>31126</v>
      </c>
      <c r="G52" s="151">
        <v>33927</v>
      </c>
      <c r="H52" s="152">
        <v>0</v>
      </c>
      <c r="I52" s="151">
        <v>33927</v>
      </c>
      <c r="J52" s="151">
        <v>35963</v>
      </c>
      <c r="K52" s="152">
        <v>0</v>
      </c>
      <c r="L52" s="151">
        <v>35963</v>
      </c>
      <c r="M52" s="153">
        <f t="shared" si="0"/>
        <v>33672</v>
      </c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</row>
    <row r="53" spans="1:26" ht="15.75" customHeight="1">
      <c r="A53" s="148">
        <v>51</v>
      </c>
      <c r="B53" s="138" t="s">
        <v>320</v>
      </c>
      <c r="C53" s="139" t="s">
        <v>293</v>
      </c>
      <c r="D53" s="140">
        <v>2173</v>
      </c>
      <c r="E53" s="141">
        <v>0</v>
      </c>
      <c r="F53" s="142">
        <v>2173</v>
      </c>
      <c r="G53" s="151">
        <v>2369</v>
      </c>
      <c r="H53" s="152">
        <v>0</v>
      </c>
      <c r="I53" s="151">
        <v>2369</v>
      </c>
      <c r="J53" s="151">
        <v>2511</v>
      </c>
      <c r="K53" s="152">
        <v>0</v>
      </c>
      <c r="L53" s="151">
        <v>2511</v>
      </c>
      <c r="M53" s="153">
        <f t="shared" si="0"/>
        <v>2351</v>
      </c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</row>
    <row r="54" spans="1:26" ht="15.75" customHeight="1">
      <c r="A54" s="137">
        <v>52</v>
      </c>
      <c r="B54" s="138" t="s">
        <v>321</v>
      </c>
      <c r="C54" s="139" t="s">
        <v>266</v>
      </c>
      <c r="D54" s="140">
        <v>672</v>
      </c>
      <c r="E54" s="141">
        <v>0.19</v>
      </c>
      <c r="F54" s="142">
        <v>799.68</v>
      </c>
      <c r="G54" s="151">
        <v>732</v>
      </c>
      <c r="H54" s="152">
        <v>0.19</v>
      </c>
      <c r="I54" s="151">
        <v>871.08</v>
      </c>
      <c r="J54" s="151">
        <v>776</v>
      </c>
      <c r="K54" s="152">
        <v>0.19</v>
      </c>
      <c r="L54" s="151">
        <v>923.44</v>
      </c>
      <c r="M54" s="153">
        <f t="shared" si="0"/>
        <v>864.73333333333323</v>
      </c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</row>
    <row r="55" spans="1:26" ht="15.75" customHeight="1">
      <c r="A55" s="148">
        <v>53</v>
      </c>
      <c r="B55" s="138" t="s">
        <v>322</v>
      </c>
      <c r="C55" s="139" t="s">
        <v>266</v>
      </c>
      <c r="D55" s="140">
        <v>1195</v>
      </c>
      <c r="E55" s="141">
        <v>0.19</v>
      </c>
      <c r="F55" s="142">
        <v>1422.05</v>
      </c>
      <c r="G55" s="151">
        <v>1303</v>
      </c>
      <c r="H55" s="152">
        <v>0.19</v>
      </c>
      <c r="I55" s="151">
        <v>1550.57</v>
      </c>
      <c r="J55" s="151">
        <v>1381</v>
      </c>
      <c r="K55" s="152">
        <v>0.19</v>
      </c>
      <c r="L55" s="151">
        <v>1643.39</v>
      </c>
      <c r="M55" s="153">
        <f t="shared" si="0"/>
        <v>1538.67</v>
      </c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</row>
    <row r="56" spans="1:26" ht="15.75" customHeight="1">
      <c r="A56" s="148">
        <v>54</v>
      </c>
      <c r="B56" s="138" t="s">
        <v>323</v>
      </c>
      <c r="C56" s="139" t="s">
        <v>266</v>
      </c>
      <c r="D56" s="140">
        <v>1046</v>
      </c>
      <c r="E56" s="141">
        <v>0.19</v>
      </c>
      <c r="F56" s="142">
        <v>1244.74</v>
      </c>
      <c r="G56" s="151">
        <v>1140</v>
      </c>
      <c r="H56" s="152">
        <v>0.19</v>
      </c>
      <c r="I56" s="151">
        <v>1356.6</v>
      </c>
      <c r="J56" s="151">
        <v>1208</v>
      </c>
      <c r="K56" s="152">
        <v>0.19</v>
      </c>
      <c r="L56" s="151">
        <v>1437.52</v>
      </c>
      <c r="M56" s="153">
        <f t="shared" si="0"/>
        <v>1346.2866666666666</v>
      </c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</row>
    <row r="57" spans="1:26" ht="15.75" customHeight="1">
      <c r="A57" s="148">
        <v>55</v>
      </c>
      <c r="B57" s="138" t="s">
        <v>324</v>
      </c>
      <c r="C57" s="139" t="s">
        <v>325</v>
      </c>
      <c r="D57" s="140">
        <v>404</v>
      </c>
      <c r="E57" s="141">
        <v>0.19</v>
      </c>
      <c r="F57" s="142">
        <v>480.76</v>
      </c>
      <c r="G57" s="151">
        <v>440</v>
      </c>
      <c r="H57" s="152">
        <v>0.19</v>
      </c>
      <c r="I57" s="151">
        <v>523.6</v>
      </c>
      <c r="J57" s="151">
        <v>466</v>
      </c>
      <c r="K57" s="152">
        <v>0.19</v>
      </c>
      <c r="L57" s="151">
        <v>554.54</v>
      </c>
      <c r="M57" s="153">
        <f t="shared" si="0"/>
        <v>519.63333333333333</v>
      </c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</row>
    <row r="58" spans="1:26" ht="15.75" customHeight="1">
      <c r="A58" s="137">
        <v>56</v>
      </c>
      <c r="B58" s="138" t="s">
        <v>326</v>
      </c>
      <c r="C58" s="139" t="s">
        <v>275</v>
      </c>
      <c r="D58" s="140">
        <v>346</v>
      </c>
      <c r="E58" s="141">
        <v>0.19</v>
      </c>
      <c r="F58" s="142">
        <v>411.74</v>
      </c>
      <c r="G58" s="151">
        <v>377</v>
      </c>
      <c r="H58" s="152">
        <v>0.19</v>
      </c>
      <c r="I58" s="151">
        <v>448.63</v>
      </c>
      <c r="J58" s="151">
        <v>400</v>
      </c>
      <c r="K58" s="152">
        <v>0.19</v>
      </c>
      <c r="L58" s="151">
        <v>476</v>
      </c>
      <c r="M58" s="153">
        <f t="shared" si="0"/>
        <v>445.45666666666665</v>
      </c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</row>
    <row r="59" spans="1:26" ht="15.75" customHeight="1">
      <c r="A59" s="148">
        <v>57</v>
      </c>
      <c r="B59" s="138" t="s">
        <v>327</v>
      </c>
      <c r="C59" s="139" t="s">
        <v>328</v>
      </c>
      <c r="D59" s="140">
        <v>5922</v>
      </c>
      <c r="E59" s="141">
        <v>0.19</v>
      </c>
      <c r="F59" s="142">
        <v>7047.18</v>
      </c>
      <c r="G59" s="151">
        <v>6455</v>
      </c>
      <c r="H59" s="152">
        <v>0.19</v>
      </c>
      <c r="I59" s="151">
        <v>7681.45</v>
      </c>
      <c r="J59" s="151">
        <v>6842</v>
      </c>
      <c r="K59" s="152">
        <v>0.19</v>
      </c>
      <c r="L59" s="151">
        <v>8141.98</v>
      </c>
      <c r="M59" s="153">
        <f t="shared" si="0"/>
        <v>7623.5366666666669</v>
      </c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</row>
    <row r="60" spans="1:26" ht="15.75" customHeight="1">
      <c r="A60" s="148">
        <v>58</v>
      </c>
      <c r="B60" s="138" t="s">
        <v>329</v>
      </c>
      <c r="C60" s="139" t="s">
        <v>316</v>
      </c>
      <c r="D60" s="140">
        <v>72059</v>
      </c>
      <c r="E60" s="141">
        <v>0</v>
      </c>
      <c r="F60" s="142">
        <v>72059</v>
      </c>
      <c r="G60" s="151">
        <v>78544</v>
      </c>
      <c r="H60" s="152">
        <v>0</v>
      </c>
      <c r="I60" s="151">
        <v>78544</v>
      </c>
      <c r="J60" s="151">
        <v>83257</v>
      </c>
      <c r="K60" s="152">
        <v>0</v>
      </c>
      <c r="L60" s="151">
        <v>83257</v>
      </c>
      <c r="M60" s="153">
        <f t="shared" si="0"/>
        <v>77953.333333333328</v>
      </c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</row>
    <row r="61" spans="1:26" ht="15.75" customHeight="1">
      <c r="A61" s="148">
        <v>59</v>
      </c>
      <c r="B61" s="138" t="s">
        <v>330</v>
      </c>
      <c r="C61" s="139" t="s">
        <v>331</v>
      </c>
      <c r="D61" s="140">
        <v>117</v>
      </c>
      <c r="E61" s="141">
        <v>0</v>
      </c>
      <c r="F61" s="142">
        <v>117</v>
      </c>
      <c r="G61" s="151">
        <v>128</v>
      </c>
      <c r="H61" s="152">
        <v>0</v>
      </c>
      <c r="I61" s="151">
        <v>128</v>
      </c>
      <c r="J61" s="151">
        <v>136</v>
      </c>
      <c r="K61" s="152">
        <v>0</v>
      </c>
      <c r="L61" s="151">
        <v>136</v>
      </c>
      <c r="M61" s="153">
        <f t="shared" si="0"/>
        <v>127</v>
      </c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</row>
    <row r="62" spans="1:26" ht="15.75" customHeight="1">
      <c r="A62" s="137">
        <v>60</v>
      </c>
      <c r="B62" s="138" t="s">
        <v>332</v>
      </c>
      <c r="C62" s="139" t="s">
        <v>331</v>
      </c>
      <c r="D62" s="140">
        <v>117</v>
      </c>
      <c r="E62" s="141">
        <v>0</v>
      </c>
      <c r="F62" s="142">
        <v>117</v>
      </c>
      <c r="G62" s="155">
        <v>128</v>
      </c>
      <c r="H62" s="152">
        <v>0</v>
      </c>
      <c r="I62" s="151">
        <v>128</v>
      </c>
      <c r="J62" s="151">
        <v>136</v>
      </c>
      <c r="K62" s="152">
        <v>0</v>
      </c>
      <c r="L62" s="151">
        <v>136</v>
      </c>
      <c r="M62" s="153">
        <f t="shared" si="0"/>
        <v>127</v>
      </c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</row>
    <row r="63" spans="1:26" ht="15.75" customHeight="1">
      <c r="A63" s="148">
        <v>61</v>
      </c>
      <c r="B63" s="138" t="s">
        <v>333</v>
      </c>
      <c r="C63" s="139" t="s">
        <v>334</v>
      </c>
      <c r="D63" s="140">
        <v>49599</v>
      </c>
      <c r="E63" s="141">
        <v>0</v>
      </c>
      <c r="F63" s="142">
        <v>49599</v>
      </c>
      <c r="G63" s="155">
        <v>54063</v>
      </c>
      <c r="H63" s="152">
        <v>0</v>
      </c>
      <c r="I63" s="151">
        <v>54063</v>
      </c>
      <c r="J63" s="151">
        <v>57307</v>
      </c>
      <c r="K63" s="152">
        <v>0</v>
      </c>
      <c r="L63" s="151">
        <v>57307</v>
      </c>
      <c r="M63" s="153">
        <f t="shared" si="0"/>
        <v>53656.333333333336</v>
      </c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</row>
    <row r="64" spans="1:26" ht="15.75" customHeight="1">
      <c r="A64" s="148">
        <v>62</v>
      </c>
      <c r="B64" s="138" t="s">
        <v>335</v>
      </c>
      <c r="C64" s="139" t="s">
        <v>325</v>
      </c>
      <c r="D64" s="140">
        <v>150</v>
      </c>
      <c r="E64" s="141">
        <v>0.19</v>
      </c>
      <c r="F64" s="142">
        <v>178.5</v>
      </c>
      <c r="G64" s="155">
        <v>164</v>
      </c>
      <c r="H64" s="152">
        <v>0.19</v>
      </c>
      <c r="I64" s="151">
        <v>195.16</v>
      </c>
      <c r="J64" s="151">
        <v>174</v>
      </c>
      <c r="K64" s="152">
        <v>0.19</v>
      </c>
      <c r="L64" s="151">
        <v>207.06</v>
      </c>
      <c r="M64" s="153">
        <f t="shared" si="0"/>
        <v>193.57333333333335</v>
      </c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</row>
    <row r="65" spans="1:26" ht="15.75" customHeight="1">
      <c r="A65" s="148">
        <v>63</v>
      </c>
      <c r="B65" s="138" t="s">
        <v>336</v>
      </c>
      <c r="C65" s="139" t="s">
        <v>259</v>
      </c>
      <c r="D65" s="140">
        <v>191</v>
      </c>
      <c r="E65" s="141">
        <v>0.19</v>
      </c>
      <c r="F65" s="142">
        <v>227.29</v>
      </c>
      <c r="G65" s="155">
        <v>208</v>
      </c>
      <c r="H65" s="152">
        <v>0.19</v>
      </c>
      <c r="I65" s="151">
        <v>247.52</v>
      </c>
      <c r="J65" s="151">
        <v>220</v>
      </c>
      <c r="K65" s="152">
        <v>0.19</v>
      </c>
      <c r="L65" s="151">
        <v>261.8</v>
      </c>
      <c r="M65" s="153">
        <f t="shared" si="0"/>
        <v>245.53666666666666</v>
      </c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</row>
    <row r="66" spans="1:26" ht="15.75" customHeight="1">
      <c r="A66" s="137">
        <v>64</v>
      </c>
      <c r="B66" s="138" t="s">
        <v>337</v>
      </c>
      <c r="C66" s="139" t="s">
        <v>259</v>
      </c>
      <c r="D66" s="140">
        <v>191</v>
      </c>
      <c r="E66" s="141">
        <v>0.19</v>
      </c>
      <c r="F66" s="142">
        <v>227.29</v>
      </c>
      <c r="G66" s="155">
        <v>208</v>
      </c>
      <c r="H66" s="152">
        <v>0.19</v>
      </c>
      <c r="I66" s="151">
        <v>247.52</v>
      </c>
      <c r="J66" s="151">
        <v>220</v>
      </c>
      <c r="K66" s="152">
        <v>0.19</v>
      </c>
      <c r="L66" s="151">
        <v>261.8</v>
      </c>
      <c r="M66" s="153">
        <f t="shared" si="0"/>
        <v>245.53666666666666</v>
      </c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</row>
    <row r="67" spans="1:26" ht="15.75" customHeight="1">
      <c r="A67" s="148">
        <v>65</v>
      </c>
      <c r="B67" s="138" t="s">
        <v>338</v>
      </c>
      <c r="C67" s="139" t="s">
        <v>259</v>
      </c>
      <c r="D67" s="140">
        <v>191</v>
      </c>
      <c r="E67" s="141">
        <v>0.19</v>
      </c>
      <c r="F67" s="142">
        <v>227.29</v>
      </c>
      <c r="G67" s="155">
        <v>208</v>
      </c>
      <c r="H67" s="152">
        <v>0.19</v>
      </c>
      <c r="I67" s="151">
        <v>247.52</v>
      </c>
      <c r="J67" s="151">
        <v>220</v>
      </c>
      <c r="K67" s="152">
        <v>0.19</v>
      </c>
      <c r="L67" s="151">
        <v>261.8</v>
      </c>
      <c r="M67" s="153">
        <f t="shared" si="0"/>
        <v>245.53666666666666</v>
      </c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</row>
    <row r="68" spans="1:26" ht="15.75" customHeight="1">
      <c r="A68" s="148">
        <v>66</v>
      </c>
      <c r="B68" s="138" t="s">
        <v>339</v>
      </c>
      <c r="C68" s="139" t="s">
        <v>259</v>
      </c>
      <c r="D68" s="140">
        <v>329</v>
      </c>
      <c r="E68" s="141">
        <v>0.19</v>
      </c>
      <c r="F68" s="142">
        <v>391.51</v>
      </c>
      <c r="G68" s="155">
        <v>359</v>
      </c>
      <c r="H68" s="152">
        <v>0.19</v>
      </c>
      <c r="I68" s="151">
        <v>427.21</v>
      </c>
      <c r="J68" s="151">
        <v>381</v>
      </c>
      <c r="K68" s="152">
        <v>0.19</v>
      </c>
      <c r="L68" s="151">
        <v>453.39</v>
      </c>
      <c r="M68" s="153">
        <f t="shared" si="0"/>
        <v>424.03666666666663</v>
      </c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</row>
    <row r="69" spans="1:26" ht="15.75" customHeight="1">
      <c r="A69" s="148">
        <v>67</v>
      </c>
      <c r="B69" s="138" t="s">
        <v>340</v>
      </c>
      <c r="C69" s="139" t="s">
        <v>259</v>
      </c>
      <c r="D69" s="140">
        <v>303</v>
      </c>
      <c r="E69" s="141">
        <v>0.19</v>
      </c>
      <c r="F69" s="142">
        <v>360.57</v>
      </c>
      <c r="G69" s="155">
        <v>330</v>
      </c>
      <c r="H69" s="152">
        <v>0.19</v>
      </c>
      <c r="I69" s="151">
        <v>392.7</v>
      </c>
      <c r="J69" s="151">
        <v>350</v>
      </c>
      <c r="K69" s="152">
        <v>0.19</v>
      </c>
      <c r="L69" s="151">
        <v>416.5</v>
      </c>
      <c r="M69" s="153">
        <f t="shared" si="0"/>
        <v>389.92333333333335</v>
      </c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</row>
    <row r="70" spans="1:26" ht="15.75" customHeight="1">
      <c r="A70" s="137">
        <v>68</v>
      </c>
      <c r="B70" s="138" t="s">
        <v>341</v>
      </c>
      <c r="C70" s="139" t="s">
        <v>259</v>
      </c>
      <c r="D70" s="140">
        <v>329</v>
      </c>
      <c r="E70" s="141">
        <v>0.19</v>
      </c>
      <c r="F70" s="142">
        <v>391.51</v>
      </c>
      <c r="G70" s="151">
        <v>359</v>
      </c>
      <c r="H70" s="152">
        <v>0.19</v>
      </c>
      <c r="I70" s="151">
        <v>427.21</v>
      </c>
      <c r="J70" s="151">
        <v>381</v>
      </c>
      <c r="K70" s="152">
        <v>0.19</v>
      </c>
      <c r="L70" s="151">
        <v>453.39</v>
      </c>
      <c r="M70" s="153">
        <f t="shared" si="0"/>
        <v>424.03666666666663</v>
      </c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</row>
    <row r="71" spans="1:26" ht="15.75" customHeight="1">
      <c r="A71" s="148">
        <v>69</v>
      </c>
      <c r="B71" s="138" t="s">
        <v>342</v>
      </c>
      <c r="C71" s="139" t="s">
        <v>259</v>
      </c>
      <c r="D71" s="140">
        <v>1029</v>
      </c>
      <c r="E71" s="141">
        <v>0.19</v>
      </c>
      <c r="F71" s="142">
        <v>1224.51</v>
      </c>
      <c r="G71" s="151">
        <v>1122</v>
      </c>
      <c r="H71" s="152">
        <v>0.19</v>
      </c>
      <c r="I71" s="151">
        <v>1335.18</v>
      </c>
      <c r="J71" s="151">
        <v>1189</v>
      </c>
      <c r="K71" s="152">
        <v>0.19</v>
      </c>
      <c r="L71" s="151">
        <v>1414.91</v>
      </c>
      <c r="M71" s="153">
        <f t="shared" si="0"/>
        <v>1324.8666666666668</v>
      </c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</row>
    <row r="72" spans="1:26" ht="15.75" customHeight="1">
      <c r="A72" s="148">
        <v>70</v>
      </c>
      <c r="B72" s="138" t="s">
        <v>343</v>
      </c>
      <c r="C72" s="139" t="s">
        <v>259</v>
      </c>
      <c r="D72" s="140">
        <v>842</v>
      </c>
      <c r="E72" s="141">
        <v>0.19</v>
      </c>
      <c r="F72" s="142">
        <v>1001.98</v>
      </c>
      <c r="G72" s="151">
        <v>918</v>
      </c>
      <c r="H72" s="152">
        <v>0.19</v>
      </c>
      <c r="I72" s="151">
        <v>1092.42</v>
      </c>
      <c r="J72" s="151">
        <v>973</v>
      </c>
      <c r="K72" s="152">
        <v>0.19</v>
      </c>
      <c r="L72" s="151">
        <v>1157.8699999999999</v>
      </c>
      <c r="M72" s="153">
        <f t="shared" si="0"/>
        <v>1084.0899999999999</v>
      </c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</row>
    <row r="73" spans="1:26" ht="15.75" customHeight="1">
      <c r="A73" s="137">
        <v>71</v>
      </c>
      <c r="B73" s="138" t="s">
        <v>344</v>
      </c>
      <c r="C73" s="139" t="s">
        <v>259</v>
      </c>
      <c r="D73" s="140">
        <v>1029</v>
      </c>
      <c r="E73" s="141">
        <v>0.19</v>
      </c>
      <c r="F73" s="142">
        <v>1224.51</v>
      </c>
      <c r="G73" s="151">
        <v>1122</v>
      </c>
      <c r="H73" s="152">
        <v>0.19</v>
      </c>
      <c r="I73" s="151">
        <v>1335.18</v>
      </c>
      <c r="J73" s="151">
        <v>1189</v>
      </c>
      <c r="K73" s="152">
        <v>0.19</v>
      </c>
      <c r="L73" s="151">
        <v>1414.91</v>
      </c>
      <c r="M73" s="153">
        <f t="shared" si="0"/>
        <v>1324.8666666666668</v>
      </c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</row>
    <row r="74" spans="1:26" ht="15.75" customHeight="1">
      <c r="A74" s="148">
        <v>72</v>
      </c>
      <c r="B74" s="138" t="s">
        <v>345</v>
      </c>
      <c r="C74" s="139" t="s">
        <v>266</v>
      </c>
      <c r="D74" s="140">
        <v>4398</v>
      </c>
      <c r="E74" s="141">
        <v>0.19</v>
      </c>
      <c r="F74" s="142">
        <v>5233.62</v>
      </c>
      <c r="G74" s="151">
        <v>4794</v>
      </c>
      <c r="H74" s="152">
        <v>0.19</v>
      </c>
      <c r="I74" s="151">
        <v>5704.86</v>
      </c>
      <c r="J74" s="151">
        <v>5082</v>
      </c>
      <c r="K74" s="152">
        <v>0.19</v>
      </c>
      <c r="L74" s="151">
        <v>6047.58</v>
      </c>
      <c r="M74" s="153">
        <f t="shared" si="0"/>
        <v>5662.0199999999995</v>
      </c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</row>
    <row r="75" spans="1:26" ht="15.75" customHeight="1">
      <c r="A75" s="148">
        <v>73</v>
      </c>
      <c r="B75" s="138" t="s">
        <v>346</v>
      </c>
      <c r="C75" s="139" t="s">
        <v>266</v>
      </c>
      <c r="D75" s="140">
        <v>4305</v>
      </c>
      <c r="E75" s="141">
        <v>0.19</v>
      </c>
      <c r="F75" s="142">
        <v>5122.95</v>
      </c>
      <c r="G75" s="151">
        <v>4692</v>
      </c>
      <c r="H75" s="152">
        <v>0.19</v>
      </c>
      <c r="I75" s="151">
        <v>5583.48</v>
      </c>
      <c r="J75" s="151">
        <v>4974</v>
      </c>
      <c r="K75" s="152">
        <v>0.19</v>
      </c>
      <c r="L75" s="151">
        <v>5919.06</v>
      </c>
      <c r="M75" s="153">
        <f t="shared" si="0"/>
        <v>5541.8300000000008</v>
      </c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</row>
    <row r="76" spans="1:26" ht="15.75" customHeight="1">
      <c r="A76" s="148">
        <v>74</v>
      </c>
      <c r="B76" s="138" t="s">
        <v>347</v>
      </c>
      <c r="C76" s="139" t="s">
        <v>259</v>
      </c>
      <c r="D76" s="140">
        <v>328</v>
      </c>
      <c r="E76" s="141">
        <v>0.19</v>
      </c>
      <c r="F76" s="142">
        <v>390.32</v>
      </c>
      <c r="G76" s="151">
        <v>358</v>
      </c>
      <c r="H76" s="152">
        <v>0.19</v>
      </c>
      <c r="I76" s="151">
        <v>426.02</v>
      </c>
      <c r="J76" s="151">
        <v>379</v>
      </c>
      <c r="K76" s="152">
        <v>0.19</v>
      </c>
      <c r="L76" s="151">
        <v>451.01</v>
      </c>
      <c r="M76" s="153">
        <f t="shared" si="0"/>
        <v>422.45</v>
      </c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</row>
    <row r="77" spans="1:26" ht="15.75" customHeight="1">
      <c r="A77" s="137">
        <v>75</v>
      </c>
      <c r="B77" s="138" t="s">
        <v>348</v>
      </c>
      <c r="C77" s="139" t="s">
        <v>259</v>
      </c>
      <c r="D77" s="140">
        <v>374</v>
      </c>
      <c r="E77" s="141">
        <v>0.19</v>
      </c>
      <c r="F77" s="142">
        <v>445.06</v>
      </c>
      <c r="G77" s="151">
        <v>408</v>
      </c>
      <c r="H77" s="152">
        <v>0.19</v>
      </c>
      <c r="I77" s="151">
        <v>485.52</v>
      </c>
      <c r="J77" s="151">
        <v>432</v>
      </c>
      <c r="K77" s="152">
        <v>0.19</v>
      </c>
      <c r="L77" s="151">
        <v>514.08000000000004</v>
      </c>
      <c r="M77" s="153">
        <f t="shared" si="0"/>
        <v>481.55333333333334</v>
      </c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</row>
    <row r="78" spans="1:26" ht="15.75" customHeight="1">
      <c r="A78" s="148">
        <v>76</v>
      </c>
      <c r="B78" s="138" t="s">
        <v>349</v>
      </c>
      <c r="C78" s="139" t="s">
        <v>259</v>
      </c>
      <c r="D78" s="140">
        <v>356</v>
      </c>
      <c r="E78" s="141">
        <v>0.19</v>
      </c>
      <c r="F78" s="142">
        <v>423.64</v>
      </c>
      <c r="G78" s="151">
        <v>388</v>
      </c>
      <c r="H78" s="152">
        <v>0.19</v>
      </c>
      <c r="I78" s="151">
        <v>461.72</v>
      </c>
      <c r="J78" s="151">
        <v>411</v>
      </c>
      <c r="K78" s="152">
        <v>0.19</v>
      </c>
      <c r="L78" s="151">
        <v>489.09</v>
      </c>
      <c r="M78" s="153">
        <f t="shared" si="0"/>
        <v>458.14999999999992</v>
      </c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</row>
    <row r="79" spans="1:26" ht="15.75" customHeight="1">
      <c r="A79" s="148">
        <v>77</v>
      </c>
      <c r="B79" s="138" t="s">
        <v>350</v>
      </c>
      <c r="C79" s="139" t="s">
        <v>282</v>
      </c>
      <c r="D79" s="140">
        <v>850</v>
      </c>
      <c r="E79" s="141">
        <v>0.19</v>
      </c>
      <c r="F79" s="142">
        <v>1011.5</v>
      </c>
      <c r="G79" s="151">
        <v>927</v>
      </c>
      <c r="H79" s="152">
        <v>0.19</v>
      </c>
      <c r="I79" s="151">
        <v>1103.1300000000001</v>
      </c>
      <c r="J79" s="151">
        <v>983</v>
      </c>
      <c r="K79" s="152">
        <v>0.19</v>
      </c>
      <c r="L79" s="151">
        <v>1169.77</v>
      </c>
      <c r="M79" s="153">
        <f t="shared" si="0"/>
        <v>1094.8</v>
      </c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</row>
    <row r="80" spans="1:26" ht="15.75" customHeight="1">
      <c r="A80" s="148">
        <v>78</v>
      </c>
      <c r="B80" s="138" t="s">
        <v>351</v>
      </c>
      <c r="C80" s="139" t="s">
        <v>259</v>
      </c>
      <c r="D80" s="140">
        <v>281</v>
      </c>
      <c r="E80" s="141">
        <v>0.19</v>
      </c>
      <c r="F80" s="142">
        <v>334.39</v>
      </c>
      <c r="G80" s="151">
        <v>306</v>
      </c>
      <c r="H80" s="152">
        <v>0.19</v>
      </c>
      <c r="I80" s="151">
        <v>364.14</v>
      </c>
      <c r="J80" s="151">
        <v>324</v>
      </c>
      <c r="K80" s="152">
        <v>0.19</v>
      </c>
      <c r="L80" s="151">
        <v>385.56</v>
      </c>
      <c r="M80" s="153">
        <f t="shared" si="0"/>
        <v>361.3633333333334</v>
      </c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</row>
    <row r="81" spans="1:26" ht="15.75" customHeight="1">
      <c r="A81" s="137">
        <v>79</v>
      </c>
      <c r="B81" s="138" t="s">
        <v>352</v>
      </c>
      <c r="C81" s="139" t="s">
        <v>353</v>
      </c>
      <c r="D81" s="140">
        <v>1913</v>
      </c>
      <c r="E81" s="141">
        <v>0.19</v>
      </c>
      <c r="F81" s="142">
        <v>2276.4699999999998</v>
      </c>
      <c r="G81" s="151">
        <v>2085</v>
      </c>
      <c r="H81" s="152">
        <v>0.19</v>
      </c>
      <c r="I81" s="151">
        <v>2481.15</v>
      </c>
      <c r="J81" s="151">
        <v>2210</v>
      </c>
      <c r="K81" s="152">
        <v>0.19</v>
      </c>
      <c r="L81" s="151">
        <v>2629.9</v>
      </c>
      <c r="M81" s="153">
        <f t="shared" si="0"/>
        <v>2462.5066666666667</v>
      </c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</row>
    <row r="82" spans="1:26" ht="15.75" customHeight="1">
      <c r="A82" s="148">
        <v>80</v>
      </c>
      <c r="B82" s="138" t="s">
        <v>354</v>
      </c>
      <c r="C82" s="139" t="s">
        <v>353</v>
      </c>
      <c r="D82" s="140">
        <v>1913</v>
      </c>
      <c r="E82" s="141">
        <v>0.19</v>
      </c>
      <c r="F82" s="142">
        <v>2276.4699999999998</v>
      </c>
      <c r="G82" s="151">
        <v>2085</v>
      </c>
      <c r="H82" s="152">
        <v>0.19</v>
      </c>
      <c r="I82" s="151">
        <v>2481.15</v>
      </c>
      <c r="J82" s="151">
        <v>2210</v>
      </c>
      <c r="K82" s="152">
        <v>0.19</v>
      </c>
      <c r="L82" s="151">
        <v>2629.9</v>
      </c>
      <c r="M82" s="153">
        <f t="shared" si="0"/>
        <v>2462.5066666666667</v>
      </c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</row>
    <row r="83" spans="1:26" ht="15.75" customHeight="1">
      <c r="A83" s="148">
        <v>81</v>
      </c>
      <c r="B83" s="138" t="s">
        <v>355</v>
      </c>
      <c r="C83" s="139" t="s">
        <v>282</v>
      </c>
      <c r="D83" s="140">
        <v>178</v>
      </c>
      <c r="E83" s="141">
        <v>0.19</v>
      </c>
      <c r="F83" s="142">
        <v>211.82</v>
      </c>
      <c r="G83" s="151">
        <v>194</v>
      </c>
      <c r="H83" s="152">
        <v>0.19</v>
      </c>
      <c r="I83" s="151">
        <v>230.86</v>
      </c>
      <c r="J83" s="151">
        <v>206</v>
      </c>
      <c r="K83" s="152">
        <v>0.19</v>
      </c>
      <c r="L83" s="151">
        <v>245.14</v>
      </c>
      <c r="M83" s="153">
        <f t="shared" si="0"/>
        <v>229.27333333333331</v>
      </c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</row>
    <row r="84" spans="1:26" ht="15.75" customHeight="1">
      <c r="A84" s="148">
        <v>82</v>
      </c>
      <c r="B84" s="138" t="s">
        <v>356</v>
      </c>
      <c r="C84" s="139" t="s">
        <v>266</v>
      </c>
      <c r="D84" s="140">
        <v>11698</v>
      </c>
      <c r="E84" s="141">
        <v>0.19</v>
      </c>
      <c r="F84" s="142">
        <v>13920.62</v>
      </c>
      <c r="G84" s="151">
        <v>12751</v>
      </c>
      <c r="H84" s="152">
        <v>0.19</v>
      </c>
      <c r="I84" s="151">
        <v>15173.69</v>
      </c>
      <c r="J84" s="151">
        <v>13516</v>
      </c>
      <c r="K84" s="152">
        <v>0.19</v>
      </c>
      <c r="L84" s="151">
        <v>16084.04</v>
      </c>
      <c r="M84" s="153">
        <f t="shared" si="0"/>
        <v>15059.450000000003</v>
      </c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130"/>
    </row>
    <row r="85" spans="1:26" ht="15.75" customHeight="1">
      <c r="A85" s="137">
        <v>83</v>
      </c>
      <c r="B85" s="138" t="s">
        <v>357</v>
      </c>
      <c r="C85" s="139" t="s">
        <v>293</v>
      </c>
      <c r="D85" s="140">
        <v>1434</v>
      </c>
      <c r="E85" s="141">
        <v>0</v>
      </c>
      <c r="F85" s="142">
        <v>1434</v>
      </c>
      <c r="G85" s="151">
        <v>1563</v>
      </c>
      <c r="H85" s="152">
        <v>0</v>
      </c>
      <c r="I85" s="151">
        <v>1563</v>
      </c>
      <c r="J85" s="151">
        <v>1657</v>
      </c>
      <c r="K85" s="152">
        <v>0</v>
      </c>
      <c r="L85" s="151">
        <v>1657</v>
      </c>
      <c r="M85" s="153">
        <f t="shared" si="0"/>
        <v>1551.3333333333333</v>
      </c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</row>
    <row r="86" spans="1:26" ht="15.75" customHeight="1">
      <c r="A86" s="148">
        <v>84</v>
      </c>
      <c r="B86" s="138" t="s">
        <v>358</v>
      </c>
      <c r="C86" s="139" t="s">
        <v>293</v>
      </c>
      <c r="D86" s="140">
        <v>1965</v>
      </c>
      <c r="E86" s="141">
        <v>0</v>
      </c>
      <c r="F86" s="142">
        <v>1965</v>
      </c>
      <c r="G86" s="151">
        <v>2142</v>
      </c>
      <c r="H86" s="152">
        <v>0</v>
      </c>
      <c r="I86" s="151">
        <v>2142</v>
      </c>
      <c r="J86" s="151">
        <v>2271</v>
      </c>
      <c r="K86" s="152">
        <v>0</v>
      </c>
      <c r="L86" s="151">
        <v>2271</v>
      </c>
      <c r="M86" s="153">
        <f t="shared" si="0"/>
        <v>2126</v>
      </c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</row>
    <row r="87" spans="1:26" ht="15.75" customHeight="1">
      <c r="A87" s="148">
        <v>85</v>
      </c>
      <c r="B87" s="138" t="s">
        <v>359</v>
      </c>
      <c r="C87" s="139" t="s">
        <v>293</v>
      </c>
      <c r="D87" s="140">
        <v>1836</v>
      </c>
      <c r="E87" s="141">
        <v>0</v>
      </c>
      <c r="F87" s="142">
        <v>1836</v>
      </c>
      <c r="G87" s="151">
        <v>2001</v>
      </c>
      <c r="H87" s="152">
        <v>0</v>
      </c>
      <c r="I87" s="151">
        <v>2001</v>
      </c>
      <c r="J87" s="151">
        <v>2121</v>
      </c>
      <c r="K87" s="152">
        <v>0</v>
      </c>
      <c r="L87" s="151">
        <v>2121</v>
      </c>
      <c r="M87" s="153">
        <f t="shared" si="0"/>
        <v>1986</v>
      </c>
      <c r="N87" s="130"/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</row>
    <row r="88" spans="1:26" ht="15.75" customHeight="1">
      <c r="A88" s="148">
        <v>86</v>
      </c>
      <c r="B88" s="138" t="s">
        <v>360</v>
      </c>
      <c r="C88" s="139" t="s">
        <v>293</v>
      </c>
      <c r="D88" s="140">
        <v>2132</v>
      </c>
      <c r="E88" s="141">
        <v>0</v>
      </c>
      <c r="F88" s="142">
        <v>2132</v>
      </c>
      <c r="G88" s="151">
        <v>2324</v>
      </c>
      <c r="H88" s="152">
        <v>0</v>
      </c>
      <c r="I88" s="151">
        <v>2324</v>
      </c>
      <c r="J88" s="151">
        <v>2463</v>
      </c>
      <c r="K88" s="152">
        <v>0</v>
      </c>
      <c r="L88" s="151">
        <v>2463</v>
      </c>
      <c r="M88" s="153">
        <f t="shared" si="0"/>
        <v>2306.3333333333335</v>
      </c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</row>
    <row r="89" spans="1:26" ht="15.75" customHeight="1">
      <c r="A89" s="137">
        <v>87</v>
      </c>
      <c r="B89" s="138" t="s">
        <v>361</v>
      </c>
      <c r="C89" s="139" t="s">
        <v>293</v>
      </c>
      <c r="D89" s="140">
        <v>2527</v>
      </c>
      <c r="E89" s="141">
        <v>0</v>
      </c>
      <c r="F89" s="142">
        <v>2527</v>
      </c>
      <c r="G89" s="151">
        <v>2754</v>
      </c>
      <c r="H89" s="152">
        <v>0</v>
      </c>
      <c r="I89" s="151">
        <v>2754</v>
      </c>
      <c r="J89" s="151">
        <v>2919</v>
      </c>
      <c r="K89" s="152">
        <v>0</v>
      </c>
      <c r="L89" s="151">
        <v>2919</v>
      </c>
      <c r="M89" s="153">
        <f t="shared" si="0"/>
        <v>2733.3333333333335</v>
      </c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</row>
    <row r="90" spans="1:26" ht="15.75" customHeight="1">
      <c r="A90" s="148">
        <v>88</v>
      </c>
      <c r="B90" s="138" t="s">
        <v>362</v>
      </c>
      <c r="C90" s="139" t="s">
        <v>293</v>
      </c>
      <c r="D90" s="140">
        <v>1965</v>
      </c>
      <c r="E90" s="141">
        <v>0</v>
      </c>
      <c r="F90" s="142">
        <v>1965</v>
      </c>
      <c r="G90" s="151">
        <v>2142</v>
      </c>
      <c r="H90" s="152">
        <v>0</v>
      </c>
      <c r="I90" s="151">
        <v>2142</v>
      </c>
      <c r="J90" s="151">
        <v>2271</v>
      </c>
      <c r="K90" s="152">
        <v>0</v>
      </c>
      <c r="L90" s="151">
        <v>2271</v>
      </c>
      <c r="M90" s="153">
        <f t="shared" si="0"/>
        <v>2126</v>
      </c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</row>
    <row r="91" spans="1:26" ht="15.75" customHeight="1">
      <c r="A91" s="148">
        <v>89</v>
      </c>
      <c r="B91" s="138" t="s">
        <v>363</v>
      </c>
      <c r="C91" s="139" t="s">
        <v>293</v>
      </c>
      <c r="D91" s="140">
        <v>1310</v>
      </c>
      <c r="E91" s="141">
        <v>0</v>
      </c>
      <c r="F91" s="142">
        <v>1310</v>
      </c>
      <c r="G91" s="151">
        <v>1428</v>
      </c>
      <c r="H91" s="152">
        <v>0</v>
      </c>
      <c r="I91" s="151">
        <v>1428</v>
      </c>
      <c r="J91" s="151">
        <v>1514</v>
      </c>
      <c r="K91" s="152">
        <v>0</v>
      </c>
      <c r="L91" s="151">
        <v>1514</v>
      </c>
      <c r="M91" s="153">
        <f t="shared" si="0"/>
        <v>1417.3333333333333</v>
      </c>
      <c r="N91" s="130"/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30"/>
    </row>
    <row r="92" spans="1:26" ht="15.75" customHeight="1">
      <c r="A92" s="148">
        <v>90</v>
      </c>
      <c r="B92" s="138" t="s">
        <v>364</v>
      </c>
      <c r="C92" s="139" t="s">
        <v>282</v>
      </c>
      <c r="D92" s="140">
        <v>1965</v>
      </c>
      <c r="E92" s="141">
        <v>0.19</v>
      </c>
      <c r="F92" s="142">
        <v>2338.35</v>
      </c>
      <c r="G92" s="151">
        <v>2142</v>
      </c>
      <c r="H92" s="152">
        <v>0.19</v>
      </c>
      <c r="I92" s="151">
        <v>2548.98</v>
      </c>
      <c r="J92" s="151">
        <v>2271</v>
      </c>
      <c r="K92" s="152">
        <v>0.19</v>
      </c>
      <c r="L92" s="151">
        <v>2702.49</v>
      </c>
      <c r="M92" s="153">
        <f t="shared" si="0"/>
        <v>2529.94</v>
      </c>
      <c r="N92" s="130"/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</row>
    <row r="93" spans="1:26" ht="15.75" customHeight="1">
      <c r="A93" s="137">
        <v>91</v>
      </c>
      <c r="B93" s="138" t="s">
        <v>365</v>
      </c>
      <c r="C93" s="139" t="s">
        <v>255</v>
      </c>
      <c r="D93" s="140">
        <v>79358</v>
      </c>
      <c r="E93" s="141">
        <v>0</v>
      </c>
      <c r="F93" s="142">
        <v>79358</v>
      </c>
      <c r="G93" s="151">
        <v>86500</v>
      </c>
      <c r="H93" s="152">
        <v>0</v>
      </c>
      <c r="I93" s="151">
        <v>86500</v>
      </c>
      <c r="J93" s="151">
        <v>91690</v>
      </c>
      <c r="K93" s="152">
        <v>0</v>
      </c>
      <c r="L93" s="151">
        <v>91690</v>
      </c>
      <c r="M93" s="153">
        <f t="shared" si="0"/>
        <v>85849.333333333328</v>
      </c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</row>
    <row r="94" spans="1:26" ht="15.75" customHeight="1">
      <c r="A94" s="148">
        <v>92</v>
      </c>
      <c r="B94" s="138" t="s">
        <v>366</v>
      </c>
      <c r="C94" s="139" t="s">
        <v>314</v>
      </c>
      <c r="D94" s="140">
        <v>384626</v>
      </c>
      <c r="E94" s="141">
        <v>0</v>
      </c>
      <c r="F94" s="142">
        <v>384626</v>
      </c>
      <c r="G94" s="151">
        <v>419242</v>
      </c>
      <c r="H94" s="152">
        <v>0</v>
      </c>
      <c r="I94" s="151">
        <v>419242</v>
      </c>
      <c r="J94" s="151">
        <v>444397</v>
      </c>
      <c r="K94" s="152">
        <v>0</v>
      </c>
      <c r="L94" s="151">
        <v>444397</v>
      </c>
      <c r="M94" s="153">
        <f t="shared" si="0"/>
        <v>416088.33333333331</v>
      </c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</row>
    <row r="95" spans="1:26" ht="15.75" customHeight="1">
      <c r="A95" s="148">
        <v>93</v>
      </c>
      <c r="B95" s="138" t="s">
        <v>367</v>
      </c>
      <c r="C95" s="139" t="s">
        <v>368</v>
      </c>
      <c r="D95" s="140">
        <v>6005</v>
      </c>
      <c r="E95" s="141">
        <v>0</v>
      </c>
      <c r="F95" s="142">
        <v>6005</v>
      </c>
      <c r="G95" s="151">
        <v>6545</v>
      </c>
      <c r="H95" s="152">
        <v>0</v>
      </c>
      <c r="I95" s="151">
        <v>6545</v>
      </c>
      <c r="J95" s="151">
        <v>6938</v>
      </c>
      <c r="K95" s="152">
        <v>0</v>
      </c>
      <c r="L95" s="151">
        <v>6938</v>
      </c>
      <c r="M95" s="153">
        <f t="shared" si="0"/>
        <v>6496</v>
      </c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</row>
    <row r="96" spans="1:26" ht="15.75" customHeight="1">
      <c r="A96" s="148">
        <v>94</v>
      </c>
      <c r="B96" s="138" t="s">
        <v>369</v>
      </c>
      <c r="C96" s="139" t="s">
        <v>266</v>
      </c>
      <c r="D96" s="140">
        <v>273706</v>
      </c>
      <c r="E96" s="141">
        <v>0.19</v>
      </c>
      <c r="F96" s="142">
        <v>325710.14</v>
      </c>
      <c r="G96" s="151">
        <v>298340</v>
      </c>
      <c r="H96" s="152">
        <v>0.19</v>
      </c>
      <c r="I96" s="151">
        <v>355024.6</v>
      </c>
      <c r="J96" s="151">
        <v>316240</v>
      </c>
      <c r="K96" s="152">
        <v>0.19</v>
      </c>
      <c r="L96" s="151">
        <v>376325.6</v>
      </c>
      <c r="M96" s="153">
        <f t="shared" si="0"/>
        <v>352353.4466666666</v>
      </c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</row>
    <row r="97" spans="1:26" ht="15.75" customHeight="1">
      <c r="A97" s="137">
        <v>95</v>
      </c>
      <c r="B97" s="138" t="s">
        <v>370</v>
      </c>
      <c r="C97" s="139" t="s">
        <v>371</v>
      </c>
      <c r="D97" s="140">
        <v>1684</v>
      </c>
      <c r="E97" s="141">
        <v>0.19</v>
      </c>
      <c r="F97" s="142">
        <v>2003.96</v>
      </c>
      <c r="G97" s="151">
        <v>1836</v>
      </c>
      <c r="H97" s="152">
        <v>0.19</v>
      </c>
      <c r="I97" s="151">
        <v>2184.84</v>
      </c>
      <c r="J97" s="151">
        <v>1946</v>
      </c>
      <c r="K97" s="152">
        <v>0.19</v>
      </c>
      <c r="L97" s="151">
        <v>2315.7399999999998</v>
      </c>
      <c r="M97" s="153">
        <f t="shared" si="0"/>
        <v>2168.1799999999998</v>
      </c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</row>
    <row r="98" spans="1:26" ht="15.75" customHeight="1">
      <c r="A98" s="148">
        <v>96</v>
      </c>
      <c r="B98" s="138" t="s">
        <v>372</v>
      </c>
      <c r="C98" s="139" t="s">
        <v>266</v>
      </c>
      <c r="D98" s="140">
        <v>253610</v>
      </c>
      <c r="E98" s="141">
        <v>0.19</v>
      </c>
      <c r="F98" s="142">
        <v>301795.90000000002</v>
      </c>
      <c r="G98" s="151">
        <v>276435</v>
      </c>
      <c r="H98" s="152">
        <v>0.19</v>
      </c>
      <c r="I98" s="151">
        <v>328957.65000000002</v>
      </c>
      <c r="J98" s="151">
        <v>293021</v>
      </c>
      <c r="K98" s="152">
        <v>0.19</v>
      </c>
      <c r="L98" s="151">
        <v>348694.99</v>
      </c>
      <c r="M98" s="153">
        <f t="shared" si="0"/>
        <v>326482.84666666668</v>
      </c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</row>
    <row r="99" spans="1:26" ht="15.75" customHeight="1">
      <c r="A99" s="148">
        <v>97</v>
      </c>
      <c r="B99" s="138" t="s">
        <v>373</v>
      </c>
      <c r="C99" s="139" t="s">
        <v>266</v>
      </c>
      <c r="D99" s="140">
        <v>52437</v>
      </c>
      <c r="E99" s="141">
        <v>0.19</v>
      </c>
      <c r="F99" s="142">
        <v>62400.03</v>
      </c>
      <c r="G99" s="151">
        <v>57156</v>
      </c>
      <c r="H99" s="152">
        <v>0.19</v>
      </c>
      <c r="I99" s="151">
        <v>68015.64</v>
      </c>
      <c r="J99" s="151">
        <v>60585</v>
      </c>
      <c r="K99" s="152">
        <v>0.19</v>
      </c>
      <c r="L99" s="151">
        <v>72096.149999999994</v>
      </c>
      <c r="M99" s="153">
        <f t="shared" si="0"/>
        <v>67503.939999999988</v>
      </c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</row>
    <row r="100" spans="1:26" ht="15.75" customHeight="1">
      <c r="A100" s="148">
        <v>98</v>
      </c>
      <c r="B100" s="138" t="s">
        <v>374</v>
      </c>
      <c r="C100" s="139" t="s">
        <v>266</v>
      </c>
      <c r="D100" s="140">
        <v>89928</v>
      </c>
      <c r="E100" s="141">
        <v>0.19</v>
      </c>
      <c r="F100" s="142">
        <v>107014.32</v>
      </c>
      <c r="G100" s="151">
        <v>98022</v>
      </c>
      <c r="H100" s="152">
        <v>0.19</v>
      </c>
      <c r="I100" s="151">
        <v>116646.18</v>
      </c>
      <c r="J100" s="151">
        <v>103903</v>
      </c>
      <c r="K100" s="152">
        <v>0.19</v>
      </c>
      <c r="L100" s="151">
        <v>123644.57</v>
      </c>
      <c r="M100" s="153">
        <f t="shared" si="0"/>
        <v>115768.35666666667</v>
      </c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</row>
    <row r="101" spans="1:26" ht="15.75" customHeight="1">
      <c r="A101" s="137">
        <v>99</v>
      </c>
      <c r="B101" s="138" t="s">
        <v>375</v>
      </c>
      <c r="C101" s="139" t="s">
        <v>266</v>
      </c>
      <c r="D101" s="140">
        <v>113044</v>
      </c>
      <c r="E101" s="141">
        <v>0.19</v>
      </c>
      <c r="F101" s="142">
        <v>134522.35999999999</v>
      </c>
      <c r="G101" s="151">
        <v>123218</v>
      </c>
      <c r="H101" s="152">
        <v>0.19</v>
      </c>
      <c r="I101" s="151">
        <v>146629.42000000001</v>
      </c>
      <c r="J101" s="151">
        <v>130611</v>
      </c>
      <c r="K101" s="152">
        <v>0.19</v>
      </c>
      <c r="L101" s="151">
        <v>155427.09</v>
      </c>
      <c r="M101" s="153">
        <f t="shared" si="0"/>
        <v>145526.29</v>
      </c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</row>
    <row r="102" spans="1:26" ht="15.75" customHeight="1">
      <c r="A102" s="148">
        <v>100</v>
      </c>
      <c r="B102" s="138" t="s">
        <v>376</v>
      </c>
      <c r="C102" s="139" t="s">
        <v>377</v>
      </c>
      <c r="D102" s="140">
        <v>13476</v>
      </c>
      <c r="E102" s="141">
        <v>0.19</v>
      </c>
      <c r="F102" s="142">
        <v>16036.44</v>
      </c>
      <c r="G102" s="151">
        <v>14689</v>
      </c>
      <c r="H102" s="152">
        <v>0.19</v>
      </c>
      <c r="I102" s="151">
        <v>17479.91</v>
      </c>
      <c r="J102" s="151">
        <v>15570</v>
      </c>
      <c r="K102" s="152">
        <v>0.19</v>
      </c>
      <c r="L102" s="151">
        <v>18528.3</v>
      </c>
      <c r="M102" s="153">
        <f t="shared" si="0"/>
        <v>17348.216666666667</v>
      </c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</row>
    <row r="103" spans="1:26" ht="15.75" customHeight="1">
      <c r="A103" s="148">
        <v>101</v>
      </c>
      <c r="B103" s="138" t="s">
        <v>378</v>
      </c>
      <c r="C103" s="139" t="s">
        <v>325</v>
      </c>
      <c r="D103" s="140">
        <v>374</v>
      </c>
      <c r="E103" s="141">
        <v>0.19</v>
      </c>
      <c r="F103" s="142">
        <v>445.06</v>
      </c>
      <c r="G103" s="151">
        <v>408</v>
      </c>
      <c r="H103" s="152">
        <v>0.19</v>
      </c>
      <c r="I103" s="151">
        <v>485.52</v>
      </c>
      <c r="J103" s="151">
        <v>432</v>
      </c>
      <c r="K103" s="152">
        <v>0.19</v>
      </c>
      <c r="L103" s="151">
        <v>514.08000000000004</v>
      </c>
      <c r="M103" s="153">
        <f t="shared" si="0"/>
        <v>481.55333333333334</v>
      </c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</row>
    <row r="104" spans="1:26" ht="15.75" customHeight="1">
      <c r="A104" s="148">
        <v>102</v>
      </c>
      <c r="B104" s="138" t="s">
        <v>379</v>
      </c>
      <c r="C104" s="139" t="s">
        <v>293</v>
      </c>
      <c r="D104" s="140">
        <v>89840</v>
      </c>
      <c r="E104" s="141">
        <v>0</v>
      </c>
      <c r="F104" s="142">
        <v>89840</v>
      </c>
      <c r="G104" s="151">
        <v>97926</v>
      </c>
      <c r="H104" s="152">
        <v>0</v>
      </c>
      <c r="I104" s="151">
        <v>97926</v>
      </c>
      <c r="J104" s="151">
        <v>103802</v>
      </c>
      <c r="K104" s="152">
        <v>0</v>
      </c>
      <c r="L104" s="151">
        <v>103802</v>
      </c>
      <c r="M104" s="153">
        <f t="shared" si="0"/>
        <v>97189.333333333328</v>
      </c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</row>
    <row r="105" spans="1:26" ht="15.75" customHeight="1">
      <c r="A105" s="137">
        <v>103</v>
      </c>
      <c r="B105" s="138" t="s">
        <v>380</v>
      </c>
      <c r="C105" s="139" t="s">
        <v>381</v>
      </c>
      <c r="D105" s="140">
        <v>122032</v>
      </c>
      <c r="E105" s="141">
        <v>0.19</v>
      </c>
      <c r="F105" s="142">
        <v>145218.07999999999</v>
      </c>
      <c r="G105" s="151">
        <v>133015</v>
      </c>
      <c r="H105" s="152">
        <v>0.19</v>
      </c>
      <c r="I105" s="151">
        <v>158287.85</v>
      </c>
      <c r="J105" s="151">
        <v>140996</v>
      </c>
      <c r="K105" s="152">
        <v>0.19</v>
      </c>
      <c r="L105" s="151">
        <v>167785.24</v>
      </c>
      <c r="M105" s="153">
        <f t="shared" si="0"/>
        <v>157097.05666666664</v>
      </c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</row>
    <row r="106" spans="1:26" ht="15.75" customHeight="1">
      <c r="A106" s="148">
        <v>104</v>
      </c>
      <c r="B106" s="138" t="s">
        <v>382</v>
      </c>
      <c r="C106" s="139" t="s">
        <v>266</v>
      </c>
      <c r="D106" s="140">
        <v>142620</v>
      </c>
      <c r="E106" s="141">
        <v>0.19</v>
      </c>
      <c r="F106" s="142">
        <v>169717.8</v>
      </c>
      <c r="G106" s="151">
        <v>155456</v>
      </c>
      <c r="H106" s="152">
        <v>0.19</v>
      </c>
      <c r="I106" s="151">
        <v>184992.64000000001</v>
      </c>
      <c r="J106" s="151">
        <v>164783</v>
      </c>
      <c r="K106" s="152">
        <v>0.19</v>
      </c>
      <c r="L106" s="151">
        <v>196091.77</v>
      </c>
      <c r="M106" s="153">
        <f t="shared" si="0"/>
        <v>183600.73666666666</v>
      </c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</row>
    <row r="107" spans="1:26" ht="15.75" customHeight="1">
      <c r="A107" s="148">
        <v>105</v>
      </c>
      <c r="B107" s="138" t="s">
        <v>383</v>
      </c>
      <c r="C107" s="139" t="s">
        <v>384</v>
      </c>
      <c r="D107" s="140">
        <v>175468</v>
      </c>
      <c r="E107" s="141">
        <v>0.19</v>
      </c>
      <c r="F107" s="142">
        <v>208806.92</v>
      </c>
      <c r="G107" s="151">
        <v>191260</v>
      </c>
      <c r="H107" s="152">
        <v>0.19</v>
      </c>
      <c r="I107" s="151">
        <v>227599.4</v>
      </c>
      <c r="J107" s="151">
        <v>202736</v>
      </c>
      <c r="K107" s="152">
        <v>0.19</v>
      </c>
      <c r="L107" s="151">
        <v>241255.84</v>
      </c>
      <c r="M107" s="153">
        <f t="shared" si="0"/>
        <v>225887.38666666669</v>
      </c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</row>
    <row r="108" spans="1:26" ht="15.75" customHeight="1">
      <c r="A108" s="137">
        <v>106</v>
      </c>
      <c r="B108" s="138" t="s">
        <v>385</v>
      </c>
      <c r="C108" s="139" t="s">
        <v>386</v>
      </c>
      <c r="D108" s="140">
        <v>3650</v>
      </c>
      <c r="E108" s="141">
        <v>0</v>
      </c>
      <c r="F108" s="142">
        <v>3650</v>
      </c>
      <c r="G108" s="151">
        <v>3979</v>
      </c>
      <c r="H108" s="152">
        <v>0</v>
      </c>
      <c r="I108" s="151">
        <v>3979</v>
      </c>
      <c r="J108" s="151">
        <v>4218</v>
      </c>
      <c r="K108" s="152">
        <v>0</v>
      </c>
      <c r="L108" s="151">
        <v>4218</v>
      </c>
      <c r="M108" s="153">
        <f t="shared" si="0"/>
        <v>3949</v>
      </c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</row>
    <row r="109" spans="1:26" ht="15.75" customHeight="1">
      <c r="A109" s="148">
        <v>107</v>
      </c>
      <c r="B109" s="138" t="s">
        <v>387</v>
      </c>
      <c r="C109" s="139" t="s">
        <v>388</v>
      </c>
      <c r="D109" s="140">
        <v>5338</v>
      </c>
      <c r="E109" s="141">
        <v>0</v>
      </c>
      <c r="F109" s="142">
        <v>5338</v>
      </c>
      <c r="G109" s="151">
        <v>5818</v>
      </c>
      <c r="H109" s="152">
        <v>0</v>
      </c>
      <c r="I109" s="151">
        <v>5818</v>
      </c>
      <c r="J109" s="151">
        <v>6167</v>
      </c>
      <c r="K109" s="152">
        <v>0</v>
      </c>
      <c r="L109" s="151">
        <v>6167</v>
      </c>
      <c r="M109" s="153">
        <f t="shared" si="0"/>
        <v>5774.333333333333</v>
      </c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</row>
    <row r="110" spans="1:26" ht="15.75" customHeight="1">
      <c r="A110" s="148">
        <v>108</v>
      </c>
      <c r="B110" s="138" t="s">
        <v>389</v>
      </c>
      <c r="C110" s="139" t="s">
        <v>390</v>
      </c>
      <c r="D110" s="140">
        <v>4580</v>
      </c>
      <c r="E110" s="141">
        <v>0</v>
      </c>
      <c r="F110" s="142">
        <v>4580</v>
      </c>
      <c r="G110" s="151">
        <v>4992</v>
      </c>
      <c r="H110" s="152">
        <v>0</v>
      </c>
      <c r="I110" s="151">
        <v>4992</v>
      </c>
      <c r="J110" s="151">
        <v>5292</v>
      </c>
      <c r="K110" s="152">
        <v>0</v>
      </c>
      <c r="L110" s="151">
        <v>5292</v>
      </c>
      <c r="M110" s="153">
        <f t="shared" si="0"/>
        <v>4954.666666666667</v>
      </c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</row>
    <row r="111" spans="1:26" ht="15.75" customHeight="1">
      <c r="A111" s="148">
        <v>109</v>
      </c>
      <c r="B111" s="138" t="s">
        <v>391</v>
      </c>
      <c r="C111" s="139" t="s">
        <v>392</v>
      </c>
      <c r="D111" s="140">
        <v>13863</v>
      </c>
      <c r="E111" s="141">
        <v>0</v>
      </c>
      <c r="F111" s="142">
        <v>13863</v>
      </c>
      <c r="G111" s="151">
        <v>15111</v>
      </c>
      <c r="H111" s="152">
        <v>0</v>
      </c>
      <c r="I111" s="151">
        <v>15111</v>
      </c>
      <c r="J111" s="151">
        <v>16018</v>
      </c>
      <c r="K111" s="152">
        <v>0</v>
      </c>
      <c r="L111" s="151">
        <v>16018</v>
      </c>
      <c r="M111" s="153">
        <f t="shared" si="0"/>
        <v>14997.333333333334</v>
      </c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</row>
    <row r="112" spans="1:26" ht="15.75" customHeight="1">
      <c r="A112" s="137">
        <v>110</v>
      </c>
      <c r="B112" s="138" t="s">
        <v>393</v>
      </c>
      <c r="C112" s="139" t="s">
        <v>390</v>
      </c>
      <c r="D112" s="140">
        <v>5709</v>
      </c>
      <c r="E112" s="141">
        <v>0</v>
      </c>
      <c r="F112" s="142">
        <v>5709</v>
      </c>
      <c r="G112" s="151">
        <v>6223</v>
      </c>
      <c r="H112" s="152">
        <v>0</v>
      </c>
      <c r="I112" s="151">
        <v>6223</v>
      </c>
      <c r="J112" s="151">
        <v>6596</v>
      </c>
      <c r="K112" s="152">
        <v>0</v>
      </c>
      <c r="L112" s="151">
        <v>6596</v>
      </c>
      <c r="M112" s="153">
        <f t="shared" si="0"/>
        <v>6176</v>
      </c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</row>
    <row r="113" spans="1:26" ht="15.75" customHeight="1">
      <c r="A113" s="148">
        <v>111</v>
      </c>
      <c r="B113" s="138" t="s">
        <v>394</v>
      </c>
      <c r="C113" s="139" t="s">
        <v>395</v>
      </c>
      <c r="D113" s="140">
        <v>40241</v>
      </c>
      <c r="E113" s="141">
        <v>0</v>
      </c>
      <c r="F113" s="142">
        <v>40241</v>
      </c>
      <c r="G113" s="151">
        <v>43863</v>
      </c>
      <c r="H113" s="152">
        <v>0</v>
      </c>
      <c r="I113" s="151">
        <v>43863</v>
      </c>
      <c r="J113" s="151">
        <v>46495</v>
      </c>
      <c r="K113" s="152">
        <v>0</v>
      </c>
      <c r="L113" s="151">
        <v>46495</v>
      </c>
      <c r="M113" s="153">
        <f t="shared" si="0"/>
        <v>43533</v>
      </c>
      <c r="N113" s="130"/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</row>
    <row r="114" spans="1:26" ht="15.75" customHeight="1">
      <c r="A114" s="148">
        <v>112</v>
      </c>
      <c r="B114" s="138" t="s">
        <v>396</v>
      </c>
      <c r="C114" s="139" t="s">
        <v>293</v>
      </c>
      <c r="D114" s="140">
        <v>1029</v>
      </c>
      <c r="E114" s="141">
        <v>0</v>
      </c>
      <c r="F114" s="142">
        <v>1029</v>
      </c>
      <c r="G114" s="151">
        <v>1122</v>
      </c>
      <c r="H114" s="152">
        <v>0</v>
      </c>
      <c r="I114" s="151">
        <v>1122</v>
      </c>
      <c r="J114" s="151">
        <v>1189</v>
      </c>
      <c r="K114" s="152">
        <v>0</v>
      </c>
      <c r="L114" s="151">
        <v>1189</v>
      </c>
      <c r="M114" s="153">
        <f t="shared" si="0"/>
        <v>1113.3333333333333</v>
      </c>
      <c r="N114" s="130"/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</row>
    <row r="115" spans="1:26" ht="15.75" customHeight="1">
      <c r="A115" s="148">
        <v>113</v>
      </c>
      <c r="B115" s="138" t="s">
        <v>397</v>
      </c>
      <c r="C115" s="139" t="s">
        <v>293</v>
      </c>
      <c r="D115" s="140">
        <v>1123</v>
      </c>
      <c r="E115" s="141">
        <v>0</v>
      </c>
      <c r="F115" s="142">
        <v>1123</v>
      </c>
      <c r="G115" s="151">
        <v>1224</v>
      </c>
      <c r="H115" s="152">
        <v>0</v>
      </c>
      <c r="I115" s="151">
        <v>1224</v>
      </c>
      <c r="J115" s="151">
        <v>1297</v>
      </c>
      <c r="K115" s="152">
        <v>0</v>
      </c>
      <c r="L115" s="151">
        <v>1297</v>
      </c>
      <c r="M115" s="153">
        <f t="shared" si="0"/>
        <v>1214.6666666666667</v>
      </c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</row>
    <row r="116" spans="1:26" ht="15.75" customHeight="1">
      <c r="A116" s="137">
        <v>114</v>
      </c>
      <c r="B116" s="138" t="s">
        <v>398</v>
      </c>
      <c r="C116" s="139" t="s">
        <v>293</v>
      </c>
      <c r="D116" s="140">
        <v>1310</v>
      </c>
      <c r="E116" s="141">
        <v>0</v>
      </c>
      <c r="F116" s="142">
        <v>1310</v>
      </c>
      <c r="G116" s="151">
        <v>1428</v>
      </c>
      <c r="H116" s="152">
        <v>0</v>
      </c>
      <c r="I116" s="151">
        <v>1428</v>
      </c>
      <c r="J116" s="151">
        <v>1514</v>
      </c>
      <c r="K116" s="152">
        <v>0</v>
      </c>
      <c r="L116" s="151">
        <v>1514</v>
      </c>
      <c r="M116" s="153">
        <f t="shared" si="0"/>
        <v>1417.3333333333333</v>
      </c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</row>
    <row r="117" spans="1:26" ht="15.75" customHeight="1">
      <c r="A117" s="148">
        <v>115</v>
      </c>
      <c r="B117" s="138" t="s">
        <v>399</v>
      </c>
      <c r="C117" s="139" t="s">
        <v>293</v>
      </c>
      <c r="D117" s="140">
        <v>1591</v>
      </c>
      <c r="E117" s="141">
        <v>0</v>
      </c>
      <c r="F117" s="142">
        <v>1591</v>
      </c>
      <c r="G117" s="151">
        <v>1734</v>
      </c>
      <c r="H117" s="152">
        <v>0</v>
      </c>
      <c r="I117" s="151">
        <v>1734</v>
      </c>
      <c r="J117" s="151">
        <v>1838</v>
      </c>
      <c r="K117" s="152">
        <v>0</v>
      </c>
      <c r="L117" s="151">
        <v>1838</v>
      </c>
      <c r="M117" s="153">
        <f t="shared" si="0"/>
        <v>1721</v>
      </c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</row>
    <row r="118" spans="1:26" ht="15.75" customHeight="1">
      <c r="A118" s="148">
        <v>116</v>
      </c>
      <c r="B118" s="138" t="s">
        <v>400</v>
      </c>
      <c r="C118" s="139" t="s">
        <v>293</v>
      </c>
      <c r="D118" s="140">
        <v>1684</v>
      </c>
      <c r="E118" s="141">
        <v>0</v>
      </c>
      <c r="F118" s="142">
        <v>1684</v>
      </c>
      <c r="G118" s="151">
        <v>1836</v>
      </c>
      <c r="H118" s="152">
        <v>0</v>
      </c>
      <c r="I118" s="151">
        <v>1836</v>
      </c>
      <c r="J118" s="151">
        <v>1946</v>
      </c>
      <c r="K118" s="152">
        <v>0</v>
      </c>
      <c r="L118" s="151">
        <v>1946</v>
      </c>
      <c r="M118" s="153">
        <f t="shared" si="0"/>
        <v>1822</v>
      </c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</row>
    <row r="119" spans="1:26" ht="15.75" customHeight="1">
      <c r="A119" s="148">
        <v>117</v>
      </c>
      <c r="B119" s="138" t="s">
        <v>401</v>
      </c>
      <c r="C119" s="139" t="s">
        <v>293</v>
      </c>
      <c r="D119" s="140">
        <v>1029</v>
      </c>
      <c r="E119" s="141">
        <v>0</v>
      </c>
      <c r="F119" s="142">
        <v>1029</v>
      </c>
      <c r="G119" s="151">
        <v>1122</v>
      </c>
      <c r="H119" s="152">
        <v>0</v>
      </c>
      <c r="I119" s="151">
        <v>1122</v>
      </c>
      <c r="J119" s="151">
        <v>1189</v>
      </c>
      <c r="K119" s="152">
        <v>0</v>
      </c>
      <c r="L119" s="151">
        <v>1189</v>
      </c>
      <c r="M119" s="153">
        <f t="shared" si="0"/>
        <v>1113.3333333333333</v>
      </c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</row>
    <row r="120" spans="1:26" ht="15.75" customHeight="1">
      <c r="A120" s="137">
        <v>118</v>
      </c>
      <c r="B120" s="138" t="s">
        <v>402</v>
      </c>
      <c r="C120" s="139" t="s">
        <v>293</v>
      </c>
      <c r="D120" s="140">
        <v>1029</v>
      </c>
      <c r="E120" s="141">
        <v>0</v>
      </c>
      <c r="F120" s="142">
        <v>1029</v>
      </c>
      <c r="G120" s="151">
        <v>1122</v>
      </c>
      <c r="H120" s="152">
        <v>0</v>
      </c>
      <c r="I120" s="151">
        <v>1122</v>
      </c>
      <c r="J120" s="151">
        <v>1189</v>
      </c>
      <c r="K120" s="152">
        <v>0</v>
      </c>
      <c r="L120" s="151">
        <v>1189</v>
      </c>
      <c r="M120" s="153">
        <f t="shared" si="0"/>
        <v>1113.3333333333333</v>
      </c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</row>
    <row r="121" spans="1:26" ht="15.75" customHeight="1">
      <c r="A121" s="148">
        <v>119</v>
      </c>
      <c r="B121" s="138" t="s">
        <v>403</v>
      </c>
      <c r="C121" s="139" t="s">
        <v>266</v>
      </c>
      <c r="D121" s="140">
        <v>32398</v>
      </c>
      <c r="E121" s="141">
        <v>0</v>
      </c>
      <c r="F121" s="142">
        <v>32398</v>
      </c>
      <c r="G121" s="151">
        <v>35314</v>
      </c>
      <c r="H121" s="152">
        <v>0</v>
      </c>
      <c r="I121" s="151">
        <v>35314</v>
      </c>
      <c r="J121" s="151">
        <v>37433</v>
      </c>
      <c r="K121" s="152">
        <v>0</v>
      </c>
      <c r="L121" s="151">
        <v>37433</v>
      </c>
      <c r="M121" s="153">
        <f t="shared" si="0"/>
        <v>35048.333333333336</v>
      </c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</row>
    <row r="122" spans="1:26" ht="15.75" customHeight="1">
      <c r="A122" s="148">
        <v>120</v>
      </c>
      <c r="B122" s="138" t="s">
        <v>404</v>
      </c>
      <c r="C122" s="139" t="s">
        <v>405</v>
      </c>
      <c r="D122" s="140">
        <v>28779</v>
      </c>
      <c r="E122" s="141">
        <v>0</v>
      </c>
      <c r="F122" s="142">
        <v>28779</v>
      </c>
      <c r="G122" s="151">
        <v>31369</v>
      </c>
      <c r="H122" s="152">
        <v>0</v>
      </c>
      <c r="I122" s="151">
        <v>31369</v>
      </c>
      <c r="J122" s="151">
        <v>33251</v>
      </c>
      <c r="K122" s="152">
        <v>0</v>
      </c>
      <c r="L122" s="151">
        <v>33251</v>
      </c>
      <c r="M122" s="153">
        <f t="shared" si="0"/>
        <v>31133</v>
      </c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</row>
    <row r="123" spans="1:26" ht="15.75" customHeight="1">
      <c r="A123" s="148">
        <v>121</v>
      </c>
      <c r="B123" s="138" t="s">
        <v>406</v>
      </c>
      <c r="C123" s="139" t="s">
        <v>368</v>
      </c>
      <c r="D123" s="140">
        <v>12648</v>
      </c>
      <c r="E123" s="141">
        <v>0</v>
      </c>
      <c r="F123" s="142">
        <v>12648</v>
      </c>
      <c r="G123" s="151">
        <v>13786</v>
      </c>
      <c r="H123" s="152">
        <v>0</v>
      </c>
      <c r="I123" s="151">
        <v>13786</v>
      </c>
      <c r="J123" s="151">
        <v>14613</v>
      </c>
      <c r="K123" s="152">
        <v>0</v>
      </c>
      <c r="L123" s="151">
        <v>14613</v>
      </c>
      <c r="M123" s="153">
        <f t="shared" si="0"/>
        <v>13682.333333333334</v>
      </c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</row>
    <row r="124" spans="1:26" ht="15.75" customHeight="1">
      <c r="A124" s="137">
        <v>122</v>
      </c>
      <c r="B124" s="138" t="s">
        <v>407</v>
      </c>
      <c r="C124" s="139" t="s">
        <v>266</v>
      </c>
      <c r="D124" s="140">
        <v>17313</v>
      </c>
      <c r="E124" s="141">
        <v>0</v>
      </c>
      <c r="F124" s="142">
        <v>17313</v>
      </c>
      <c r="G124" s="151">
        <v>18871</v>
      </c>
      <c r="H124" s="152">
        <v>0</v>
      </c>
      <c r="I124" s="151">
        <v>18871</v>
      </c>
      <c r="J124" s="151">
        <v>20003</v>
      </c>
      <c r="K124" s="152">
        <v>0</v>
      </c>
      <c r="L124" s="151">
        <v>20003</v>
      </c>
      <c r="M124" s="153">
        <f t="shared" si="0"/>
        <v>18729</v>
      </c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</row>
    <row r="125" spans="1:26" ht="15.75" customHeight="1">
      <c r="A125" s="148">
        <v>123</v>
      </c>
      <c r="B125" s="138" t="s">
        <v>408</v>
      </c>
      <c r="C125" s="139" t="s">
        <v>266</v>
      </c>
      <c r="D125" s="140">
        <v>17313</v>
      </c>
      <c r="E125" s="141">
        <v>0</v>
      </c>
      <c r="F125" s="142">
        <v>17313</v>
      </c>
      <c r="G125" s="151">
        <v>18871</v>
      </c>
      <c r="H125" s="152">
        <v>0</v>
      </c>
      <c r="I125" s="151">
        <v>18871</v>
      </c>
      <c r="J125" s="151">
        <v>20003</v>
      </c>
      <c r="K125" s="152">
        <v>0</v>
      </c>
      <c r="L125" s="151">
        <v>20003</v>
      </c>
      <c r="M125" s="153">
        <f t="shared" si="0"/>
        <v>18729</v>
      </c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</row>
    <row r="126" spans="1:26" ht="15.75" customHeight="1">
      <c r="A126" s="148">
        <v>124</v>
      </c>
      <c r="B126" s="138" t="s">
        <v>409</v>
      </c>
      <c r="C126" s="139" t="s">
        <v>405</v>
      </c>
      <c r="D126" s="140">
        <v>28779</v>
      </c>
      <c r="E126" s="141">
        <v>0</v>
      </c>
      <c r="F126" s="142">
        <v>28779</v>
      </c>
      <c r="G126" s="151">
        <v>31369</v>
      </c>
      <c r="H126" s="152">
        <v>0</v>
      </c>
      <c r="I126" s="151">
        <v>31369</v>
      </c>
      <c r="J126" s="151">
        <v>33251</v>
      </c>
      <c r="K126" s="152">
        <v>0</v>
      </c>
      <c r="L126" s="151">
        <v>33251</v>
      </c>
      <c r="M126" s="153">
        <f t="shared" si="0"/>
        <v>31133</v>
      </c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</row>
    <row r="127" spans="1:26" ht="15.75" customHeight="1">
      <c r="A127" s="148">
        <v>125</v>
      </c>
      <c r="B127" s="138" t="s">
        <v>410</v>
      </c>
      <c r="C127" s="139" t="s">
        <v>368</v>
      </c>
      <c r="D127" s="140">
        <v>29123</v>
      </c>
      <c r="E127" s="141">
        <v>0</v>
      </c>
      <c r="F127" s="142">
        <v>29123</v>
      </c>
      <c r="G127" s="151">
        <v>31744</v>
      </c>
      <c r="H127" s="152">
        <v>0</v>
      </c>
      <c r="I127" s="151">
        <v>31744</v>
      </c>
      <c r="J127" s="151">
        <v>33649</v>
      </c>
      <c r="K127" s="152">
        <v>0</v>
      </c>
      <c r="L127" s="151">
        <v>33649</v>
      </c>
      <c r="M127" s="153">
        <f t="shared" si="0"/>
        <v>31505.333333333332</v>
      </c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</row>
    <row r="128" spans="1:26" ht="15.75" customHeight="1">
      <c r="A128" s="137">
        <v>126</v>
      </c>
      <c r="B128" s="138" t="s">
        <v>411</v>
      </c>
      <c r="C128" s="139" t="s">
        <v>266</v>
      </c>
      <c r="D128" s="140">
        <v>19278</v>
      </c>
      <c r="E128" s="141">
        <v>0</v>
      </c>
      <c r="F128" s="142">
        <v>19278</v>
      </c>
      <c r="G128" s="151">
        <v>21013</v>
      </c>
      <c r="H128" s="152">
        <v>0</v>
      </c>
      <c r="I128" s="151">
        <v>21013</v>
      </c>
      <c r="J128" s="151">
        <v>22274</v>
      </c>
      <c r="K128" s="152">
        <v>0</v>
      </c>
      <c r="L128" s="151">
        <v>22274</v>
      </c>
      <c r="M128" s="153">
        <f t="shared" si="0"/>
        <v>20855</v>
      </c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</row>
    <row r="129" spans="1:26" ht="15.75" customHeight="1">
      <c r="A129" s="148">
        <v>127</v>
      </c>
      <c r="B129" s="138" t="s">
        <v>412</v>
      </c>
      <c r="C129" s="139" t="s">
        <v>266</v>
      </c>
      <c r="D129" s="140">
        <v>19278</v>
      </c>
      <c r="E129" s="141">
        <v>0</v>
      </c>
      <c r="F129" s="142">
        <v>19278</v>
      </c>
      <c r="G129" s="151">
        <v>21013</v>
      </c>
      <c r="H129" s="152">
        <v>0</v>
      </c>
      <c r="I129" s="151">
        <v>21013</v>
      </c>
      <c r="J129" s="151">
        <v>22274</v>
      </c>
      <c r="K129" s="152">
        <v>0</v>
      </c>
      <c r="L129" s="151">
        <v>22274</v>
      </c>
      <c r="M129" s="153">
        <f t="shared" si="0"/>
        <v>20855</v>
      </c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</row>
    <row r="130" spans="1:26" ht="15.75" customHeight="1">
      <c r="A130" s="148">
        <v>128</v>
      </c>
      <c r="B130" s="138" t="s">
        <v>413</v>
      </c>
      <c r="C130" s="139" t="s">
        <v>266</v>
      </c>
      <c r="D130" s="140">
        <v>18623</v>
      </c>
      <c r="E130" s="141">
        <v>0</v>
      </c>
      <c r="F130" s="142">
        <v>18623</v>
      </c>
      <c r="G130" s="151">
        <v>20299</v>
      </c>
      <c r="H130" s="152">
        <v>0</v>
      </c>
      <c r="I130" s="151">
        <v>20299</v>
      </c>
      <c r="J130" s="151">
        <v>21517</v>
      </c>
      <c r="K130" s="152">
        <v>0</v>
      </c>
      <c r="L130" s="151">
        <v>21517</v>
      </c>
      <c r="M130" s="153">
        <f t="shared" si="0"/>
        <v>20146.333333333332</v>
      </c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</row>
    <row r="131" spans="1:26" ht="15.75" customHeight="1">
      <c r="A131" s="148">
        <v>129</v>
      </c>
      <c r="B131" s="138" t="s">
        <v>414</v>
      </c>
      <c r="C131" s="139" t="s">
        <v>266</v>
      </c>
      <c r="D131" s="140">
        <v>18623</v>
      </c>
      <c r="E131" s="141">
        <v>0</v>
      </c>
      <c r="F131" s="142">
        <v>18623</v>
      </c>
      <c r="G131" s="151">
        <v>20299</v>
      </c>
      <c r="H131" s="152">
        <v>0</v>
      </c>
      <c r="I131" s="151">
        <v>20299</v>
      </c>
      <c r="J131" s="151">
        <v>21517</v>
      </c>
      <c r="K131" s="152">
        <v>0</v>
      </c>
      <c r="L131" s="151">
        <v>21517</v>
      </c>
      <c r="M131" s="153">
        <f t="shared" si="0"/>
        <v>20146.333333333332</v>
      </c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</row>
    <row r="132" spans="1:26" ht="15.75" customHeight="1">
      <c r="A132" s="137">
        <v>130</v>
      </c>
      <c r="B132" s="138" t="s">
        <v>415</v>
      </c>
      <c r="C132" s="139" t="s">
        <v>266</v>
      </c>
      <c r="D132" s="140">
        <v>18623</v>
      </c>
      <c r="E132" s="141">
        <v>0</v>
      </c>
      <c r="F132" s="142">
        <v>18623</v>
      </c>
      <c r="G132" s="151">
        <v>20299</v>
      </c>
      <c r="H132" s="152">
        <v>0</v>
      </c>
      <c r="I132" s="151">
        <v>20299</v>
      </c>
      <c r="J132" s="151">
        <v>21517</v>
      </c>
      <c r="K132" s="152">
        <v>0</v>
      </c>
      <c r="L132" s="151">
        <v>21517</v>
      </c>
      <c r="M132" s="153">
        <f t="shared" si="0"/>
        <v>20146.333333333332</v>
      </c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</row>
    <row r="133" spans="1:26" ht="15.75" customHeight="1">
      <c r="A133" s="148">
        <v>131</v>
      </c>
      <c r="B133" s="138" t="s">
        <v>416</v>
      </c>
      <c r="C133" s="139" t="s">
        <v>266</v>
      </c>
      <c r="D133" s="140">
        <v>18623</v>
      </c>
      <c r="E133" s="141">
        <v>0</v>
      </c>
      <c r="F133" s="142">
        <v>18623</v>
      </c>
      <c r="G133" s="151">
        <v>20299</v>
      </c>
      <c r="H133" s="152">
        <v>0</v>
      </c>
      <c r="I133" s="151">
        <v>20299</v>
      </c>
      <c r="J133" s="151">
        <v>21517</v>
      </c>
      <c r="K133" s="152">
        <v>0</v>
      </c>
      <c r="L133" s="151">
        <v>21517</v>
      </c>
      <c r="M133" s="153">
        <f t="shared" si="0"/>
        <v>20146.333333333332</v>
      </c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</row>
    <row r="134" spans="1:26" ht="15.75" customHeight="1">
      <c r="A134" s="148">
        <v>132</v>
      </c>
      <c r="B134" s="138" t="s">
        <v>417</v>
      </c>
      <c r="C134" s="139" t="s">
        <v>266</v>
      </c>
      <c r="D134" s="140">
        <v>18623</v>
      </c>
      <c r="E134" s="141">
        <v>0</v>
      </c>
      <c r="F134" s="142">
        <v>18623</v>
      </c>
      <c r="G134" s="151">
        <v>20299</v>
      </c>
      <c r="H134" s="152">
        <v>0</v>
      </c>
      <c r="I134" s="151">
        <v>20299</v>
      </c>
      <c r="J134" s="151">
        <v>21517</v>
      </c>
      <c r="K134" s="152">
        <v>0</v>
      </c>
      <c r="L134" s="151">
        <v>21517</v>
      </c>
      <c r="M134" s="153">
        <f t="shared" si="0"/>
        <v>20146.333333333332</v>
      </c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</row>
    <row r="135" spans="1:26" ht="15.75" customHeight="1">
      <c r="A135" s="148">
        <v>133</v>
      </c>
      <c r="B135" s="138" t="s">
        <v>418</v>
      </c>
      <c r="C135" s="139" t="s">
        <v>266</v>
      </c>
      <c r="D135" s="140">
        <v>18623</v>
      </c>
      <c r="E135" s="141">
        <v>0</v>
      </c>
      <c r="F135" s="142">
        <v>18623</v>
      </c>
      <c r="G135" s="151">
        <v>20299</v>
      </c>
      <c r="H135" s="152">
        <v>0</v>
      </c>
      <c r="I135" s="151">
        <v>20299</v>
      </c>
      <c r="J135" s="151">
        <v>21517</v>
      </c>
      <c r="K135" s="152">
        <v>0</v>
      </c>
      <c r="L135" s="151">
        <v>21517</v>
      </c>
      <c r="M135" s="153">
        <f t="shared" si="0"/>
        <v>20146.333333333332</v>
      </c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</row>
    <row r="136" spans="1:26" ht="15.75" customHeight="1">
      <c r="A136" s="137">
        <v>134</v>
      </c>
      <c r="B136" s="138" t="s">
        <v>419</v>
      </c>
      <c r="C136" s="139" t="s">
        <v>420</v>
      </c>
      <c r="D136" s="140">
        <v>240</v>
      </c>
      <c r="E136" s="141">
        <v>0.19</v>
      </c>
      <c r="F136" s="142">
        <v>285.60000000000002</v>
      </c>
      <c r="G136" s="151">
        <v>262</v>
      </c>
      <c r="H136" s="152">
        <v>0.19</v>
      </c>
      <c r="I136" s="151">
        <v>311.77999999999997</v>
      </c>
      <c r="J136" s="151">
        <v>278</v>
      </c>
      <c r="K136" s="152">
        <v>0.19</v>
      </c>
      <c r="L136" s="151">
        <v>330.82</v>
      </c>
      <c r="M136" s="153">
        <f t="shared" si="0"/>
        <v>309.39999999999998</v>
      </c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</row>
    <row r="137" spans="1:26" ht="15.75" customHeight="1">
      <c r="A137" s="148">
        <v>135</v>
      </c>
      <c r="B137" s="138" t="s">
        <v>421</v>
      </c>
      <c r="C137" s="139" t="s">
        <v>259</v>
      </c>
      <c r="D137" s="140">
        <v>505</v>
      </c>
      <c r="E137" s="141">
        <v>0.19</v>
      </c>
      <c r="F137" s="142">
        <v>600.95000000000005</v>
      </c>
      <c r="G137" s="151">
        <v>550</v>
      </c>
      <c r="H137" s="152">
        <v>0.19</v>
      </c>
      <c r="I137" s="151">
        <v>654.5</v>
      </c>
      <c r="J137" s="151">
        <v>583</v>
      </c>
      <c r="K137" s="152">
        <v>0.19</v>
      </c>
      <c r="L137" s="151">
        <v>693.77</v>
      </c>
      <c r="M137" s="153">
        <f t="shared" si="0"/>
        <v>649.74</v>
      </c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</row>
    <row r="138" spans="1:26" ht="15.75" customHeight="1">
      <c r="A138" s="148">
        <v>136</v>
      </c>
      <c r="B138" s="138" t="s">
        <v>422</v>
      </c>
      <c r="C138" s="139" t="s">
        <v>423</v>
      </c>
      <c r="D138" s="140">
        <v>2199</v>
      </c>
      <c r="E138" s="141">
        <v>0</v>
      </c>
      <c r="F138" s="142">
        <v>2199</v>
      </c>
      <c r="G138" s="151">
        <v>2397</v>
      </c>
      <c r="H138" s="152">
        <v>0</v>
      </c>
      <c r="I138" s="151">
        <v>2397</v>
      </c>
      <c r="J138" s="151">
        <v>2541</v>
      </c>
      <c r="K138" s="152">
        <v>0</v>
      </c>
      <c r="L138" s="151">
        <v>2541</v>
      </c>
      <c r="M138" s="153">
        <f t="shared" si="0"/>
        <v>2379</v>
      </c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</row>
    <row r="139" spans="1:26" ht="15.75" customHeight="1">
      <c r="A139" s="148">
        <v>137</v>
      </c>
      <c r="B139" s="138" t="s">
        <v>424</v>
      </c>
      <c r="C139" s="139" t="s">
        <v>423</v>
      </c>
      <c r="D139" s="140">
        <v>2199</v>
      </c>
      <c r="E139" s="141">
        <v>0</v>
      </c>
      <c r="F139" s="142">
        <v>2199</v>
      </c>
      <c r="G139" s="151">
        <v>2397</v>
      </c>
      <c r="H139" s="152">
        <v>0</v>
      </c>
      <c r="I139" s="151">
        <v>2397</v>
      </c>
      <c r="J139" s="151">
        <v>2541</v>
      </c>
      <c r="K139" s="152">
        <v>0</v>
      </c>
      <c r="L139" s="151">
        <v>2541</v>
      </c>
      <c r="M139" s="153">
        <f t="shared" si="0"/>
        <v>2379</v>
      </c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</row>
    <row r="140" spans="1:26" ht="15.75" customHeight="1">
      <c r="A140" s="137">
        <v>138</v>
      </c>
      <c r="B140" s="138" t="s">
        <v>425</v>
      </c>
      <c r="C140" s="139" t="s">
        <v>426</v>
      </c>
      <c r="D140" s="140">
        <v>84</v>
      </c>
      <c r="E140" s="141">
        <v>0.19</v>
      </c>
      <c r="F140" s="142">
        <v>99.96</v>
      </c>
      <c r="G140" s="151">
        <v>92</v>
      </c>
      <c r="H140" s="152">
        <v>0.19</v>
      </c>
      <c r="I140" s="151">
        <v>109.48</v>
      </c>
      <c r="J140" s="151">
        <v>98</v>
      </c>
      <c r="K140" s="152">
        <v>0.19</v>
      </c>
      <c r="L140" s="151">
        <v>116.62</v>
      </c>
      <c r="M140" s="153">
        <f t="shared" si="0"/>
        <v>108.68666666666667</v>
      </c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</row>
    <row r="141" spans="1:26" ht="15.75" customHeight="1">
      <c r="A141" s="148">
        <v>139</v>
      </c>
      <c r="B141" s="138" t="s">
        <v>427</v>
      </c>
      <c r="C141" s="139" t="s">
        <v>293</v>
      </c>
      <c r="D141" s="140">
        <v>6032</v>
      </c>
      <c r="E141" s="141">
        <v>0.19</v>
      </c>
      <c r="F141" s="142">
        <v>7178.08</v>
      </c>
      <c r="G141" s="151">
        <v>6575</v>
      </c>
      <c r="H141" s="152">
        <v>0.19</v>
      </c>
      <c r="I141" s="151">
        <v>7824.25</v>
      </c>
      <c r="J141" s="151">
        <v>6970</v>
      </c>
      <c r="K141" s="152">
        <v>0.19</v>
      </c>
      <c r="L141" s="151">
        <v>8294.2999999999993</v>
      </c>
      <c r="M141" s="153">
        <f t="shared" si="0"/>
        <v>7765.5433333333322</v>
      </c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</row>
    <row r="142" spans="1:26" ht="15.75" customHeight="1">
      <c r="A142" s="148">
        <v>140</v>
      </c>
      <c r="B142" s="138" t="s">
        <v>428</v>
      </c>
      <c r="C142" s="139" t="s">
        <v>429</v>
      </c>
      <c r="D142" s="140">
        <v>4960</v>
      </c>
      <c r="E142" s="141">
        <v>0.19</v>
      </c>
      <c r="F142" s="142">
        <v>5902.4</v>
      </c>
      <c r="G142" s="151">
        <v>5406</v>
      </c>
      <c r="H142" s="152">
        <v>0.19</v>
      </c>
      <c r="I142" s="151">
        <v>6433.14</v>
      </c>
      <c r="J142" s="151">
        <v>5730</v>
      </c>
      <c r="K142" s="152">
        <v>0.19</v>
      </c>
      <c r="L142" s="151">
        <v>6818.7</v>
      </c>
      <c r="M142" s="153">
        <f t="shared" si="0"/>
        <v>6384.746666666666</v>
      </c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</row>
    <row r="143" spans="1:26" ht="15.75" customHeight="1">
      <c r="A143" s="137">
        <v>141</v>
      </c>
      <c r="B143" s="138" t="s">
        <v>430</v>
      </c>
      <c r="C143" s="139" t="s">
        <v>429</v>
      </c>
      <c r="D143" s="140">
        <v>4960</v>
      </c>
      <c r="E143" s="141">
        <v>0.19</v>
      </c>
      <c r="F143" s="142">
        <v>5902.4</v>
      </c>
      <c r="G143" s="151">
        <v>5406</v>
      </c>
      <c r="H143" s="152">
        <v>0.19</v>
      </c>
      <c r="I143" s="151">
        <v>6433.14</v>
      </c>
      <c r="J143" s="151">
        <v>5730</v>
      </c>
      <c r="K143" s="152">
        <v>0.19</v>
      </c>
      <c r="L143" s="151">
        <v>6818.7</v>
      </c>
      <c r="M143" s="153">
        <f t="shared" si="0"/>
        <v>6384.746666666666</v>
      </c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</row>
    <row r="144" spans="1:26" ht="15.75" customHeight="1">
      <c r="A144" s="148">
        <v>142</v>
      </c>
      <c r="B144" s="138" t="s">
        <v>431</v>
      </c>
      <c r="C144" s="139" t="s">
        <v>429</v>
      </c>
      <c r="D144" s="140">
        <v>4960</v>
      </c>
      <c r="E144" s="141">
        <v>0.19</v>
      </c>
      <c r="F144" s="142">
        <v>5902.4</v>
      </c>
      <c r="G144" s="151">
        <v>5406</v>
      </c>
      <c r="H144" s="152">
        <v>0.19</v>
      </c>
      <c r="I144" s="151">
        <v>6433.14</v>
      </c>
      <c r="J144" s="151">
        <v>5730</v>
      </c>
      <c r="K144" s="152">
        <v>0.19</v>
      </c>
      <c r="L144" s="151">
        <v>6818.7</v>
      </c>
      <c r="M144" s="153">
        <f t="shared" si="0"/>
        <v>6384.746666666666</v>
      </c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</row>
    <row r="145" spans="1:26" ht="15.75" customHeight="1">
      <c r="A145" s="148">
        <v>143</v>
      </c>
      <c r="B145" s="138" t="s">
        <v>432</v>
      </c>
      <c r="C145" s="139" t="s">
        <v>429</v>
      </c>
      <c r="D145" s="140">
        <v>4960</v>
      </c>
      <c r="E145" s="141">
        <v>0.19</v>
      </c>
      <c r="F145" s="142">
        <v>5902.4</v>
      </c>
      <c r="G145" s="151">
        <v>5406</v>
      </c>
      <c r="H145" s="152">
        <v>0.19</v>
      </c>
      <c r="I145" s="151">
        <v>6433.14</v>
      </c>
      <c r="J145" s="151">
        <v>5730</v>
      </c>
      <c r="K145" s="152">
        <v>0.19</v>
      </c>
      <c r="L145" s="151">
        <v>6818.7</v>
      </c>
      <c r="M145" s="153">
        <f t="shared" si="0"/>
        <v>6384.746666666666</v>
      </c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</row>
    <row r="146" spans="1:26" ht="15.75" customHeight="1">
      <c r="A146" s="148">
        <v>144</v>
      </c>
      <c r="B146" s="138" t="s">
        <v>433</v>
      </c>
      <c r="C146" s="139" t="s">
        <v>429</v>
      </c>
      <c r="D146" s="140">
        <v>4960</v>
      </c>
      <c r="E146" s="141">
        <v>0.19</v>
      </c>
      <c r="F146" s="142">
        <v>5902.4</v>
      </c>
      <c r="G146" s="151">
        <v>5406</v>
      </c>
      <c r="H146" s="152">
        <v>0.19</v>
      </c>
      <c r="I146" s="151">
        <v>6433.14</v>
      </c>
      <c r="J146" s="151">
        <v>5730</v>
      </c>
      <c r="K146" s="152">
        <v>0.19</v>
      </c>
      <c r="L146" s="151">
        <v>6818.7</v>
      </c>
      <c r="M146" s="153">
        <f t="shared" si="0"/>
        <v>6384.746666666666</v>
      </c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</row>
    <row r="147" spans="1:26" ht="15.75" customHeight="1">
      <c r="A147" s="137">
        <v>145</v>
      </c>
      <c r="B147" s="138" t="s">
        <v>434</v>
      </c>
      <c r="C147" s="139" t="s">
        <v>429</v>
      </c>
      <c r="D147" s="140">
        <v>4960</v>
      </c>
      <c r="E147" s="141">
        <v>0.19</v>
      </c>
      <c r="F147" s="142">
        <v>5902.4</v>
      </c>
      <c r="G147" s="151">
        <v>5406</v>
      </c>
      <c r="H147" s="152">
        <v>0.19</v>
      </c>
      <c r="I147" s="151">
        <v>6433.14</v>
      </c>
      <c r="J147" s="151">
        <v>5730</v>
      </c>
      <c r="K147" s="152">
        <v>0.19</v>
      </c>
      <c r="L147" s="151">
        <v>6818.7</v>
      </c>
      <c r="M147" s="153">
        <f t="shared" si="0"/>
        <v>6384.746666666666</v>
      </c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</row>
    <row r="148" spans="1:26" ht="15.75" customHeight="1">
      <c r="A148" s="148">
        <v>146</v>
      </c>
      <c r="B148" s="138" t="s">
        <v>435</v>
      </c>
      <c r="C148" s="139" t="s">
        <v>429</v>
      </c>
      <c r="D148" s="140">
        <v>4960</v>
      </c>
      <c r="E148" s="141">
        <v>0.19</v>
      </c>
      <c r="F148" s="142">
        <v>5902.4</v>
      </c>
      <c r="G148" s="151">
        <v>5406</v>
      </c>
      <c r="H148" s="152">
        <v>0.19</v>
      </c>
      <c r="I148" s="151">
        <v>6433.14</v>
      </c>
      <c r="J148" s="151">
        <v>5730</v>
      </c>
      <c r="K148" s="152">
        <v>0.19</v>
      </c>
      <c r="L148" s="151">
        <v>6818.7</v>
      </c>
      <c r="M148" s="153">
        <f t="shared" si="0"/>
        <v>6384.746666666666</v>
      </c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</row>
    <row r="149" spans="1:26" ht="15.75" customHeight="1">
      <c r="A149" s="148">
        <v>147</v>
      </c>
      <c r="B149" s="138" t="s">
        <v>436</v>
      </c>
      <c r="C149" s="139" t="s">
        <v>259</v>
      </c>
      <c r="D149" s="140">
        <v>1404</v>
      </c>
      <c r="E149" s="141">
        <v>0.19</v>
      </c>
      <c r="F149" s="142">
        <v>1670.76</v>
      </c>
      <c r="G149" s="151">
        <v>1530</v>
      </c>
      <c r="H149" s="152">
        <v>0.19</v>
      </c>
      <c r="I149" s="151">
        <v>1820.7</v>
      </c>
      <c r="J149" s="151">
        <v>1622</v>
      </c>
      <c r="K149" s="152">
        <v>0.19</v>
      </c>
      <c r="L149" s="151">
        <v>1930.18</v>
      </c>
      <c r="M149" s="153">
        <f t="shared" si="0"/>
        <v>1807.2133333333334</v>
      </c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</row>
    <row r="150" spans="1:26" ht="15.75" customHeight="1">
      <c r="A150" s="148">
        <v>148</v>
      </c>
      <c r="B150" s="138" t="s">
        <v>437</v>
      </c>
      <c r="C150" s="139" t="s">
        <v>259</v>
      </c>
      <c r="D150" s="140">
        <v>1463</v>
      </c>
      <c r="E150" s="141">
        <v>0.19</v>
      </c>
      <c r="F150" s="142">
        <v>1740.97</v>
      </c>
      <c r="G150" s="151">
        <v>1595</v>
      </c>
      <c r="H150" s="152">
        <v>0.19</v>
      </c>
      <c r="I150" s="151">
        <v>1898.05</v>
      </c>
      <c r="J150" s="151">
        <v>1691</v>
      </c>
      <c r="K150" s="152">
        <v>0.19</v>
      </c>
      <c r="L150" s="151">
        <v>2012.29</v>
      </c>
      <c r="M150" s="153">
        <f t="shared" si="0"/>
        <v>1883.7700000000002</v>
      </c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</row>
    <row r="151" spans="1:26" ht="15.75" customHeight="1">
      <c r="A151" s="137">
        <v>149</v>
      </c>
      <c r="B151" s="138" t="s">
        <v>438</v>
      </c>
      <c r="C151" s="139" t="s">
        <v>266</v>
      </c>
      <c r="D151" s="140">
        <v>4960</v>
      </c>
      <c r="E151" s="141">
        <v>0</v>
      </c>
      <c r="F151" s="142">
        <v>4960</v>
      </c>
      <c r="G151" s="151">
        <v>5406</v>
      </c>
      <c r="H151" s="152">
        <v>0</v>
      </c>
      <c r="I151" s="151">
        <v>5406</v>
      </c>
      <c r="J151" s="151">
        <v>5730</v>
      </c>
      <c r="K151" s="152">
        <v>0</v>
      </c>
      <c r="L151" s="151">
        <v>5730</v>
      </c>
      <c r="M151" s="153">
        <f t="shared" si="0"/>
        <v>5365.333333333333</v>
      </c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</row>
    <row r="152" spans="1:26" ht="15.75" customHeight="1">
      <c r="A152" s="148">
        <v>150</v>
      </c>
      <c r="B152" s="138" t="s">
        <v>439</v>
      </c>
      <c r="C152" s="139" t="s">
        <v>266</v>
      </c>
      <c r="D152" s="140">
        <v>18342</v>
      </c>
      <c r="E152" s="141">
        <v>0</v>
      </c>
      <c r="F152" s="142">
        <v>18342</v>
      </c>
      <c r="G152" s="151">
        <v>19993</v>
      </c>
      <c r="H152" s="152">
        <v>0</v>
      </c>
      <c r="I152" s="151">
        <v>19993</v>
      </c>
      <c r="J152" s="151">
        <v>21193</v>
      </c>
      <c r="K152" s="152">
        <v>0</v>
      </c>
      <c r="L152" s="151">
        <v>21193</v>
      </c>
      <c r="M152" s="153">
        <f t="shared" si="0"/>
        <v>19842.666666666668</v>
      </c>
      <c r="N152" s="130"/>
      <c r="O152" s="130"/>
      <c r="P152" s="130"/>
      <c r="Q152" s="130"/>
      <c r="R152" s="130"/>
      <c r="S152" s="130"/>
      <c r="T152" s="130"/>
      <c r="U152" s="130"/>
      <c r="V152" s="130"/>
      <c r="W152" s="130"/>
      <c r="X152" s="130"/>
      <c r="Y152" s="130"/>
      <c r="Z152" s="130"/>
    </row>
    <row r="153" spans="1:26" ht="15.75" customHeight="1">
      <c r="A153" s="148">
        <v>151</v>
      </c>
      <c r="B153" s="138" t="s">
        <v>440</v>
      </c>
      <c r="C153" s="139" t="s">
        <v>441</v>
      </c>
      <c r="D153" s="140">
        <v>3556</v>
      </c>
      <c r="E153" s="141">
        <v>0</v>
      </c>
      <c r="F153" s="142">
        <v>3556</v>
      </c>
      <c r="G153" s="151">
        <v>3876</v>
      </c>
      <c r="H153" s="152">
        <v>0</v>
      </c>
      <c r="I153" s="151">
        <v>3876</v>
      </c>
      <c r="J153" s="151">
        <v>4109</v>
      </c>
      <c r="K153" s="152">
        <v>0</v>
      </c>
      <c r="L153" s="151">
        <v>4109</v>
      </c>
      <c r="M153" s="153">
        <f t="shared" si="0"/>
        <v>3847</v>
      </c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0"/>
      <c r="Y153" s="130"/>
      <c r="Z153" s="130"/>
    </row>
    <row r="154" spans="1:26" ht="15.75" customHeight="1">
      <c r="A154" s="148">
        <v>152</v>
      </c>
      <c r="B154" s="138" t="s">
        <v>442</v>
      </c>
      <c r="C154" s="139" t="s">
        <v>293</v>
      </c>
      <c r="D154" s="140">
        <v>2152</v>
      </c>
      <c r="E154" s="141">
        <v>0</v>
      </c>
      <c r="F154" s="142">
        <v>2152</v>
      </c>
      <c r="G154" s="151">
        <v>2346</v>
      </c>
      <c r="H154" s="152">
        <v>0</v>
      </c>
      <c r="I154" s="151">
        <v>2346</v>
      </c>
      <c r="J154" s="151">
        <v>2487</v>
      </c>
      <c r="K154" s="152">
        <v>0</v>
      </c>
      <c r="L154" s="151">
        <v>2487</v>
      </c>
      <c r="M154" s="153">
        <f t="shared" si="0"/>
        <v>2328.3333333333335</v>
      </c>
      <c r="N154" s="130"/>
      <c r="O154" s="130"/>
      <c r="P154" s="130"/>
      <c r="Q154" s="130"/>
      <c r="R154" s="130"/>
      <c r="S154" s="130"/>
      <c r="T154" s="130"/>
      <c r="U154" s="130"/>
      <c r="V154" s="130"/>
      <c r="W154" s="130"/>
      <c r="X154" s="130"/>
      <c r="Y154" s="130"/>
      <c r="Z154" s="130"/>
    </row>
    <row r="155" spans="1:26" ht="15.75" customHeight="1">
      <c r="A155" s="137">
        <v>153</v>
      </c>
      <c r="B155" s="138" t="s">
        <v>443</v>
      </c>
      <c r="C155" s="139" t="s">
        <v>278</v>
      </c>
      <c r="D155" s="140">
        <v>1778</v>
      </c>
      <c r="E155" s="141">
        <v>0</v>
      </c>
      <c r="F155" s="142">
        <v>1778</v>
      </c>
      <c r="G155" s="151">
        <v>1938</v>
      </c>
      <c r="H155" s="152">
        <v>0</v>
      </c>
      <c r="I155" s="151">
        <v>1938</v>
      </c>
      <c r="J155" s="151">
        <v>2054</v>
      </c>
      <c r="K155" s="152">
        <v>0</v>
      </c>
      <c r="L155" s="151">
        <v>2054</v>
      </c>
      <c r="M155" s="153">
        <f t="shared" si="0"/>
        <v>1923.3333333333333</v>
      </c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30"/>
      <c r="Z155" s="130"/>
    </row>
    <row r="156" spans="1:26" ht="15.75" customHeight="1">
      <c r="A156" s="148">
        <v>154</v>
      </c>
      <c r="B156" s="138" t="s">
        <v>444</v>
      </c>
      <c r="C156" s="139" t="s">
        <v>377</v>
      </c>
      <c r="D156" s="140">
        <v>55600</v>
      </c>
      <c r="E156" s="141">
        <v>0</v>
      </c>
      <c r="F156" s="142">
        <v>55600</v>
      </c>
      <c r="G156" s="151">
        <v>60604</v>
      </c>
      <c r="H156" s="152">
        <v>0</v>
      </c>
      <c r="I156" s="151">
        <v>60604</v>
      </c>
      <c r="J156" s="151">
        <v>64240</v>
      </c>
      <c r="K156" s="152">
        <v>0</v>
      </c>
      <c r="L156" s="151">
        <v>64240</v>
      </c>
      <c r="M156" s="153">
        <f t="shared" si="0"/>
        <v>60148</v>
      </c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</row>
    <row r="157" spans="1:26" ht="15.75" customHeight="1">
      <c r="A157" s="148">
        <v>155</v>
      </c>
      <c r="B157" s="138" t="s">
        <v>445</v>
      </c>
      <c r="C157" s="139" t="s">
        <v>377</v>
      </c>
      <c r="D157" s="140">
        <v>11604</v>
      </c>
      <c r="E157" s="141">
        <v>0.19</v>
      </c>
      <c r="F157" s="142">
        <v>13808.76</v>
      </c>
      <c r="G157" s="151">
        <v>12648</v>
      </c>
      <c r="H157" s="152">
        <v>0.19</v>
      </c>
      <c r="I157" s="151">
        <v>15051.12</v>
      </c>
      <c r="J157" s="151">
        <v>13407</v>
      </c>
      <c r="K157" s="152">
        <v>0.19</v>
      </c>
      <c r="L157" s="151">
        <v>15954.33</v>
      </c>
      <c r="M157" s="153">
        <f t="shared" si="0"/>
        <v>14938.07</v>
      </c>
      <c r="N157" s="130"/>
      <c r="O157" s="130"/>
      <c r="P157" s="130"/>
      <c r="Q157" s="130"/>
      <c r="R157" s="130"/>
      <c r="S157" s="130"/>
      <c r="T157" s="130"/>
      <c r="U157" s="130"/>
      <c r="V157" s="130"/>
      <c r="W157" s="130"/>
      <c r="X157" s="130"/>
      <c r="Y157" s="130"/>
      <c r="Z157" s="130"/>
    </row>
    <row r="158" spans="1:26" ht="15.75" customHeight="1">
      <c r="A158" s="148">
        <v>156</v>
      </c>
      <c r="B158" s="138" t="s">
        <v>446</v>
      </c>
      <c r="C158" s="139" t="s">
        <v>259</v>
      </c>
      <c r="D158" s="140">
        <v>142</v>
      </c>
      <c r="E158" s="141">
        <v>0.19</v>
      </c>
      <c r="F158" s="142">
        <v>168.98</v>
      </c>
      <c r="G158" s="151">
        <v>155</v>
      </c>
      <c r="H158" s="152">
        <v>0.19</v>
      </c>
      <c r="I158" s="151">
        <v>184.45</v>
      </c>
      <c r="J158" s="151">
        <v>164</v>
      </c>
      <c r="K158" s="152">
        <v>0.19</v>
      </c>
      <c r="L158" s="151">
        <v>195.16</v>
      </c>
      <c r="M158" s="153">
        <f t="shared" si="0"/>
        <v>182.86333333333334</v>
      </c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</row>
    <row r="159" spans="1:26" ht="15.75" customHeight="1">
      <c r="A159" s="137">
        <v>157</v>
      </c>
      <c r="B159" s="138" t="s">
        <v>447</v>
      </c>
      <c r="C159" s="139" t="s">
        <v>266</v>
      </c>
      <c r="D159" s="140">
        <v>8492</v>
      </c>
      <c r="E159" s="141">
        <v>0.19</v>
      </c>
      <c r="F159" s="142">
        <v>10105.48</v>
      </c>
      <c r="G159" s="151">
        <v>9256</v>
      </c>
      <c r="H159" s="152">
        <v>0.19</v>
      </c>
      <c r="I159" s="151">
        <v>11014.64</v>
      </c>
      <c r="J159" s="151">
        <v>9811</v>
      </c>
      <c r="K159" s="152">
        <v>0.19</v>
      </c>
      <c r="L159" s="151">
        <v>11675.09</v>
      </c>
      <c r="M159" s="153">
        <f t="shared" si="0"/>
        <v>10931.736666666666</v>
      </c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</row>
    <row r="160" spans="1:26" ht="15.75" customHeight="1">
      <c r="A160" s="148">
        <v>158</v>
      </c>
      <c r="B160" s="138" t="s">
        <v>448</v>
      </c>
      <c r="C160" s="139" t="s">
        <v>429</v>
      </c>
      <c r="D160" s="140">
        <v>4329</v>
      </c>
      <c r="E160" s="141">
        <v>0</v>
      </c>
      <c r="F160" s="142">
        <v>4329</v>
      </c>
      <c r="G160" s="151">
        <v>4805</v>
      </c>
      <c r="H160" s="152">
        <v>0</v>
      </c>
      <c r="I160" s="151">
        <v>4805</v>
      </c>
      <c r="J160" s="151">
        <v>5093</v>
      </c>
      <c r="K160" s="152">
        <v>0</v>
      </c>
      <c r="L160" s="151">
        <v>5093</v>
      </c>
      <c r="M160" s="153">
        <f t="shared" si="0"/>
        <v>4742.333333333333</v>
      </c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</row>
    <row r="161" spans="1:26" ht="15.75" customHeight="1">
      <c r="A161" s="148">
        <v>159</v>
      </c>
      <c r="B161" s="138" t="s">
        <v>449</v>
      </c>
      <c r="C161" s="139" t="s">
        <v>450</v>
      </c>
      <c r="D161" s="140">
        <v>58</v>
      </c>
      <c r="E161" s="141">
        <v>0</v>
      </c>
      <c r="F161" s="142">
        <v>58</v>
      </c>
      <c r="G161" s="151">
        <v>64</v>
      </c>
      <c r="H161" s="152">
        <v>0</v>
      </c>
      <c r="I161" s="151">
        <v>64</v>
      </c>
      <c r="J161" s="151">
        <v>68</v>
      </c>
      <c r="K161" s="152">
        <v>0</v>
      </c>
      <c r="L161" s="151">
        <v>68</v>
      </c>
      <c r="M161" s="153">
        <f t="shared" si="0"/>
        <v>63.333333333333336</v>
      </c>
      <c r="N161" s="130"/>
      <c r="O161" s="130"/>
      <c r="P161" s="130"/>
      <c r="Q161" s="130"/>
      <c r="R161" s="130"/>
      <c r="S161" s="130"/>
      <c r="T161" s="130"/>
      <c r="U161" s="130"/>
      <c r="V161" s="130"/>
      <c r="W161" s="130"/>
      <c r="X161" s="130"/>
      <c r="Y161" s="130"/>
      <c r="Z161" s="130"/>
    </row>
    <row r="162" spans="1:26" ht="15.75" customHeight="1">
      <c r="A162" s="148">
        <v>160</v>
      </c>
      <c r="B162" s="138" t="s">
        <v>451</v>
      </c>
      <c r="C162" s="139" t="s">
        <v>429</v>
      </c>
      <c r="D162" s="140">
        <v>3603</v>
      </c>
      <c r="E162" s="141">
        <v>0</v>
      </c>
      <c r="F162" s="142">
        <v>3603</v>
      </c>
      <c r="G162" s="151">
        <v>3999</v>
      </c>
      <c r="H162" s="152">
        <v>0</v>
      </c>
      <c r="I162" s="151">
        <v>3999</v>
      </c>
      <c r="J162" s="151">
        <v>4239</v>
      </c>
      <c r="K162" s="152">
        <v>0</v>
      </c>
      <c r="L162" s="151">
        <v>4239</v>
      </c>
      <c r="M162" s="153">
        <f t="shared" si="0"/>
        <v>3947</v>
      </c>
      <c r="N162" s="130"/>
      <c r="O162" s="130"/>
      <c r="P162" s="130"/>
      <c r="Q162" s="130"/>
      <c r="R162" s="130"/>
      <c r="S162" s="130"/>
      <c r="T162" s="130"/>
      <c r="U162" s="130"/>
      <c r="V162" s="130"/>
      <c r="W162" s="130"/>
      <c r="X162" s="130"/>
      <c r="Y162" s="130"/>
      <c r="Z162" s="130"/>
    </row>
    <row r="163" spans="1:26" ht="15.75" customHeight="1">
      <c r="A163" s="148">
        <v>161</v>
      </c>
      <c r="B163" s="138" t="s">
        <v>452</v>
      </c>
      <c r="C163" s="139" t="s">
        <v>453</v>
      </c>
      <c r="D163" s="140">
        <v>4941</v>
      </c>
      <c r="E163" s="141">
        <v>0</v>
      </c>
      <c r="F163" s="142">
        <v>4941</v>
      </c>
      <c r="G163" s="151">
        <v>5485</v>
      </c>
      <c r="H163" s="152">
        <v>0</v>
      </c>
      <c r="I163" s="151">
        <v>5485</v>
      </c>
      <c r="J163" s="151">
        <v>5814</v>
      </c>
      <c r="K163" s="152">
        <v>0</v>
      </c>
      <c r="L163" s="151">
        <v>5814</v>
      </c>
      <c r="M163" s="153">
        <f t="shared" si="0"/>
        <v>5413.333333333333</v>
      </c>
      <c r="N163" s="130"/>
      <c r="O163" s="130"/>
      <c r="P163" s="130"/>
      <c r="Q163" s="130"/>
      <c r="R163" s="130"/>
      <c r="S163" s="130"/>
      <c r="T163" s="130"/>
      <c r="U163" s="130"/>
      <c r="V163" s="130"/>
      <c r="W163" s="130"/>
      <c r="X163" s="130"/>
      <c r="Y163" s="130"/>
      <c r="Z163" s="130"/>
    </row>
    <row r="164" spans="1:26" ht="15.75" customHeight="1">
      <c r="A164" s="148">
        <v>162</v>
      </c>
      <c r="B164" s="138" t="s">
        <v>454</v>
      </c>
      <c r="C164" s="139" t="s">
        <v>455</v>
      </c>
      <c r="D164" s="140">
        <v>18900</v>
      </c>
      <c r="E164" s="141">
        <v>0</v>
      </c>
      <c r="F164" s="142">
        <v>18900</v>
      </c>
      <c r="G164" s="151">
        <v>20979</v>
      </c>
      <c r="H164" s="152">
        <v>0</v>
      </c>
      <c r="I164" s="151">
        <v>20979</v>
      </c>
      <c r="J164" s="151">
        <v>22238</v>
      </c>
      <c r="K164" s="152">
        <v>0</v>
      </c>
      <c r="L164" s="151">
        <v>22238</v>
      </c>
      <c r="M164" s="153">
        <f t="shared" si="0"/>
        <v>20705.666666666668</v>
      </c>
      <c r="N164" s="130"/>
      <c r="O164" s="130"/>
      <c r="P164" s="130"/>
      <c r="Q164" s="130"/>
      <c r="R164" s="130"/>
      <c r="S164" s="130"/>
      <c r="T164" s="130"/>
      <c r="U164" s="130"/>
      <c r="V164" s="130"/>
      <c r="W164" s="130"/>
      <c r="X164" s="130"/>
      <c r="Y164" s="130"/>
      <c r="Z164" s="130"/>
    </row>
    <row r="165" spans="1:26" ht="15.75" customHeight="1">
      <c r="A165" s="148">
        <v>163</v>
      </c>
      <c r="B165" s="138" t="s">
        <v>456</v>
      </c>
      <c r="C165" s="139" t="s">
        <v>429</v>
      </c>
      <c r="D165" s="140">
        <v>4528</v>
      </c>
      <c r="E165" s="141">
        <v>0</v>
      </c>
      <c r="F165" s="142">
        <v>4528</v>
      </c>
      <c r="G165" s="151">
        <v>5026</v>
      </c>
      <c r="H165" s="152">
        <v>0</v>
      </c>
      <c r="I165" s="151">
        <v>5026</v>
      </c>
      <c r="J165" s="151">
        <v>5328</v>
      </c>
      <c r="K165" s="152">
        <v>0</v>
      </c>
      <c r="L165" s="151">
        <v>5328</v>
      </c>
      <c r="M165" s="153">
        <f t="shared" si="0"/>
        <v>4960.666666666667</v>
      </c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</row>
    <row r="166" spans="1:26" ht="15.75" customHeight="1">
      <c r="A166" s="148">
        <v>164</v>
      </c>
      <c r="B166" s="138" t="s">
        <v>457</v>
      </c>
      <c r="C166" s="139" t="s">
        <v>429</v>
      </c>
      <c r="D166" s="140">
        <v>2224</v>
      </c>
      <c r="E166" s="141">
        <v>0</v>
      </c>
      <c r="F166" s="142">
        <v>2224</v>
      </c>
      <c r="G166" s="151">
        <v>2469</v>
      </c>
      <c r="H166" s="152">
        <v>0</v>
      </c>
      <c r="I166" s="151">
        <v>2469</v>
      </c>
      <c r="J166" s="151">
        <v>2617</v>
      </c>
      <c r="K166" s="152">
        <v>0</v>
      </c>
      <c r="L166" s="151">
        <v>2617</v>
      </c>
      <c r="M166" s="153">
        <f t="shared" si="0"/>
        <v>2436.6666666666665</v>
      </c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</row>
    <row r="167" spans="1:26" ht="15.75" customHeight="1">
      <c r="A167" s="148">
        <v>165</v>
      </c>
      <c r="B167" s="138" t="s">
        <v>458</v>
      </c>
      <c r="C167" s="139" t="s">
        <v>259</v>
      </c>
      <c r="D167" s="140">
        <v>702</v>
      </c>
      <c r="E167" s="141">
        <v>0</v>
      </c>
      <c r="F167" s="142">
        <v>702</v>
      </c>
      <c r="G167" s="151">
        <v>779</v>
      </c>
      <c r="H167" s="152">
        <v>0</v>
      </c>
      <c r="I167" s="151">
        <v>779</v>
      </c>
      <c r="J167" s="151">
        <v>826</v>
      </c>
      <c r="K167" s="152">
        <v>0</v>
      </c>
      <c r="L167" s="151">
        <v>826</v>
      </c>
      <c r="M167" s="153">
        <f t="shared" si="0"/>
        <v>769</v>
      </c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</row>
    <row r="168" spans="1:26" ht="15.75" customHeight="1">
      <c r="A168" s="148">
        <v>166</v>
      </c>
      <c r="B168" s="138" t="s">
        <v>459</v>
      </c>
      <c r="C168" s="139" t="s">
        <v>314</v>
      </c>
      <c r="D168" s="140">
        <v>20395</v>
      </c>
      <c r="E168" s="141">
        <v>0</v>
      </c>
      <c r="F168" s="142">
        <v>20395</v>
      </c>
      <c r="G168" s="151">
        <v>22638</v>
      </c>
      <c r="H168" s="152">
        <v>0</v>
      </c>
      <c r="I168" s="151">
        <v>22638</v>
      </c>
      <c r="J168" s="151">
        <v>23996</v>
      </c>
      <c r="K168" s="152">
        <v>0</v>
      </c>
      <c r="L168" s="151">
        <v>23996</v>
      </c>
      <c r="M168" s="153">
        <f t="shared" si="0"/>
        <v>22343</v>
      </c>
      <c r="N168" s="130"/>
      <c r="O168" s="130"/>
      <c r="P168" s="130"/>
      <c r="Q168" s="130"/>
      <c r="R168" s="130"/>
      <c r="S168" s="130"/>
      <c r="T168" s="130"/>
      <c r="U168" s="130"/>
      <c r="V168" s="130"/>
      <c r="W168" s="130"/>
      <c r="X168" s="130"/>
      <c r="Y168" s="130"/>
      <c r="Z168" s="130"/>
    </row>
    <row r="169" spans="1:26" ht="15.75" customHeight="1">
      <c r="A169" s="148">
        <v>167</v>
      </c>
      <c r="B169" s="138" t="s">
        <v>460</v>
      </c>
      <c r="C169" s="139" t="s">
        <v>259</v>
      </c>
      <c r="D169" s="140">
        <v>1617</v>
      </c>
      <c r="E169" s="141">
        <v>0</v>
      </c>
      <c r="F169" s="142">
        <v>1617</v>
      </c>
      <c r="G169" s="151">
        <v>1795</v>
      </c>
      <c r="H169" s="152">
        <v>0</v>
      </c>
      <c r="I169" s="151">
        <v>1795</v>
      </c>
      <c r="J169" s="151">
        <v>1903</v>
      </c>
      <c r="K169" s="152">
        <v>0</v>
      </c>
      <c r="L169" s="151">
        <v>1903</v>
      </c>
      <c r="M169" s="153">
        <f t="shared" si="0"/>
        <v>1771.6666666666667</v>
      </c>
      <c r="N169" s="130"/>
      <c r="O169" s="130"/>
      <c r="P169" s="130"/>
      <c r="Q169" s="130"/>
      <c r="R169" s="130"/>
      <c r="S169" s="130"/>
      <c r="T169" s="130"/>
      <c r="U169" s="130"/>
      <c r="V169" s="130"/>
      <c r="W169" s="130"/>
      <c r="X169" s="130"/>
      <c r="Y169" s="130"/>
      <c r="Z169" s="130"/>
    </row>
    <row r="170" spans="1:26" ht="15.75" customHeight="1">
      <c r="A170" s="148">
        <v>168</v>
      </c>
      <c r="B170" s="138" t="s">
        <v>461</v>
      </c>
      <c r="C170" s="139" t="s">
        <v>462</v>
      </c>
      <c r="D170" s="140">
        <v>20092</v>
      </c>
      <c r="E170" s="141">
        <v>0</v>
      </c>
      <c r="F170" s="142">
        <v>20092</v>
      </c>
      <c r="G170" s="151">
        <v>22302</v>
      </c>
      <c r="H170" s="152">
        <v>0</v>
      </c>
      <c r="I170" s="151">
        <v>22302</v>
      </c>
      <c r="J170" s="151">
        <v>23640</v>
      </c>
      <c r="K170" s="152">
        <v>0</v>
      </c>
      <c r="L170" s="151">
        <v>23640</v>
      </c>
      <c r="M170" s="153">
        <f t="shared" si="0"/>
        <v>22011.333333333332</v>
      </c>
      <c r="N170" s="130"/>
      <c r="O170" s="130"/>
      <c r="P170" s="130"/>
      <c r="Q170" s="130"/>
      <c r="R170" s="130"/>
      <c r="S170" s="130"/>
      <c r="T170" s="130"/>
      <c r="U170" s="130"/>
      <c r="V170" s="130"/>
      <c r="W170" s="130"/>
      <c r="X170" s="130"/>
      <c r="Y170" s="130"/>
      <c r="Z170" s="130"/>
    </row>
    <row r="171" spans="1:26" ht="15.75" customHeight="1">
      <c r="A171" s="148">
        <v>169</v>
      </c>
      <c r="B171" s="138" t="s">
        <v>463</v>
      </c>
      <c r="C171" s="139" t="s">
        <v>314</v>
      </c>
      <c r="D171" s="140">
        <v>3144</v>
      </c>
      <c r="E171" s="141">
        <v>0</v>
      </c>
      <c r="F171" s="142">
        <v>3144</v>
      </c>
      <c r="G171" s="151">
        <v>3490</v>
      </c>
      <c r="H171" s="152">
        <v>0</v>
      </c>
      <c r="I171" s="151">
        <v>3490</v>
      </c>
      <c r="J171" s="151">
        <v>3699</v>
      </c>
      <c r="K171" s="152">
        <v>0</v>
      </c>
      <c r="L171" s="151">
        <v>3699</v>
      </c>
      <c r="M171" s="153">
        <f t="shared" si="0"/>
        <v>3444.3333333333335</v>
      </c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</row>
    <row r="172" spans="1:26" ht="15.75" customHeight="1">
      <c r="A172" s="148">
        <v>170</v>
      </c>
      <c r="B172" s="138" t="s">
        <v>464</v>
      </c>
      <c r="C172" s="139" t="s">
        <v>314</v>
      </c>
      <c r="D172" s="140">
        <v>8441</v>
      </c>
      <c r="E172" s="141">
        <v>0</v>
      </c>
      <c r="F172" s="142">
        <v>8441</v>
      </c>
      <c r="G172" s="151">
        <v>9370</v>
      </c>
      <c r="H172" s="152">
        <v>0</v>
      </c>
      <c r="I172" s="151">
        <v>9370</v>
      </c>
      <c r="J172" s="151">
        <v>9932</v>
      </c>
      <c r="K172" s="152">
        <v>0</v>
      </c>
      <c r="L172" s="151">
        <v>9932</v>
      </c>
      <c r="M172" s="153">
        <f t="shared" si="0"/>
        <v>9247.6666666666661</v>
      </c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</row>
    <row r="173" spans="1:26" ht="15.75" customHeight="1">
      <c r="A173" s="148">
        <v>171</v>
      </c>
      <c r="B173" s="138" t="s">
        <v>465</v>
      </c>
      <c r="C173" s="139" t="s">
        <v>466</v>
      </c>
      <c r="D173" s="140">
        <v>955</v>
      </c>
      <c r="E173" s="141">
        <v>0</v>
      </c>
      <c r="F173" s="142">
        <v>955</v>
      </c>
      <c r="G173" s="151">
        <v>1060</v>
      </c>
      <c r="H173" s="152">
        <v>0</v>
      </c>
      <c r="I173" s="151">
        <v>1060</v>
      </c>
      <c r="J173" s="151">
        <v>1124</v>
      </c>
      <c r="K173" s="152">
        <v>0</v>
      </c>
      <c r="L173" s="151">
        <v>1124</v>
      </c>
      <c r="M173" s="153">
        <f t="shared" si="0"/>
        <v>1046.3333333333333</v>
      </c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</row>
    <row r="174" spans="1:26" ht="15.75" customHeight="1">
      <c r="A174" s="148">
        <v>172</v>
      </c>
      <c r="B174" s="138" t="s">
        <v>467</v>
      </c>
      <c r="C174" s="139" t="s">
        <v>468</v>
      </c>
      <c r="D174" s="140">
        <v>26572</v>
      </c>
      <c r="E174" s="141">
        <v>0</v>
      </c>
      <c r="F174" s="142">
        <v>26572</v>
      </c>
      <c r="G174" s="151">
        <v>29495</v>
      </c>
      <c r="H174" s="152">
        <v>0</v>
      </c>
      <c r="I174" s="151">
        <v>29495</v>
      </c>
      <c r="J174" s="151">
        <v>31265</v>
      </c>
      <c r="K174" s="152">
        <v>0</v>
      </c>
      <c r="L174" s="151">
        <v>31265</v>
      </c>
      <c r="M174" s="153">
        <f t="shared" si="0"/>
        <v>29110.666666666668</v>
      </c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</row>
    <row r="175" spans="1:26" ht="15.75" customHeight="1">
      <c r="A175" s="148">
        <v>173</v>
      </c>
      <c r="B175" s="138" t="s">
        <v>469</v>
      </c>
      <c r="C175" s="139" t="s">
        <v>259</v>
      </c>
      <c r="D175" s="140">
        <v>850</v>
      </c>
      <c r="E175" s="141">
        <v>0</v>
      </c>
      <c r="F175" s="142">
        <v>850</v>
      </c>
      <c r="G175" s="151">
        <v>944</v>
      </c>
      <c r="H175" s="152">
        <v>0</v>
      </c>
      <c r="I175" s="151">
        <v>944</v>
      </c>
      <c r="J175" s="151">
        <v>1001</v>
      </c>
      <c r="K175" s="152">
        <v>0</v>
      </c>
      <c r="L175" s="151">
        <v>1001</v>
      </c>
      <c r="M175" s="153">
        <f t="shared" si="0"/>
        <v>931.66666666666663</v>
      </c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</row>
    <row r="176" spans="1:26" ht="15.75" customHeight="1">
      <c r="A176" s="148">
        <v>174</v>
      </c>
      <c r="B176" s="138" t="s">
        <v>470</v>
      </c>
      <c r="C176" s="139" t="s">
        <v>255</v>
      </c>
      <c r="D176" s="140">
        <v>199900</v>
      </c>
      <c r="E176" s="141">
        <v>0</v>
      </c>
      <c r="F176" s="142">
        <v>199900</v>
      </c>
      <c r="G176" s="151">
        <v>221889</v>
      </c>
      <c r="H176" s="152">
        <v>0</v>
      </c>
      <c r="I176" s="151">
        <v>221889</v>
      </c>
      <c r="J176" s="151">
        <v>235202</v>
      </c>
      <c r="K176" s="152">
        <v>0</v>
      </c>
      <c r="L176" s="151">
        <v>235202</v>
      </c>
      <c r="M176" s="153">
        <f t="shared" si="0"/>
        <v>218997</v>
      </c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</row>
    <row r="177" spans="1:26" ht="15.75" customHeight="1">
      <c r="A177" s="148">
        <v>175</v>
      </c>
      <c r="B177" s="138" t="s">
        <v>471</v>
      </c>
      <c r="C177" s="139" t="s">
        <v>390</v>
      </c>
      <c r="D177" s="140">
        <v>22160</v>
      </c>
      <c r="E177" s="141">
        <v>0</v>
      </c>
      <c r="F177" s="142">
        <v>22160</v>
      </c>
      <c r="G177" s="151">
        <v>24598</v>
      </c>
      <c r="H177" s="152">
        <v>0</v>
      </c>
      <c r="I177" s="151">
        <v>24598</v>
      </c>
      <c r="J177" s="151">
        <v>26074</v>
      </c>
      <c r="K177" s="152">
        <v>0</v>
      </c>
      <c r="L177" s="151">
        <v>26074</v>
      </c>
      <c r="M177" s="153">
        <f t="shared" si="0"/>
        <v>24277.333333333332</v>
      </c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</row>
    <row r="178" spans="1:26" ht="15.75" customHeight="1">
      <c r="A178" s="148">
        <v>176</v>
      </c>
      <c r="B178" s="138" t="s">
        <v>472</v>
      </c>
      <c r="C178" s="139" t="s">
        <v>386</v>
      </c>
      <c r="D178" s="140">
        <v>5336</v>
      </c>
      <c r="E178" s="141">
        <v>0</v>
      </c>
      <c r="F178" s="142">
        <v>5336</v>
      </c>
      <c r="G178" s="151">
        <v>5923</v>
      </c>
      <c r="H178" s="152">
        <v>0</v>
      </c>
      <c r="I178" s="151">
        <v>5923</v>
      </c>
      <c r="J178" s="151">
        <v>6278</v>
      </c>
      <c r="K178" s="152">
        <v>0</v>
      </c>
      <c r="L178" s="151">
        <v>6278</v>
      </c>
      <c r="M178" s="153">
        <f t="shared" si="0"/>
        <v>5845.666666666667</v>
      </c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</row>
    <row r="179" spans="1:26" ht="15.75" customHeight="1">
      <c r="A179" s="148">
        <v>177</v>
      </c>
      <c r="B179" s="138" t="s">
        <v>473</v>
      </c>
      <c r="C179" s="139" t="s">
        <v>474</v>
      </c>
      <c r="D179" s="140">
        <v>165</v>
      </c>
      <c r="E179" s="141">
        <v>0</v>
      </c>
      <c r="F179" s="142">
        <v>165</v>
      </c>
      <c r="G179" s="151">
        <v>183</v>
      </c>
      <c r="H179" s="152">
        <v>0</v>
      </c>
      <c r="I179" s="151">
        <v>183</v>
      </c>
      <c r="J179" s="151">
        <v>194</v>
      </c>
      <c r="K179" s="152">
        <v>0</v>
      </c>
      <c r="L179" s="151">
        <v>194</v>
      </c>
      <c r="M179" s="153">
        <f t="shared" si="0"/>
        <v>180.66666666666666</v>
      </c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</row>
    <row r="180" spans="1:26" ht="15.75" customHeight="1">
      <c r="A180" s="148">
        <v>178</v>
      </c>
      <c r="B180" s="138" t="s">
        <v>475</v>
      </c>
      <c r="C180" s="139" t="s">
        <v>476</v>
      </c>
      <c r="D180" s="140">
        <v>816</v>
      </c>
      <c r="E180" s="141">
        <v>0</v>
      </c>
      <c r="F180" s="142">
        <v>816</v>
      </c>
      <c r="G180" s="151">
        <v>906</v>
      </c>
      <c r="H180" s="152">
        <v>0</v>
      </c>
      <c r="I180" s="151">
        <v>906</v>
      </c>
      <c r="J180" s="151">
        <v>960</v>
      </c>
      <c r="K180" s="152">
        <v>0</v>
      </c>
      <c r="L180" s="151">
        <v>960</v>
      </c>
      <c r="M180" s="153">
        <f t="shared" si="0"/>
        <v>894</v>
      </c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</row>
    <row r="181" spans="1:26" ht="15.75" customHeight="1">
      <c r="A181" s="148">
        <v>179</v>
      </c>
      <c r="B181" s="138" t="s">
        <v>477</v>
      </c>
      <c r="C181" s="139" t="s">
        <v>259</v>
      </c>
      <c r="D181" s="140">
        <v>210</v>
      </c>
      <c r="E181" s="141">
        <v>0</v>
      </c>
      <c r="F181" s="142">
        <v>210</v>
      </c>
      <c r="G181" s="151">
        <v>233</v>
      </c>
      <c r="H181" s="152">
        <v>0</v>
      </c>
      <c r="I181" s="151">
        <v>233</v>
      </c>
      <c r="J181" s="151">
        <v>247</v>
      </c>
      <c r="K181" s="152">
        <v>0</v>
      </c>
      <c r="L181" s="151">
        <v>247</v>
      </c>
      <c r="M181" s="153">
        <f t="shared" si="0"/>
        <v>230</v>
      </c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</row>
    <row r="182" spans="1:26" ht="15.75" customHeight="1">
      <c r="A182" s="148">
        <v>180</v>
      </c>
      <c r="B182" s="138" t="s">
        <v>478</v>
      </c>
      <c r="C182" s="139" t="s">
        <v>429</v>
      </c>
      <c r="D182" s="140">
        <v>4773</v>
      </c>
      <c r="E182" s="141">
        <v>0</v>
      </c>
      <c r="F182" s="142">
        <v>4773</v>
      </c>
      <c r="G182" s="151">
        <v>5298</v>
      </c>
      <c r="H182" s="152">
        <v>0</v>
      </c>
      <c r="I182" s="151">
        <v>5298</v>
      </c>
      <c r="J182" s="151">
        <v>5616</v>
      </c>
      <c r="K182" s="152">
        <v>0</v>
      </c>
      <c r="L182" s="151">
        <v>5616</v>
      </c>
      <c r="M182" s="153">
        <f t="shared" si="0"/>
        <v>5229</v>
      </c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</row>
    <row r="183" spans="1:26" ht="15.75" customHeight="1">
      <c r="A183" s="148">
        <v>181</v>
      </c>
      <c r="B183" s="138" t="s">
        <v>479</v>
      </c>
      <c r="C183" s="139" t="s">
        <v>466</v>
      </c>
      <c r="D183" s="140">
        <v>505</v>
      </c>
      <c r="E183" s="141">
        <v>0</v>
      </c>
      <c r="F183" s="142">
        <v>505</v>
      </c>
      <c r="G183" s="151">
        <v>561</v>
      </c>
      <c r="H183" s="152">
        <v>0</v>
      </c>
      <c r="I183" s="151">
        <v>561</v>
      </c>
      <c r="J183" s="151">
        <v>595</v>
      </c>
      <c r="K183" s="152">
        <v>0</v>
      </c>
      <c r="L183" s="151">
        <v>595</v>
      </c>
      <c r="M183" s="153">
        <f t="shared" si="0"/>
        <v>553.66666666666663</v>
      </c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</row>
    <row r="184" spans="1:26" ht="15.75" customHeight="1">
      <c r="A184" s="148">
        <v>182</v>
      </c>
      <c r="B184" s="138" t="s">
        <v>480</v>
      </c>
      <c r="C184" s="139" t="s">
        <v>466</v>
      </c>
      <c r="D184" s="140">
        <v>803</v>
      </c>
      <c r="E184" s="141">
        <v>0</v>
      </c>
      <c r="F184" s="142">
        <v>803</v>
      </c>
      <c r="G184" s="151">
        <v>891</v>
      </c>
      <c r="H184" s="152">
        <v>0</v>
      </c>
      <c r="I184" s="151">
        <v>891</v>
      </c>
      <c r="J184" s="151">
        <v>944</v>
      </c>
      <c r="K184" s="152">
        <v>0</v>
      </c>
      <c r="L184" s="151">
        <v>944</v>
      </c>
      <c r="M184" s="153">
        <f t="shared" si="0"/>
        <v>879.33333333333337</v>
      </c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</row>
    <row r="185" spans="1:26" ht="15.75" customHeight="1">
      <c r="A185" s="148">
        <v>183</v>
      </c>
      <c r="B185" s="138" t="s">
        <v>481</v>
      </c>
      <c r="C185" s="139" t="s">
        <v>466</v>
      </c>
      <c r="D185" s="140">
        <v>1920</v>
      </c>
      <c r="E185" s="141">
        <v>0</v>
      </c>
      <c r="F185" s="142">
        <v>1920</v>
      </c>
      <c r="G185" s="151">
        <v>2131</v>
      </c>
      <c r="H185" s="152">
        <v>0</v>
      </c>
      <c r="I185" s="151">
        <v>2131</v>
      </c>
      <c r="J185" s="151">
        <v>2259</v>
      </c>
      <c r="K185" s="152">
        <v>0</v>
      </c>
      <c r="L185" s="151">
        <v>2259</v>
      </c>
      <c r="M185" s="153">
        <f t="shared" si="0"/>
        <v>2103.3333333333335</v>
      </c>
      <c r="N185" s="130"/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</row>
    <row r="186" spans="1:26" ht="15.75" customHeight="1">
      <c r="A186" s="148">
        <v>184</v>
      </c>
      <c r="B186" s="138" t="s">
        <v>482</v>
      </c>
      <c r="C186" s="139" t="s">
        <v>466</v>
      </c>
      <c r="D186" s="140">
        <v>1451</v>
      </c>
      <c r="E186" s="141">
        <v>0</v>
      </c>
      <c r="F186" s="142">
        <v>1451</v>
      </c>
      <c r="G186" s="151">
        <v>1611</v>
      </c>
      <c r="H186" s="152">
        <v>0</v>
      </c>
      <c r="I186" s="151">
        <v>1611</v>
      </c>
      <c r="J186" s="151">
        <v>1708</v>
      </c>
      <c r="K186" s="152">
        <v>0</v>
      </c>
      <c r="L186" s="151">
        <v>1708</v>
      </c>
      <c r="M186" s="153">
        <f t="shared" si="0"/>
        <v>1590</v>
      </c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</row>
    <row r="187" spans="1:26" ht="15.75" customHeight="1">
      <c r="A187" s="148">
        <v>185</v>
      </c>
      <c r="B187" s="138" t="s">
        <v>483</v>
      </c>
      <c r="C187" s="139" t="s">
        <v>484</v>
      </c>
      <c r="D187" s="140">
        <v>20401</v>
      </c>
      <c r="E187" s="141">
        <v>0</v>
      </c>
      <c r="F187" s="142">
        <v>20401</v>
      </c>
      <c r="G187" s="151">
        <v>22645</v>
      </c>
      <c r="H187" s="152">
        <v>0</v>
      </c>
      <c r="I187" s="151">
        <v>22645</v>
      </c>
      <c r="J187" s="151">
        <v>24004</v>
      </c>
      <c r="K187" s="152">
        <v>0</v>
      </c>
      <c r="L187" s="151">
        <v>24004</v>
      </c>
      <c r="M187" s="153">
        <f t="shared" si="0"/>
        <v>22350</v>
      </c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</row>
    <row r="188" spans="1:26" ht="15.75" customHeight="1">
      <c r="A188" s="148">
        <v>186</v>
      </c>
      <c r="B188" s="138" t="s">
        <v>485</v>
      </c>
      <c r="C188" s="139" t="s">
        <v>484</v>
      </c>
      <c r="D188" s="140">
        <v>11698</v>
      </c>
      <c r="E188" s="141">
        <v>0</v>
      </c>
      <c r="F188" s="142">
        <v>11698</v>
      </c>
      <c r="G188" s="151">
        <v>12985</v>
      </c>
      <c r="H188" s="152">
        <v>0</v>
      </c>
      <c r="I188" s="151">
        <v>12985</v>
      </c>
      <c r="J188" s="151">
        <v>13764</v>
      </c>
      <c r="K188" s="152">
        <v>0</v>
      </c>
      <c r="L188" s="151">
        <v>13764</v>
      </c>
      <c r="M188" s="153">
        <f t="shared" si="0"/>
        <v>12815.666666666666</v>
      </c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</row>
    <row r="189" spans="1:26" ht="15.75" customHeight="1">
      <c r="A189" s="148">
        <v>187</v>
      </c>
      <c r="B189" s="138" t="s">
        <v>486</v>
      </c>
      <c r="C189" s="139" t="s">
        <v>487</v>
      </c>
      <c r="D189" s="140">
        <v>117914</v>
      </c>
      <c r="E189" s="141">
        <v>0</v>
      </c>
      <c r="F189" s="142">
        <v>117914</v>
      </c>
      <c r="G189" s="151">
        <v>130885</v>
      </c>
      <c r="H189" s="152">
        <v>0</v>
      </c>
      <c r="I189" s="151">
        <v>130885</v>
      </c>
      <c r="J189" s="151">
        <v>138738</v>
      </c>
      <c r="K189" s="152">
        <v>0</v>
      </c>
      <c r="L189" s="151">
        <v>138738</v>
      </c>
      <c r="M189" s="153">
        <f t="shared" si="0"/>
        <v>129179</v>
      </c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</row>
    <row r="190" spans="1:26" ht="15.75" customHeight="1">
      <c r="A190" s="148">
        <v>188</v>
      </c>
      <c r="B190" s="138" t="s">
        <v>488</v>
      </c>
      <c r="C190" s="139" t="s">
        <v>455</v>
      </c>
      <c r="D190" s="140">
        <v>27139</v>
      </c>
      <c r="E190" s="141">
        <v>0</v>
      </c>
      <c r="F190" s="142">
        <v>27139</v>
      </c>
      <c r="G190" s="151">
        <v>30124</v>
      </c>
      <c r="H190" s="152">
        <v>0</v>
      </c>
      <c r="I190" s="151">
        <v>30124</v>
      </c>
      <c r="J190" s="151">
        <v>31931</v>
      </c>
      <c r="K190" s="152">
        <v>0</v>
      </c>
      <c r="L190" s="151">
        <v>31931</v>
      </c>
      <c r="M190" s="153">
        <f t="shared" si="0"/>
        <v>29731.333333333332</v>
      </c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</row>
    <row r="191" spans="1:26" ht="15.75" customHeight="1">
      <c r="A191" s="148">
        <v>189</v>
      </c>
      <c r="B191" s="138" t="s">
        <v>489</v>
      </c>
      <c r="C191" s="139" t="s">
        <v>429</v>
      </c>
      <c r="D191" s="140">
        <v>839</v>
      </c>
      <c r="E191" s="141">
        <v>0</v>
      </c>
      <c r="F191" s="142">
        <v>839</v>
      </c>
      <c r="G191" s="151">
        <v>931</v>
      </c>
      <c r="H191" s="152">
        <v>0</v>
      </c>
      <c r="I191" s="151">
        <v>931</v>
      </c>
      <c r="J191" s="151">
        <v>987</v>
      </c>
      <c r="K191" s="152">
        <v>0</v>
      </c>
      <c r="L191" s="151">
        <v>987</v>
      </c>
      <c r="M191" s="153">
        <f t="shared" si="0"/>
        <v>919</v>
      </c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</row>
    <row r="192" spans="1:26" ht="15.75" customHeight="1">
      <c r="A192" s="148">
        <v>190</v>
      </c>
      <c r="B192" s="138" t="s">
        <v>490</v>
      </c>
      <c r="C192" s="139" t="s">
        <v>259</v>
      </c>
      <c r="D192" s="140">
        <v>142</v>
      </c>
      <c r="E192" s="141">
        <v>0</v>
      </c>
      <c r="F192" s="142">
        <v>142</v>
      </c>
      <c r="G192" s="151">
        <v>158</v>
      </c>
      <c r="H192" s="152">
        <v>0</v>
      </c>
      <c r="I192" s="151">
        <v>158</v>
      </c>
      <c r="J192" s="151">
        <v>167</v>
      </c>
      <c r="K192" s="152">
        <v>0</v>
      </c>
      <c r="L192" s="151">
        <v>167</v>
      </c>
      <c r="M192" s="153">
        <f t="shared" si="0"/>
        <v>155.66666666666666</v>
      </c>
      <c r="N192" s="130"/>
      <c r="O192" s="130"/>
      <c r="P192" s="130"/>
      <c r="Q192" s="130"/>
      <c r="R192" s="130"/>
      <c r="S192" s="130"/>
      <c r="T192" s="130"/>
      <c r="U192" s="130"/>
      <c r="V192" s="130"/>
      <c r="W192" s="130"/>
      <c r="X192" s="130"/>
      <c r="Y192" s="130"/>
      <c r="Z192" s="130"/>
    </row>
    <row r="193" spans="1:26" ht="15.75" customHeight="1">
      <c r="A193" s="148">
        <v>191</v>
      </c>
      <c r="B193" s="138" t="s">
        <v>491</v>
      </c>
      <c r="C193" s="139" t="s">
        <v>266</v>
      </c>
      <c r="D193" s="140">
        <v>68128</v>
      </c>
      <c r="E193" s="141">
        <v>0</v>
      </c>
      <c r="F193" s="142">
        <v>68128</v>
      </c>
      <c r="G193" s="151">
        <v>75622</v>
      </c>
      <c r="H193" s="152">
        <v>0</v>
      </c>
      <c r="I193" s="151">
        <v>75622</v>
      </c>
      <c r="J193" s="151">
        <v>80159</v>
      </c>
      <c r="K193" s="152">
        <v>0</v>
      </c>
      <c r="L193" s="151">
        <v>80159</v>
      </c>
      <c r="M193" s="153">
        <f t="shared" si="0"/>
        <v>74636.333333333328</v>
      </c>
      <c r="N193" s="130"/>
      <c r="O193" s="130"/>
      <c r="P193" s="130"/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</row>
    <row r="194" spans="1:26" ht="15.75" customHeight="1">
      <c r="A194" s="148">
        <v>192</v>
      </c>
      <c r="B194" s="138" t="s">
        <v>492</v>
      </c>
      <c r="C194" s="139" t="s">
        <v>255</v>
      </c>
      <c r="D194" s="140">
        <v>79358</v>
      </c>
      <c r="E194" s="141">
        <v>0</v>
      </c>
      <c r="F194" s="142">
        <v>79358</v>
      </c>
      <c r="G194" s="151">
        <v>88087</v>
      </c>
      <c r="H194" s="152">
        <v>0</v>
      </c>
      <c r="I194" s="151">
        <v>88087</v>
      </c>
      <c r="J194" s="151">
        <v>93372</v>
      </c>
      <c r="K194" s="152">
        <v>0</v>
      </c>
      <c r="L194" s="151">
        <v>93372</v>
      </c>
      <c r="M194" s="153">
        <f t="shared" si="0"/>
        <v>86939</v>
      </c>
      <c r="N194" s="130"/>
      <c r="O194" s="130"/>
      <c r="P194" s="130"/>
      <c r="Q194" s="130"/>
      <c r="R194" s="130"/>
      <c r="S194" s="130"/>
      <c r="T194" s="130"/>
      <c r="U194" s="130"/>
      <c r="V194" s="130"/>
      <c r="W194" s="130"/>
      <c r="X194" s="130"/>
      <c r="Y194" s="130"/>
      <c r="Z194" s="130"/>
    </row>
    <row r="195" spans="1:26" ht="15.75" customHeight="1">
      <c r="A195" s="148">
        <v>195</v>
      </c>
      <c r="B195" s="138" t="s">
        <v>493</v>
      </c>
      <c r="C195" s="139" t="s">
        <v>296</v>
      </c>
      <c r="D195" s="140">
        <v>58957</v>
      </c>
      <c r="E195" s="141">
        <v>0</v>
      </c>
      <c r="F195" s="142">
        <v>58957</v>
      </c>
      <c r="G195" s="151">
        <v>66032</v>
      </c>
      <c r="H195" s="152">
        <v>0</v>
      </c>
      <c r="I195" s="151">
        <v>66032</v>
      </c>
      <c r="J195" s="151">
        <v>69994</v>
      </c>
      <c r="K195" s="152">
        <v>0</v>
      </c>
      <c r="L195" s="151">
        <v>69994</v>
      </c>
      <c r="M195" s="153">
        <f t="shared" si="0"/>
        <v>64994.333333333336</v>
      </c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</row>
    <row r="196" spans="1:26" ht="15.75" customHeight="1">
      <c r="A196" s="148">
        <v>196</v>
      </c>
      <c r="B196" s="138" t="s">
        <v>494</v>
      </c>
      <c r="C196" s="139" t="s">
        <v>484</v>
      </c>
      <c r="D196" s="140">
        <v>39003</v>
      </c>
      <c r="E196" s="141">
        <v>0</v>
      </c>
      <c r="F196" s="142">
        <v>39003</v>
      </c>
      <c r="G196" s="151">
        <v>43683</v>
      </c>
      <c r="H196" s="152">
        <v>0</v>
      </c>
      <c r="I196" s="151">
        <v>43683</v>
      </c>
      <c r="J196" s="151">
        <v>46304</v>
      </c>
      <c r="K196" s="152">
        <v>0</v>
      </c>
      <c r="L196" s="151">
        <v>46304</v>
      </c>
      <c r="M196" s="153">
        <f t="shared" si="0"/>
        <v>42996.666666666664</v>
      </c>
      <c r="N196" s="130"/>
      <c r="O196" s="130"/>
      <c r="P196" s="130"/>
      <c r="Q196" s="130"/>
      <c r="R196" s="130"/>
      <c r="S196" s="130"/>
      <c r="T196" s="130"/>
      <c r="U196" s="130"/>
      <c r="V196" s="130"/>
      <c r="W196" s="130"/>
      <c r="X196" s="130"/>
      <c r="Y196" s="130"/>
      <c r="Z196" s="130"/>
    </row>
    <row r="197" spans="1:26" ht="15.75" customHeight="1">
      <c r="A197" s="148">
        <v>197</v>
      </c>
      <c r="B197" s="138" t="s">
        <v>495</v>
      </c>
      <c r="C197" s="139" t="s">
        <v>496</v>
      </c>
      <c r="D197" s="140">
        <v>80762</v>
      </c>
      <c r="E197" s="141">
        <v>0</v>
      </c>
      <c r="F197" s="142">
        <v>80762</v>
      </c>
      <c r="G197" s="151">
        <v>90453</v>
      </c>
      <c r="H197" s="152">
        <v>0</v>
      </c>
      <c r="I197" s="151">
        <v>90453</v>
      </c>
      <c r="J197" s="151">
        <v>95880</v>
      </c>
      <c r="K197" s="152">
        <v>0</v>
      </c>
      <c r="L197" s="151">
        <v>95880</v>
      </c>
      <c r="M197" s="153">
        <f t="shared" si="0"/>
        <v>89031.666666666672</v>
      </c>
      <c r="N197" s="130"/>
      <c r="O197" s="130"/>
      <c r="P197" s="130"/>
      <c r="Q197" s="130"/>
      <c r="R197" s="130"/>
      <c r="S197" s="130"/>
      <c r="T197" s="130"/>
      <c r="U197" s="130"/>
      <c r="V197" s="130"/>
      <c r="W197" s="130"/>
      <c r="X197" s="130"/>
      <c r="Y197" s="130"/>
      <c r="Z197" s="130"/>
    </row>
    <row r="198" spans="1:26" ht="15.75" customHeight="1">
      <c r="A198" s="148">
        <v>198</v>
      </c>
      <c r="B198" s="138" t="s">
        <v>497</v>
      </c>
      <c r="C198" s="139" t="s">
        <v>255</v>
      </c>
      <c r="D198" s="140">
        <v>49225</v>
      </c>
      <c r="E198" s="141">
        <v>0</v>
      </c>
      <c r="F198" s="142">
        <v>49225</v>
      </c>
      <c r="G198" s="151">
        <v>55132</v>
      </c>
      <c r="H198" s="152">
        <v>0</v>
      </c>
      <c r="I198" s="151">
        <v>55132</v>
      </c>
      <c r="J198" s="151">
        <v>58440</v>
      </c>
      <c r="K198" s="152">
        <v>0</v>
      </c>
      <c r="L198" s="151">
        <v>58440</v>
      </c>
      <c r="M198" s="153">
        <f t="shared" si="0"/>
        <v>54265.666666666664</v>
      </c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</row>
    <row r="199" spans="1:26" ht="15.75" customHeight="1">
      <c r="A199" s="148">
        <v>199</v>
      </c>
      <c r="B199" s="138" t="s">
        <v>498</v>
      </c>
      <c r="C199" s="139" t="s">
        <v>499</v>
      </c>
      <c r="D199" s="140">
        <v>4523</v>
      </c>
      <c r="E199" s="141">
        <v>0</v>
      </c>
      <c r="F199" s="142">
        <v>4523</v>
      </c>
      <c r="G199" s="151">
        <v>5066</v>
      </c>
      <c r="H199" s="152">
        <v>0</v>
      </c>
      <c r="I199" s="151">
        <v>5066</v>
      </c>
      <c r="J199" s="151">
        <v>5370</v>
      </c>
      <c r="K199" s="152">
        <v>0</v>
      </c>
      <c r="L199" s="151">
        <v>5370</v>
      </c>
      <c r="M199" s="153">
        <f t="shared" si="0"/>
        <v>4986.333333333333</v>
      </c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</row>
    <row r="200" spans="1:26" ht="15.75" customHeight="1">
      <c r="A200" s="148">
        <v>200</v>
      </c>
      <c r="B200" s="138" t="s">
        <v>500</v>
      </c>
      <c r="C200" s="139" t="s">
        <v>501</v>
      </c>
      <c r="D200" s="140">
        <v>197078</v>
      </c>
      <c r="E200" s="141">
        <v>0</v>
      </c>
      <c r="F200" s="142">
        <v>197078</v>
      </c>
      <c r="G200" s="151">
        <v>220727</v>
      </c>
      <c r="H200" s="152">
        <v>0</v>
      </c>
      <c r="I200" s="151">
        <v>220727</v>
      </c>
      <c r="J200" s="151">
        <v>233971</v>
      </c>
      <c r="K200" s="152">
        <v>0</v>
      </c>
      <c r="L200" s="151">
        <v>233971</v>
      </c>
      <c r="M200" s="153">
        <f t="shared" si="0"/>
        <v>217258.66666666666</v>
      </c>
      <c r="N200" s="130"/>
      <c r="O200" s="130"/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</row>
    <row r="201" spans="1:26" ht="15.75" customHeight="1">
      <c r="A201" s="148">
        <v>201</v>
      </c>
      <c r="B201" s="138" t="s">
        <v>502</v>
      </c>
      <c r="C201" s="139" t="s">
        <v>503</v>
      </c>
      <c r="D201" s="140">
        <v>108556</v>
      </c>
      <c r="E201" s="141">
        <v>0</v>
      </c>
      <c r="F201" s="142">
        <v>108556</v>
      </c>
      <c r="G201" s="151">
        <v>121583</v>
      </c>
      <c r="H201" s="152">
        <v>0</v>
      </c>
      <c r="I201" s="151">
        <v>121583</v>
      </c>
      <c r="J201" s="151">
        <v>128878</v>
      </c>
      <c r="K201" s="152">
        <v>0</v>
      </c>
      <c r="L201" s="151">
        <v>128878</v>
      </c>
      <c r="M201" s="153">
        <f t="shared" si="0"/>
        <v>119672.33333333333</v>
      </c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</row>
    <row r="202" spans="1:26" ht="15.75" customHeight="1">
      <c r="A202" s="148">
        <v>202</v>
      </c>
      <c r="B202" s="138" t="s">
        <v>504</v>
      </c>
      <c r="C202" s="139" t="s">
        <v>266</v>
      </c>
      <c r="D202" s="140">
        <v>6456</v>
      </c>
      <c r="E202" s="141">
        <v>0</v>
      </c>
      <c r="F202" s="142">
        <v>6456</v>
      </c>
      <c r="G202" s="151">
        <v>7231</v>
      </c>
      <c r="H202" s="152">
        <v>0</v>
      </c>
      <c r="I202" s="151">
        <v>7231</v>
      </c>
      <c r="J202" s="151">
        <v>7665</v>
      </c>
      <c r="K202" s="152">
        <v>0</v>
      </c>
      <c r="L202" s="151">
        <v>7665</v>
      </c>
      <c r="M202" s="153">
        <f t="shared" si="0"/>
        <v>7117.333333333333</v>
      </c>
      <c r="N202" s="130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</row>
    <row r="203" spans="1:26" ht="15.75" customHeight="1">
      <c r="A203" s="148">
        <v>203</v>
      </c>
      <c r="B203" s="138" t="s">
        <v>505</v>
      </c>
      <c r="C203" s="139" t="s">
        <v>266</v>
      </c>
      <c r="D203" s="140">
        <v>5906</v>
      </c>
      <c r="E203" s="141">
        <v>0</v>
      </c>
      <c r="F203" s="142">
        <v>5906</v>
      </c>
      <c r="G203" s="151">
        <v>6615</v>
      </c>
      <c r="H203" s="152">
        <v>0</v>
      </c>
      <c r="I203" s="151">
        <v>6615</v>
      </c>
      <c r="J203" s="151">
        <v>7012</v>
      </c>
      <c r="K203" s="152">
        <v>0</v>
      </c>
      <c r="L203" s="151">
        <v>7012</v>
      </c>
      <c r="M203" s="153">
        <f t="shared" si="0"/>
        <v>6511</v>
      </c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</row>
    <row r="204" spans="1:26" ht="15.75" customHeight="1">
      <c r="A204" s="148">
        <v>204</v>
      </c>
      <c r="B204" s="138" t="s">
        <v>506</v>
      </c>
      <c r="C204" s="139" t="s">
        <v>507</v>
      </c>
      <c r="D204" s="140">
        <v>3780</v>
      </c>
      <c r="E204" s="141">
        <v>0</v>
      </c>
      <c r="F204" s="142">
        <v>3780</v>
      </c>
      <c r="G204" s="151">
        <v>4234</v>
      </c>
      <c r="H204" s="152">
        <v>0</v>
      </c>
      <c r="I204" s="151">
        <v>4234</v>
      </c>
      <c r="J204" s="151">
        <v>4488</v>
      </c>
      <c r="K204" s="152">
        <v>0</v>
      </c>
      <c r="L204" s="151">
        <v>4488</v>
      </c>
      <c r="M204" s="153">
        <f t="shared" si="0"/>
        <v>4167.333333333333</v>
      </c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</row>
    <row r="205" spans="1:26" ht="15.75" customHeight="1">
      <c r="A205" s="148">
        <v>205</v>
      </c>
      <c r="B205" s="138" t="s">
        <v>508</v>
      </c>
      <c r="C205" s="139" t="s">
        <v>484</v>
      </c>
      <c r="D205" s="140">
        <v>98262</v>
      </c>
      <c r="E205" s="141">
        <v>0</v>
      </c>
      <c r="F205" s="142">
        <v>98262</v>
      </c>
      <c r="G205" s="151">
        <v>110053</v>
      </c>
      <c r="H205" s="152">
        <v>0</v>
      </c>
      <c r="I205" s="151">
        <v>110053</v>
      </c>
      <c r="J205" s="151">
        <v>116656</v>
      </c>
      <c r="K205" s="152">
        <v>0</v>
      </c>
      <c r="L205" s="151">
        <v>116656</v>
      </c>
      <c r="M205" s="153">
        <f t="shared" si="0"/>
        <v>108323.66666666667</v>
      </c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</row>
    <row r="206" spans="1:26" ht="15.75" customHeight="1">
      <c r="A206" s="148">
        <v>206</v>
      </c>
      <c r="B206" s="138" t="s">
        <v>509</v>
      </c>
      <c r="C206" s="139" t="s">
        <v>510</v>
      </c>
      <c r="D206" s="140">
        <v>67597</v>
      </c>
      <c r="E206" s="141">
        <v>0</v>
      </c>
      <c r="F206" s="142">
        <v>67597</v>
      </c>
      <c r="G206" s="151">
        <v>75709</v>
      </c>
      <c r="H206" s="152">
        <v>0</v>
      </c>
      <c r="I206" s="151">
        <v>75709</v>
      </c>
      <c r="J206" s="151">
        <v>80252</v>
      </c>
      <c r="K206" s="152">
        <v>0</v>
      </c>
      <c r="L206" s="151">
        <v>80252</v>
      </c>
      <c r="M206" s="153">
        <f t="shared" si="0"/>
        <v>74519.333333333328</v>
      </c>
      <c r="N206" s="130"/>
      <c r="O206" s="130"/>
      <c r="P206" s="130"/>
      <c r="Q206" s="130"/>
      <c r="R206" s="130"/>
      <c r="S206" s="130"/>
      <c r="T206" s="130"/>
      <c r="U206" s="130"/>
      <c r="V206" s="130"/>
      <c r="W206" s="130"/>
      <c r="X206" s="130"/>
      <c r="Y206" s="130"/>
      <c r="Z206" s="130"/>
    </row>
    <row r="207" spans="1:26" ht="15.75" customHeight="1">
      <c r="A207" s="148">
        <v>207</v>
      </c>
      <c r="B207" s="138" t="s">
        <v>511</v>
      </c>
      <c r="C207" s="139" t="s">
        <v>512</v>
      </c>
      <c r="D207" s="140">
        <v>181627</v>
      </c>
      <c r="E207" s="141">
        <v>0</v>
      </c>
      <c r="F207" s="142">
        <v>181627</v>
      </c>
      <c r="G207" s="151">
        <v>203422</v>
      </c>
      <c r="H207" s="152">
        <v>0</v>
      </c>
      <c r="I207" s="151">
        <v>203422</v>
      </c>
      <c r="J207" s="151">
        <v>215627</v>
      </c>
      <c r="K207" s="152">
        <v>0</v>
      </c>
      <c r="L207" s="151">
        <v>215627</v>
      </c>
      <c r="M207" s="153">
        <f t="shared" si="0"/>
        <v>200225.33333333334</v>
      </c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  <c r="Z207" s="130"/>
    </row>
    <row r="208" spans="1:26" ht="15.75" customHeight="1">
      <c r="A208" s="148">
        <v>208</v>
      </c>
      <c r="B208" s="138" t="s">
        <v>513</v>
      </c>
      <c r="C208" s="139" t="s">
        <v>255</v>
      </c>
      <c r="D208" s="140">
        <v>60829</v>
      </c>
      <c r="E208" s="141">
        <v>0</v>
      </c>
      <c r="F208" s="142">
        <v>60829</v>
      </c>
      <c r="G208" s="151">
        <v>68128</v>
      </c>
      <c r="H208" s="152">
        <v>0</v>
      </c>
      <c r="I208" s="151">
        <v>68128</v>
      </c>
      <c r="J208" s="151">
        <v>72216</v>
      </c>
      <c r="K208" s="152">
        <v>0</v>
      </c>
      <c r="L208" s="151">
        <v>72216</v>
      </c>
      <c r="M208" s="153">
        <f t="shared" si="0"/>
        <v>67057.666666666672</v>
      </c>
      <c r="N208" s="130"/>
      <c r="O208" s="130"/>
      <c r="P208" s="130"/>
      <c r="Q208" s="130"/>
      <c r="R208" s="130"/>
      <c r="S208" s="130"/>
      <c r="T208" s="130"/>
      <c r="U208" s="130"/>
      <c r="V208" s="130"/>
      <c r="W208" s="130"/>
      <c r="X208" s="130"/>
      <c r="Y208" s="130"/>
      <c r="Z208" s="130"/>
    </row>
    <row r="209" spans="1:26" ht="15.75" customHeight="1">
      <c r="A209" s="148">
        <v>209</v>
      </c>
      <c r="B209" s="138" t="s">
        <v>514</v>
      </c>
      <c r="C209" s="139" t="s">
        <v>266</v>
      </c>
      <c r="D209" s="140">
        <v>36497</v>
      </c>
      <c r="E209" s="141">
        <v>0</v>
      </c>
      <c r="F209" s="142">
        <v>36497</v>
      </c>
      <c r="G209" s="151">
        <v>40877</v>
      </c>
      <c r="H209" s="152">
        <v>0</v>
      </c>
      <c r="I209" s="151">
        <v>40877</v>
      </c>
      <c r="J209" s="151">
        <v>43330</v>
      </c>
      <c r="K209" s="152">
        <v>0</v>
      </c>
      <c r="L209" s="151">
        <v>43330</v>
      </c>
      <c r="M209" s="153">
        <f t="shared" si="0"/>
        <v>40234.666666666664</v>
      </c>
      <c r="N209" s="130"/>
      <c r="O209" s="130"/>
      <c r="P209" s="130"/>
      <c r="Q209" s="130"/>
      <c r="R209" s="130"/>
      <c r="S209" s="130"/>
      <c r="T209" s="130"/>
      <c r="U209" s="130"/>
      <c r="V209" s="130"/>
      <c r="W209" s="130"/>
      <c r="X209" s="130"/>
      <c r="Y209" s="130"/>
      <c r="Z209" s="130"/>
    </row>
    <row r="210" spans="1:26" ht="15.75" customHeight="1">
      <c r="A210" s="148">
        <v>210</v>
      </c>
      <c r="B210" s="138" t="s">
        <v>515</v>
      </c>
      <c r="C210" s="139" t="s">
        <v>516</v>
      </c>
      <c r="D210" s="140">
        <v>483730</v>
      </c>
      <c r="E210" s="141">
        <v>0</v>
      </c>
      <c r="F210" s="142">
        <v>483730</v>
      </c>
      <c r="G210" s="151">
        <v>541778</v>
      </c>
      <c r="H210" s="152">
        <v>0</v>
      </c>
      <c r="I210" s="151">
        <v>541778</v>
      </c>
      <c r="J210" s="151">
        <v>574285</v>
      </c>
      <c r="K210" s="152">
        <v>0</v>
      </c>
      <c r="L210" s="151">
        <v>574285</v>
      </c>
      <c r="M210" s="153">
        <f t="shared" si="0"/>
        <v>533264.33333333337</v>
      </c>
      <c r="N210" s="130"/>
      <c r="O210" s="130"/>
      <c r="P210" s="130"/>
      <c r="Q210" s="130"/>
      <c r="R210" s="130"/>
      <c r="S210" s="130"/>
      <c r="T210" s="130"/>
      <c r="U210" s="130"/>
      <c r="V210" s="130"/>
      <c r="W210" s="130"/>
      <c r="X210" s="130"/>
      <c r="Y210" s="130"/>
      <c r="Z210" s="130"/>
    </row>
    <row r="211" spans="1:26" ht="15.75" customHeight="1">
      <c r="A211" s="148">
        <v>211</v>
      </c>
      <c r="B211" s="138" t="s">
        <v>517</v>
      </c>
      <c r="C211" s="139" t="s">
        <v>518</v>
      </c>
      <c r="D211" s="140">
        <v>19615</v>
      </c>
      <c r="E211" s="141">
        <v>0</v>
      </c>
      <c r="F211" s="142">
        <v>19615</v>
      </c>
      <c r="G211" s="151">
        <v>21969</v>
      </c>
      <c r="H211" s="152">
        <v>0</v>
      </c>
      <c r="I211" s="151">
        <v>21969</v>
      </c>
      <c r="J211" s="151">
        <v>23287</v>
      </c>
      <c r="K211" s="152">
        <v>0</v>
      </c>
      <c r="L211" s="151">
        <v>23287</v>
      </c>
      <c r="M211" s="153">
        <f t="shared" si="0"/>
        <v>21623.666666666668</v>
      </c>
      <c r="N211" s="130"/>
      <c r="O211" s="130"/>
      <c r="P211" s="130"/>
      <c r="Q211" s="130"/>
      <c r="R211" s="130"/>
      <c r="S211" s="130"/>
      <c r="T211" s="130"/>
      <c r="U211" s="130"/>
      <c r="V211" s="130"/>
      <c r="W211" s="130"/>
      <c r="X211" s="130"/>
      <c r="Y211" s="130"/>
      <c r="Z211" s="130"/>
    </row>
    <row r="212" spans="1:26" ht="15.75" customHeight="1">
      <c r="A212" s="148">
        <v>212</v>
      </c>
      <c r="B212" s="138" t="s">
        <v>519</v>
      </c>
      <c r="C212" s="139" t="s">
        <v>466</v>
      </c>
      <c r="D212" s="140">
        <v>8111</v>
      </c>
      <c r="E212" s="141">
        <v>0</v>
      </c>
      <c r="F212" s="142">
        <v>8111</v>
      </c>
      <c r="G212" s="151">
        <v>9084</v>
      </c>
      <c r="H212" s="152">
        <v>0</v>
      </c>
      <c r="I212" s="151">
        <v>9084</v>
      </c>
      <c r="J212" s="151">
        <v>9629</v>
      </c>
      <c r="K212" s="152">
        <v>0</v>
      </c>
      <c r="L212" s="151">
        <v>9629</v>
      </c>
      <c r="M212" s="153">
        <f t="shared" si="0"/>
        <v>8941.3333333333339</v>
      </c>
      <c r="N212" s="130"/>
      <c r="O212" s="130"/>
      <c r="P212" s="130"/>
      <c r="Q212" s="130"/>
      <c r="R212" s="130"/>
      <c r="S212" s="130"/>
      <c r="T212" s="130"/>
      <c r="U212" s="130"/>
      <c r="V212" s="130"/>
      <c r="W212" s="130"/>
      <c r="X212" s="130"/>
      <c r="Y212" s="130"/>
      <c r="Z212" s="130"/>
    </row>
    <row r="213" spans="1:26" ht="15.75" customHeight="1">
      <c r="A213" s="148">
        <v>213</v>
      </c>
      <c r="B213" s="138" t="s">
        <v>520</v>
      </c>
      <c r="C213" s="139" t="s">
        <v>266</v>
      </c>
      <c r="D213" s="140">
        <v>3474</v>
      </c>
      <c r="E213" s="141">
        <v>0</v>
      </c>
      <c r="F213" s="142">
        <v>3474</v>
      </c>
      <c r="G213" s="151">
        <v>3891</v>
      </c>
      <c r="H213" s="152">
        <v>0</v>
      </c>
      <c r="I213" s="151">
        <v>3891</v>
      </c>
      <c r="J213" s="151">
        <v>4124</v>
      </c>
      <c r="K213" s="152">
        <v>0</v>
      </c>
      <c r="L213" s="151">
        <v>4124</v>
      </c>
      <c r="M213" s="153">
        <f t="shared" si="0"/>
        <v>3829.6666666666665</v>
      </c>
      <c r="N213" s="130"/>
      <c r="O213" s="130"/>
      <c r="P213" s="130"/>
      <c r="Q213" s="130"/>
      <c r="R213" s="130"/>
      <c r="S213" s="130"/>
      <c r="T213" s="130"/>
      <c r="U213" s="130"/>
      <c r="V213" s="130"/>
      <c r="W213" s="130"/>
      <c r="X213" s="130"/>
      <c r="Y213" s="130"/>
      <c r="Z213" s="130"/>
    </row>
    <row r="214" spans="1:26" ht="15.75" customHeight="1">
      <c r="A214" s="148">
        <v>214</v>
      </c>
      <c r="B214" s="138" t="s">
        <v>521</v>
      </c>
      <c r="C214" s="139" t="s">
        <v>510</v>
      </c>
      <c r="D214" s="140">
        <v>185024</v>
      </c>
      <c r="E214" s="141">
        <v>0</v>
      </c>
      <c r="F214" s="142">
        <v>185024</v>
      </c>
      <c r="G214" s="151">
        <v>207227</v>
      </c>
      <c r="H214" s="152">
        <v>0</v>
      </c>
      <c r="I214" s="151">
        <v>207227</v>
      </c>
      <c r="J214" s="151">
        <v>219661</v>
      </c>
      <c r="K214" s="152">
        <v>0</v>
      </c>
      <c r="L214" s="151">
        <v>219661</v>
      </c>
      <c r="M214" s="153">
        <f t="shared" si="0"/>
        <v>203970.66666666666</v>
      </c>
      <c r="N214" s="130"/>
      <c r="O214" s="130"/>
      <c r="P214" s="130"/>
      <c r="Q214" s="130"/>
      <c r="R214" s="130"/>
      <c r="S214" s="130"/>
      <c r="T214" s="130"/>
      <c r="U214" s="130"/>
      <c r="V214" s="130"/>
      <c r="W214" s="130"/>
      <c r="X214" s="130"/>
      <c r="Y214" s="130"/>
      <c r="Z214" s="130"/>
    </row>
    <row r="215" spans="1:26" ht="15.75" customHeight="1">
      <c r="A215" s="148">
        <v>215</v>
      </c>
      <c r="B215" s="138" t="s">
        <v>522</v>
      </c>
      <c r="C215" s="139" t="s">
        <v>266</v>
      </c>
      <c r="D215" s="140">
        <v>2908</v>
      </c>
      <c r="E215" s="141">
        <v>0</v>
      </c>
      <c r="F215" s="142">
        <v>2908</v>
      </c>
      <c r="G215" s="151">
        <v>3257</v>
      </c>
      <c r="H215" s="152">
        <v>0</v>
      </c>
      <c r="I215" s="151">
        <v>3257</v>
      </c>
      <c r="J215" s="151">
        <v>3452</v>
      </c>
      <c r="K215" s="152">
        <v>0</v>
      </c>
      <c r="L215" s="151">
        <v>3452</v>
      </c>
      <c r="M215" s="153">
        <f t="shared" si="0"/>
        <v>3205.6666666666665</v>
      </c>
      <c r="N215" s="130"/>
      <c r="O215" s="130"/>
      <c r="P215" s="130"/>
      <c r="Q215" s="130"/>
      <c r="R215" s="130"/>
      <c r="S215" s="130"/>
      <c r="T215" s="130"/>
      <c r="U215" s="130"/>
      <c r="V215" s="130"/>
      <c r="W215" s="130"/>
      <c r="X215" s="130"/>
      <c r="Y215" s="130"/>
      <c r="Z215" s="130"/>
    </row>
    <row r="216" spans="1:26" ht="15.75" customHeight="1">
      <c r="A216" s="148">
        <v>216</v>
      </c>
      <c r="B216" s="138" t="s">
        <v>523</v>
      </c>
      <c r="C216" s="139" t="s">
        <v>524</v>
      </c>
      <c r="D216" s="140">
        <v>181265</v>
      </c>
      <c r="E216" s="141">
        <v>0</v>
      </c>
      <c r="F216" s="142">
        <v>181265</v>
      </c>
      <c r="G216" s="151">
        <v>203017</v>
      </c>
      <c r="H216" s="152">
        <v>0</v>
      </c>
      <c r="I216" s="151">
        <v>203017</v>
      </c>
      <c r="J216" s="151">
        <v>215198</v>
      </c>
      <c r="K216" s="152">
        <v>0</v>
      </c>
      <c r="L216" s="151">
        <v>215198</v>
      </c>
      <c r="M216" s="153">
        <f t="shared" si="0"/>
        <v>199826.66666666666</v>
      </c>
      <c r="N216" s="130"/>
      <c r="O216" s="130"/>
      <c r="P216" s="130"/>
      <c r="Q216" s="130"/>
      <c r="R216" s="130"/>
      <c r="S216" s="130"/>
      <c r="T216" s="130"/>
      <c r="U216" s="130"/>
      <c r="V216" s="130"/>
      <c r="W216" s="130"/>
      <c r="X216" s="130"/>
      <c r="Y216" s="130"/>
      <c r="Z216" s="130"/>
    </row>
    <row r="217" spans="1:26" ht="15.75" customHeight="1">
      <c r="A217" s="148">
        <v>217</v>
      </c>
      <c r="B217" s="138" t="s">
        <v>525</v>
      </c>
      <c r="C217" s="139" t="s">
        <v>476</v>
      </c>
      <c r="D217" s="140">
        <v>5100</v>
      </c>
      <c r="E217" s="141">
        <v>0</v>
      </c>
      <c r="F217" s="142">
        <v>5100</v>
      </c>
      <c r="G217" s="151">
        <v>5712</v>
      </c>
      <c r="H217" s="152">
        <v>0</v>
      </c>
      <c r="I217" s="151">
        <v>5712</v>
      </c>
      <c r="J217" s="151">
        <v>6055</v>
      </c>
      <c r="K217" s="152">
        <v>0</v>
      </c>
      <c r="L217" s="151">
        <v>6055</v>
      </c>
      <c r="M217" s="153">
        <f t="shared" si="0"/>
        <v>5622.333333333333</v>
      </c>
      <c r="N217" s="130"/>
      <c r="O217" s="130"/>
      <c r="P217" s="130"/>
      <c r="Q217" s="130"/>
      <c r="R217" s="130"/>
      <c r="S217" s="130"/>
      <c r="T217" s="130"/>
      <c r="U217" s="130"/>
      <c r="V217" s="130"/>
      <c r="W217" s="130"/>
      <c r="X217" s="130"/>
      <c r="Y217" s="130"/>
      <c r="Z217" s="130"/>
    </row>
    <row r="218" spans="1:26" ht="15.75" customHeight="1">
      <c r="A218" s="148">
        <v>218</v>
      </c>
      <c r="B218" s="138" t="s">
        <v>526</v>
      </c>
      <c r="C218" s="139" t="s">
        <v>503</v>
      </c>
      <c r="D218" s="140">
        <v>56524</v>
      </c>
      <c r="E218" s="141">
        <v>0</v>
      </c>
      <c r="F218" s="142">
        <v>56524</v>
      </c>
      <c r="G218" s="151">
        <v>63307</v>
      </c>
      <c r="H218" s="152">
        <v>0</v>
      </c>
      <c r="I218" s="151">
        <v>63307</v>
      </c>
      <c r="J218" s="151">
        <v>67105</v>
      </c>
      <c r="K218" s="152">
        <v>0</v>
      </c>
      <c r="L218" s="151">
        <v>67105</v>
      </c>
      <c r="M218" s="153">
        <f t="shared" si="0"/>
        <v>62312</v>
      </c>
      <c r="N218" s="130"/>
      <c r="O218" s="130"/>
      <c r="P218" s="130"/>
      <c r="Q218" s="130"/>
      <c r="R218" s="130"/>
      <c r="S218" s="130"/>
      <c r="T218" s="130"/>
      <c r="U218" s="130"/>
      <c r="V218" s="130"/>
      <c r="W218" s="130"/>
      <c r="X218" s="130"/>
      <c r="Y218" s="130"/>
      <c r="Z218" s="130"/>
    </row>
    <row r="219" spans="1:26" ht="15.75" customHeight="1">
      <c r="A219" s="148">
        <v>219</v>
      </c>
      <c r="B219" s="138" t="s">
        <v>527</v>
      </c>
      <c r="C219" s="139" t="s">
        <v>512</v>
      </c>
      <c r="D219" s="140">
        <v>61810</v>
      </c>
      <c r="E219" s="141">
        <v>0</v>
      </c>
      <c r="F219" s="142">
        <v>61810</v>
      </c>
      <c r="G219" s="151">
        <v>69227</v>
      </c>
      <c r="H219" s="152">
        <v>0</v>
      </c>
      <c r="I219" s="151">
        <v>69227</v>
      </c>
      <c r="J219" s="151">
        <v>73381</v>
      </c>
      <c r="K219" s="152">
        <v>0</v>
      </c>
      <c r="L219" s="151">
        <v>73381</v>
      </c>
      <c r="M219" s="153">
        <f t="shared" si="0"/>
        <v>68139.333333333328</v>
      </c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  <c r="Y219" s="130"/>
      <c r="Z219" s="130"/>
    </row>
    <row r="220" spans="1:26" ht="15.75" customHeight="1">
      <c r="A220" s="148">
        <v>220</v>
      </c>
      <c r="B220" s="138" t="s">
        <v>528</v>
      </c>
      <c r="C220" s="139" t="s">
        <v>266</v>
      </c>
      <c r="D220" s="140">
        <v>159465</v>
      </c>
      <c r="E220" s="141">
        <v>0</v>
      </c>
      <c r="F220" s="142">
        <v>159465</v>
      </c>
      <c r="G220" s="151">
        <v>178601</v>
      </c>
      <c r="H220" s="152">
        <v>0</v>
      </c>
      <c r="I220" s="151">
        <v>178601</v>
      </c>
      <c r="J220" s="151">
        <v>189317</v>
      </c>
      <c r="K220" s="152">
        <v>0</v>
      </c>
      <c r="L220" s="151">
        <v>189317</v>
      </c>
      <c r="M220" s="153">
        <f t="shared" si="0"/>
        <v>175794.33333333334</v>
      </c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  <c r="Y220" s="130"/>
      <c r="Z220" s="130"/>
    </row>
    <row r="221" spans="1:26" ht="15.75" customHeight="1">
      <c r="A221" s="148">
        <v>221</v>
      </c>
      <c r="B221" s="138" t="s">
        <v>529</v>
      </c>
      <c r="C221" s="139" t="s">
        <v>266</v>
      </c>
      <c r="D221" s="140">
        <v>223373</v>
      </c>
      <c r="E221" s="141">
        <v>0</v>
      </c>
      <c r="F221" s="142">
        <v>223373</v>
      </c>
      <c r="G221" s="151">
        <v>250178</v>
      </c>
      <c r="H221" s="152">
        <v>0</v>
      </c>
      <c r="I221" s="151">
        <v>250178</v>
      </c>
      <c r="J221" s="151">
        <v>265189</v>
      </c>
      <c r="K221" s="152">
        <v>0</v>
      </c>
      <c r="L221" s="151">
        <v>265189</v>
      </c>
      <c r="M221" s="153">
        <f t="shared" si="0"/>
        <v>246246.66666666666</v>
      </c>
      <c r="N221" s="130"/>
      <c r="O221" s="130"/>
      <c r="P221" s="130"/>
      <c r="Q221" s="130"/>
      <c r="R221" s="130"/>
      <c r="S221" s="130"/>
      <c r="T221" s="130"/>
      <c r="U221" s="130"/>
      <c r="V221" s="130"/>
      <c r="W221" s="130"/>
      <c r="X221" s="130"/>
      <c r="Y221" s="130"/>
      <c r="Z221" s="130"/>
    </row>
    <row r="222" spans="1:26" ht="15.75" customHeight="1">
      <c r="A222" s="148">
        <v>222</v>
      </c>
      <c r="B222" s="138" t="s">
        <v>530</v>
      </c>
      <c r="C222" s="139" t="s">
        <v>266</v>
      </c>
      <c r="D222" s="140">
        <v>167888</v>
      </c>
      <c r="E222" s="141">
        <v>0</v>
      </c>
      <c r="F222" s="142">
        <v>167888</v>
      </c>
      <c r="G222" s="151">
        <v>188035</v>
      </c>
      <c r="H222" s="152">
        <v>0</v>
      </c>
      <c r="I222" s="151">
        <v>188035</v>
      </c>
      <c r="J222" s="151">
        <v>199317</v>
      </c>
      <c r="K222" s="152">
        <v>0</v>
      </c>
      <c r="L222" s="151">
        <v>199317</v>
      </c>
      <c r="M222" s="153">
        <f t="shared" si="0"/>
        <v>185080</v>
      </c>
      <c r="N222" s="130"/>
      <c r="O222" s="130"/>
      <c r="P222" s="130"/>
      <c r="Q222" s="130"/>
      <c r="R222" s="130"/>
      <c r="S222" s="130"/>
      <c r="T222" s="130"/>
      <c r="U222" s="130"/>
      <c r="V222" s="130"/>
      <c r="W222" s="130"/>
      <c r="X222" s="130"/>
      <c r="Y222" s="130"/>
      <c r="Z222" s="130"/>
    </row>
    <row r="223" spans="1:26" ht="15.75" customHeight="1">
      <c r="A223" s="148">
        <v>223</v>
      </c>
      <c r="B223" s="138" t="s">
        <v>531</v>
      </c>
      <c r="C223" s="139" t="s">
        <v>266</v>
      </c>
      <c r="D223" s="140">
        <v>293675</v>
      </c>
      <c r="E223" s="141">
        <v>0</v>
      </c>
      <c r="F223" s="142">
        <v>293675</v>
      </c>
      <c r="G223" s="151">
        <v>328916</v>
      </c>
      <c r="H223" s="152">
        <v>0</v>
      </c>
      <c r="I223" s="151">
        <v>328916</v>
      </c>
      <c r="J223" s="151">
        <v>348651</v>
      </c>
      <c r="K223" s="152">
        <v>0</v>
      </c>
      <c r="L223" s="151">
        <v>348651</v>
      </c>
      <c r="M223" s="153">
        <f t="shared" si="0"/>
        <v>323747.33333333331</v>
      </c>
      <c r="N223" s="130"/>
      <c r="O223" s="130"/>
      <c r="P223" s="130"/>
      <c r="Q223" s="130"/>
      <c r="R223" s="130"/>
      <c r="S223" s="130"/>
      <c r="T223" s="130"/>
      <c r="U223" s="130"/>
      <c r="V223" s="130"/>
      <c r="W223" s="130"/>
      <c r="X223" s="130"/>
      <c r="Y223" s="130"/>
      <c r="Z223" s="130"/>
    </row>
    <row r="224" spans="1:26" ht="15.75" customHeight="1">
      <c r="A224" s="148">
        <v>224</v>
      </c>
      <c r="B224" s="138" t="s">
        <v>532</v>
      </c>
      <c r="C224" s="139" t="s">
        <v>266</v>
      </c>
      <c r="D224" s="140">
        <v>183795</v>
      </c>
      <c r="E224" s="141">
        <v>0</v>
      </c>
      <c r="F224" s="142">
        <v>183795</v>
      </c>
      <c r="G224" s="151">
        <v>205850</v>
      </c>
      <c r="H224" s="152">
        <v>0</v>
      </c>
      <c r="I224" s="151">
        <v>205850</v>
      </c>
      <c r="J224" s="151">
        <v>218201</v>
      </c>
      <c r="K224" s="152">
        <v>0</v>
      </c>
      <c r="L224" s="151">
        <v>218201</v>
      </c>
      <c r="M224" s="153">
        <f t="shared" si="0"/>
        <v>202615.33333333334</v>
      </c>
      <c r="N224" s="130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  <c r="Y224" s="130"/>
      <c r="Z224" s="130"/>
    </row>
    <row r="225" spans="1:26" ht="15.75" customHeight="1">
      <c r="A225" s="148">
        <v>225</v>
      </c>
      <c r="B225" s="138" t="s">
        <v>533</v>
      </c>
      <c r="C225" s="139" t="s">
        <v>534</v>
      </c>
      <c r="D225" s="140">
        <v>48975</v>
      </c>
      <c r="E225" s="141">
        <v>0</v>
      </c>
      <c r="F225" s="142">
        <v>48975</v>
      </c>
      <c r="G225" s="151">
        <v>54852</v>
      </c>
      <c r="H225" s="152">
        <v>0</v>
      </c>
      <c r="I225" s="151">
        <v>54852</v>
      </c>
      <c r="J225" s="151">
        <v>58143</v>
      </c>
      <c r="K225" s="152">
        <v>0</v>
      </c>
      <c r="L225" s="151">
        <v>58143</v>
      </c>
      <c r="M225" s="153">
        <f t="shared" si="0"/>
        <v>53990</v>
      </c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</row>
    <row r="226" spans="1:26" ht="15.75" customHeight="1">
      <c r="A226" s="148">
        <v>226</v>
      </c>
      <c r="B226" s="138" t="s">
        <v>535</v>
      </c>
      <c r="C226" s="139" t="s">
        <v>534</v>
      </c>
      <c r="D226" s="140">
        <v>60829</v>
      </c>
      <c r="E226" s="141">
        <v>0</v>
      </c>
      <c r="F226" s="142">
        <v>60829</v>
      </c>
      <c r="G226" s="151">
        <v>68128</v>
      </c>
      <c r="H226" s="152">
        <v>0</v>
      </c>
      <c r="I226" s="151">
        <v>68128</v>
      </c>
      <c r="J226" s="151">
        <v>72216</v>
      </c>
      <c r="K226" s="152">
        <v>0</v>
      </c>
      <c r="L226" s="151">
        <v>72216</v>
      </c>
      <c r="M226" s="153">
        <f t="shared" si="0"/>
        <v>67057.666666666672</v>
      </c>
      <c r="N226" s="130"/>
      <c r="O226" s="130"/>
      <c r="P226" s="130"/>
      <c r="Q226" s="130"/>
      <c r="R226" s="130"/>
      <c r="S226" s="130"/>
      <c r="T226" s="130"/>
      <c r="U226" s="130"/>
      <c r="V226" s="130"/>
      <c r="W226" s="130"/>
      <c r="X226" s="130"/>
      <c r="Y226" s="130"/>
      <c r="Z226" s="130"/>
    </row>
    <row r="227" spans="1:26" ht="15.75" customHeight="1">
      <c r="A227" s="148">
        <v>227</v>
      </c>
      <c r="B227" s="138" t="s">
        <v>536</v>
      </c>
      <c r="C227" s="139" t="s">
        <v>537</v>
      </c>
      <c r="D227" s="140">
        <v>49599</v>
      </c>
      <c r="E227" s="141">
        <v>0</v>
      </c>
      <c r="F227" s="142">
        <v>49599</v>
      </c>
      <c r="G227" s="151">
        <v>55551</v>
      </c>
      <c r="H227" s="152">
        <v>0</v>
      </c>
      <c r="I227" s="151">
        <v>55551</v>
      </c>
      <c r="J227" s="151">
        <v>58884</v>
      </c>
      <c r="K227" s="152">
        <v>0</v>
      </c>
      <c r="L227" s="151">
        <v>58884</v>
      </c>
      <c r="M227" s="153">
        <f t="shared" si="0"/>
        <v>54678</v>
      </c>
      <c r="N227" s="130"/>
      <c r="O227" s="130"/>
      <c r="P227" s="130"/>
      <c r="Q227" s="130"/>
      <c r="R227" s="130"/>
      <c r="S227" s="130"/>
      <c r="T227" s="130"/>
      <c r="U227" s="130"/>
      <c r="V227" s="130"/>
      <c r="W227" s="130"/>
      <c r="X227" s="130"/>
      <c r="Y227" s="130"/>
      <c r="Z227" s="130"/>
    </row>
    <row r="228" spans="1:26" ht="15.75" customHeight="1">
      <c r="A228" s="148">
        <v>228</v>
      </c>
      <c r="B228" s="138" t="s">
        <v>538</v>
      </c>
      <c r="C228" s="139" t="s">
        <v>266</v>
      </c>
      <c r="D228" s="140">
        <v>4122</v>
      </c>
      <c r="E228" s="141">
        <v>0</v>
      </c>
      <c r="F228" s="142">
        <v>4122</v>
      </c>
      <c r="G228" s="151">
        <v>4617</v>
      </c>
      <c r="H228" s="152">
        <v>0</v>
      </c>
      <c r="I228" s="151">
        <v>4617</v>
      </c>
      <c r="J228" s="151">
        <v>4894</v>
      </c>
      <c r="K228" s="152">
        <v>0</v>
      </c>
      <c r="L228" s="151">
        <v>4894</v>
      </c>
      <c r="M228" s="153">
        <f t="shared" si="0"/>
        <v>4544.333333333333</v>
      </c>
      <c r="N228" s="130"/>
      <c r="O228" s="130"/>
      <c r="P228" s="130"/>
      <c r="Q228" s="130"/>
      <c r="R228" s="130"/>
      <c r="S228" s="130"/>
      <c r="T228" s="130"/>
      <c r="U228" s="130"/>
      <c r="V228" s="130"/>
      <c r="W228" s="130"/>
      <c r="X228" s="130"/>
      <c r="Y228" s="130"/>
      <c r="Z228" s="130"/>
    </row>
    <row r="229" spans="1:26" ht="15.75" customHeight="1">
      <c r="A229" s="148">
        <v>229</v>
      </c>
      <c r="B229" s="138" t="s">
        <v>539</v>
      </c>
      <c r="C229" s="139" t="s">
        <v>466</v>
      </c>
      <c r="D229" s="140">
        <v>2468</v>
      </c>
      <c r="E229" s="141">
        <v>0</v>
      </c>
      <c r="F229" s="142">
        <v>2468</v>
      </c>
      <c r="G229" s="151">
        <v>2764</v>
      </c>
      <c r="H229" s="152">
        <v>0</v>
      </c>
      <c r="I229" s="151">
        <v>2764</v>
      </c>
      <c r="J229" s="151">
        <v>2930</v>
      </c>
      <c r="K229" s="152">
        <v>0</v>
      </c>
      <c r="L229" s="151">
        <v>2930</v>
      </c>
      <c r="M229" s="153">
        <f t="shared" si="0"/>
        <v>2720.6666666666665</v>
      </c>
      <c r="N229" s="130"/>
      <c r="O229" s="130"/>
      <c r="P229" s="130"/>
      <c r="Q229" s="130"/>
      <c r="R229" s="130"/>
      <c r="S229" s="130"/>
      <c r="T229" s="130"/>
      <c r="U229" s="130"/>
      <c r="V229" s="130"/>
      <c r="W229" s="130"/>
      <c r="X229" s="130"/>
      <c r="Y229" s="130"/>
      <c r="Z229" s="130"/>
    </row>
    <row r="230" spans="1:26" ht="15.75" customHeight="1">
      <c r="A230" s="148">
        <v>230</v>
      </c>
      <c r="B230" s="138" t="s">
        <v>540</v>
      </c>
      <c r="C230" s="139" t="s">
        <v>484</v>
      </c>
      <c r="D230" s="140">
        <v>75235</v>
      </c>
      <c r="E230" s="141">
        <v>0</v>
      </c>
      <c r="F230" s="142">
        <v>75235</v>
      </c>
      <c r="G230" s="151">
        <v>84263</v>
      </c>
      <c r="H230" s="152">
        <v>0</v>
      </c>
      <c r="I230" s="151">
        <v>84263</v>
      </c>
      <c r="J230" s="151">
        <v>89319</v>
      </c>
      <c r="K230" s="152">
        <v>0</v>
      </c>
      <c r="L230" s="151">
        <v>89319</v>
      </c>
      <c r="M230" s="153">
        <f t="shared" si="0"/>
        <v>82939</v>
      </c>
      <c r="N230" s="130"/>
      <c r="O230" s="130"/>
      <c r="P230" s="130"/>
      <c r="Q230" s="130"/>
      <c r="R230" s="130"/>
      <c r="S230" s="130"/>
      <c r="T230" s="130"/>
      <c r="U230" s="130"/>
      <c r="V230" s="130"/>
      <c r="W230" s="130"/>
      <c r="X230" s="130"/>
      <c r="Y230" s="130"/>
      <c r="Z230" s="130"/>
    </row>
    <row r="231" spans="1:26" ht="15.75" customHeight="1">
      <c r="A231" s="148">
        <v>231</v>
      </c>
      <c r="B231" s="138" t="s">
        <v>541</v>
      </c>
      <c r="C231" s="139" t="s">
        <v>255</v>
      </c>
      <c r="D231" s="140">
        <v>477398</v>
      </c>
      <c r="E231" s="141">
        <v>0</v>
      </c>
      <c r="F231" s="142">
        <v>477398</v>
      </c>
      <c r="G231" s="151">
        <v>534686</v>
      </c>
      <c r="H231" s="152">
        <v>0</v>
      </c>
      <c r="I231" s="151">
        <v>534686</v>
      </c>
      <c r="J231" s="151">
        <v>566767</v>
      </c>
      <c r="K231" s="152">
        <v>0</v>
      </c>
      <c r="L231" s="151">
        <v>566767</v>
      </c>
      <c r="M231" s="153">
        <f t="shared" si="0"/>
        <v>526283.66666666663</v>
      </c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0"/>
      <c r="Y231" s="130"/>
      <c r="Z231" s="130"/>
    </row>
    <row r="232" spans="1:26" ht="15.75" customHeight="1">
      <c r="A232" s="148">
        <v>232</v>
      </c>
      <c r="B232" s="138" t="s">
        <v>542</v>
      </c>
      <c r="C232" s="139" t="s">
        <v>266</v>
      </c>
      <c r="D232" s="140">
        <v>1671</v>
      </c>
      <c r="E232" s="141">
        <v>0</v>
      </c>
      <c r="F232" s="142">
        <v>1671</v>
      </c>
      <c r="G232" s="151">
        <v>1872</v>
      </c>
      <c r="H232" s="152">
        <v>0</v>
      </c>
      <c r="I232" s="151">
        <v>1872</v>
      </c>
      <c r="J232" s="151">
        <v>1984</v>
      </c>
      <c r="K232" s="152">
        <v>0</v>
      </c>
      <c r="L232" s="151">
        <v>1984</v>
      </c>
      <c r="M232" s="153">
        <f t="shared" si="0"/>
        <v>1842.3333333333333</v>
      </c>
      <c r="N232" s="130"/>
      <c r="O232" s="130"/>
      <c r="P232" s="130"/>
      <c r="Q232" s="130"/>
      <c r="R232" s="130"/>
      <c r="S232" s="130"/>
      <c r="T232" s="130"/>
      <c r="U232" s="130"/>
      <c r="V232" s="130"/>
      <c r="W232" s="130"/>
      <c r="X232" s="130"/>
      <c r="Y232" s="130"/>
      <c r="Z232" s="130"/>
    </row>
    <row r="233" spans="1:26" ht="15.75" customHeight="1">
      <c r="A233" s="148">
        <v>233</v>
      </c>
      <c r="B233" s="138" t="s">
        <v>543</v>
      </c>
      <c r="C233" s="139" t="s">
        <v>429</v>
      </c>
      <c r="D233" s="140">
        <v>921</v>
      </c>
      <c r="E233" s="141">
        <v>0</v>
      </c>
      <c r="F233" s="142">
        <v>921</v>
      </c>
      <c r="G233" s="151">
        <v>1032</v>
      </c>
      <c r="H233" s="152">
        <v>0</v>
      </c>
      <c r="I233" s="151">
        <v>1032</v>
      </c>
      <c r="J233" s="151">
        <v>1094</v>
      </c>
      <c r="K233" s="152">
        <v>0</v>
      </c>
      <c r="L233" s="151">
        <v>1094</v>
      </c>
      <c r="M233" s="153">
        <f t="shared" si="0"/>
        <v>1015.6666666666666</v>
      </c>
      <c r="N233" s="130"/>
      <c r="O233" s="130"/>
      <c r="P233" s="130"/>
      <c r="Q233" s="130"/>
      <c r="R233" s="130"/>
      <c r="S233" s="130"/>
      <c r="T233" s="130"/>
      <c r="U233" s="130"/>
      <c r="V233" s="130"/>
      <c r="W233" s="130"/>
      <c r="X233" s="130"/>
      <c r="Y233" s="130"/>
      <c r="Z233" s="130"/>
    </row>
    <row r="234" spans="1:26" ht="15.75" customHeight="1">
      <c r="A234" s="148">
        <v>234</v>
      </c>
      <c r="B234" s="138" t="s">
        <v>544</v>
      </c>
      <c r="C234" s="139" t="s">
        <v>462</v>
      </c>
      <c r="D234" s="140">
        <v>61091</v>
      </c>
      <c r="E234" s="141">
        <v>0</v>
      </c>
      <c r="F234" s="142">
        <v>61091</v>
      </c>
      <c r="G234" s="151">
        <v>68422</v>
      </c>
      <c r="H234" s="152">
        <v>0</v>
      </c>
      <c r="I234" s="151">
        <v>68422</v>
      </c>
      <c r="J234" s="151">
        <v>72527</v>
      </c>
      <c r="K234" s="152">
        <v>0</v>
      </c>
      <c r="L234" s="151">
        <v>72527</v>
      </c>
      <c r="M234" s="153">
        <f t="shared" si="0"/>
        <v>67346.666666666672</v>
      </c>
      <c r="N234" s="130"/>
      <c r="O234" s="130"/>
      <c r="P234" s="130"/>
      <c r="Q234" s="130"/>
      <c r="R234" s="130"/>
      <c r="S234" s="130"/>
      <c r="T234" s="130"/>
      <c r="U234" s="130"/>
      <c r="V234" s="130"/>
      <c r="W234" s="130"/>
      <c r="X234" s="130"/>
      <c r="Y234" s="130"/>
      <c r="Z234" s="130"/>
    </row>
    <row r="235" spans="1:26" ht="15.75" customHeight="1">
      <c r="A235" s="148">
        <v>235</v>
      </c>
      <c r="B235" s="138" t="s">
        <v>545</v>
      </c>
      <c r="C235" s="139" t="s">
        <v>503</v>
      </c>
      <c r="D235" s="140">
        <v>16283</v>
      </c>
      <c r="E235" s="141">
        <v>0</v>
      </c>
      <c r="F235" s="142">
        <v>16283</v>
      </c>
      <c r="G235" s="151">
        <v>18237</v>
      </c>
      <c r="H235" s="152">
        <v>0</v>
      </c>
      <c r="I235" s="151">
        <v>18237</v>
      </c>
      <c r="J235" s="151">
        <v>19331</v>
      </c>
      <c r="K235" s="152">
        <v>0</v>
      </c>
      <c r="L235" s="151">
        <v>19331</v>
      </c>
      <c r="M235" s="153">
        <f t="shared" si="0"/>
        <v>17950.333333333332</v>
      </c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</row>
    <row r="236" spans="1:26" ht="15.75" customHeight="1">
      <c r="A236" s="148">
        <v>236</v>
      </c>
      <c r="B236" s="138" t="s">
        <v>546</v>
      </c>
      <c r="C236" s="139" t="s">
        <v>484</v>
      </c>
      <c r="D236" s="140">
        <v>58781</v>
      </c>
      <c r="E236" s="141">
        <v>0</v>
      </c>
      <c r="F236" s="142">
        <v>58781</v>
      </c>
      <c r="G236" s="151">
        <v>65835</v>
      </c>
      <c r="H236" s="152">
        <v>0</v>
      </c>
      <c r="I236" s="151">
        <v>65835</v>
      </c>
      <c r="J236" s="151">
        <v>69785</v>
      </c>
      <c r="K236" s="152">
        <v>0</v>
      </c>
      <c r="L236" s="151">
        <v>69785</v>
      </c>
      <c r="M236" s="153">
        <f t="shared" si="0"/>
        <v>64800.333333333336</v>
      </c>
      <c r="N236" s="130"/>
      <c r="O236" s="130"/>
      <c r="P236" s="130"/>
      <c r="Q236" s="130"/>
      <c r="R236" s="130"/>
      <c r="S236" s="130"/>
      <c r="T236" s="130"/>
      <c r="U236" s="130"/>
      <c r="V236" s="130"/>
      <c r="W236" s="130"/>
      <c r="X236" s="130"/>
      <c r="Y236" s="130"/>
      <c r="Z236" s="130"/>
    </row>
    <row r="237" spans="1:26" ht="15.75" customHeight="1">
      <c r="A237" s="148">
        <v>237</v>
      </c>
      <c r="B237" s="138" t="s">
        <v>547</v>
      </c>
      <c r="C237" s="139" t="s">
        <v>462</v>
      </c>
      <c r="D237" s="140">
        <v>401057</v>
      </c>
      <c r="E237" s="141">
        <v>0</v>
      </c>
      <c r="F237" s="142">
        <v>401057</v>
      </c>
      <c r="G237" s="151">
        <v>449184</v>
      </c>
      <c r="H237" s="152">
        <v>0</v>
      </c>
      <c r="I237" s="151">
        <v>449184</v>
      </c>
      <c r="J237" s="151">
        <v>476135</v>
      </c>
      <c r="K237" s="152">
        <v>0</v>
      </c>
      <c r="L237" s="151">
        <v>476135</v>
      </c>
      <c r="M237" s="153">
        <f t="shared" si="0"/>
        <v>442125.33333333331</v>
      </c>
      <c r="N237" s="130"/>
      <c r="O237" s="130"/>
      <c r="P237" s="130"/>
      <c r="Q237" s="130"/>
      <c r="R237" s="130"/>
      <c r="S237" s="130"/>
      <c r="T237" s="130"/>
      <c r="U237" s="130"/>
      <c r="V237" s="130"/>
      <c r="W237" s="130"/>
      <c r="X237" s="130"/>
      <c r="Y237" s="130"/>
      <c r="Z237" s="130"/>
    </row>
    <row r="238" spans="1:26" ht="15.75" customHeight="1">
      <c r="A238" s="148">
        <v>238</v>
      </c>
      <c r="B238" s="138" t="s">
        <v>548</v>
      </c>
      <c r="C238" s="139" t="s">
        <v>462</v>
      </c>
      <c r="D238" s="140">
        <v>43984</v>
      </c>
      <c r="E238" s="141">
        <v>0</v>
      </c>
      <c r="F238" s="142">
        <v>43984</v>
      </c>
      <c r="G238" s="151">
        <v>49262</v>
      </c>
      <c r="H238" s="152">
        <v>0</v>
      </c>
      <c r="I238" s="151">
        <v>49262</v>
      </c>
      <c r="J238" s="151">
        <v>52218</v>
      </c>
      <c r="K238" s="152">
        <v>0</v>
      </c>
      <c r="L238" s="151">
        <v>52218</v>
      </c>
      <c r="M238" s="153">
        <f t="shared" si="0"/>
        <v>48488</v>
      </c>
      <c r="N238" s="130"/>
      <c r="O238" s="130"/>
      <c r="P238" s="130"/>
      <c r="Q238" s="130"/>
      <c r="R238" s="130"/>
      <c r="S238" s="130"/>
      <c r="T238" s="130"/>
      <c r="U238" s="130"/>
      <c r="V238" s="130"/>
      <c r="W238" s="130"/>
      <c r="X238" s="130"/>
      <c r="Y238" s="130"/>
      <c r="Z238" s="130"/>
    </row>
    <row r="239" spans="1:26" ht="15.75" customHeight="1">
      <c r="A239" s="148">
        <v>239</v>
      </c>
      <c r="B239" s="138" t="s">
        <v>549</v>
      </c>
      <c r="C239" s="139" t="s">
        <v>503</v>
      </c>
      <c r="D239" s="140">
        <v>79283</v>
      </c>
      <c r="E239" s="141">
        <v>0</v>
      </c>
      <c r="F239" s="142">
        <v>79283</v>
      </c>
      <c r="G239" s="151">
        <v>88797</v>
      </c>
      <c r="H239" s="152">
        <v>0</v>
      </c>
      <c r="I239" s="151">
        <v>88797</v>
      </c>
      <c r="J239" s="151">
        <v>94125</v>
      </c>
      <c r="K239" s="152">
        <v>0</v>
      </c>
      <c r="L239" s="151">
        <v>94125</v>
      </c>
      <c r="M239" s="153">
        <f t="shared" si="0"/>
        <v>87401.666666666672</v>
      </c>
      <c r="N239" s="130"/>
      <c r="O239" s="130"/>
      <c r="P239" s="130"/>
      <c r="Q239" s="130"/>
      <c r="R239" s="130"/>
      <c r="S239" s="130"/>
      <c r="T239" s="130"/>
      <c r="U239" s="130"/>
      <c r="V239" s="130"/>
      <c r="W239" s="130"/>
      <c r="X239" s="130"/>
      <c r="Y239" s="130"/>
      <c r="Z239" s="130"/>
    </row>
    <row r="240" spans="1:26" ht="15.75" customHeight="1">
      <c r="A240" s="148">
        <v>240</v>
      </c>
      <c r="B240" s="138" t="s">
        <v>550</v>
      </c>
      <c r="C240" s="139" t="s">
        <v>551</v>
      </c>
      <c r="D240" s="140">
        <v>92894</v>
      </c>
      <c r="E240" s="141">
        <v>0</v>
      </c>
      <c r="F240" s="142">
        <v>92894</v>
      </c>
      <c r="G240" s="151">
        <v>104041</v>
      </c>
      <c r="H240" s="152">
        <v>0</v>
      </c>
      <c r="I240" s="151">
        <v>104041</v>
      </c>
      <c r="J240" s="151">
        <v>110283</v>
      </c>
      <c r="K240" s="152">
        <v>0</v>
      </c>
      <c r="L240" s="151">
        <v>110283</v>
      </c>
      <c r="M240" s="153">
        <f t="shared" si="0"/>
        <v>102406</v>
      </c>
      <c r="N240" s="130"/>
      <c r="O240" s="130"/>
      <c r="P240" s="130"/>
      <c r="Q240" s="130"/>
      <c r="R240" s="130"/>
      <c r="S240" s="130"/>
      <c r="T240" s="130"/>
      <c r="U240" s="130"/>
      <c r="V240" s="130"/>
      <c r="W240" s="130"/>
      <c r="X240" s="130"/>
      <c r="Y240" s="130"/>
      <c r="Z240" s="130"/>
    </row>
    <row r="241" spans="1:26" ht="15.75" customHeight="1">
      <c r="A241" s="148">
        <v>241</v>
      </c>
      <c r="B241" s="138" t="s">
        <v>552</v>
      </c>
      <c r="C241" s="139" t="s">
        <v>510</v>
      </c>
      <c r="D241" s="140">
        <v>302711</v>
      </c>
      <c r="E241" s="141">
        <v>0</v>
      </c>
      <c r="F241" s="142">
        <v>302711</v>
      </c>
      <c r="G241" s="151">
        <v>339036</v>
      </c>
      <c r="H241" s="152">
        <v>0</v>
      </c>
      <c r="I241" s="151">
        <v>339036</v>
      </c>
      <c r="J241" s="151">
        <v>359378</v>
      </c>
      <c r="K241" s="152">
        <v>0</v>
      </c>
      <c r="L241" s="151">
        <v>359378</v>
      </c>
      <c r="M241" s="153">
        <f t="shared" si="0"/>
        <v>333708.33333333331</v>
      </c>
      <c r="N241" s="130"/>
      <c r="O241" s="130"/>
      <c r="P241" s="130"/>
      <c r="Q241" s="130"/>
      <c r="R241" s="130"/>
      <c r="S241" s="130"/>
      <c r="T241" s="130"/>
      <c r="U241" s="130"/>
      <c r="V241" s="130"/>
      <c r="W241" s="130"/>
      <c r="X241" s="130"/>
      <c r="Y241" s="130"/>
      <c r="Z241" s="130"/>
    </row>
    <row r="242" spans="1:26" ht="15.75" customHeight="1">
      <c r="A242" s="148">
        <v>242</v>
      </c>
      <c r="B242" s="138" t="s">
        <v>553</v>
      </c>
      <c r="C242" s="139" t="s">
        <v>510</v>
      </c>
      <c r="D242" s="140">
        <v>92366</v>
      </c>
      <c r="E242" s="141">
        <v>0</v>
      </c>
      <c r="F242" s="142">
        <v>92366</v>
      </c>
      <c r="G242" s="151">
        <v>103450</v>
      </c>
      <c r="H242" s="152">
        <v>0</v>
      </c>
      <c r="I242" s="151">
        <v>103450</v>
      </c>
      <c r="J242" s="151">
        <v>109657</v>
      </c>
      <c r="K242" s="152">
        <v>0</v>
      </c>
      <c r="L242" s="151">
        <v>109657</v>
      </c>
      <c r="M242" s="153">
        <f t="shared" si="0"/>
        <v>101824.33333333333</v>
      </c>
      <c r="N242" s="130"/>
      <c r="O242" s="130"/>
      <c r="P242" s="130"/>
      <c r="Q242" s="130"/>
      <c r="R242" s="130"/>
      <c r="S242" s="130"/>
      <c r="T242" s="130"/>
      <c r="U242" s="130"/>
      <c r="V242" s="130"/>
      <c r="W242" s="130"/>
      <c r="X242" s="130"/>
      <c r="Y242" s="130"/>
      <c r="Z242" s="130"/>
    </row>
    <row r="243" spans="1:26" ht="15.75" customHeight="1">
      <c r="A243" s="148">
        <v>243</v>
      </c>
      <c r="B243" s="138" t="s">
        <v>554</v>
      </c>
      <c r="C243" s="139" t="s">
        <v>484</v>
      </c>
      <c r="D243" s="140">
        <v>147876</v>
      </c>
      <c r="E243" s="141">
        <v>0</v>
      </c>
      <c r="F243" s="142">
        <v>147876</v>
      </c>
      <c r="G243" s="151">
        <v>165621</v>
      </c>
      <c r="H243" s="152">
        <v>0</v>
      </c>
      <c r="I243" s="151">
        <v>165621</v>
      </c>
      <c r="J243" s="151">
        <v>175558</v>
      </c>
      <c r="K243" s="152">
        <v>0</v>
      </c>
      <c r="L243" s="151">
        <v>175558</v>
      </c>
      <c r="M243" s="153">
        <f t="shared" si="0"/>
        <v>163018.33333333334</v>
      </c>
      <c r="N243" s="130"/>
      <c r="O243" s="130"/>
      <c r="P243" s="130"/>
      <c r="Q243" s="130"/>
      <c r="R243" s="130"/>
      <c r="S243" s="130"/>
      <c r="T243" s="130"/>
      <c r="U243" s="130"/>
      <c r="V243" s="130"/>
      <c r="W243" s="130"/>
      <c r="X243" s="130"/>
      <c r="Y243" s="130"/>
      <c r="Z243" s="130"/>
    </row>
    <row r="244" spans="1:26" ht="15.75" customHeight="1">
      <c r="A244" s="148">
        <v>244</v>
      </c>
      <c r="B244" s="138" t="s">
        <v>555</v>
      </c>
      <c r="C244" s="139" t="s">
        <v>484</v>
      </c>
      <c r="D244" s="140">
        <v>98373</v>
      </c>
      <c r="E244" s="141">
        <v>0</v>
      </c>
      <c r="F244" s="142">
        <v>98373</v>
      </c>
      <c r="G244" s="151">
        <v>110178</v>
      </c>
      <c r="H244" s="152">
        <v>0</v>
      </c>
      <c r="I244" s="151">
        <v>110178</v>
      </c>
      <c r="J244" s="151">
        <v>116789</v>
      </c>
      <c r="K244" s="152">
        <v>0</v>
      </c>
      <c r="L244" s="151">
        <v>116789</v>
      </c>
      <c r="M244" s="153">
        <f t="shared" si="0"/>
        <v>108446.66666666667</v>
      </c>
      <c r="N244" s="130"/>
      <c r="O244" s="130"/>
      <c r="P244" s="130"/>
      <c r="Q244" s="130"/>
      <c r="R244" s="130"/>
      <c r="S244" s="130"/>
      <c r="T244" s="130"/>
      <c r="U244" s="130"/>
      <c r="V244" s="130"/>
      <c r="W244" s="130"/>
      <c r="X244" s="130"/>
      <c r="Y244" s="130"/>
      <c r="Z244" s="130"/>
    </row>
    <row r="245" spans="1:26" ht="15.75" customHeight="1">
      <c r="A245" s="148">
        <v>245</v>
      </c>
      <c r="B245" s="138" t="s">
        <v>556</v>
      </c>
      <c r="C245" s="139" t="s">
        <v>484</v>
      </c>
      <c r="D245" s="140">
        <v>496301</v>
      </c>
      <c r="E245" s="141">
        <v>0</v>
      </c>
      <c r="F245" s="142">
        <v>496301</v>
      </c>
      <c r="G245" s="151">
        <v>555857</v>
      </c>
      <c r="H245" s="152">
        <v>0</v>
      </c>
      <c r="I245" s="151">
        <v>555857</v>
      </c>
      <c r="J245" s="151">
        <v>589208</v>
      </c>
      <c r="K245" s="152">
        <v>0</v>
      </c>
      <c r="L245" s="151">
        <v>589208</v>
      </c>
      <c r="M245" s="153">
        <f t="shared" si="0"/>
        <v>547122</v>
      </c>
      <c r="N245" s="130"/>
      <c r="O245" s="130"/>
      <c r="P245" s="130"/>
      <c r="Q245" s="130"/>
      <c r="R245" s="130"/>
      <c r="S245" s="130"/>
      <c r="T245" s="130"/>
      <c r="U245" s="130"/>
      <c r="V245" s="130"/>
      <c r="W245" s="130"/>
      <c r="X245" s="130"/>
      <c r="Y245" s="130"/>
      <c r="Z245" s="130"/>
    </row>
    <row r="246" spans="1:26" ht="15.75" customHeight="1">
      <c r="A246" s="148">
        <v>246</v>
      </c>
      <c r="B246" s="138" t="s">
        <v>557</v>
      </c>
      <c r="C246" s="139" t="s">
        <v>255</v>
      </c>
      <c r="D246" s="140">
        <v>56056</v>
      </c>
      <c r="E246" s="141">
        <v>0</v>
      </c>
      <c r="F246" s="142">
        <v>56056</v>
      </c>
      <c r="G246" s="151">
        <v>62783</v>
      </c>
      <c r="H246" s="152">
        <v>0</v>
      </c>
      <c r="I246" s="151">
        <v>62783</v>
      </c>
      <c r="J246" s="151">
        <v>66550</v>
      </c>
      <c r="K246" s="152">
        <v>0</v>
      </c>
      <c r="L246" s="151">
        <v>66550</v>
      </c>
      <c r="M246" s="153">
        <f t="shared" si="0"/>
        <v>61796.333333333336</v>
      </c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0"/>
      <c r="Y246" s="130"/>
      <c r="Z246" s="130"/>
    </row>
    <row r="247" spans="1:26" ht="15.75" customHeight="1">
      <c r="A247" s="148">
        <v>247</v>
      </c>
      <c r="B247" s="138" t="s">
        <v>558</v>
      </c>
      <c r="C247" s="139" t="s">
        <v>559</v>
      </c>
      <c r="D247" s="140">
        <v>513770</v>
      </c>
      <c r="E247" s="141">
        <v>0</v>
      </c>
      <c r="F247" s="142">
        <v>513770</v>
      </c>
      <c r="G247" s="151">
        <v>575422</v>
      </c>
      <c r="H247" s="152">
        <v>0</v>
      </c>
      <c r="I247" s="151">
        <v>575422</v>
      </c>
      <c r="J247" s="151">
        <v>609947</v>
      </c>
      <c r="K247" s="152">
        <v>0</v>
      </c>
      <c r="L247" s="151">
        <v>609947</v>
      </c>
      <c r="M247" s="153">
        <f t="shared" si="0"/>
        <v>566379.66666666663</v>
      </c>
      <c r="N247" s="130"/>
      <c r="O247" s="130"/>
      <c r="P247" s="130"/>
      <c r="Q247" s="130"/>
      <c r="R247" s="130"/>
      <c r="S247" s="130"/>
      <c r="T247" s="130"/>
      <c r="U247" s="130"/>
      <c r="V247" s="130"/>
      <c r="W247" s="130"/>
      <c r="X247" s="130"/>
      <c r="Y247" s="130"/>
      <c r="Z247" s="130"/>
    </row>
    <row r="248" spans="1:26" ht="15.75" customHeight="1">
      <c r="A248" s="148">
        <v>248</v>
      </c>
      <c r="B248" s="138" t="s">
        <v>560</v>
      </c>
      <c r="C248" s="139" t="s">
        <v>462</v>
      </c>
      <c r="D248" s="140">
        <v>103316</v>
      </c>
      <c r="E248" s="141">
        <v>0</v>
      </c>
      <c r="F248" s="142">
        <v>103316</v>
      </c>
      <c r="G248" s="151">
        <v>115714</v>
      </c>
      <c r="H248" s="152">
        <v>0</v>
      </c>
      <c r="I248" s="151">
        <v>115714</v>
      </c>
      <c r="J248" s="151">
        <v>122657</v>
      </c>
      <c r="K248" s="152">
        <v>0</v>
      </c>
      <c r="L248" s="151">
        <v>122657</v>
      </c>
      <c r="M248" s="153">
        <f t="shared" si="0"/>
        <v>113895.66666666667</v>
      </c>
      <c r="N248" s="130"/>
      <c r="O248" s="130"/>
      <c r="P248" s="130"/>
      <c r="Q248" s="130"/>
      <c r="R248" s="130"/>
      <c r="S248" s="130"/>
      <c r="T248" s="130"/>
      <c r="U248" s="130"/>
      <c r="V248" s="130"/>
      <c r="W248" s="130"/>
      <c r="X248" s="130"/>
      <c r="Y248" s="130"/>
      <c r="Z248" s="130"/>
    </row>
    <row r="249" spans="1:26" ht="15.75" customHeight="1">
      <c r="A249" s="148">
        <v>249</v>
      </c>
      <c r="B249" s="138" t="s">
        <v>561</v>
      </c>
      <c r="C249" s="139" t="s">
        <v>503</v>
      </c>
      <c r="D249" s="140">
        <v>38902</v>
      </c>
      <c r="E249" s="141">
        <v>0</v>
      </c>
      <c r="F249" s="142">
        <v>38902</v>
      </c>
      <c r="G249" s="151">
        <v>43570</v>
      </c>
      <c r="H249" s="152">
        <v>0</v>
      </c>
      <c r="I249" s="151">
        <v>43570</v>
      </c>
      <c r="J249" s="151">
        <v>46184</v>
      </c>
      <c r="K249" s="152">
        <v>0</v>
      </c>
      <c r="L249" s="151">
        <v>46184</v>
      </c>
      <c r="M249" s="153">
        <f t="shared" si="0"/>
        <v>42885.333333333336</v>
      </c>
      <c r="N249" s="130"/>
      <c r="O249" s="130"/>
      <c r="P249" s="130"/>
      <c r="Q249" s="130"/>
      <c r="R249" s="130"/>
      <c r="S249" s="130"/>
      <c r="T249" s="130"/>
      <c r="U249" s="130"/>
      <c r="V249" s="130"/>
      <c r="W249" s="130"/>
      <c r="X249" s="130"/>
      <c r="Y249" s="130"/>
      <c r="Z249" s="130"/>
    </row>
    <row r="250" spans="1:26" ht="15.75" customHeight="1">
      <c r="A250" s="148">
        <v>250</v>
      </c>
      <c r="B250" s="138" t="s">
        <v>562</v>
      </c>
      <c r="C250" s="139" t="s">
        <v>484</v>
      </c>
      <c r="D250" s="140">
        <v>97701</v>
      </c>
      <c r="E250" s="141">
        <v>0</v>
      </c>
      <c r="F250" s="142">
        <v>97701</v>
      </c>
      <c r="G250" s="151">
        <v>109425</v>
      </c>
      <c r="H250" s="152">
        <v>0</v>
      </c>
      <c r="I250" s="151">
        <v>109425</v>
      </c>
      <c r="J250" s="151">
        <v>115991</v>
      </c>
      <c r="K250" s="152">
        <v>0</v>
      </c>
      <c r="L250" s="151">
        <v>115991</v>
      </c>
      <c r="M250" s="153">
        <f t="shared" si="0"/>
        <v>107705.66666666667</v>
      </c>
      <c r="N250" s="130"/>
      <c r="O250" s="130"/>
      <c r="P250" s="130"/>
      <c r="Q250" s="130"/>
      <c r="R250" s="130"/>
      <c r="S250" s="130"/>
      <c r="T250" s="130"/>
      <c r="U250" s="130"/>
      <c r="V250" s="130"/>
      <c r="W250" s="130"/>
      <c r="X250" s="130"/>
      <c r="Y250" s="130"/>
      <c r="Z250" s="130"/>
    </row>
    <row r="251" spans="1:26" ht="15.75" customHeight="1">
      <c r="A251" s="148">
        <v>251</v>
      </c>
      <c r="B251" s="138" t="s">
        <v>563</v>
      </c>
      <c r="C251" s="139" t="s">
        <v>510</v>
      </c>
      <c r="D251" s="140">
        <v>213072</v>
      </c>
      <c r="E251" s="141">
        <v>0</v>
      </c>
      <c r="F251" s="142">
        <v>213072</v>
      </c>
      <c r="G251" s="151">
        <v>238641</v>
      </c>
      <c r="H251" s="152">
        <v>0</v>
      </c>
      <c r="I251" s="151">
        <v>238641</v>
      </c>
      <c r="J251" s="151">
        <v>252959</v>
      </c>
      <c r="K251" s="152">
        <v>0</v>
      </c>
      <c r="L251" s="151">
        <v>252959</v>
      </c>
      <c r="M251" s="153">
        <f t="shared" si="0"/>
        <v>234890.66666666666</v>
      </c>
      <c r="N251" s="130"/>
      <c r="O251" s="130"/>
      <c r="P251" s="130"/>
      <c r="Q251" s="130"/>
      <c r="R251" s="130"/>
      <c r="S251" s="130"/>
      <c r="T251" s="130"/>
      <c r="U251" s="130"/>
      <c r="V251" s="130"/>
      <c r="W251" s="130"/>
      <c r="X251" s="130"/>
      <c r="Y251" s="130"/>
      <c r="Z251" s="130"/>
    </row>
    <row r="252" spans="1:26" ht="15.75" customHeight="1">
      <c r="A252" s="148">
        <v>252</v>
      </c>
      <c r="B252" s="138" t="s">
        <v>564</v>
      </c>
      <c r="C252" s="139" t="s">
        <v>484</v>
      </c>
      <c r="D252" s="140">
        <v>97701</v>
      </c>
      <c r="E252" s="141">
        <v>0</v>
      </c>
      <c r="F252" s="142">
        <v>97701</v>
      </c>
      <c r="G252" s="151">
        <v>109425</v>
      </c>
      <c r="H252" s="152">
        <v>0</v>
      </c>
      <c r="I252" s="151">
        <v>109425</v>
      </c>
      <c r="J252" s="151">
        <v>115991</v>
      </c>
      <c r="K252" s="152">
        <v>0</v>
      </c>
      <c r="L252" s="151">
        <v>115991</v>
      </c>
      <c r="M252" s="153">
        <f t="shared" si="0"/>
        <v>107705.66666666667</v>
      </c>
      <c r="N252" s="130"/>
      <c r="O252" s="130"/>
      <c r="P252" s="130"/>
      <c r="Q252" s="130"/>
      <c r="R252" s="130"/>
      <c r="S252" s="130"/>
      <c r="T252" s="130"/>
      <c r="U252" s="130"/>
      <c r="V252" s="130"/>
      <c r="W252" s="130"/>
      <c r="X252" s="130"/>
      <c r="Y252" s="130"/>
      <c r="Z252" s="130"/>
    </row>
    <row r="253" spans="1:26" ht="15.75" customHeight="1">
      <c r="A253" s="148">
        <v>253</v>
      </c>
      <c r="B253" s="138" t="s">
        <v>565</v>
      </c>
      <c r="C253" s="139" t="s">
        <v>462</v>
      </c>
      <c r="D253" s="140">
        <v>96765</v>
      </c>
      <c r="E253" s="141">
        <v>0</v>
      </c>
      <c r="F253" s="142">
        <v>96765</v>
      </c>
      <c r="G253" s="151">
        <v>108377</v>
      </c>
      <c r="H253" s="152">
        <v>0</v>
      </c>
      <c r="I253" s="151">
        <v>108377</v>
      </c>
      <c r="J253" s="151">
        <v>114880</v>
      </c>
      <c r="K253" s="152">
        <v>0</v>
      </c>
      <c r="L253" s="151">
        <v>114880</v>
      </c>
      <c r="M253" s="153">
        <f t="shared" si="0"/>
        <v>106674</v>
      </c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  <c r="Y253" s="130"/>
      <c r="Z253" s="130"/>
    </row>
    <row r="254" spans="1:26" ht="15.75" customHeight="1">
      <c r="A254" s="148">
        <v>254</v>
      </c>
      <c r="B254" s="138" t="s">
        <v>566</v>
      </c>
      <c r="C254" s="139" t="s">
        <v>503</v>
      </c>
      <c r="D254" s="140">
        <v>24113</v>
      </c>
      <c r="E254" s="141">
        <v>0</v>
      </c>
      <c r="F254" s="142">
        <v>24113</v>
      </c>
      <c r="G254" s="151">
        <v>27007</v>
      </c>
      <c r="H254" s="152">
        <v>0</v>
      </c>
      <c r="I254" s="151">
        <v>27007</v>
      </c>
      <c r="J254" s="151">
        <v>28627</v>
      </c>
      <c r="K254" s="152">
        <v>0</v>
      </c>
      <c r="L254" s="151">
        <v>28627</v>
      </c>
      <c r="M254" s="153">
        <f t="shared" si="0"/>
        <v>26582.333333333332</v>
      </c>
      <c r="N254" s="130"/>
      <c r="O254" s="130"/>
      <c r="P254" s="130"/>
      <c r="Q254" s="130"/>
      <c r="R254" s="130"/>
      <c r="S254" s="130"/>
      <c r="T254" s="130"/>
      <c r="U254" s="130"/>
      <c r="V254" s="130"/>
      <c r="W254" s="130"/>
      <c r="X254" s="130"/>
      <c r="Y254" s="130"/>
      <c r="Z254" s="130"/>
    </row>
    <row r="255" spans="1:26" ht="15.75" customHeight="1">
      <c r="A255" s="148">
        <v>255</v>
      </c>
      <c r="B255" s="138" t="s">
        <v>567</v>
      </c>
      <c r="C255" s="139" t="s">
        <v>484</v>
      </c>
      <c r="D255" s="140">
        <v>151979</v>
      </c>
      <c r="E255" s="141">
        <v>0</v>
      </c>
      <c r="F255" s="142">
        <v>151979</v>
      </c>
      <c r="G255" s="151">
        <v>170216</v>
      </c>
      <c r="H255" s="152">
        <v>0</v>
      </c>
      <c r="I255" s="151">
        <v>170216</v>
      </c>
      <c r="J255" s="151">
        <v>180429</v>
      </c>
      <c r="K255" s="152">
        <v>0</v>
      </c>
      <c r="L255" s="151">
        <v>180429</v>
      </c>
      <c r="M255" s="153">
        <f t="shared" si="0"/>
        <v>167541.33333333334</v>
      </c>
      <c r="N255" s="130"/>
      <c r="O255" s="130"/>
      <c r="P255" s="130"/>
      <c r="Q255" s="130"/>
      <c r="R255" s="130"/>
      <c r="S255" s="130"/>
      <c r="T255" s="130"/>
      <c r="U255" s="130"/>
      <c r="V255" s="130"/>
      <c r="W255" s="130"/>
      <c r="X255" s="130"/>
      <c r="Y255" s="130"/>
      <c r="Z255" s="130"/>
    </row>
    <row r="256" spans="1:26" ht="15.75" customHeight="1">
      <c r="A256" s="148">
        <v>256</v>
      </c>
      <c r="B256" s="138" t="s">
        <v>568</v>
      </c>
      <c r="C256" s="139" t="s">
        <v>462</v>
      </c>
      <c r="D256" s="140">
        <v>51662</v>
      </c>
      <c r="E256" s="141">
        <v>0</v>
      </c>
      <c r="F256" s="142">
        <v>51662</v>
      </c>
      <c r="G256" s="151">
        <v>57861</v>
      </c>
      <c r="H256" s="152">
        <v>0</v>
      </c>
      <c r="I256" s="151">
        <v>57861</v>
      </c>
      <c r="J256" s="151">
        <v>61333</v>
      </c>
      <c r="K256" s="152">
        <v>0</v>
      </c>
      <c r="L256" s="151">
        <v>61333</v>
      </c>
      <c r="M256" s="153">
        <f t="shared" si="0"/>
        <v>56952</v>
      </c>
      <c r="N256" s="130"/>
      <c r="O256" s="130"/>
      <c r="P256" s="130"/>
      <c r="Q256" s="130"/>
      <c r="R256" s="130"/>
      <c r="S256" s="130"/>
      <c r="T256" s="130"/>
      <c r="U256" s="130"/>
      <c r="V256" s="130"/>
      <c r="W256" s="130"/>
      <c r="X256" s="130"/>
      <c r="Y256" s="130"/>
      <c r="Z256" s="130"/>
    </row>
    <row r="257" spans="1:26" ht="15.75" customHeight="1">
      <c r="A257" s="148">
        <v>257</v>
      </c>
      <c r="B257" s="138" t="s">
        <v>569</v>
      </c>
      <c r="C257" s="139" t="s">
        <v>462</v>
      </c>
      <c r="D257" s="140">
        <v>251205</v>
      </c>
      <c r="E257" s="141">
        <v>0</v>
      </c>
      <c r="F257" s="142">
        <v>251205</v>
      </c>
      <c r="G257" s="151">
        <v>281350</v>
      </c>
      <c r="H257" s="152">
        <v>0</v>
      </c>
      <c r="I257" s="151">
        <v>281350</v>
      </c>
      <c r="J257" s="151">
        <v>298231</v>
      </c>
      <c r="K257" s="152">
        <v>0</v>
      </c>
      <c r="L257" s="151">
        <v>298231</v>
      </c>
      <c r="M257" s="153">
        <f t="shared" si="0"/>
        <v>276928.66666666669</v>
      </c>
      <c r="N257" s="130"/>
      <c r="O257" s="130"/>
      <c r="P257" s="130"/>
      <c r="Q257" s="130"/>
      <c r="R257" s="130"/>
      <c r="S257" s="130"/>
      <c r="T257" s="130"/>
      <c r="U257" s="130"/>
      <c r="V257" s="130"/>
      <c r="W257" s="130"/>
      <c r="X257" s="130"/>
      <c r="Y257" s="130"/>
      <c r="Z257" s="130"/>
    </row>
    <row r="258" spans="1:26" ht="15.75" customHeight="1">
      <c r="A258" s="148">
        <v>258</v>
      </c>
      <c r="B258" s="138" t="s">
        <v>570</v>
      </c>
      <c r="C258" s="139" t="s">
        <v>503</v>
      </c>
      <c r="D258" s="140">
        <v>24799</v>
      </c>
      <c r="E258" s="141">
        <v>0</v>
      </c>
      <c r="F258" s="142">
        <v>24799</v>
      </c>
      <c r="G258" s="151">
        <v>27775</v>
      </c>
      <c r="H258" s="152">
        <v>0</v>
      </c>
      <c r="I258" s="151">
        <v>27775</v>
      </c>
      <c r="J258" s="151">
        <v>29442</v>
      </c>
      <c r="K258" s="152">
        <v>0</v>
      </c>
      <c r="L258" s="151">
        <v>29442</v>
      </c>
      <c r="M258" s="153">
        <f t="shared" ref="M258:M326" si="1">AVERAGE(L258,I258,F258)</f>
        <v>27338.666666666668</v>
      </c>
      <c r="N258" s="130"/>
      <c r="O258" s="130"/>
      <c r="P258" s="130"/>
      <c r="Q258" s="130"/>
      <c r="R258" s="130"/>
      <c r="S258" s="130"/>
      <c r="T258" s="130"/>
      <c r="U258" s="130"/>
      <c r="V258" s="130"/>
      <c r="W258" s="130"/>
      <c r="X258" s="130"/>
      <c r="Y258" s="130"/>
      <c r="Z258" s="130"/>
    </row>
    <row r="259" spans="1:26" ht="15.75" customHeight="1">
      <c r="A259" s="148">
        <v>259</v>
      </c>
      <c r="B259" s="138" t="s">
        <v>571</v>
      </c>
      <c r="C259" s="139" t="s">
        <v>572</v>
      </c>
      <c r="D259" s="140">
        <v>53342</v>
      </c>
      <c r="E259" s="141">
        <v>0</v>
      </c>
      <c r="F259" s="142">
        <v>53342</v>
      </c>
      <c r="G259" s="151">
        <v>59743</v>
      </c>
      <c r="H259" s="152">
        <v>0</v>
      </c>
      <c r="I259" s="151">
        <v>59743</v>
      </c>
      <c r="J259" s="151">
        <v>63328</v>
      </c>
      <c r="K259" s="152">
        <v>0</v>
      </c>
      <c r="L259" s="151">
        <v>63328</v>
      </c>
      <c r="M259" s="153">
        <f t="shared" si="1"/>
        <v>58804.333333333336</v>
      </c>
      <c r="N259" s="130"/>
      <c r="O259" s="130"/>
      <c r="P259" s="130"/>
      <c r="Q259" s="130"/>
      <c r="R259" s="130"/>
      <c r="S259" s="130"/>
      <c r="T259" s="130"/>
      <c r="U259" s="130"/>
      <c r="V259" s="130"/>
      <c r="W259" s="130"/>
      <c r="X259" s="130"/>
      <c r="Y259" s="130"/>
      <c r="Z259" s="130"/>
    </row>
    <row r="260" spans="1:26" ht="15.75" customHeight="1">
      <c r="A260" s="148">
        <v>260</v>
      </c>
      <c r="B260" s="138" t="s">
        <v>573</v>
      </c>
      <c r="C260" s="139" t="s">
        <v>501</v>
      </c>
      <c r="D260" s="140">
        <v>197078</v>
      </c>
      <c r="E260" s="141">
        <v>0</v>
      </c>
      <c r="F260" s="142">
        <v>197078</v>
      </c>
      <c r="G260" s="151">
        <v>220727</v>
      </c>
      <c r="H260" s="152">
        <v>0</v>
      </c>
      <c r="I260" s="151">
        <v>220727</v>
      </c>
      <c r="J260" s="151">
        <v>233971</v>
      </c>
      <c r="K260" s="152">
        <v>0</v>
      </c>
      <c r="L260" s="151">
        <v>233971</v>
      </c>
      <c r="M260" s="153">
        <f t="shared" si="1"/>
        <v>217258.66666666666</v>
      </c>
      <c r="N260" s="130"/>
      <c r="O260" s="130"/>
      <c r="P260" s="130"/>
      <c r="Q260" s="130"/>
      <c r="R260" s="130"/>
      <c r="S260" s="130"/>
      <c r="T260" s="130"/>
      <c r="U260" s="130"/>
      <c r="V260" s="130"/>
      <c r="W260" s="130"/>
      <c r="X260" s="130"/>
      <c r="Y260" s="130"/>
      <c r="Z260" s="130"/>
    </row>
    <row r="261" spans="1:26" ht="15.75" customHeight="1">
      <c r="A261" s="148">
        <v>261</v>
      </c>
      <c r="B261" s="138" t="s">
        <v>574</v>
      </c>
      <c r="C261" s="139" t="s">
        <v>510</v>
      </c>
      <c r="D261" s="140">
        <v>320241</v>
      </c>
      <c r="E261" s="141">
        <v>0</v>
      </c>
      <c r="F261" s="142">
        <v>320241</v>
      </c>
      <c r="G261" s="151">
        <v>358670</v>
      </c>
      <c r="H261" s="152">
        <v>0</v>
      </c>
      <c r="I261" s="151">
        <v>358670</v>
      </c>
      <c r="J261" s="151">
        <v>380190</v>
      </c>
      <c r="K261" s="152">
        <v>0</v>
      </c>
      <c r="L261" s="151">
        <v>380190</v>
      </c>
      <c r="M261" s="153">
        <f t="shared" si="1"/>
        <v>353033.66666666669</v>
      </c>
      <c r="N261" s="130"/>
      <c r="O261" s="130"/>
      <c r="P261" s="130"/>
      <c r="Q261" s="130"/>
      <c r="R261" s="130"/>
      <c r="S261" s="130"/>
      <c r="T261" s="130"/>
      <c r="U261" s="130"/>
      <c r="V261" s="130"/>
      <c r="W261" s="130"/>
      <c r="X261" s="130"/>
      <c r="Y261" s="130"/>
      <c r="Z261" s="130"/>
    </row>
    <row r="262" spans="1:26" ht="15.75" customHeight="1">
      <c r="A262" s="148">
        <v>262</v>
      </c>
      <c r="B262" s="138" t="s">
        <v>575</v>
      </c>
      <c r="C262" s="139" t="s">
        <v>462</v>
      </c>
      <c r="D262" s="140">
        <v>53529</v>
      </c>
      <c r="E262" s="141">
        <v>0</v>
      </c>
      <c r="F262" s="142">
        <v>53529</v>
      </c>
      <c r="G262" s="151">
        <v>59952</v>
      </c>
      <c r="H262" s="152">
        <v>0</v>
      </c>
      <c r="I262" s="151">
        <v>59952</v>
      </c>
      <c r="J262" s="151">
        <v>63549</v>
      </c>
      <c r="K262" s="152">
        <v>0</v>
      </c>
      <c r="L262" s="151">
        <v>63549</v>
      </c>
      <c r="M262" s="153">
        <f t="shared" si="1"/>
        <v>59010</v>
      </c>
      <c r="N262" s="130"/>
      <c r="O262" s="130"/>
      <c r="P262" s="130"/>
      <c r="Q262" s="130"/>
      <c r="R262" s="130"/>
      <c r="S262" s="130"/>
      <c r="T262" s="130"/>
      <c r="U262" s="130"/>
      <c r="V262" s="130"/>
      <c r="W262" s="130"/>
      <c r="X262" s="130"/>
      <c r="Y262" s="130"/>
      <c r="Z262" s="130"/>
    </row>
    <row r="263" spans="1:26" ht="15.75" customHeight="1">
      <c r="A263" s="148">
        <v>263</v>
      </c>
      <c r="B263" s="138" t="s">
        <v>576</v>
      </c>
      <c r="C263" s="139" t="s">
        <v>484</v>
      </c>
      <c r="D263" s="140">
        <v>44137</v>
      </c>
      <c r="E263" s="141">
        <v>0</v>
      </c>
      <c r="F263" s="142">
        <v>44137</v>
      </c>
      <c r="G263" s="151">
        <v>49433</v>
      </c>
      <c r="H263" s="152">
        <v>0</v>
      </c>
      <c r="I263" s="151">
        <v>49433</v>
      </c>
      <c r="J263" s="151">
        <v>52399</v>
      </c>
      <c r="K263" s="152">
        <v>0</v>
      </c>
      <c r="L263" s="151">
        <v>52399</v>
      </c>
      <c r="M263" s="153">
        <f t="shared" si="1"/>
        <v>48656.333333333336</v>
      </c>
      <c r="N263" s="130"/>
      <c r="O263" s="130"/>
      <c r="P263" s="130"/>
      <c r="Q263" s="130"/>
      <c r="R263" s="130"/>
      <c r="S263" s="130"/>
      <c r="T263" s="130"/>
      <c r="U263" s="130"/>
      <c r="V263" s="130"/>
      <c r="W263" s="130"/>
      <c r="X263" s="130"/>
      <c r="Y263" s="130"/>
      <c r="Z263" s="130"/>
    </row>
    <row r="264" spans="1:26" ht="15.75" customHeight="1">
      <c r="A264" s="148">
        <v>264</v>
      </c>
      <c r="B264" s="138" t="s">
        <v>577</v>
      </c>
      <c r="C264" s="139" t="s">
        <v>462</v>
      </c>
      <c r="D264" s="140">
        <v>105742</v>
      </c>
      <c r="E264" s="141">
        <v>0</v>
      </c>
      <c r="F264" s="142">
        <v>105742</v>
      </c>
      <c r="G264" s="151">
        <v>118431</v>
      </c>
      <c r="H264" s="152">
        <v>0</v>
      </c>
      <c r="I264" s="151">
        <v>118431</v>
      </c>
      <c r="J264" s="151">
        <v>125537</v>
      </c>
      <c r="K264" s="152">
        <v>0</v>
      </c>
      <c r="L264" s="151">
        <v>125537</v>
      </c>
      <c r="M264" s="153">
        <f t="shared" si="1"/>
        <v>116570</v>
      </c>
      <c r="N264" s="130"/>
      <c r="O264" s="130"/>
      <c r="P264" s="130"/>
      <c r="Q264" s="130"/>
      <c r="R264" s="130"/>
      <c r="S264" s="130"/>
      <c r="T264" s="130"/>
      <c r="U264" s="130"/>
      <c r="V264" s="130"/>
      <c r="W264" s="130"/>
      <c r="X264" s="130"/>
      <c r="Y264" s="130"/>
      <c r="Z264" s="130"/>
    </row>
    <row r="265" spans="1:26" ht="15.75" customHeight="1">
      <c r="A265" s="148">
        <v>265</v>
      </c>
      <c r="B265" s="138" t="s">
        <v>578</v>
      </c>
      <c r="C265" s="139" t="s">
        <v>579</v>
      </c>
      <c r="D265" s="140">
        <v>149266</v>
      </c>
      <c r="E265" s="141">
        <v>0</v>
      </c>
      <c r="F265" s="142">
        <v>149266</v>
      </c>
      <c r="G265" s="151">
        <v>167178</v>
      </c>
      <c r="H265" s="152">
        <v>0</v>
      </c>
      <c r="I265" s="151">
        <v>167178</v>
      </c>
      <c r="J265" s="151">
        <v>177209</v>
      </c>
      <c r="K265" s="152">
        <v>0</v>
      </c>
      <c r="L265" s="151">
        <v>177209</v>
      </c>
      <c r="M265" s="153">
        <f t="shared" si="1"/>
        <v>164551</v>
      </c>
      <c r="N265" s="130"/>
      <c r="O265" s="130"/>
      <c r="P265" s="130"/>
      <c r="Q265" s="130"/>
      <c r="R265" s="130"/>
      <c r="S265" s="130"/>
      <c r="T265" s="130"/>
      <c r="U265" s="130"/>
      <c r="V265" s="130"/>
      <c r="W265" s="130"/>
      <c r="X265" s="130"/>
      <c r="Y265" s="130"/>
      <c r="Z265" s="130"/>
    </row>
    <row r="266" spans="1:26" ht="15.75" customHeight="1">
      <c r="A266" s="148">
        <v>266</v>
      </c>
      <c r="B266" s="138" t="s">
        <v>580</v>
      </c>
      <c r="C266" s="139" t="s">
        <v>255</v>
      </c>
      <c r="D266" s="140">
        <v>201773</v>
      </c>
      <c r="E266" s="141">
        <v>0</v>
      </c>
      <c r="F266" s="142">
        <v>201773</v>
      </c>
      <c r="G266" s="151">
        <v>225986</v>
      </c>
      <c r="H266" s="152">
        <v>0</v>
      </c>
      <c r="I266" s="151">
        <v>225986</v>
      </c>
      <c r="J266" s="151">
        <v>239545</v>
      </c>
      <c r="K266" s="152">
        <v>0</v>
      </c>
      <c r="L266" s="151">
        <v>239545</v>
      </c>
      <c r="M266" s="153">
        <f t="shared" si="1"/>
        <v>222434.66666666666</v>
      </c>
      <c r="N266" s="130"/>
      <c r="O266" s="130"/>
      <c r="P266" s="130"/>
      <c r="Q266" s="130"/>
      <c r="R266" s="130"/>
      <c r="S266" s="130"/>
      <c r="T266" s="130"/>
      <c r="U266" s="130"/>
      <c r="V266" s="130"/>
      <c r="W266" s="130"/>
      <c r="X266" s="130"/>
      <c r="Y266" s="130"/>
      <c r="Z266" s="130"/>
    </row>
    <row r="267" spans="1:26" ht="15.75" customHeight="1">
      <c r="A267" s="148">
        <v>267</v>
      </c>
      <c r="B267" s="138" t="s">
        <v>581</v>
      </c>
      <c r="C267" s="139" t="s">
        <v>266</v>
      </c>
      <c r="D267" s="140">
        <v>13476</v>
      </c>
      <c r="E267" s="141">
        <v>0.05</v>
      </c>
      <c r="F267" s="142">
        <v>14149.8</v>
      </c>
      <c r="G267" s="151">
        <v>15093</v>
      </c>
      <c r="H267" s="152">
        <v>0.05</v>
      </c>
      <c r="I267" s="151">
        <v>15847.65</v>
      </c>
      <c r="J267" s="151">
        <v>15999</v>
      </c>
      <c r="K267" s="152">
        <v>0.05</v>
      </c>
      <c r="L267" s="151">
        <v>16798.95</v>
      </c>
      <c r="M267" s="153">
        <f t="shared" si="1"/>
        <v>15598.799999999997</v>
      </c>
      <c r="N267" s="130"/>
      <c r="O267" s="130"/>
      <c r="P267" s="130"/>
      <c r="Q267" s="130"/>
      <c r="R267" s="130"/>
      <c r="S267" s="130"/>
      <c r="T267" s="130"/>
      <c r="U267" s="130"/>
      <c r="V267" s="130"/>
      <c r="W267" s="130"/>
      <c r="X267" s="130"/>
      <c r="Y267" s="130"/>
      <c r="Z267" s="130"/>
    </row>
    <row r="268" spans="1:26" ht="15.75" customHeight="1">
      <c r="A268" s="148">
        <v>268</v>
      </c>
      <c r="B268" s="138" t="s">
        <v>582</v>
      </c>
      <c r="C268" s="139" t="s">
        <v>462</v>
      </c>
      <c r="D268" s="140">
        <v>94840</v>
      </c>
      <c r="E268" s="141">
        <v>0</v>
      </c>
      <c r="F268" s="142">
        <v>94840</v>
      </c>
      <c r="G268" s="151">
        <v>106221</v>
      </c>
      <c r="H268" s="152">
        <v>0</v>
      </c>
      <c r="I268" s="151">
        <v>106221</v>
      </c>
      <c r="J268" s="151">
        <v>112594</v>
      </c>
      <c r="K268" s="152">
        <v>0</v>
      </c>
      <c r="L268" s="151">
        <v>112594</v>
      </c>
      <c r="M268" s="153">
        <f t="shared" si="1"/>
        <v>104551.66666666667</v>
      </c>
      <c r="N268" s="130"/>
      <c r="O268" s="130"/>
      <c r="P268" s="130"/>
      <c r="Q268" s="130"/>
      <c r="R268" s="130"/>
      <c r="S268" s="130"/>
      <c r="T268" s="130"/>
      <c r="U268" s="130"/>
      <c r="V268" s="130"/>
      <c r="W268" s="130"/>
      <c r="X268" s="130"/>
      <c r="Y268" s="130"/>
      <c r="Z268" s="130"/>
    </row>
    <row r="269" spans="1:26" ht="15.75" customHeight="1">
      <c r="A269" s="148">
        <v>269</v>
      </c>
      <c r="B269" s="138" t="s">
        <v>583</v>
      </c>
      <c r="C269" s="139" t="s">
        <v>584</v>
      </c>
      <c r="D269" s="140">
        <v>47091</v>
      </c>
      <c r="E269" s="141">
        <v>0</v>
      </c>
      <c r="F269" s="142">
        <v>47091</v>
      </c>
      <c r="G269" s="151">
        <v>52742</v>
      </c>
      <c r="H269" s="152">
        <v>0</v>
      </c>
      <c r="I269" s="151">
        <v>52742</v>
      </c>
      <c r="J269" s="151">
        <v>55907</v>
      </c>
      <c r="K269" s="152">
        <v>0</v>
      </c>
      <c r="L269" s="151">
        <v>55907</v>
      </c>
      <c r="M269" s="153">
        <f t="shared" si="1"/>
        <v>51913.333333333336</v>
      </c>
      <c r="N269" s="130"/>
      <c r="O269" s="130"/>
      <c r="P269" s="130"/>
      <c r="Q269" s="130"/>
      <c r="R269" s="130"/>
      <c r="S269" s="130"/>
      <c r="T269" s="130"/>
      <c r="U269" s="130"/>
      <c r="V269" s="130"/>
      <c r="W269" s="130"/>
      <c r="X269" s="130"/>
      <c r="Y269" s="130"/>
      <c r="Z269" s="130"/>
    </row>
    <row r="270" spans="1:26" ht="15.75" customHeight="1">
      <c r="A270" s="148">
        <v>270</v>
      </c>
      <c r="B270" s="138" t="s">
        <v>585</v>
      </c>
      <c r="C270" s="139" t="s">
        <v>266</v>
      </c>
      <c r="D270" s="140">
        <v>6456</v>
      </c>
      <c r="E270" s="141">
        <v>0</v>
      </c>
      <c r="F270" s="142">
        <v>6456</v>
      </c>
      <c r="G270" s="151">
        <v>7231</v>
      </c>
      <c r="H270" s="152">
        <v>0</v>
      </c>
      <c r="I270" s="151">
        <v>7231</v>
      </c>
      <c r="J270" s="151">
        <v>7665</v>
      </c>
      <c r="K270" s="152">
        <v>0</v>
      </c>
      <c r="L270" s="151">
        <v>7665</v>
      </c>
      <c r="M270" s="153">
        <f t="shared" si="1"/>
        <v>7117.333333333333</v>
      </c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</row>
    <row r="271" spans="1:26" ht="15.75" customHeight="1">
      <c r="A271" s="148">
        <v>271</v>
      </c>
      <c r="B271" s="138" t="s">
        <v>586</v>
      </c>
      <c r="C271" s="139" t="s">
        <v>266</v>
      </c>
      <c r="D271" s="140">
        <v>48289</v>
      </c>
      <c r="E271" s="141">
        <v>0</v>
      </c>
      <c r="F271" s="142">
        <v>48289</v>
      </c>
      <c r="G271" s="151">
        <v>54084</v>
      </c>
      <c r="H271" s="152">
        <v>0</v>
      </c>
      <c r="I271" s="151">
        <v>54084</v>
      </c>
      <c r="J271" s="151">
        <v>57329</v>
      </c>
      <c r="K271" s="152">
        <v>0</v>
      </c>
      <c r="L271" s="151">
        <v>57329</v>
      </c>
      <c r="M271" s="153">
        <f t="shared" si="1"/>
        <v>53234</v>
      </c>
      <c r="N271" s="130"/>
      <c r="O271" s="130"/>
      <c r="P271" s="130"/>
      <c r="Q271" s="130"/>
      <c r="R271" s="130"/>
      <c r="S271" s="130"/>
      <c r="T271" s="130"/>
      <c r="U271" s="130"/>
      <c r="V271" s="130"/>
      <c r="W271" s="130"/>
      <c r="X271" s="130"/>
      <c r="Y271" s="130"/>
      <c r="Z271" s="130"/>
    </row>
    <row r="272" spans="1:26" ht="15.75" customHeight="1">
      <c r="A272" s="148">
        <v>272</v>
      </c>
      <c r="B272" s="138" t="s">
        <v>587</v>
      </c>
      <c r="C272" s="139" t="s">
        <v>588</v>
      </c>
      <c r="D272" s="140">
        <v>49599</v>
      </c>
      <c r="E272" s="141">
        <v>0</v>
      </c>
      <c r="F272" s="142">
        <v>49599</v>
      </c>
      <c r="G272" s="151">
        <v>55551</v>
      </c>
      <c r="H272" s="152">
        <v>0</v>
      </c>
      <c r="I272" s="151">
        <v>55551</v>
      </c>
      <c r="J272" s="151">
        <v>58884</v>
      </c>
      <c r="K272" s="152">
        <v>0</v>
      </c>
      <c r="L272" s="151">
        <v>58884</v>
      </c>
      <c r="M272" s="153">
        <f t="shared" si="1"/>
        <v>54678</v>
      </c>
      <c r="N272" s="130"/>
      <c r="O272" s="130"/>
      <c r="P272" s="130"/>
      <c r="Q272" s="130"/>
      <c r="R272" s="130"/>
      <c r="S272" s="130"/>
      <c r="T272" s="130"/>
      <c r="U272" s="130"/>
      <c r="V272" s="130"/>
      <c r="W272" s="130"/>
      <c r="X272" s="130"/>
      <c r="Y272" s="130"/>
      <c r="Z272" s="130"/>
    </row>
    <row r="273" spans="1:26" ht="15.75" customHeight="1">
      <c r="A273" s="148">
        <v>273</v>
      </c>
      <c r="B273" s="138" t="s">
        <v>589</v>
      </c>
      <c r="C273" s="139" t="s">
        <v>468</v>
      </c>
      <c r="D273" s="140">
        <v>27795</v>
      </c>
      <c r="E273" s="141">
        <v>0</v>
      </c>
      <c r="F273" s="142">
        <v>27795</v>
      </c>
      <c r="G273" s="151">
        <v>31130</v>
      </c>
      <c r="H273" s="152">
        <v>0</v>
      </c>
      <c r="I273" s="151">
        <v>31130</v>
      </c>
      <c r="J273" s="151">
        <v>32998</v>
      </c>
      <c r="K273" s="152">
        <v>0</v>
      </c>
      <c r="L273" s="151">
        <v>32998</v>
      </c>
      <c r="M273" s="153">
        <f t="shared" si="1"/>
        <v>30641</v>
      </c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</row>
    <row r="274" spans="1:26" ht="15.75" customHeight="1">
      <c r="A274" s="148">
        <v>274</v>
      </c>
      <c r="B274" s="138" t="s">
        <v>590</v>
      </c>
      <c r="C274" s="139" t="s">
        <v>503</v>
      </c>
      <c r="D274" s="140">
        <v>17781</v>
      </c>
      <c r="E274" s="141">
        <v>0</v>
      </c>
      <c r="F274" s="142">
        <v>17781</v>
      </c>
      <c r="G274" s="151">
        <v>19915</v>
      </c>
      <c r="H274" s="152">
        <v>0</v>
      </c>
      <c r="I274" s="151">
        <v>19915</v>
      </c>
      <c r="J274" s="151">
        <v>21110</v>
      </c>
      <c r="K274" s="152">
        <v>0</v>
      </c>
      <c r="L274" s="151">
        <v>21110</v>
      </c>
      <c r="M274" s="153">
        <f t="shared" si="1"/>
        <v>19602</v>
      </c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</row>
    <row r="275" spans="1:26" ht="15.75" customHeight="1">
      <c r="A275" s="148">
        <v>275</v>
      </c>
      <c r="B275" s="138" t="s">
        <v>591</v>
      </c>
      <c r="C275" s="139" t="s">
        <v>592</v>
      </c>
      <c r="D275" s="140">
        <v>147861</v>
      </c>
      <c r="E275" s="141">
        <v>0</v>
      </c>
      <c r="F275" s="142">
        <v>147861</v>
      </c>
      <c r="G275" s="151">
        <v>165604</v>
      </c>
      <c r="H275" s="152">
        <v>0</v>
      </c>
      <c r="I275" s="151">
        <v>165604</v>
      </c>
      <c r="J275" s="151">
        <v>175540</v>
      </c>
      <c r="K275" s="152">
        <v>0</v>
      </c>
      <c r="L275" s="151">
        <v>175540</v>
      </c>
      <c r="M275" s="153">
        <f t="shared" si="1"/>
        <v>163001.66666666666</v>
      </c>
      <c r="N275" s="130"/>
      <c r="O275" s="130"/>
      <c r="P275" s="130"/>
      <c r="Q275" s="130"/>
      <c r="R275" s="130"/>
      <c r="S275" s="130"/>
      <c r="T275" s="130"/>
      <c r="U275" s="130"/>
      <c r="V275" s="130"/>
      <c r="W275" s="130"/>
      <c r="X275" s="130"/>
      <c r="Y275" s="130"/>
      <c r="Z275" s="130"/>
    </row>
    <row r="276" spans="1:26" ht="15.75" customHeight="1">
      <c r="A276" s="148">
        <v>276</v>
      </c>
      <c r="B276" s="138" t="s">
        <v>593</v>
      </c>
      <c r="C276" s="139" t="s">
        <v>594</v>
      </c>
      <c r="D276" s="140">
        <v>1468316</v>
      </c>
      <c r="E276" s="141">
        <v>0</v>
      </c>
      <c r="F276" s="142">
        <v>1468316</v>
      </c>
      <c r="G276" s="151">
        <v>1644514</v>
      </c>
      <c r="H276" s="152">
        <v>0</v>
      </c>
      <c r="I276" s="151">
        <v>1644514</v>
      </c>
      <c r="J276" s="151">
        <v>1743185</v>
      </c>
      <c r="K276" s="152">
        <v>0</v>
      </c>
      <c r="L276" s="151">
        <v>1743185</v>
      </c>
      <c r="M276" s="153">
        <f t="shared" si="1"/>
        <v>1618671.6666666667</v>
      </c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0"/>
      <c r="Y276" s="130"/>
      <c r="Z276" s="130"/>
    </row>
    <row r="277" spans="1:26" ht="15.75" customHeight="1">
      <c r="A277" s="148">
        <v>277</v>
      </c>
      <c r="B277" s="138" t="s">
        <v>595</v>
      </c>
      <c r="C277" s="139" t="s">
        <v>510</v>
      </c>
      <c r="D277" s="140">
        <v>201506</v>
      </c>
      <c r="E277" s="141">
        <v>0</v>
      </c>
      <c r="F277" s="142">
        <v>201506</v>
      </c>
      <c r="G277" s="151">
        <v>225687</v>
      </c>
      <c r="H277" s="152">
        <v>0</v>
      </c>
      <c r="I277" s="151">
        <v>225687</v>
      </c>
      <c r="J277" s="151">
        <v>239228</v>
      </c>
      <c r="K277" s="152">
        <v>0</v>
      </c>
      <c r="L277" s="151">
        <v>239228</v>
      </c>
      <c r="M277" s="153">
        <f t="shared" si="1"/>
        <v>222140.33333333334</v>
      </c>
      <c r="N277" s="130"/>
      <c r="O277" s="130"/>
      <c r="P277" s="130"/>
      <c r="Q277" s="130"/>
      <c r="R277" s="130"/>
      <c r="S277" s="130"/>
      <c r="T277" s="130"/>
      <c r="U277" s="130"/>
      <c r="V277" s="130"/>
      <c r="W277" s="130"/>
      <c r="X277" s="130"/>
      <c r="Y277" s="130"/>
      <c r="Z277" s="130"/>
    </row>
    <row r="278" spans="1:26" ht="15.75" customHeight="1">
      <c r="A278" s="148">
        <v>278</v>
      </c>
      <c r="B278" s="138" t="s">
        <v>596</v>
      </c>
      <c r="C278" s="139" t="s">
        <v>429</v>
      </c>
      <c r="D278" s="140">
        <v>30227</v>
      </c>
      <c r="E278" s="141">
        <v>0</v>
      </c>
      <c r="F278" s="142">
        <v>30227</v>
      </c>
      <c r="G278" s="151">
        <v>33854</v>
      </c>
      <c r="H278" s="152">
        <v>0</v>
      </c>
      <c r="I278" s="151">
        <v>33854</v>
      </c>
      <c r="J278" s="151">
        <v>35885</v>
      </c>
      <c r="K278" s="152">
        <v>0</v>
      </c>
      <c r="L278" s="151">
        <v>35885</v>
      </c>
      <c r="M278" s="153">
        <f t="shared" si="1"/>
        <v>33322</v>
      </c>
      <c r="N278" s="130"/>
      <c r="O278" s="130"/>
      <c r="P278" s="130"/>
      <c r="Q278" s="130"/>
      <c r="R278" s="130"/>
      <c r="S278" s="130"/>
      <c r="T278" s="130"/>
      <c r="U278" s="130"/>
      <c r="V278" s="130"/>
      <c r="W278" s="130"/>
      <c r="X278" s="130"/>
      <c r="Y278" s="130"/>
      <c r="Z278" s="130"/>
    </row>
    <row r="279" spans="1:26" ht="15.75" customHeight="1">
      <c r="A279" s="148">
        <v>279</v>
      </c>
      <c r="B279" s="138" t="s">
        <v>597</v>
      </c>
      <c r="C279" s="139" t="s">
        <v>429</v>
      </c>
      <c r="D279" s="140">
        <v>28975</v>
      </c>
      <c r="E279" s="141">
        <v>0</v>
      </c>
      <c r="F279" s="142">
        <v>28975</v>
      </c>
      <c r="G279" s="151">
        <v>32452</v>
      </c>
      <c r="H279" s="152">
        <v>0</v>
      </c>
      <c r="I279" s="151">
        <v>32452</v>
      </c>
      <c r="J279" s="151">
        <v>34399</v>
      </c>
      <c r="K279" s="152">
        <v>0</v>
      </c>
      <c r="L279" s="151">
        <v>34399</v>
      </c>
      <c r="M279" s="153">
        <f t="shared" si="1"/>
        <v>31942</v>
      </c>
      <c r="N279" s="130"/>
      <c r="O279" s="130"/>
      <c r="P279" s="130"/>
      <c r="Q279" s="130"/>
      <c r="R279" s="130"/>
      <c r="S279" s="130"/>
      <c r="T279" s="130"/>
      <c r="U279" s="130"/>
      <c r="V279" s="130"/>
      <c r="W279" s="130"/>
      <c r="X279" s="130"/>
      <c r="Y279" s="130"/>
      <c r="Z279" s="130"/>
    </row>
    <row r="280" spans="1:26" ht="15.75" customHeight="1">
      <c r="A280" s="148">
        <v>280</v>
      </c>
      <c r="B280" s="138" t="s">
        <v>598</v>
      </c>
      <c r="C280" s="139" t="s">
        <v>429</v>
      </c>
      <c r="D280" s="140">
        <v>42628</v>
      </c>
      <c r="E280" s="141">
        <v>0</v>
      </c>
      <c r="F280" s="142">
        <v>42628</v>
      </c>
      <c r="G280" s="151">
        <v>47743</v>
      </c>
      <c r="H280" s="152">
        <v>0</v>
      </c>
      <c r="I280" s="151">
        <v>47743</v>
      </c>
      <c r="J280" s="151">
        <v>50608</v>
      </c>
      <c r="K280" s="152">
        <v>0</v>
      </c>
      <c r="L280" s="151">
        <v>50608</v>
      </c>
      <c r="M280" s="153">
        <f t="shared" si="1"/>
        <v>46993</v>
      </c>
      <c r="N280" s="130"/>
      <c r="O280" s="130"/>
      <c r="P280" s="130"/>
      <c r="Q280" s="130"/>
      <c r="R280" s="130"/>
      <c r="S280" s="130"/>
      <c r="T280" s="130"/>
      <c r="U280" s="130"/>
      <c r="V280" s="130"/>
      <c r="W280" s="130"/>
      <c r="X280" s="130"/>
      <c r="Y280" s="130"/>
      <c r="Z280" s="130"/>
    </row>
    <row r="281" spans="1:26" ht="15.75" customHeight="1">
      <c r="A281" s="148">
        <v>281</v>
      </c>
      <c r="B281" s="138" t="s">
        <v>599</v>
      </c>
      <c r="C281" s="139" t="s">
        <v>266</v>
      </c>
      <c r="D281" s="140">
        <v>73837</v>
      </c>
      <c r="E281" s="141">
        <v>0</v>
      </c>
      <c r="F281" s="142">
        <v>73837</v>
      </c>
      <c r="G281" s="151">
        <v>82697</v>
      </c>
      <c r="H281" s="152">
        <v>0</v>
      </c>
      <c r="I281" s="151">
        <v>82697</v>
      </c>
      <c r="J281" s="151">
        <v>87659</v>
      </c>
      <c r="K281" s="152">
        <v>0</v>
      </c>
      <c r="L281" s="151">
        <v>87659</v>
      </c>
      <c r="M281" s="153">
        <f t="shared" si="1"/>
        <v>81397.666666666672</v>
      </c>
      <c r="N281" s="130"/>
      <c r="O281" s="130"/>
      <c r="P281" s="130"/>
      <c r="Q281" s="130"/>
      <c r="R281" s="130"/>
      <c r="S281" s="130"/>
      <c r="T281" s="130"/>
      <c r="U281" s="130"/>
      <c r="V281" s="130"/>
      <c r="W281" s="130"/>
      <c r="X281" s="130"/>
      <c r="Y281" s="130"/>
      <c r="Z281" s="130"/>
    </row>
    <row r="282" spans="1:26" ht="15.75" customHeight="1">
      <c r="A282" s="148">
        <v>282</v>
      </c>
      <c r="B282" s="138" t="s">
        <v>600</v>
      </c>
      <c r="C282" s="139" t="s">
        <v>503</v>
      </c>
      <c r="D282" s="140">
        <v>58957</v>
      </c>
      <c r="E282" s="141">
        <v>0</v>
      </c>
      <c r="F282" s="142">
        <v>58957</v>
      </c>
      <c r="G282" s="151">
        <v>66032</v>
      </c>
      <c r="H282" s="152">
        <v>0</v>
      </c>
      <c r="I282" s="151">
        <v>66032</v>
      </c>
      <c r="J282" s="151">
        <v>69994</v>
      </c>
      <c r="K282" s="152">
        <v>0</v>
      </c>
      <c r="L282" s="151">
        <v>69994</v>
      </c>
      <c r="M282" s="153">
        <f t="shared" si="1"/>
        <v>64994.333333333336</v>
      </c>
      <c r="N282" s="130"/>
      <c r="O282" s="130"/>
      <c r="P282" s="130"/>
      <c r="Q282" s="130"/>
      <c r="R282" s="130"/>
      <c r="S282" s="130"/>
      <c r="T282" s="130"/>
      <c r="U282" s="130"/>
      <c r="V282" s="130"/>
      <c r="W282" s="130"/>
      <c r="X282" s="130"/>
      <c r="Y282" s="130"/>
      <c r="Z282" s="130"/>
    </row>
    <row r="283" spans="1:26" ht="15.75" customHeight="1">
      <c r="A283" s="148">
        <v>283</v>
      </c>
      <c r="B283" s="138" t="s">
        <v>601</v>
      </c>
      <c r="C283" s="139" t="s">
        <v>602</v>
      </c>
      <c r="D283" s="140">
        <v>18342</v>
      </c>
      <c r="E283" s="141">
        <v>0</v>
      </c>
      <c r="F283" s="142">
        <v>18342</v>
      </c>
      <c r="G283" s="151">
        <v>20543</v>
      </c>
      <c r="H283" s="152">
        <v>0</v>
      </c>
      <c r="I283" s="151">
        <v>20543</v>
      </c>
      <c r="J283" s="151">
        <v>21776</v>
      </c>
      <c r="K283" s="152">
        <v>0</v>
      </c>
      <c r="L283" s="151">
        <v>21776</v>
      </c>
      <c r="M283" s="153">
        <f t="shared" si="1"/>
        <v>20220.333333333332</v>
      </c>
      <c r="N283" s="130"/>
      <c r="O283" s="130"/>
      <c r="P283" s="130"/>
      <c r="Q283" s="130"/>
      <c r="R283" s="130"/>
      <c r="S283" s="130"/>
      <c r="T283" s="130"/>
      <c r="U283" s="130"/>
      <c r="V283" s="130"/>
      <c r="W283" s="130"/>
      <c r="X283" s="130"/>
      <c r="Y283" s="130"/>
      <c r="Z283" s="130"/>
    </row>
    <row r="284" spans="1:26" ht="15.75" customHeight="1">
      <c r="A284" s="148">
        <v>284</v>
      </c>
      <c r="B284" s="138" t="s">
        <v>603</v>
      </c>
      <c r="C284" s="139" t="s">
        <v>518</v>
      </c>
      <c r="D284" s="140">
        <v>9265</v>
      </c>
      <c r="E284" s="141">
        <v>0</v>
      </c>
      <c r="F284" s="142">
        <v>9265</v>
      </c>
      <c r="G284" s="151">
        <v>10377</v>
      </c>
      <c r="H284" s="152">
        <v>0</v>
      </c>
      <c r="I284" s="151">
        <v>10377</v>
      </c>
      <c r="J284" s="151">
        <v>11000</v>
      </c>
      <c r="K284" s="152">
        <v>0</v>
      </c>
      <c r="L284" s="151">
        <v>11000</v>
      </c>
      <c r="M284" s="153">
        <f t="shared" si="1"/>
        <v>10214</v>
      </c>
      <c r="N284" s="130"/>
      <c r="O284" s="130"/>
      <c r="P284" s="130"/>
      <c r="Q284" s="130"/>
      <c r="R284" s="130"/>
      <c r="S284" s="130"/>
      <c r="T284" s="130"/>
      <c r="U284" s="130"/>
      <c r="V284" s="130"/>
      <c r="W284" s="130"/>
      <c r="X284" s="130"/>
      <c r="Y284" s="130"/>
      <c r="Z284" s="130"/>
    </row>
    <row r="285" spans="1:26" ht="15.75" customHeight="1">
      <c r="A285" s="148">
        <v>285</v>
      </c>
      <c r="B285" s="138" t="s">
        <v>604</v>
      </c>
      <c r="C285" s="139" t="s">
        <v>518</v>
      </c>
      <c r="D285" s="140">
        <v>8422</v>
      </c>
      <c r="E285" s="141">
        <v>0</v>
      </c>
      <c r="F285" s="142">
        <v>8422</v>
      </c>
      <c r="G285" s="151">
        <v>9433</v>
      </c>
      <c r="H285" s="152">
        <v>0</v>
      </c>
      <c r="I285" s="151">
        <v>9433</v>
      </c>
      <c r="J285" s="151">
        <v>9999</v>
      </c>
      <c r="K285" s="152">
        <v>0</v>
      </c>
      <c r="L285" s="151">
        <v>9999</v>
      </c>
      <c r="M285" s="153">
        <f t="shared" si="1"/>
        <v>9284.6666666666661</v>
      </c>
      <c r="N285" s="130"/>
      <c r="O285" s="130"/>
      <c r="P285" s="130"/>
      <c r="Q285" s="130"/>
      <c r="R285" s="130"/>
      <c r="S285" s="130"/>
      <c r="T285" s="130"/>
      <c r="U285" s="130"/>
      <c r="V285" s="130"/>
      <c r="W285" s="130"/>
      <c r="X285" s="130"/>
      <c r="Y285" s="130"/>
      <c r="Z285" s="130"/>
    </row>
    <row r="286" spans="1:26" ht="15.75" customHeight="1">
      <c r="A286" s="148">
        <v>286</v>
      </c>
      <c r="B286" s="138" t="s">
        <v>605</v>
      </c>
      <c r="C286" s="139" t="s">
        <v>518</v>
      </c>
      <c r="D286" s="140">
        <v>2751</v>
      </c>
      <c r="E286" s="141">
        <v>0</v>
      </c>
      <c r="F286" s="142">
        <v>2751</v>
      </c>
      <c r="G286" s="151">
        <v>3081</v>
      </c>
      <c r="H286" s="152">
        <v>0</v>
      </c>
      <c r="I286" s="151">
        <v>3081</v>
      </c>
      <c r="J286" s="151">
        <v>3266</v>
      </c>
      <c r="K286" s="152">
        <v>0</v>
      </c>
      <c r="L286" s="151">
        <v>3266</v>
      </c>
      <c r="M286" s="153">
        <f t="shared" si="1"/>
        <v>3032.6666666666665</v>
      </c>
      <c r="N286" s="130"/>
      <c r="O286" s="130"/>
      <c r="P286" s="130"/>
      <c r="Q286" s="130"/>
      <c r="R286" s="130"/>
      <c r="S286" s="130"/>
      <c r="T286" s="130"/>
      <c r="U286" s="130"/>
      <c r="V286" s="130"/>
      <c r="W286" s="130"/>
      <c r="X286" s="130"/>
      <c r="Y286" s="130"/>
      <c r="Z286" s="130"/>
    </row>
    <row r="287" spans="1:26" ht="15.75" customHeight="1">
      <c r="A287" s="148">
        <v>287</v>
      </c>
      <c r="B287" s="138" t="s">
        <v>606</v>
      </c>
      <c r="C287" s="139" t="s">
        <v>518</v>
      </c>
      <c r="D287" s="140">
        <v>4099</v>
      </c>
      <c r="E287" s="141">
        <v>0</v>
      </c>
      <c r="F287" s="142">
        <v>4099</v>
      </c>
      <c r="G287" s="151">
        <v>4591</v>
      </c>
      <c r="H287" s="152">
        <v>0</v>
      </c>
      <c r="I287" s="151">
        <v>4591</v>
      </c>
      <c r="J287" s="151">
        <v>4866</v>
      </c>
      <c r="K287" s="152">
        <v>0</v>
      </c>
      <c r="L287" s="151">
        <v>4866</v>
      </c>
      <c r="M287" s="153">
        <f t="shared" si="1"/>
        <v>4518.666666666667</v>
      </c>
      <c r="N287" s="130"/>
      <c r="O287" s="130"/>
      <c r="P287" s="130"/>
      <c r="Q287" s="130"/>
      <c r="R287" s="130"/>
      <c r="S287" s="130"/>
      <c r="T287" s="130"/>
      <c r="U287" s="130"/>
      <c r="V287" s="130"/>
      <c r="W287" s="130"/>
      <c r="X287" s="130"/>
      <c r="Y287" s="130"/>
      <c r="Z287" s="130"/>
    </row>
    <row r="288" spans="1:26" ht="15.75" customHeight="1">
      <c r="A288" s="148">
        <v>288</v>
      </c>
      <c r="B288" s="138" t="s">
        <v>607</v>
      </c>
      <c r="C288" s="139" t="s">
        <v>423</v>
      </c>
      <c r="D288" s="140">
        <v>22460</v>
      </c>
      <c r="E288" s="141">
        <v>0</v>
      </c>
      <c r="F288" s="142">
        <v>22460</v>
      </c>
      <c r="G288" s="151">
        <v>25155</v>
      </c>
      <c r="H288" s="152">
        <v>0</v>
      </c>
      <c r="I288" s="151">
        <v>25155</v>
      </c>
      <c r="J288" s="151">
        <v>26664</v>
      </c>
      <c r="K288" s="152">
        <v>0</v>
      </c>
      <c r="L288" s="151">
        <v>26664</v>
      </c>
      <c r="M288" s="153">
        <f t="shared" si="1"/>
        <v>24759.666666666668</v>
      </c>
      <c r="N288" s="130"/>
      <c r="O288" s="130"/>
      <c r="P288" s="130"/>
      <c r="Q288" s="130"/>
      <c r="R288" s="130"/>
      <c r="S288" s="130"/>
      <c r="T288" s="130"/>
      <c r="U288" s="130"/>
      <c r="V288" s="130"/>
      <c r="W288" s="130"/>
      <c r="X288" s="130"/>
      <c r="Y288" s="130"/>
      <c r="Z288" s="130"/>
    </row>
    <row r="289" spans="1:26" ht="15.75" customHeight="1">
      <c r="A289" s="148">
        <v>289</v>
      </c>
      <c r="B289" s="138" t="s">
        <v>608</v>
      </c>
      <c r="C289" s="139" t="s">
        <v>503</v>
      </c>
      <c r="D289" s="140">
        <v>24987</v>
      </c>
      <c r="E289" s="141">
        <v>0</v>
      </c>
      <c r="F289" s="142">
        <v>24987</v>
      </c>
      <c r="G289" s="151">
        <v>27985</v>
      </c>
      <c r="H289" s="152">
        <v>0</v>
      </c>
      <c r="I289" s="151">
        <v>27985</v>
      </c>
      <c r="J289" s="151">
        <v>29664</v>
      </c>
      <c r="K289" s="152">
        <v>0</v>
      </c>
      <c r="L289" s="151">
        <v>29664</v>
      </c>
      <c r="M289" s="153">
        <f t="shared" si="1"/>
        <v>27545.333333333332</v>
      </c>
      <c r="N289" s="130"/>
      <c r="O289" s="130"/>
      <c r="P289" s="130"/>
      <c r="Q289" s="130"/>
      <c r="R289" s="130"/>
      <c r="S289" s="130"/>
      <c r="T289" s="130"/>
      <c r="U289" s="130"/>
      <c r="V289" s="130"/>
      <c r="W289" s="130"/>
      <c r="X289" s="130"/>
      <c r="Y289" s="130"/>
      <c r="Z289" s="130"/>
    </row>
    <row r="290" spans="1:26" ht="15.75" customHeight="1">
      <c r="A290" s="148">
        <v>290</v>
      </c>
      <c r="B290" s="138" t="s">
        <v>609</v>
      </c>
      <c r="C290" s="139" t="s">
        <v>503</v>
      </c>
      <c r="D290" s="140">
        <v>24987</v>
      </c>
      <c r="E290" s="141">
        <v>0</v>
      </c>
      <c r="F290" s="142">
        <v>24987</v>
      </c>
      <c r="G290" s="151">
        <v>27985</v>
      </c>
      <c r="H290" s="152">
        <v>0</v>
      </c>
      <c r="I290" s="151">
        <v>27985</v>
      </c>
      <c r="J290" s="151">
        <v>29664</v>
      </c>
      <c r="K290" s="152">
        <v>0</v>
      </c>
      <c r="L290" s="151">
        <v>29664</v>
      </c>
      <c r="M290" s="153">
        <f t="shared" si="1"/>
        <v>27545.333333333332</v>
      </c>
      <c r="N290" s="130"/>
      <c r="O290" s="130"/>
      <c r="P290" s="130"/>
      <c r="Q290" s="130"/>
      <c r="R290" s="130"/>
      <c r="S290" s="130"/>
      <c r="T290" s="130"/>
      <c r="U290" s="130"/>
      <c r="V290" s="130"/>
      <c r="W290" s="130"/>
      <c r="X290" s="130"/>
      <c r="Y290" s="130"/>
      <c r="Z290" s="130"/>
    </row>
    <row r="291" spans="1:26" ht="15.75" customHeight="1">
      <c r="A291" s="148">
        <v>291</v>
      </c>
      <c r="B291" s="138" t="s">
        <v>610</v>
      </c>
      <c r="C291" s="139" t="s">
        <v>611</v>
      </c>
      <c r="D291" s="140">
        <v>22320</v>
      </c>
      <c r="E291" s="141">
        <v>0</v>
      </c>
      <c r="F291" s="142">
        <v>22320</v>
      </c>
      <c r="G291" s="151">
        <v>24998</v>
      </c>
      <c r="H291" s="152">
        <v>0</v>
      </c>
      <c r="I291" s="151">
        <v>24998</v>
      </c>
      <c r="J291" s="151">
        <v>26498</v>
      </c>
      <c r="K291" s="152">
        <v>0</v>
      </c>
      <c r="L291" s="151">
        <v>26498</v>
      </c>
      <c r="M291" s="153">
        <f t="shared" si="1"/>
        <v>24605.333333333332</v>
      </c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0"/>
      <c r="Y291" s="130"/>
      <c r="Z291" s="130"/>
    </row>
    <row r="292" spans="1:26" ht="15.75" customHeight="1">
      <c r="A292" s="148">
        <v>292</v>
      </c>
      <c r="B292" s="138" t="s">
        <v>612</v>
      </c>
      <c r="C292" s="139" t="s">
        <v>611</v>
      </c>
      <c r="D292" s="140">
        <v>15441</v>
      </c>
      <c r="E292" s="141">
        <v>0</v>
      </c>
      <c r="F292" s="142">
        <v>15441</v>
      </c>
      <c r="G292" s="151">
        <v>17294</v>
      </c>
      <c r="H292" s="152">
        <v>0</v>
      </c>
      <c r="I292" s="151">
        <v>17294</v>
      </c>
      <c r="J292" s="151">
        <v>18332</v>
      </c>
      <c r="K292" s="152">
        <v>0</v>
      </c>
      <c r="L292" s="151">
        <v>18332</v>
      </c>
      <c r="M292" s="153">
        <f t="shared" si="1"/>
        <v>17022.333333333332</v>
      </c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</row>
    <row r="293" spans="1:26" ht="15.75" customHeight="1">
      <c r="A293" s="148">
        <v>293</v>
      </c>
      <c r="B293" s="138" t="s">
        <v>613</v>
      </c>
      <c r="C293" s="139" t="s">
        <v>614</v>
      </c>
      <c r="D293" s="140">
        <v>311747</v>
      </c>
      <c r="E293" s="141">
        <v>0</v>
      </c>
      <c r="F293" s="142">
        <v>311747</v>
      </c>
      <c r="G293" s="151">
        <v>349157</v>
      </c>
      <c r="H293" s="152">
        <v>0</v>
      </c>
      <c r="I293" s="151">
        <v>349157</v>
      </c>
      <c r="J293" s="151">
        <v>370106</v>
      </c>
      <c r="K293" s="152">
        <v>0</v>
      </c>
      <c r="L293" s="151">
        <v>370106</v>
      </c>
      <c r="M293" s="153">
        <f t="shared" si="1"/>
        <v>343670</v>
      </c>
      <c r="N293" s="130"/>
      <c r="O293" s="130"/>
      <c r="P293" s="130"/>
      <c r="Q293" s="130"/>
      <c r="R293" s="130"/>
      <c r="S293" s="130"/>
      <c r="T293" s="130"/>
      <c r="U293" s="130"/>
      <c r="V293" s="130"/>
      <c r="W293" s="130"/>
      <c r="X293" s="130"/>
      <c r="Y293" s="130"/>
      <c r="Z293" s="130"/>
    </row>
    <row r="294" spans="1:26" ht="15.75" customHeight="1">
      <c r="A294" s="148">
        <v>294</v>
      </c>
      <c r="B294" s="138" t="s">
        <v>615</v>
      </c>
      <c r="C294" s="139" t="s">
        <v>616</v>
      </c>
      <c r="D294" s="140">
        <v>102193</v>
      </c>
      <c r="E294" s="141">
        <v>0</v>
      </c>
      <c r="F294" s="142">
        <v>102193</v>
      </c>
      <c r="G294" s="151">
        <v>114456</v>
      </c>
      <c r="H294" s="152">
        <v>0</v>
      </c>
      <c r="I294" s="151">
        <v>114456</v>
      </c>
      <c r="J294" s="151">
        <v>121323</v>
      </c>
      <c r="K294" s="152">
        <v>0</v>
      </c>
      <c r="L294" s="151">
        <v>121323</v>
      </c>
      <c r="M294" s="153">
        <f t="shared" si="1"/>
        <v>112657.33333333333</v>
      </c>
      <c r="N294" s="130"/>
      <c r="O294" s="130"/>
      <c r="P294" s="130"/>
      <c r="Q294" s="130"/>
      <c r="R294" s="130"/>
      <c r="S294" s="130"/>
      <c r="T294" s="130"/>
      <c r="U294" s="130"/>
      <c r="V294" s="130"/>
      <c r="W294" s="130"/>
      <c r="X294" s="130"/>
      <c r="Y294" s="130"/>
      <c r="Z294" s="130"/>
    </row>
    <row r="295" spans="1:26" ht="15.75" customHeight="1">
      <c r="A295" s="148">
        <v>295</v>
      </c>
      <c r="B295" s="138" t="s">
        <v>617</v>
      </c>
      <c r="C295" s="139" t="s">
        <v>266</v>
      </c>
      <c r="D295" s="140">
        <v>57834</v>
      </c>
      <c r="E295" s="141">
        <v>0</v>
      </c>
      <c r="F295" s="142">
        <v>57834</v>
      </c>
      <c r="G295" s="151">
        <v>64774</v>
      </c>
      <c r="H295" s="152">
        <v>0</v>
      </c>
      <c r="I295" s="151">
        <v>64774</v>
      </c>
      <c r="J295" s="151">
        <v>68660</v>
      </c>
      <c r="K295" s="152">
        <v>0</v>
      </c>
      <c r="L295" s="151">
        <v>68660</v>
      </c>
      <c r="M295" s="153">
        <f t="shared" si="1"/>
        <v>63756</v>
      </c>
      <c r="N295" s="130"/>
      <c r="O295" s="130"/>
      <c r="P295" s="130"/>
      <c r="Q295" s="130"/>
      <c r="R295" s="130"/>
      <c r="S295" s="130"/>
      <c r="T295" s="130"/>
      <c r="U295" s="130"/>
      <c r="V295" s="130"/>
      <c r="W295" s="130"/>
      <c r="X295" s="130"/>
      <c r="Y295" s="130"/>
      <c r="Z295" s="130"/>
    </row>
    <row r="296" spans="1:26" ht="15.75" customHeight="1">
      <c r="A296" s="148">
        <v>296</v>
      </c>
      <c r="B296" s="138" t="s">
        <v>618</v>
      </c>
      <c r="C296" s="139" t="s">
        <v>484</v>
      </c>
      <c r="D296" s="140">
        <v>214699</v>
      </c>
      <c r="E296" s="141">
        <v>0</v>
      </c>
      <c r="F296" s="142">
        <v>214699</v>
      </c>
      <c r="G296" s="151">
        <v>240463</v>
      </c>
      <c r="H296" s="152">
        <v>0</v>
      </c>
      <c r="I296" s="151">
        <v>240463</v>
      </c>
      <c r="J296" s="151">
        <v>254891</v>
      </c>
      <c r="K296" s="152">
        <v>0</v>
      </c>
      <c r="L296" s="151">
        <v>254891</v>
      </c>
      <c r="M296" s="153">
        <f t="shared" si="1"/>
        <v>236684.33333333334</v>
      </c>
      <c r="N296" s="130"/>
      <c r="O296" s="130"/>
      <c r="P296" s="130"/>
      <c r="Q296" s="130"/>
      <c r="R296" s="130"/>
      <c r="S296" s="130"/>
      <c r="T296" s="130"/>
      <c r="U296" s="130"/>
      <c r="V296" s="130"/>
      <c r="W296" s="130"/>
      <c r="X296" s="130"/>
      <c r="Y296" s="130"/>
      <c r="Z296" s="130"/>
    </row>
    <row r="297" spans="1:26" ht="15.75" customHeight="1">
      <c r="A297" s="148">
        <v>297</v>
      </c>
      <c r="B297" s="138" t="s">
        <v>619</v>
      </c>
      <c r="C297" s="139" t="s">
        <v>620</v>
      </c>
      <c r="D297" s="140">
        <v>43984</v>
      </c>
      <c r="E297" s="141">
        <v>0</v>
      </c>
      <c r="F297" s="142">
        <v>43984</v>
      </c>
      <c r="G297" s="151">
        <v>49262</v>
      </c>
      <c r="H297" s="152">
        <v>0</v>
      </c>
      <c r="I297" s="151">
        <v>49262</v>
      </c>
      <c r="J297" s="151">
        <v>52218</v>
      </c>
      <c r="K297" s="152">
        <v>0</v>
      </c>
      <c r="L297" s="151">
        <v>52218</v>
      </c>
      <c r="M297" s="153">
        <f t="shared" si="1"/>
        <v>48488</v>
      </c>
      <c r="N297" s="130"/>
      <c r="O297" s="130"/>
      <c r="P297" s="130"/>
      <c r="Q297" s="130"/>
      <c r="R297" s="130"/>
      <c r="S297" s="130"/>
      <c r="T297" s="130"/>
      <c r="U297" s="130"/>
      <c r="V297" s="130"/>
      <c r="W297" s="130"/>
      <c r="X297" s="130"/>
      <c r="Y297" s="130"/>
      <c r="Z297" s="130"/>
    </row>
    <row r="298" spans="1:26" ht="15.75" customHeight="1">
      <c r="A298" s="148">
        <v>298</v>
      </c>
      <c r="B298" s="138" t="s">
        <v>621</v>
      </c>
      <c r="C298" s="139" t="s">
        <v>296</v>
      </c>
      <c r="D298" s="140">
        <v>39305</v>
      </c>
      <c r="E298" s="141">
        <v>0</v>
      </c>
      <c r="F298" s="142">
        <v>39305</v>
      </c>
      <c r="G298" s="151">
        <v>44022</v>
      </c>
      <c r="H298" s="152">
        <v>0</v>
      </c>
      <c r="I298" s="151">
        <v>44022</v>
      </c>
      <c r="J298" s="151">
        <v>46663</v>
      </c>
      <c r="K298" s="152">
        <v>0</v>
      </c>
      <c r="L298" s="151">
        <v>46663</v>
      </c>
      <c r="M298" s="153">
        <f t="shared" si="1"/>
        <v>43330</v>
      </c>
      <c r="N298" s="130"/>
      <c r="O298" s="130"/>
      <c r="P298" s="130"/>
      <c r="Q298" s="130"/>
      <c r="R298" s="130"/>
      <c r="S298" s="130"/>
      <c r="T298" s="130"/>
      <c r="U298" s="130"/>
      <c r="V298" s="130"/>
      <c r="W298" s="130"/>
      <c r="X298" s="130"/>
      <c r="Y298" s="130"/>
      <c r="Z298" s="130"/>
    </row>
    <row r="299" spans="1:26" ht="15.75" customHeight="1">
      <c r="A299" s="148">
        <v>299</v>
      </c>
      <c r="B299" s="138" t="s">
        <v>622</v>
      </c>
      <c r="C299" s="139" t="s">
        <v>623</v>
      </c>
      <c r="D299" s="140">
        <v>52781</v>
      </c>
      <c r="E299" s="141">
        <v>0</v>
      </c>
      <c r="F299" s="142">
        <v>52781</v>
      </c>
      <c r="G299" s="151">
        <v>59115</v>
      </c>
      <c r="H299" s="152">
        <v>0</v>
      </c>
      <c r="I299" s="151">
        <v>59115</v>
      </c>
      <c r="J299" s="151">
        <v>62662</v>
      </c>
      <c r="K299" s="152">
        <v>0</v>
      </c>
      <c r="L299" s="151">
        <v>62662</v>
      </c>
      <c r="M299" s="153">
        <f t="shared" si="1"/>
        <v>58186</v>
      </c>
      <c r="N299" s="130"/>
      <c r="O299" s="130"/>
      <c r="P299" s="130"/>
      <c r="Q299" s="130"/>
      <c r="R299" s="130"/>
      <c r="S299" s="130"/>
      <c r="T299" s="130"/>
      <c r="U299" s="130"/>
      <c r="V299" s="130"/>
      <c r="W299" s="130"/>
      <c r="X299" s="130"/>
      <c r="Y299" s="130"/>
      <c r="Z299" s="130"/>
    </row>
    <row r="300" spans="1:26" ht="15.75" customHeight="1">
      <c r="A300" s="148">
        <v>300</v>
      </c>
      <c r="B300" s="138" t="s">
        <v>624</v>
      </c>
      <c r="C300" s="139" t="s">
        <v>266</v>
      </c>
      <c r="D300" s="140">
        <v>45856</v>
      </c>
      <c r="E300" s="141">
        <v>0</v>
      </c>
      <c r="F300" s="142">
        <v>45856</v>
      </c>
      <c r="G300" s="151">
        <v>51359</v>
      </c>
      <c r="H300" s="152">
        <v>0</v>
      </c>
      <c r="I300" s="151">
        <v>51359</v>
      </c>
      <c r="J300" s="151">
        <v>54441</v>
      </c>
      <c r="K300" s="152">
        <v>0</v>
      </c>
      <c r="L300" s="151">
        <v>54441</v>
      </c>
      <c r="M300" s="153">
        <f t="shared" si="1"/>
        <v>50552</v>
      </c>
      <c r="N300" s="130"/>
      <c r="O300" s="130"/>
      <c r="P300" s="130"/>
      <c r="Q300" s="130"/>
      <c r="R300" s="130"/>
      <c r="S300" s="130"/>
      <c r="T300" s="130"/>
      <c r="U300" s="130"/>
      <c r="V300" s="130"/>
      <c r="W300" s="130"/>
      <c r="X300" s="130"/>
      <c r="Y300" s="130"/>
      <c r="Z300" s="130"/>
    </row>
    <row r="301" spans="1:26" ht="15.75" customHeight="1">
      <c r="A301" s="148">
        <v>301</v>
      </c>
      <c r="B301" s="138" t="s">
        <v>625</v>
      </c>
      <c r="C301" s="139" t="s">
        <v>503</v>
      </c>
      <c r="D301" s="140">
        <v>45013</v>
      </c>
      <c r="E301" s="141">
        <v>0</v>
      </c>
      <c r="F301" s="142">
        <v>45013</v>
      </c>
      <c r="G301" s="151">
        <v>50415</v>
      </c>
      <c r="H301" s="152">
        <v>0</v>
      </c>
      <c r="I301" s="151">
        <v>50415</v>
      </c>
      <c r="J301" s="151">
        <v>53440</v>
      </c>
      <c r="K301" s="152">
        <v>0</v>
      </c>
      <c r="L301" s="151">
        <v>53440</v>
      </c>
      <c r="M301" s="153">
        <f t="shared" si="1"/>
        <v>49622.666666666664</v>
      </c>
      <c r="N301" s="130"/>
      <c r="O301" s="130"/>
      <c r="P301" s="130"/>
      <c r="Q301" s="130"/>
      <c r="R301" s="130"/>
      <c r="S301" s="130"/>
      <c r="T301" s="130"/>
      <c r="U301" s="130"/>
      <c r="V301" s="130"/>
      <c r="W301" s="130"/>
      <c r="X301" s="130"/>
      <c r="Y301" s="130"/>
      <c r="Z301" s="130"/>
    </row>
    <row r="302" spans="1:26" ht="15.75" customHeight="1">
      <c r="A302" s="148">
        <v>302</v>
      </c>
      <c r="B302" s="138" t="s">
        <v>626</v>
      </c>
      <c r="C302" s="139" t="s">
        <v>503</v>
      </c>
      <c r="D302" s="140">
        <v>148984</v>
      </c>
      <c r="E302" s="141">
        <v>0</v>
      </c>
      <c r="F302" s="142">
        <v>148984</v>
      </c>
      <c r="G302" s="151">
        <v>166862</v>
      </c>
      <c r="H302" s="152">
        <v>0</v>
      </c>
      <c r="I302" s="151">
        <v>166862</v>
      </c>
      <c r="J302" s="151">
        <v>176874</v>
      </c>
      <c r="K302" s="152">
        <v>0</v>
      </c>
      <c r="L302" s="151">
        <v>176874</v>
      </c>
      <c r="M302" s="153">
        <f t="shared" si="1"/>
        <v>164240</v>
      </c>
      <c r="N302" s="130"/>
      <c r="O302" s="130"/>
      <c r="P302" s="130"/>
      <c r="Q302" s="130"/>
      <c r="R302" s="130"/>
      <c r="S302" s="130"/>
      <c r="T302" s="130"/>
      <c r="U302" s="130"/>
      <c r="V302" s="130"/>
      <c r="W302" s="130"/>
      <c r="X302" s="130"/>
      <c r="Y302" s="130"/>
      <c r="Z302" s="130"/>
    </row>
    <row r="303" spans="1:26" ht="15.75" customHeight="1">
      <c r="A303" s="148">
        <v>303</v>
      </c>
      <c r="B303" s="138" t="s">
        <v>627</v>
      </c>
      <c r="C303" s="139" t="s">
        <v>503</v>
      </c>
      <c r="D303" s="140">
        <v>160678</v>
      </c>
      <c r="E303" s="141">
        <v>0</v>
      </c>
      <c r="F303" s="142">
        <v>160678</v>
      </c>
      <c r="G303" s="151">
        <v>179959</v>
      </c>
      <c r="H303" s="152">
        <v>0</v>
      </c>
      <c r="I303" s="151">
        <v>179959</v>
      </c>
      <c r="J303" s="151">
        <v>190757</v>
      </c>
      <c r="K303" s="152">
        <v>0</v>
      </c>
      <c r="L303" s="151">
        <v>190757</v>
      </c>
      <c r="M303" s="153">
        <f t="shared" si="1"/>
        <v>177131.33333333334</v>
      </c>
      <c r="N303" s="130"/>
      <c r="O303" s="130"/>
      <c r="P303" s="130"/>
      <c r="Q303" s="130"/>
      <c r="R303" s="130"/>
      <c r="S303" s="130"/>
      <c r="T303" s="130"/>
      <c r="U303" s="130"/>
      <c r="V303" s="130"/>
      <c r="W303" s="130"/>
      <c r="X303" s="130"/>
      <c r="Y303" s="130"/>
      <c r="Z303" s="130"/>
    </row>
    <row r="304" spans="1:26" ht="15.75" customHeight="1">
      <c r="A304" s="148">
        <v>304</v>
      </c>
      <c r="B304" s="138" t="s">
        <v>628</v>
      </c>
      <c r="C304" s="139" t="s">
        <v>466</v>
      </c>
      <c r="D304" s="140">
        <v>6883</v>
      </c>
      <c r="E304" s="141">
        <v>0</v>
      </c>
      <c r="F304" s="142">
        <v>6883</v>
      </c>
      <c r="G304" s="151">
        <v>7709</v>
      </c>
      <c r="H304" s="152">
        <v>0</v>
      </c>
      <c r="I304" s="151">
        <v>7709</v>
      </c>
      <c r="J304" s="151">
        <v>8172</v>
      </c>
      <c r="K304" s="152">
        <v>0</v>
      </c>
      <c r="L304" s="151">
        <v>8172</v>
      </c>
      <c r="M304" s="153">
        <f t="shared" si="1"/>
        <v>7588</v>
      </c>
      <c r="N304" s="130"/>
      <c r="O304" s="130"/>
      <c r="P304" s="130"/>
      <c r="Q304" s="130"/>
      <c r="R304" s="130"/>
      <c r="S304" s="130"/>
      <c r="T304" s="130"/>
      <c r="U304" s="130"/>
      <c r="V304" s="130"/>
      <c r="W304" s="130"/>
      <c r="X304" s="130"/>
      <c r="Y304" s="130"/>
      <c r="Z304" s="130"/>
    </row>
    <row r="305" spans="1:26" ht="15.75" customHeight="1">
      <c r="A305" s="148">
        <v>305</v>
      </c>
      <c r="B305" s="138" t="s">
        <v>629</v>
      </c>
      <c r="C305" s="139" t="s">
        <v>266</v>
      </c>
      <c r="D305" s="140">
        <v>120722</v>
      </c>
      <c r="E305" s="141">
        <v>0</v>
      </c>
      <c r="F305" s="142">
        <v>120722</v>
      </c>
      <c r="G305" s="151">
        <v>135209</v>
      </c>
      <c r="H305" s="152">
        <v>0</v>
      </c>
      <c r="I305" s="151">
        <v>135209</v>
      </c>
      <c r="J305" s="151">
        <v>143322</v>
      </c>
      <c r="K305" s="152">
        <v>0</v>
      </c>
      <c r="L305" s="151">
        <v>143322</v>
      </c>
      <c r="M305" s="153">
        <f t="shared" si="1"/>
        <v>133084.33333333334</v>
      </c>
      <c r="N305" s="130"/>
      <c r="O305" s="130"/>
      <c r="P305" s="130"/>
      <c r="Q305" s="130"/>
      <c r="R305" s="130"/>
      <c r="S305" s="130"/>
      <c r="T305" s="130"/>
      <c r="U305" s="130"/>
      <c r="V305" s="130"/>
      <c r="W305" s="130"/>
      <c r="X305" s="130"/>
      <c r="Y305" s="130"/>
      <c r="Z305" s="130"/>
    </row>
    <row r="306" spans="1:26" ht="15.75" customHeight="1">
      <c r="A306" s="148">
        <v>306</v>
      </c>
      <c r="B306" s="138" t="s">
        <v>630</v>
      </c>
      <c r="C306" s="139" t="s">
        <v>453</v>
      </c>
      <c r="D306" s="140">
        <v>25267</v>
      </c>
      <c r="E306" s="141">
        <v>0.19</v>
      </c>
      <c r="F306" s="142">
        <v>30067.73</v>
      </c>
      <c r="G306" s="151">
        <v>28299</v>
      </c>
      <c r="H306" s="152">
        <v>0.19</v>
      </c>
      <c r="I306" s="151">
        <v>33675.81</v>
      </c>
      <c r="J306" s="151">
        <v>29997</v>
      </c>
      <c r="K306" s="152">
        <v>0.19</v>
      </c>
      <c r="L306" s="151">
        <v>35696.43</v>
      </c>
      <c r="M306" s="153">
        <f t="shared" si="1"/>
        <v>33146.656666666662</v>
      </c>
      <c r="N306" s="130"/>
      <c r="O306" s="130"/>
      <c r="P306" s="130"/>
      <c r="Q306" s="130"/>
      <c r="R306" s="130"/>
      <c r="S306" s="130"/>
      <c r="T306" s="130"/>
      <c r="U306" s="130"/>
      <c r="V306" s="130"/>
      <c r="W306" s="130"/>
      <c r="X306" s="130"/>
      <c r="Y306" s="130"/>
      <c r="Z306" s="130"/>
    </row>
    <row r="307" spans="1:26" ht="15.75" customHeight="1">
      <c r="A307" s="148">
        <v>307</v>
      </c>
      <c r="B307" s="138" t="s">
        <v>631</v>
      </c>
      <c r="C307" s="139" t="s">
        <v>616</v>
      </c>
      <c r="D307" s="140">
        <v>100134</v>
      </c>
      <c r="E307" s="141">
        <v>0</v>
      </c>
      <c r="F307" s="142">
        <v>100134</v>
      </c>
      <c r="G307" s="151">
        <v>112150</v>
      </c>
      <c r="H307" s="152">
        <v>0</v>
      </c>
      <c r="I307" s="151">
        <v>112150</v>
      </c>
      <c r="J307" s="151">
        <v>118879</v>
      </c>
      <c r="K307" s="152">
        <v>0</v>
      </c>
      <c r="L307" s="151">
        <v>118879</v>
      </c>
      <c r="M307" s="153">
        <f t="shared" si="1"/>
        <v>110387.66666666667</v>
      </c>
      <c r="N307" s="130"/>
      <c r="O307" s="130"/>
      <c r="P307" s="130"/>
      <c r="Q307" s="130"/>
      <c r="R307" s="130"/>
      <c r="S307" s="130"/>
      <c r="T307" s="130"/>
      <c r="U307" s="130"/>
      <c r="V307" s="130"/>
      <c r="W307" s="130"/>
      <c r="X307" s="130"/>
      <c r="Y307" s="130"/>
      <c r="Z307" s="130"/>
    </row>
    <row r="308" spans="1:26" ht="15.75" customHeight="1">
      <c r="A308" s="148">
        <v>308</v>
      </c>
      <c r="B308" s="138" t="s">
        <v>632</v>
      </c>
      <c r="C308" s="139" t="s">
        <v>633</v>
      </c>
      <c r="D308" s="140">
        <v>42299</v>
      </c>
      <c r="E308" s="141">
        <v>0</v>
      </c>
      <c r="F308" s="142">
        <v>42299</v>
      </c>
      <c r="G308" s="151">
        <v>47375</v>
      </c>
      <c r="H308" s="152">
        <v>0</v>
      </c>
      <c r="I308" s="151">
        <v>47375</v>
      </c>
      <c r="J308" s="151">
        <v>50218</v>
      </c>
      <c r="K308" s="152">
        <v>0</v>
      </c>
      <c r="L308" s="151">
        <v>50218</v>
      </c>
      <c r="M308" s="153">
        <f t="shared" si="1"/>
        <v>46630.666666666664</v>
      </c>
      <c r="N308" s="130"/>
      <c r="O308" s="130"/>
      <c r="P308" s="130"/>
      <c r="Q308" s="130"/>
      <c r="R308" s="130"/>
      <c r="S308" s="130"/>
      <c r="T308" s="130"/>
      <c r="U308" s="130"/>
      <c r="V308" s="130"/>
      <c r="W308" s="130"/>
      <c r="X308" s="130"/>
      <c r="Y308" s="130"/>
      <c r="Z308" s="130"/>
    </row>
    <row r="309" spans="1:26" ht="15.75" customHeight="1">
      <c r="A309" s="148">
        <v>309</v>
      </c>
      <c r="B309" s="138" t="s">
        <v>634</v>
      </c>
      <c r="C309" s="139" t="s">
        <v>559</v>
      </c>
      <c r="D309" s="140">
        <v>40241</v>
      </c>
      <c r="E309" s="141">
        <v>0</v>
      </c>
      <c r="F309" s="142">
        <v>40241</v>
      </c>
      <c r="G309" s="151">
        <v>45070</v>
      </c>
      <c r="H309" s="152">
        <v>0</v>
      </c>
      <c r="I309" s="151">
        <v>45070</v>
      </c>
      <c r="J309" s="151">
        <v>47774</v>
      </c>
      <c r="K309" s="152">
        <v>0</v>
      </c>
      <c r="L309" s="151">
        <v>47774</v>
      </c>
      <c r="M309" s="153">
        <f t="shared" si="1"/>
        <v>44361.666666666664</v>
      </c>
      <c r="N309" s="130"/>
      <c r="O309" s="130"/>
      <c r="P309" s="130"/>
      <c r="Q309" s="130"/>
      <c r="R309" s="130"/>
      <c r="S309" s="130"/>
      <c r="T309" s="130"/>
      <c r="U309" s="130"/>
      <c r="V309" s="130"/>
      <c r="W309" s="130"/>
      <c r="X309" s="130"/>
      <c r="Y309" s="130"/>
      <c r="Z309" s="130"/>
    </row>
    <row r="310" spans="1:26" ht="15.75" customHeight="1">
      <c r="A310" s="148">
        <v>310</v>
      </c>
      <c r="B310" s="138" t="s">
        <v>635</v>
      </c>
      <c r="C310" s="139" t="s">
        <v>316</v>
      </c>
      <c r="D310" s="140">
        <v>227711</v>
      </c>
      <c r="E310" s="141">
        <v>0</v>
      </c>
      <c r="F310" s="142">
        <v>227711</v>
      </c>
      <c r="G310" s="151">
        <v>255036</v>
      </c>
      <c r="H310" s="152">
        <v>0</v>
      </c>
      <c r="I310" s="151">
        <v>255036</v>
      </c>
      <c r="J310" s="151">
        <v>270338</v>
      </c>
      <c r="K310" s="152">
        <v>0</v>
      </c>
      <c r="L310" s="151">
        <v>270338</v>
      </c>
      <c r="M310" s="153">
        <f t="shared" si="1"/>
        <v>251028.33333333334</v>
      </c>
      <c r="N310" s="130"/>
      <c r="O310" s="130"/>
      <c r="P310" s="130"/>
      <c r="Q310" s="130"/>
      <c r="R310" s="130"/>
      <c r="S310" s="130"/>
      <c r="T310" s="130"/>
      <c r="U310" s="130"/>
      <c r="V310" s="130"/>
      <c r="W310" s="130"/>
      <c r="X310" s="130"/>
      <c r="Y310" s="130"/>
      <c r="Z310" s="130"/>
    </row>
    <row r="311" spans="1:26" ht="15.75" customHeight="1">
      <c r="A311" s="148">
        <v>311</v>
      </c>
      <c r="B311" s="138" t="s">
        <v>636</v>
      </c>
      <c r="C311" s="139" t="s">
        <v>429</v>
      </c>
      <c r="D311" s="140">
        <v>6773</v>
      </c>
      <c r="E311" s="141">
        <v>0</v>
      </c>
      <c r="F311" s="142">
        <v>6773</v>
      </c>
      <c r="G311" s="151">
        <v>7586</v>
      </c>
      <c r="H311" s="152">
        <v>0</v>
      </c>
      <c r="I311" s="151">
        <v>7586</v>
      </c>
      <c r="J311" s="151">
        <v>8041</v>
      </c>
      <c r="K311" s="152">
        <v>0</v>
      </c>
      <c r="L311" s="151">
        <v>8041</v>
      </c>
      <c r="M311" s="153">
        <f t="shared" si="1"/>
        <v>7466.666666666667</v>
      </c>
      <c r="N311" s="130"/>
      <c r="O311" s="130"/>
      <c r="P311" s="130"/>
      <c r="Q311" s="130"/>
      <c r="R311" s="130"/>
      <c r="S311" s="130"/>
      <c r="T311" s="130"/>
      <c r="U311" s="130"/>
      <c r="V311" s="130"/>
      <c r="W311" s="130"/>
      <c r="X311" s="130"/>
      <c r="Y311" s="130"/>
      <c r="Z311" s="130"/>
    </row>
    <row r="312" spans="1:26" ht="15.75" customHeight="1">
      <c r="A312" s="148">
        <v>312</v>
      </c>
      <c r="B312" s="138" t="s">
        <v>637</v>
      </c>
      <c r="C312" s="139" t="s">
        <v>429</v>
      </c>
      <c r="D312" s="140">
        <v>10475</v>
      </c>
      <c r="E312" s="141">
        <v>0</v>
      </c>
      <c r="F312" s="142">
        <v>10475</v>
      </c>
      <c r="G312" s="151">
        <v>11732</v>
      </c>
      <c r="H312" s="152">
        <v>0</v>
      </c>
      <c r="I312" s="151">
        <v>11732</v>
      </c>
      <c r="J312" s="151">
        <v>12436</v>
      </c>
      <c r="K312" s="152">
        <v>0</v>
      </c>
      <c r="L312" s="151">
        <v>12436</v>
      </c>
      <c r="M312" s="153">
        <f t="shared" si="1"/>
        <v>11547.666666666666</v>
      </c>
      <c r="N312" s="130"/>
      <c r="O312" s="130"/>
      <c r="P312" s="130"/>
      <c r="Q312" s="130"/>
      <c r="R312" s="130"/>
      <c r="S312" s="130"/>
      <c r="T312" s="130"/>
      <c r="U312" s="130"/>
      <c r="V312" s="130"/>
      <c r="W312" s="130"/>
      <c r="X312" s="130"/>
      <c r="Y312" s="130"/>
      <c r="Z312" s="130"/>
    </row>
    <row r="313" spans="1:26" ht="15.75" customHeight="1">
      <c r="A313" s="148">
        <v>313</v>
      </c>
      <c r="B313" s="138" t="s">
        <v>638</v>
      </c>
      <c r="C313" s="139" t="s">
        <v>476</v>
      </c>
      <c r="D313" s="140">
        <v>3306</v>
      </c>
      <c r="E313" s="141">
        <v>0</v>
      </c>
      <c r="F313" s="142">
        <v>3306</v>
      </c>
      <c r="G313" s="151">
        <v>3703</v>
      </c>
      <c r="H313" s="152">
        <v>0</v>
      </c>
      <c r="I313" s="151">
        <v>3703</v>
      </c>
      <c r="J313" s="151">
        <v>3925</v>
      </c>
      <c r="K313" s="152">
        <v>0</v>
      </c>
      <c r="L313" s="151">
        <v>3925</v>
      </c>
      <c r="M313" s="153">
        <f t="shared" si="1"/>
        <v>3644.6666666666665</v>
      </c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</row>
    <row r="314" spans="1:26" ht="15.75" customHeight="1">
      <c r="A314" s="148">
        <v>314</v>
      </c>
      <c r="B314" s="138" t="s">
        <v>639</v>
      </c>
      <c r="C314" s="139" t="s">
        <v>266</v>
      </c>
      <c r="D314" s="140">
        <v>27139</v>
      </c>
      <c r="E314" s="141">
        <v>0</v>
      </c>
      <c r="F314" s="142">
        <v>27139</v>
      </c>
      <c r="G314" s="151">
        <v>30396</v>
      </c>
      <c r="H314" s="152">
        <v>0</v>
      </c>
      <c r="I314" s="151">
        <v>30396</v>
      </c>
      <c r="J314" s="151">
        <v>32220</v>
      </c>
      <c r="K314" s="152">
        <v>0</v>
      </c>
      <c r="L314" s="151">
        <v>32220</v>
      </c>
      <c r="M314" s="153">
        <f t="shared" si="1"/>
        <v>29918.333333333332</v>
      </c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130"/>
    </row>
    <row r="315" spans="1:26" ht="15.75" customHeight="1">
      <c r="A315" s="148">
        <v>315</v>
      </c>
      <c r="B315" s="138" t="s">
        <v>640</v>
      </c>
      <c r="C315" s="139" t="s">
        <v>641</v>
      </c>
      <c r="D315" s="140">
        <v>20805</v>
      </c>
      <c r="E315" s="141">
        <v>0</v>
      </c>
      <c r="F315" s="142">
        <v>20805</v>
      </c>
      <c r="G315" s="151">
        <v>23302</v>
      </c>
      <c r="H315" s="152">
        <v>0</v>
      </c>
      <c r="I315" s="151">
        <v>23302</v>
      </c>
      <c r="J315" s="151">
        <v>24700</v>
      </c>
      <c r="K315" s="152">
        <v>0</v>
      </c>
      <c r="L315" s="151">
        <v>24700</v>
      </c>
      <c r="M315" s="153">
        <f t="shared" si="1"/>
        <v>22935.666666666668</v>
      </c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</row>
    <row r="316" spans="1:26" ht="15.75" customHeight="1">
      <c r="A316" s="148">
        <v>316</v>
      </c>
      <c r="B316" s="138" t="s">
        <v>642</v>
      </c>
      <c r="C316" s="139" t="s">
        <v>466</v>
      </c>
      <c r="D316" s="140">
        <v>7096</v>
      </c>
      <c r="E316" s="141">
        <v>0</v>
      </c>
      <c r="F316" s="142">
        <v>7096</v>
      </c>
      <c r="G316" s="151">
        <v>7948</v>
      </c>
      <c r="H316" s="152">
        <v>0</v>
      </c>
      <c r="I316" s="151">
        <v>7948</v>
      </c>
      <c r="J316" s="151">
        <v>8425</v>
      </c>
      <c r="K316" s="152">
        <v>0</v>
      </c>
      <c r="L316" s="151">
        <v>8425</v>
      </c>
      <c r="M316" s="153">
        <f t="shared" si="1"/>
        <v>7823</v>
      </c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130"/>
    </row>
    <row r="317" spans="1:26" ht="15.75" customHeight="1">
      <c r="A317" s="148">
        <v>317</v>
      </c>
      <c r="B317" s="138" t="s">
        <v>643</v>
      </c>
      <c r="C317" s="139" t="s">
        <v>466</v>
      </c>
      <c r="D317" s="140">
        <v>4789</v>
      </c>
      <c r="E317" s="141">
        <v>0</v>
      </c>
      <c r="F317" s="142">
        <v>4789</v>
      </c>
      <c r="G317" s="151">
        <v>5364</v>
      </c>
      <c r="H317" s="152">
        <v>0</v>
      </c>
      <c r="I317" s="151">
        <v>5364</v>
      </c>
      <c r="J317" s="151">
        <v>5686</v>
      </c>
      <c r="K317" s="152">
        <v>0</v>
      </c>
      <c r="L317" s="151">
        <v>5686</v>
      </c>
      <c r="M317" s="153">
        <f t="shared" si="1"/>
        <v>5279.666666666667</v>
      </c>
      <c r="N317" s="130"/>
      <c r="O317" s="130"/>
      <c r="P317" s="130"/>
      <c r="Q317" s="130"/>
      <c r="R317" s="130"/>
      <c r="S317" s="130"/>
      <c r="T317" s="130"/>
      <c r="U317" s="130"/>
      <c r="V317" s="130"/>
      <c r="W317" s="130"/>
      <c r="X317" s="130"/>
      <c r="Y317" s="130"/>
      <c r="Z317" s="130"/>
    </row>
    <row r="318" spans="1:26" ht="15.75" customHeight="1">
      <c r="A318" s="148">
        <v>318</v>
      </c>
      <c r="B318" s="138" t="s">
        <v>644</v>
      </c>
      <c r="C318" s="139" t="s">
        <v>510</v>
      </c>
      <c r="D318" s="140">
        <v>65882</v>
      </c>
      <c r="E318" s="141">
        <v>0</v>
      </c>
      <c r="F318" s="142">
        <v>65882</v>
      </c>
      <c r="G318" s="151">
        <v>73788</v>
      </c>
      <c r="H318" s="152">
        <v>0</v>
      </c>
      <c r="I318" s="151">
        <v>73788</v>
      </c>
      <c r="J318" s="151">
        <v>78215</v>
      </c>
      <c r="K318" s="152">
        <v>0</v>
      </c>
      <c r="L318" s="151">
        <v>78215</v>
      </c>
      <c r="M318" s="153">
        <f t="shared" si="1"/>
        <v>72628.333333333328</v>
      </c>
      <c r="N318" s="130"/>
      <c r="O318" s="130"/>
      <c r="P318" s="130"/>
      <c r="Q318" s="130"/>
      <c r="R318" s="130"/>
      <c r="S318" s="130"/>
      <c r="T318" s="130"/>
      <c r="U318" s="130"/>
      <c r="V318" s="130"/>
      <c r="W318" s="130"/>
      <c r="X318" s="130"/>
      <c r="Y318" s="130"/>
      <c r="Z318" s="130"/>
    </row>
    <row r="319" spans="1:26" ht="15.75" customHeight="1">
      <c r="A319" s="148">
        <v>319</v>
      </c>
      <c r="B319" s="138" t="s">
        <v>645</v>
      </c>
      <c r="C319" s="139" t="s">
        <v>468</v>
      </c>
      <c r="D319" s="140">
        <v>27795</v>
      </c>
      <c r="E319" s="141">
        <v>0</v>
      </c>
      <c r="F319" s="142">
        <v>27795</v>
      </c>
      <c r="G319" s="151">
        <v>31130</v>
      </c>
      <c r="H319" s="152">
        <v>0</v>
      </c>
      <c r="I319" s="151">
        <v>31130</v>
      </c>
      <c r="J319" s="151">
        <v>32998</v>
      </c>
      <c r="K319" s="152">
        <v>0</v>
      </c>
      <c r="L319" s="151">
        <v>32998</v>
      </c>
      <c r="M319" s="153">
        <f t="shared" si="1"/>
        <v>30641</v>
      </c>
      <c r="N319" s="130"/>
      <c r="O319" s="130"/>
      <c r="P319" s="130"/>
      <c r="Q319" s="130"/>
      <c r="R319" s="130"/>
      <c r="S319" s="130"/>
      <c r="T319" s="130"/>
      <c r="U319" s="130"/>
      <c r="V319" s="130"/>
      <c r="W319" s="130"/>
      <c r="X319" s="130"/>
      <c r="Y319" s="130"/>
      <c r="Z319" s="130"/>
    </row>
    <row r="320" spans="1:26" ht="15.75" customHeight="1">
      <c r="A320" s="148">
        <v>320</v>
      </c>
      <c r="B320" s="138" t="s">
        <v>646</v>
      </c>
      <c r="C320" s="139" t="s">
        <v>266</v>
      </c>
      <c r="D320" s="140">
        <v>36778</v>
      </c>
      <c r="E320" s="141">
        <v>0</v>
      </c>
      <c r="F320" s="142">
        <v>36778</v>
      </c>
      <c r="G320" s="151">
        <v>41191</v>
      </c>
      <c r="H320" s="152">
        <v>0</v>
      </c>
      <c r="I320" s="151">
        <v>41191</v>
      </c>
      <c r="J320" s="151">
        <v>43662</v>
      </c>
      <c r="K320" s="152">
        <v>0</v>
      </c>
      <c r="L320" s="151">
        <v>43662</v>
      </c>
      <c r="M320" s="153">
        <f t="shared" si="1"/>
        <v>40543.666666666664</v>
      </c>
      <c r="N320" s="130"/>
      <c r="O320" s="130"/>
      <c r="P320" s="130"/>
      <c r="Q320" s="130"/>
      <c r="R320" s="130"/>
      <c r="S320" s="130"/>
      <c r="T320" s="130"/>
      <c r="U320" s="130"/>
      <c r="V320" s="130"/>
      <c r="W320" s="130"/>
      <c r="X320" s="130"/>
      <c r="Y320" s="130"/>
      <c r="Z320" s="130"/>
    </row>
    <row r="321" spans="1:26" ht="15.75" customHeight="1">
      <c r="A321" s="148">
        <v>321</v>
      </c>
      <c r="B321" s="138" t="s">
        <v>647</v>
      </c>
      <c r="C321" s="139" t="s">
        <v>429</v>
      </c>
      <c r="D321" s="140">
        <v>7861</v>
      </c>
      <c r="E321" s="141">
        <v>0</v>
      </c>
      <c r="F321" s="142">
        <v>7861</v>
      </c>
      <c r="G321" s="151">
        <v>8804</v>
      </c>
      <c r="H321" s="152">
        <v>0</v>
      </c>
      <c r="I321" s="151">
        <v>8804</v>
      </c>
      <c r="J321" s="151">
        <v>9332</v>
      </c>
      <c r="K321" s="152">
        <v>0</v>
      </c>
      <c r="L321" s="151">
        <v>9332</v>
      </c>
      <c r="M321" s="153">
        <f t="shared" si="1"/>
        <v>8665.6666666666661</v>
      </c>
      <c r="N321" s="130"/>
      <c r="O321" s="130"/>
      <c r="P321" s="130"/>
      <c r="Q321" s="130"/>
      <c r="R321" s="130"/>
      <c r="S321" s="130"/>
      <c r="T321" s="130"/>
      <c r="U321" s="130"/>
      <c r="V321" s="130"/>
      <c r="W321" s="130"/>
      <c r="X321" s="130"/>
      <c r="Y321" s="130"/>
      <c r="Z321" s="130"/>
    </row>
    <row r="322" spans="1:26" ht="15.75" customHeight="1">
      <c r="A322" s="148">
        <v>322</v>
      </c>
      <c r="B322" s="138" t="s">
        <v>648</v>
      </c>
      <c r="C322" s="139" t="s">
        <v>484</v>
      </c>
      <c r="D322" s="140">
        <v>209754</v>
      </c>
      <c r="E322" s="141">
        <v>0</v>
      </c>
      <c r="F322" s="142">
        <v>209754</v>
      </c>
      <c r="G322" s="151">
        <v>234924</v>
      </c>
      <c r="H322" s="152">
        <v>0</v>
      </c>
      <c r="I322" s="151">
        <v>234924</v>
      </c>
      <c r="J322" s="151">
        <v>249019</v>
      </c>
      <c r="K322" s="152">
        <v>0</v>
      </c>
      <c r="L322" s="151">
        <v>249019</v>
      </c>
      <c r="M322" s="153">
        <f t="shared" si="1"/>
        <v>231232.33333333334</v>
      </c>
      <c r="N322" s="130"/>
      <c r="O322" s="130"/>
      <c r="P322" s="130"/>
      <c r="Q322" s="130"/>
      <c r="R322" s="130"/>
      <c r="S322" s="130"/>
      <c r="T322" s="130"/>
      <c r="U322" s="130"/>
      <c r="V322" s="130"/>
      <c r="W322" s="130"/>
      <c r="X322" s="130"/>
      <c r="Y322" s="130"/>
      <c r="Z322" s="130"/>
    </row>
    <row r="323" spans="1:26" ht="15.75" customHeight="1">
      <c r="A323" s="148">
        <v>323</v>
      </c>
      <c r="B323" s="138" t="s">
        <v>649</v>
      </c>
      <c r="C323" s="139" t="s">
        <v>650</v>
      </c>
      <c r="D323" s="140">
        <v>74024</v>
      </c>
      <c r="E323" s="141">
        <v>0</v>
      </c>
      <c r="F323" s="142">
        <v>74024</v>
      </c>
      <c r="G323" s="151">
        <v>82907</v>
      </c>
      <c r="H323" s="152">
        <v>0</v>
      </c>
      <c r="I323" s="151">
        <v>82907</v>
      </c>
      <c r="J323" s="151">
        <v>87881</v>
      </c>
      <c r="K323" s="152">
        <v>0</v>
      </c>
      <c r="L323" s="151">
        <v>87881</v>
      </c>
      <c r="M323" s="153">
        <f t="shared" si="1"/>
        <v>81604</v>
      </c>
      <c r="N323" s="130"/>
      <c r="O323" s="130"/>
      <c r="P323" s="130"/>
      <c r="Q323" s="130"/>
      <c r="R323" s="130"/>
      <c r="S323" s="130"/>
      <c r="T323" s="130"/>
      <c r="U323" s="130"/>
      <c r="V323" s="130"/>
      <c r="W323" s="130"/>
      <c r="X323" s="130"/>
      <c r="Y323" s="130"/>
      <c r="Z323" s="130"/>
    </row>
    <row r="324" spans="1:26" ht="15.75" customHeight="1">
      <c r="A324" s="148">
        <v>324</v>
      </c>
      <c r="B324" s="138" t="s">
        <v>651</v>
      </c>
      <c r="C324" s="139" t="s">
        <v>266</v>
      </c>
      <c r="D324" s="140">
        <v>90120</v>
      </c>
      <c r="E324" s="141">
        <v>0</v>
      </c>
      <c r="F324" s="142">
        <v>90120</v>
      </c>
      <c r="G324" s="151">
        <v>100934</v>
      </c>
      <c r="H324" s="152">
        <v>0</v>
      </c>
      <c r="I324" s="151">
        <v>100934</v>
      </c>
      <c r="J324" s="151">
        <v>106990</v>
      </c>
      <c r="K324" s="152">
        <v>0</v>
      </c>
      <c r="L324" s="151">
        <v>106990</v>
      </c>
      <c r="M324" s="153">
        <f t="shared" si="1"/>
        <v>99348</v>
      </c>
      <c r="N324" s="130"/>
      <c r="O324" s="130"/>
      <c r="P324" s="130"/>
      <c r="Q324" s="130"/>
      <c r="R324" s="130"/>
      <c r="S324" s="130"/>
      <c r="T324" s="130"/>
      <c r="U324" s="130"/>
      <c r="V324" s="130"/>
      <c r="W324" s="130"/>
      <c r="X324" s="130"/>
      <c r="Y324" s="130"/>
      <c r="Z324" s="130"/>
    </row>
    <row r="325" spans="1:26" ht="15.75" customHeight="1">
      <c r="A325" s="148">
        <v>325</v>
      </c>
      <c r="B325" s="138" t="s">
        <v>652</v>
      </c>
      <c r="C325" s="139" t="s">
        <v>266</v>
      </c>
      <c r="D325" s="140">
        <v>83382</v>
      </c>
      <c r="E325" s="141">
        <v>0</v>
      </c>
      <c r="F325" s="142">
        <v>83382</v>
      </c>
      <c r="G325" s="151">
        <v>93388</v>
      </c>
      <c r="H325" s="152">
        <v>0</v>
      </c>
      <c r="I325" s="151">
        <v>93388</v>
      </c>
      <c r="J325" s="151">
        <v>98991</v>
      </c>
      <c r="K325" s="152">
        <v>0</v>
      </c>
      <c r="L325" s="151">
        <v>98991</v>
      </c>
      <c r="M325" s="153">
        <f t="shared" si="1"/>
        <v>91920.333333333328</v>
      </c>
      <c r="N325" s="130"/>
      <c r="O325" s="130"/>
      <c r="P325" s="130"/>
      <c r="Q325" s="130"/>
      <c r="R325" s="130"/>
      <c r="S325" s="130"/>
      <c r="T325" s="130"/>
      <c r="U325" s="130"/>
      <c r="V325" s="130"/>
      <c r="W325" s="130"/>
      <c r="X325" s="130"/>
      <c r="Y325" s="130"/>
      <c r="Z325" s="130"/>
    </row>
    <row r="326" spans="1:26" ht="15.75" customHeight="1">
      <c r="A326" s="148">
        <v>326</v>
      </c>
      <c r="B326" s="138" t="s">
        <v>653</v>
      </c>
      <c r="C326" s="139" t="s">
        <v>266</v>
      </c>
      <c r="D326" s="140">
        <v>73369</v>
      </c>
      <c r="E326" s="141">
        <v>0</v>
      </c>
      <c r="F326" s="142">
        <v>73369</v>
      </c>
      <c r="G326" s="151">
        <v>82173</v>
      </c>
      <c r="H326" s="152">
        <v>0</v>
      </c>
      <c r="I326" s="151">
        <v>82173</v>
      </c>
      <c r="J326" s="151">
        <v>87103</v>
      </c>
      <c r="K326" s="152">
        <v>0</v>
      </c>
      <c r="L326" s="151">
        <v>87103</v>
      </c>
      <c r="M326" s="153">
        <f t="shared" si="1"/>
        <v>80881.666666666672</v>
      </c>
      <c r="N326" s="130"/>
      <c r="O326" s="130"/>
      <c r="P326" s="130"/>
      <c r="Q326" s="130"/>
      <c r="R326" s="130"/>
      <c r="S326" s="130"/>
      <c r="T326" s="130"/>
      <c r="U326" s="130"/>
      <c r="V326" s="130"/>
      <c r="W326" s="130"/>
      <c r="X326" s="130"/>
      <c r="Y326" s="130"/>
      <c r="Z326" s="130"/>
    </row>
    <row r="327" spans="1:26" ht="15.75" customHeight="1">
      <c r="A327" s="130"/>
      <c r="B327" s="130"/>
      <c r="C327" s="130"/>
      <c r="D327" s="130"/>
      <c r="E327" s="130"/>
      <c r="F327" s="156"/>
      <c r="G327" s="130"/>
      <c r="H327" s="130"/>
      <c r="I327" s="156"/>
      <c r="J327" s="130"/>
      <c r="K327" s="130"/>
      <c r="L327" s="156"/>
      <c r="M327" s="130"/>
      <c r="N327" s="130"/>
      <c r="O327" s="130"/>
      <c r="P327" s="130"/>
      <c r="Q327" s="130"/>
      <c r="R327" s="130"/>
      <c r="S327" s="130"/>
      <c r="T327" s="130"/>
      <c r="U327" s="130"/>
      <c r="V327" s="130"/>
      <c r="W327" s="130"/>
      <c r="X327" s="130"/>
      <c r="Y327" s="130"/>
      <c r="Z327" s="130"/>
    </row>
    <row r="328" spans="1:26" ht="15.75" customHeight="1">
      <c r="A328" s="130" t="s">
        <v>1065</v>
      </c>
      <c r="B328" s="130"/>
      <c r="C328" s="130"/>
      <c r="D328" s="130"/>
      <c r="E328" s="130"/>
      <c r="F328" s="130"/>
      <c r="G328" s="130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  <c r="R328" s="130"/>
      <c r="S328" s="130"/>
      <c r="T328" s="130"/>
      <c r="U328" s="130"/>
      <c r="V328" s="130"/>
      <c r="W328" s="130"/>
      <c r="X328" s="130"/>
      <c r="Y328" s="130"/>
      <c r="Z328" s="130"/>
    </row>
    <row r="329" spans="1:26" ht="15.75" customHeight="1">
      <c r="A329" s="130" t="s">
        <v>1059</v>
      </c>
      <c r="B329" s="130"/>
      <c r="C329" s="130"/>
      <c r="D329" s="130"/>
      <c r="E329" s="130"/>
      <c r="F329" s="130"/>
      <c r="G329" s="130"/>
      <c r="H329" s="130"/>
      <c r="I329" s="130"/>
      <c r="J329" s="130"/>
      <c r="K329" s="130"/>
      <c r="L329" s="130"/>
      <c r="M329" s="130"/>
      <c r="N329" s="130"/>
      <c r="O329" s="130"/>
      <c r="P329" s="130"/>
      <c r="Q329" s="130"/>
      <c r="R329" s="130"/>
      <c r="S329" s="130"/>
      <c r="T329" s="130"/>
      <c r="U329" s="130"/>
      <c r="V329" s="130"/>
      <c r="W329" s="130"/>
      <c r="X329" s="130"/>
      <c r="Y329" s="130"/>
      <c r="Z329" s="130"/>
    </row>
    <row r="330" spans="1:26" ht="15.75" customHeight="1">
      <c r="A330" s="130"/>
      <c r="B330" s="130"/>
      <c r="C330" s="130"/>
      <c r="D330" s="130"/>
      <c r="E330" s="130"/>
      <c r="F330" s="130"/>
      <c r="G330" s="130"/>
      <c r="H330" s="394" t="s">
        <v>242</v>
      </c>
      <c r="I330" s="368"/>
      <c r="J330" s="130"/>
      <c r="K330" s="130"/>
      <c r="L330" s="130"/>
      <c r="M330" s="130"/>
      <c r="N330" s="130"/>
      <c r="O330" s="130"/>
      <c r="P330" s="130"/>
      <c r="Q330" s="130"/>
      <c r="R330" s="130"/>
      <c r="S330" s="130"/>
      <c r="T330" s="130"/>
      <c r="U330" s="130"/>
      <c r="V330" s="130"/>
      <c r="W330" s="130"/>
      <c r="X330" s="130"/>
      <c r="Y330" s="130"/>
      <c r="Z330" s="130"/>
    </row>
    <row r="331" spans="1:26" ht="15.75" customHeight="1">
      <c r="A331" s="130"/>
      <c r="B331" s="130"/>
      <c r="C331" s="130"/>
      <c r="D331" s="130"/>
      <c r="E331" s="130"/>
      <c r="F331" s="130"/>
      <c r="G331" s="130"/>
      <c r="H331" s="157" t="s">
        <v>129</v>
      </c>
      <c r="I331" s="157" t="s">
        <v>202</v>
      </c>
      <c r="J331" s="130"/>
      <c r="K331" s="130"/>
      <c r="L331" s="130"/>
      <c r="M331" s="130"/>
      <c r="N331" s="130"/>
      <c r="O331" s="130"/>
      <c r="P331" s="130"/>
      <c r="Q331" s="130"/>
      <c r="R331" s="130"/>
      <c r="S331" s="130"/>
      <c r="T331" s="130"/>
      <c r="U331" s="130"/>
      <c r="V331" s="130"/>
      <c r="W331" s="130"/>
      <c r="X331" s="130"/>
      <c r="Y331" s="130"/>
      <c r="Z331" s="130"/>
    </row>
    <row r="332" spans="1:26" ht="15.75" customHeight="1">
      <c r="A332" s="130"/>
      <c r="B332" s="130"/>
      <c r="C332" s="130"/>
      <c r="D332" s="130"/>
      <c r="E332" s="130"/>
      <c r="F332" s="130"/>
      <c r="G332" s="130"/>
      <c r="H332" s="158" t="s">
        <v>654</v>
      </c>
      <c r="I332" s="159">
        <v>94666667</v>
      </c>
      <c r="J332" s="130"/>
      <c r="K332" s="130"/>
      <c r="L332" s="130"/>
      <c r="M332" s="130"/>
      <c r="N332" s="130"/>
      <c r="O332" s="130"/>
      <c r="P332" s="130"/>
      <c r="Q332" s="130"/>
      <c r="R332" s="130"/>
      <c r="S332" s="130"/>
      <c r="T332" s="130"/>
      <c r="U332" s="130"/>
      <c r="V332" s="130"/>
      <c r="W332" s="130"/>
      <c r="X332" s="130"/>
      <c r="Y332" s="130"/>
      <c r="Z332" s="130"/>
    </row>
    <row r="333" spans="1:26" ht="15.75" customHeight="1">
      <c r="A333" s="130"/>
      <c r="B333" s="130"/>
      <c r="C333" s="130"/>
      <c r="D333" s="130"/>
      <c r="E333" s="130"/>
      <c r="F333" s="130"/>
      <c r="G333" s="130"/>
      <c r="H333" s="158" t="s">
        <v>655</v>
      </c>
      <c r="I333" s="159">
        <v>260000000</v>
      </c>
      <c r="J333" s="130"/>
      <c r="K333" s="130"/>
      <c r="L333" s="130"/>
      <c r="M333" s="130"/>
      <c r="N333" s="130"/>
      <c r="O333" s="130"/>
      <c r="P333" s="130"/>
      <c r="Q333" s="130"/>
      <c r="R333" s="130"/>
      <c r="S333" s="130"/>
      <c r="T333" s="130"/>
      <c r="U333" s="130"/>
      <c r="V333" s="130"/>
      <c r="W333" s="130"/>
      <c r="X333" s="130"/>
      <c r="Y333" s="130"/>
      <c r="Z333" s="130"/>
    </row>
    <row r="334" spans="1:26" ht="15.75" customHeight="1">
      <c r="A334" s="130"/>
      <c r="B334" s="130"/>
      <c r="C334" s="130"/>
      <c r="D334" s="130"/>
      <c r="E334" s="130"/>
      <c r="F334" s="130"/>
      <c r="G334" s="130"/>
      <c r="H334" s="158" t="s">
        <v>197</v>
      </c>
      <c r="I334" s="160">
        <f>SUM(I332:I333)</f>
        <v>354666667</v>
      </c>
      <c r="J334" s="130"/>
      <c r="K334" s="130"/>
      <c r="L334" s="130"/>
      <c r="M334" s="130"/>
      <c r="N334" s="130"/>
      <c r="O334" s="130"/>
      <c r="P334" s="130"/>
      <c r="Q334" s="130"/>
      <c r="R334" s="130"/>
      <c r="S334" s="130"/>
      <c r="T334" s="130"/>
      <c r="U334" s="130"/>
      <c r="V334" s="130"/>
      <c r="W334" s="130"/>
      <c r="X334" s="130"/>
      <c r="Y334" s="130"/>
      <c r="Z334" s="130"/>
    </row>
    <row r="335" spans="1:26" ht="15.75" customHeight="1">
      <c r="A335" s="130"/>
      <c r="B335" s="130"/>
      <c r="C335" s="130"/>
      <c r="D335" s="130"/>
      <c r="E335" s="130"/>
      <c r="F335" s="130"/>
      <c r="G335" s="130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  <c r="R335" s="130"/>
      <c r="S335" s="130"/>
      <c r="T335" s="130"/>
      <c r="U335" s="130"/>
      <c r="V335" s="130"/>
      <c r="W335" s="130"/>
      <c r="X335" s="130"/>
      <c r="Y335" s="130"/>
      <c r="Z335" s="130"/>
    </row>
    <row r="336" spans="1:26" ht="15.75" customHeight="1">
      <c r="A336" s="130"/>
      <c r="B336" s="130"/>
      <c r="C336" s="130"/>
      <c r="D336" s="130"/>
      <c r="E336" s="130"/>
      <c r="F336" s="130"/>
      <c r="G336" s="130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130"/>
      <c r="S336" s="130"/>
      <c r="T336" s="130"/>
      <c r="U336" s="130"/>
      <c r="V336" s="130"/>
      <c r="W336" s="130"/>
      <c r="X336" s="130"/>
      <c r="Y336" s="130"/>
      <c r="Z336" s="130"/>
    </row>
    <row r="337" spans="1:26" ht="15.75" customHeight="1">
      <c r="A337" s="130"/>
      <c r="B337" s="130"/>
      <c r="C337" s="130"/>
      <c r="D337" s="130"/>
      <c r="E337" s="130"/>
      <c r="F337" s="130"/>
      <c r="G337" s="130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/>
      <c r="R337" s="130"/>
      <c r="S337" s="130"/>
      <c r="T337" s="130"/>
      <c r="U337" s="130"/>
      <c r="V337" s="130"/>
      <c r="W337" s="130"/>
      <c r="X337" s="130"/>
      <c r="Y337" s="130"/>
      <c r="Z337" s="130"/>
    </row>
    <row r="338" spans="1:26" ht="15.75" customHeight="1">
      <c r="A338" s="130"/>
      <c r="B338" s="130"/>
      <c r="C338" s="130"/>
      <c r="D338" s="130"/>
      <c r="E338" s="130"/>
      <c r="F338" s="130"/>
      <c r="G338" s="130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/>
      <c r="R338" s="130"/>
      <c r="S338" s="130"/>
      <c r="T338" s="130"/>
      <c r="U338" s="130"/>
      <c r="V338" s="130"/>
      <c r="W338" s="130"/>
      <c r="X338" s="130"/>
      <c r="Y338" s="130"/>
      <c r="Z338" s="130"/>
    </row>
    <row r="339" spans="1:26" ht="15.75" customHeight="1">
      <c r="A339" s="130"/>
      <c r="B339" s="130"/>
      <c r="C339" s="130"/>
      <c r="D339" s="130"/>
      <c r="E339" s="130"/>
      <c r="F339" s="130"/>
      <c r="G339" s="130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/>
      <c r="R339" s="130"/>
      <c r="S339" s="130"/>
      <c r="T339" s="130"/>
      <c r="U339" s="130"/>
      <c r="V339" s="130"/>
      <c r="W339" s="130"/>
      <c r="X339" s="130"/>
      <c r="Y339" s="130"/>
      <c r="Z339" s="130"/>
    </row>
    <row r="340" spans="1:26" ht="15.75" customHeight="1">
      <c r="A340" s="130"/>
      <c r="B340" s="130"/>
      <c r="C340" s="130"/>
      <c r="D340" s="130"/>
      <c r="E340" s="130"/>
      <c r="F340" s="130"/>
      <c r="G340" s="130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  <c r="R340" s="130"/>
      <c r="S340" s="130"/>
      <c r="T340" s="130"/>
      <c r="U340" s="130"/>
      <c r="V340" s="130"/>
      <c r="W340" s="130"/>
      <c r="X340" s="130"/>
      <c r="Y340" s="130"/>
      <c r="Z340" s="130"/>
    </row>
    <row r="341" spans="1:26" ht="15.75" customHeight="1">
      <c r="A341" s="130"/>
      <c r="B341" s="130"/>
      <c r="C341" s="130"/>
      <c r="D341" s="130"/>
      <c r="E341" s="130"/>
      <c r="F341" s="130"/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130"/>
      <c r="S341" s="130"/>
      <c r="T341" s="130"/>
      <c r="U341" s="130"/>
      <c r="V341" s="130"/>
      <c r="W341" s="130"/>
      <c r="X341" s="130"/>
      <c r="Y341" s="130"/>
      <c r="Z341" s="130"/>
    </row>
    <row r="342" spans="1:26" ht="15.75" customHeight="1">
      <c r="A342" s="130"/>
      <c r="B342" s="130"/>
      <c r="C342" s="130"/>
      <c r="D342" s="130"/>
      <c r="E342" s="130"/>
      <c r="F342" s="130"/>
      <c r="G342" s="130"/>
      <c r="H342" s="130"/>
      <c r="I342" s="130"/>
      <c r="J342" s="130"/>
      <c r="K342" s="130"/>
      <c r="L342" s="130"/>
      <c r="M342" s="130"/>
      <c r="N342" s="130"/>
      <c r="O342" s="130"/>
      <c r="P342" s="130"/>
      <c r="Q342" s="130"/>
      <c r="R342" s="130"/>
      <c r="S342" s="130"/>
      <c r="T342" s="130"/>
      <c r="U342" s="130"/>
      <c r="V342" s="130"/>
      <c r="W342" s="130"/>
      <c r="X342" s="130"/>
      <c r="Y342" s="130"/>
      <c r="Z342" s="130"/>
    </row>
    <row r="343" spans="1:26" ht="15.75" customHeight="1">
      <c r="A343" s="130"/>
      <c r="B343" s="130"/>
      <c r="C343" s="130"/>
      <c r="D343" s="130"/>
      <c r="E343" s="130"/>
      <c r="F343" s="130"/>
      <c r="G343" s="130"/>
      <c r="H343" s="130"/>
      <c r="I343" s="130"/>
      <c r="J343" s="130"/>
      <c r="K343" s="130"/>
      <c r="L343" s="130"/>
      <c r="M343" s="130"/>
      <c r="N343" s="130"/>
      <c r="O343" s="130"/>
      <c r="P343" s="130"/>
      <c r="Q343" s="130"/>
      <c r="R343" s="130"/>
      <c r="S343" s="130"/>
      <c r="T343" s="130"/>
      <c r="U343" s="130"/>
      <c r="V343" s="130"/>
      <c r="W343" s="130"/>
      <c r="X343" s="130"/>
      <c r="Y343" s="130"/>
      <c r="Z343" s="130"/>
    </row>
    <row r="344" spans="1:26" ht="15.75" customHeight="1">
      <c r="A344" s="130"/>
      <c r="B344" s="130"/>
      <c r="C344" s="130"/>
      <c r="D344" s="130"/>
      <c r="E344" s="130"/>
      <c r="F344" s="130"/>
      <c r="G344" s="130"/>
      <c r="H344" s="130"/>
      <c r="I344" s="130"/>
      <c r="J344" s="130"/>
      <c r="K344" s="130"/>
      <c r="L344" s="130"/>
      <c r="M344" s="130"/>
      <c r="N344" s="130"/>
      <c r="O344" s="130"/>
      <c r="P344" s="130"/>
      <c r="Q344" s="130"/>
      <c r="R344" s="130"/>
      <c r="S344" s="130"/>
      <c r="T344" s="130"/>
      <c r="U344" s="130"/>
      <c r="V344" s="130"/>
      <c r="W344" s="130"/>
      <c r="X344" s="130"/>
      <c r="Y344" s="130"/>
      <c r="Z344" s="130"/>
    </row>
    <row r="345" spans="1:26" ht="15.75" customHeight="1">
      <c r="A345" s="130"/>
      <c r="B345" s="130"/>
      <c r="C345" s="130"/>
      <c r="D345" s="130"/>
      <c r="E345" s="130"/>
      <c r="F345" s="130"/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130"/>
      <c r="S345" s="130"/>
      <c r="T345" s="130"/>
      <c r="U345" s="130"/>
      <c r="V345" s="130"/>
      <c r="W345" s="130"/>
      <c r="X345" s="130"/>
      <c r="Y345" s="130"/>
      <c r="Z345" s="130"/>
    </row>
    <row r="346" spans="1:26" ht="15.75" customHeight="1">
      <c r="A346" s="130"/>
      <c r="B346" s="130"/>
      <c r="C346" s="130"/>
      <c r="D346" s="130"/>
      <c r="E346" s="130"/>
      <c r="F346" s="130"/>
      <c r="G346" s="130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/>
      <c r="R346" s="130"/>
      <c r="S346" s="130"/>
      <c r="T346" s="130"/>
      <c r="U346" s="130"/>
      <c r="V346" s="130"/>
      <c r="W346" s="130"/>
      <c r="X346" s="130"/>
      <c r="Y346" s="130"/>
      <c r="Z346" s="130"/>
    </row>
    <row r="347" spans="1:26" ht="15.75" customHeight="1">
      <c r="A347" s="130"/>
      <c r="B347" s="130"/>
      <c r="C347" s="130"/>
      <c r="D347" s="130"/>
      <c r="E347" s="130"/>
      <c r="F347" s="130"/>
      <c r="G347" s="130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/>
      <c r="R347" s="130"/>
      <c r="S347" s="130"/>
      <c r="T347" s="130"/>
      <c r="U347" s="130"/>
      <c r="V347" s="130"/>
      <c r="W347" s="130"/>
      <c r="X347" s="130"/>
      <c r="Y347" s="130"/>
      <c r="Z347" s="130"/>
    </row>
    <row r="348" spans="1:26" ht="15.75" customHeight="1">
      <c r="A348" s="130"/>
      <c r="B348" s="130"/>
      <c r="C348" s="130"/>
      <c r="D348" s="130"/>
      <c r="E348" s="130"/>
      <c r="F348" s="130"/>
      <c r="G348" s="130"/>
      <c r="H348" s="130"/>
      <c r="I348" s="130"/>
      <c r="J348" s="130"/>
      <c r="K348" s="130"/>
      <c r="L348" s="130"/>
      <c r="M348" s="130"/>
      <c r="N348" s="130"/>
      <c r="O348" s="130"/>
      <c r="P348" s="130"/>
      <c r="Q348" s="130"/>
      <c r="R348" s="130"/>
      <c r="S348" s="130"/>
      <c r="T348" s="130"/>
      <c r="U348" s="130"/>
      <c r="V348" s="130"/>
      <c r="W348" s="130"/>
      <c r="X348" s="130"/>
      <c r="Y348" s="130"/>
      <c r="Z348" s="130"/>
    </row>
    <row r="349" spans="1:26" ht="15.75" customHeight="1">
      <c r="A349" s="130"/>
      <c r="B349" s="130"/>
      <c r="C349" s="130"/>
      <c r="D349" s="130"/>
      <c r="E349" s="130"/>
      <c r="F349" s="130"/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130"/>
      <c r="S349" s="130"/>
      <c r="T349" s="130"/>
      <c r="U349" s="130"/>
      <c r="V349" s="130"/>
      <c r="W349" s="130"/>
      <c r="X349" s="130"/>
      <c r="Y349" s="130"/>
      <c r="Z349" s="130"/>
    </row>
    <row r="350" spans="1:26" ht="15.75" customHeight="1">
      <c r="A350" s="130"/>
      <c r="B350" s="130"/>
      <c r="C350" s="130"/>
      <c r="D350" s="130"/>
      <c r="E350" s="130"/>
      <c r="F350" s="130"/>
      <c r="G350" s="130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/>
      <c r="R350" s="130"/>
      <c r="S350" s="130"/>
      <c r="T350" s="130"/>
      <c r="U350" s="130"/>
      <c r="V350" s="130"/>
      <c r="W350" s="130"/>
      <c r="X350" s="130"/>
      <c r="Y350" s="130"/>
      <c r="Z350" s="130"/>
    </row>
    <row r="351" spans="1:26" ht="15.75" customHeight="1">
      <c r="A351" s="130"/>
      <c r="B351" s="130"/>
      <c r="C351" s="130"/>
      <c r="D351" s="130"/>
      <c r="E351" s="130"/>
      <c r="F351" s="130"/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130"/>
      <c r="S351" s="130"/>
      <c r="T351" s="130"/>
      <c r="U351" s="130"/>
      <c r="V351" s="130"/>
      <c r="W351" s="130"/>
      <c r="X351" s="130"/>
      <c r="Y351" s="130"/>
      <c r="Z351" s="130"/>
    </row>
    <row r="352" spans="1:26" ht="15.75" customHeight="1">
      <c r="A352" s="130"/>
      <c r="B352" s="130"/>
      <c r="C352" s="130"/>
      <c r="D352" s="130"/>
      <c r="E352" s="130"/>
      <c r="F352" s="130"/>
      <c r="G352" s="130"/>
      <c r="H352" s="130"/>
      <c r="I352" s="130"/>
      <c r="J352" s="130"/>
      <c r="K352" s="130"/>
      <c r="L352" s="130"/>
      <c r="M352" s="130"/>
      <c r="N352" s="130"/>
      <c r="O352" s="130"/>
      <c r="P352" s="130"/>
      <c r="Q352" s="130"/>
      <c r="R352" s="130"/>
      <c r="S352" s="130"/>
      <c r="T352" s="130"/>
      <c r="U352" s="130"/>
      <c r="V352" s="130"/>
      <c r="W352" s="130"/>
      <c r="X352" s="130"/>
      <c r="Y352" s="130"/>
      <c r="Z352" s="130"/>
    </row>
    <row r="353" spans="1:26" ht="15.75" customHeight="1">
      <c r="A353" s="130"/>
      <c r="B353" s="130"/>
      <c r="C353" s="130"/>
      <c r="D353" s="130"/>
      <c r="E353" s="130"/>
      <c r="F353" s="130"/>
      <c r="G353" s="130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130"/>
      <c r="S353" s="130"/>
      <c r="T353" s="130"/>
      <c r="U353" s="130"/>
      <c r="V353" s="130"/>
      <c r="W353" s="130"/>
      <c r="X353" s="130"/>
      <c r="Y353" s="130"/>
      <c r="Z353" s="130"/>
    </row>
    <row r="354" spans="1:26" ht="15.75" customHeight="1">
      <c r="A354" s="130"/>
      <c r="B354" s="130"/>
      <c r="C354" s="130"/>
      <c r="D354" s="130"/>
      <c r="E354" s="130"/>
      <c r="F354" s="130"/>
      <c r="G354" s="130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  <c r="R354" s="130"/>
      <c r="S354" s="130"/>
      <c r="T354" s="130"/>
      <c r="U354" s="130"/>
      <c r="V354" s="130"/>
      <c r="W354" s="130"/>
      <c r="X354" s="130"/>
      <c r="Y354" s="130"/>
      <c r="Z354" s="130"/>
    </row>
    <row r="355" spans="1:26" ht="15.75" customHeight="1">
      <c r="A355" s="130"/>
      <c r="B355" s="130"/>
      <c r="C355" s="130"/>
      <c r="D355" s="130"/>
      <c r="E355" s="130"/>
      <c r="F355" s="130"/>
      <c r="G355" s="130"/>
      <c r="H355" s="130"/>
      <c r="I355" s="130"/>
      <c r="J355" s="130"/>
      <c r="K355" s="130"/>
      <c r="L355" s="130"/>
      <c r="M355" s="130"/>
      <c r="N355" s="130"/>
      <c r="O355" s="130"/>
      <c r="P355" s="130"/>
      <c r="Q355" s="130"/>
      <c r="R355" s="130"/>
      <c r="S355" s="130"/>
      <c r="T355" s="130"/>
      <c r="U355" s="130"/>
      <c r="V355" s="130"/>
      <c r="W355" s="130"/>
      <c r="X355" s="130"/>
      <c r="Y355" s="130"/>
      <c r="Z355" s="130"/>
    </row>
    <row r="356" spans="1:26" ht="15.75" customHeight="1">
      <c r="A356" s="130"/>
      <c r="B356" s="130"/>
      <c r="C356" s="130"/>
      <c r="D356" s="130"/>
      <c r="E356" s="130"/>
      <c r="F356" s="130"/>
      <c r="G356" s="130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  <c r="R356" s="130"/>
      <c r="S356" s="130"/>
      <c r="T356" s="130"/>
      <c r="U356" s="130"/>
      <c r="V356" s="130"/>
      <c r="W356" s="130"/>
      <c r="X356" s="130"/>
      <c r="Y356" s="130"/>
      <c r="Z356" s="130"/>
    </row>
    <row r="357" spans="1:26" ht="15.75" customHeight="1">
      <c r="A357" s="130"/>
      <c r="B357" s="130"/>
      <c r="C357" s="130"/>
      <c r="D357" s="130"/>
      <c r="E357" s="130"/>
      <c r="F357" s="130"/>
      <c r="G357" s="130"/>
      <c r="H357" s="130"/>
      <c r="I357" s="130"/>
      <c r="J357" s="130"/>
      <c r="K357" s="130"/>
      <c r="L357" s="130"/>
      <c r="M357" s="130"/>
      <c r="N357" s="130"/>
      <c r="O357" s="130"/>
      <c r="P357" s="130"/>
      <c r="Q357" s="130"/>
      <c r="R357" s="130"/>
      <c r="S357" s="130"/>
      <c r="T357" s="130"/>
      <c r="U357" s="130"/>
      <c r="V357" s="130"/>
      <c r="W357" s="130"/>
      <c r="X357" s="130"/>
      <c r="Y357" s="130"/>
      <c r="Z357" s="130"/>
    </row>
    <row r="358" spans="1:26" ht="15.75" customHeight="1">
      <c r="A358" s="130"/>
      <c r="B358" s="130"/>
      <c r="C358" s="130"/>
      <c r="D358" s="130"/>
      <c r="E358" s="130"/>
      <c r="F358" s="130"/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130"/>
      <c r="S358" s="130"/>
      <c r="T358" s="130"/>
      <c r="U358" s="130"/>
      <c r="V358" s="130"/>
      <c r="W358" s="130"/>
      <c r="X358" s="130"/>
      <c r="Y358" s="130"/>
      <c r="Z358" s="130"/>
    </row>
    <row r="359" spans="1:26" ht="15.75" customHeight="1">
      <c r="A359" s="130"/>
      <c r="B359" s="130"/>
      <c r="C359" s="130"/>
      <c r="D359" s="130"/>
      <c r="E359" s="130"/>
      <c r="F359" s="130"/>
      <c r="G359" s="130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/>
      <c r="R359" s="130"/>
      <c r="S359" s="130"/>
      <c r="T359" s="130"/>
      <c r="U359" s="130"/>
      <c r="V359" s="130"/>
      <c r="W359" s="130"/>
      <c r="X359" s="130"/>
      <c r="Y359" s="130"/>
      <c r="Z359" s="130"/>
    </row>
    <row r="360" spans="1:26" ht="15.75" customHeight="1">
      <c r="A360" s="130"/>
      <c r="B360" s="130"/>
      <c r="C360" s="130"/>
      <c r="D360" s="130"/>
      <c r="E360" s="130"/>
      <c r="F360" s="130"/>
      <c r="G360" s="130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0"/>
      <c r="W360" s="130"/>
      <c r="X360" s="130"/>
      <c r="Y360" s="130"/>
      <c r="Z360" s="130"/>
    </row>
    <row r="361" spans="1:26" ht="15.75" customHeight="1">
      <c r="A361" s="130"/>
      <c r="B361" s="130"/>
      <c r="C361" s="130"/>
      <c r="D361" s="130"/>
      <c r="E361" s="130"/>
      <c r="F361" s="130"/>
      <c r="G361" s="130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130"/>
      <c r="S361" s="130"/>
      <c r="T361" s="130"/>
      <c r="U361" s="130"/>
      <c r="V361" s="130"/>
      <c r="W361" s="130"/>
      <c r="X361" s="130"/>
      <c r="Y361" s="130"/>
      <c r="Z361" s="130"/>
    </row>
    <row r="362" spans="1:26" ht="15.75" customHeight="1">
      <c r="A362" s="130"/>
      <c r="B362" s="130"/>
      <c r="C362" s="130"/>
      <c r="D362" s="130"/>
      <c r="E362" s="130"/>
      <c r="F362" s="130"/>
      <c r="G362" s="130"/>
      <c r="H362" s="130"/>
      <c r="I362" s="130"/>
      <c r="J362" s="130"/>
      <c r="K362" s="130"/>
      <c r="L362" s="130"/>
      <c r="M362" s="130"/>
      <c r="N362" s="130"/>
      <c r="O362" s="130"/>
      <c r="P362" s="130"/>
      <c r="Q362" s="130"/>
      <c r="R362" s="130"/>
      <c r="S362" s="130"/>
      <c r="T362" s="130"/>
      <c r="U362" s="130"/>
      <c r="V362" s="130"/>
      <c r="W362" s="130"/>
      <c r="X362" s="130"/>
      <c r="Y362" s="130"/>
      <c r="Z362" s="130"/>
    </row>
    <row r="363" spans="1:26" ht="15.75" customHeight="1">
      <c r="A363" s="130"/>
      <c r="B363" s="130"/>
      <c r="C363" s="130"/>
      <c r="D363" s="130"/>
      <c r="E363" s="130"/>
      <c r="F363" s="130"/>
      <c r="G363" s="130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/>
      <c r="R363" s="130"/>
      <c r="S363" s="130"/>
      <c r="T363" s="130"/>
      <c r="U363" s="130"/>
      <c r="V363" s="130"/>
      <c r="W363" s="130"/>
      <c r="X363" s="130"/>
      <c r="Y363" s="130"/>
      <c r="Z363" s="130"/>
    </row>
    <row r="364" spans="1:26" ht="15.75" customHeight="1">
      <c r="A364" s="130"/>
      <c r="B364" s="130"/>
      <c r="C364" s="130"/>
      <c r="D364" s="130"/>
      <c r="E364" s="130"/>
      <c r="F364" s="130"/>
      <c r="G364" s="130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/>
      <c r="R364" s="130"/>
      <c r="S364" s="130"/>
      <c r="T364" s="130"/>
      <c r="U364" s="130"/>
      <c r="V364" s="130"/>
      <c r="W364" s="130"/>
      <c r="X364" s="130"/>
      <c r="Y364" s="130"/>
      <c r="Z364" s="130"/>
    </row>
    <row r="365" spans="1:26" ht="15.75" customHeight="1">
      <c r="A365" s="130"/>
      <c r="B365" s="130"/>
      <c r="C365" s="130"/>
      <c r="D365" s="130"/>
      <c r="E365" s="130"/>
      <c r="F365" s="130"/>
      <c r="G365" s="130"/>
      <c r="H365" s="130"/>
      <c r="I365" s="130"/>
      <c r="J365" s="130"/>
      <c r="K365" s="130"/>
      <c r="L365" s="130"/>
      <c r="M365" s="130"/>
      <c r="N365" s="130"/>
      <c r="O365" s="130"/>
      <c r="P365" s="130"/>
      <c r="Q365" s="130"/>
      <c r="R365" s="130"/>
      <c r="S365" s="130"/>
      <c r="T365" s="130"/>
      <c r="U365" s="130"/>
      <c r="V365" s="130"/>
      <c r="W365" s="130"/>
      <c r="X365" s="130"/>
      <c r="Y365" s="130"/>
      <c r="Z365" s="130"/>
    </row>
    <row r="366" spans="1:26" ht="15.75" customHeight="1">
      <c r="A366" s="130"/>
      <c r="B366" s="130"/>
      <c r="C366" s="130"/>
      <c r="D366" s="130"/>
      <c r="E366" s="130"/>
      <c r="F366" s="130"/>
      <c r="G366" s="130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0"/>
      <c r="Y366" s="130"/>
      <c r="Z366" s="130"/>
    </row>
    <row r="367" spans="1:26" ht="15.75" customHeight="1">
      <c r="A367" s="130"/>
      <c r="B367" s="130"/>
      <c r="C367" s="130"/>
      <c r="D367" s="130"/>
      <c r="E367" s="130"/>
      <c r="F367" s="130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130"/>
      <c r="S367" s="130"/>
      <c r="T367" s="130"/>
      <c r="U367" s="130"/>
      <c r="V367" s="130"/>
      <c r="W367" s="130"/>
      <c r="X367" s="130"/>
      <c r="Y367" s="130"/>
      <c r="Z367" s="130"/>
    </row>
    <row r="368" spans="1:26" ht="15.75" customHeight="1">
      <c r="A368" s="130"/>
      <c r="B368" s="130"/>
      <c r="C368" s="130"/>
      <c r="D368" s="130"/>
      <c r="E368" s="130"/>
      <c r="F368" s="130"/>
      <c r="G368" s="130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  <c r="R368" s="130"/>
      <c r="S368" s="130"/>
      <c r="T368" s="130"/>
      <c r="U368" s="130"/>
      <c r="V368" s="130"/>
      <c r="W368" s="130"/>
      <c r="X368" s="130"/>
      <c r="Y368" s="130"/>
      <c r="Z368" s="130"/>
    </row>
    <row r="369" spans="1:26" ht="15.75" customHeight="1">
      <c r="A369" s="130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</row>
    <row r="370" spans="1:26" ht="15.75" customHeight="1">
      <c r="A370" s="130"/>
      <c r="B370" s="130"/>
      <c r="C370" s="130"/>
      <c r="D370" s="130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</row>
    <row r="371" spans="1:26" ht="15.75" customHeight="1">
      <c r="A371" s="130"/>
      <c r="B371" s="130"/>
      <c r="C371" s="130"/>
      <c r="D371" s="130"/>
      <c r="E371" s="130"/>
      <c r="F371" s="130"/>
      <c r="G371" s="130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/>
      <c r="R371" s="130"/>
      <c r="S371" s="130"/>
      <c r="T371" s="130"/>
      <c r="U371" s="130"/>
      <c r="V371" s="130"/>
      <c r="W371" s="130"/>
      <c r="X371" s="130"/>
      <c r="Y371" s="130"/>
      <c r="Z371" s="130"/>
    </row>
    <row r="372" spans="1:26" ht="15.75" customHeight="1">
      <c r="A372" s="130"/>
      <c r="B372" s="130"/>
      <c r="C372" s="130"/>
      <c r="D372" s="130"/>
      <c r="E372" s="130"/>
      <c r="F372" s="130"/>
      <c r="G372" s="130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/>
      <c r="R372" s="130"/>
      <c r="S372" s="130"/>
      <c r="T372" s="130"/>
      <c r="U372" s="130"/>
      <c r="V372" s="130"/>
      <c r="W372" s="130"/>
      <c r="X372" s="130"/>
      <c r="Y372" s="130"/>
      <c r="Z372" s="130"/>
    </row>
    <row r="373" spans="1:26" ht="15.75" customHeight="1">
      <c r="A373" s="130"/>
      <c r="B373" s="130"/>
      <c r="C373" s="130"/>
      <c r="D373" s="130"/>
      <c r="E373" s="130"/>
      <c r="F373" s="130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130"/>
      <c r="S373" s="130"/>
      <c r="T373" s="130"/>
      <c r="U373" s="130"/>
      <c r="V373" s="130"/>
      <c r="W373" s="130"/>
      <c r="X373" s="130"/>
      <c r="Y373" s="130"/>
      <c r="Z373" s="130"/>
    </row>
    <row r="374" spans="1:26" ht="15.75" customHeight="1">
      <c r="A374" s="130"/>
      <c r="B374" s="130"/>
      <c r="C374" s="130"/>
      <c r="D374" s="130"/>
      <c r="E374" s="130"/>
      <c r="F374" s="13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</row>
    <row r="375" spans="1:26" ht="15.75" customHeight="1">
      <c r="A375" s="130"/>
      <c r="B375" s="130"/>
      <c r="C375" s="130"/>
      <c r="D375" s="130"/>
      <c r="E375" s="130"/>
      <c r="F375" s="130"/>
      <c r="G375" s="130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</row>
    <row r="376" spans="1:26" ht="15.75" customHeight="1">
      <c r="A376" s="130"/>
      <c r="B376" s="130"/>
      <c r="C376" s="130"/>
      <c r="D376" s="130"/>
      <c r="E376" s="130"/>
      <c r="F376" s="130"/>
      <c r="G376" s="130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/>
      <c r="R376" s="130"/>
      <c r="S376" s="130"/>
      <c r="T376" s="130"/>
      <c r="U376" s="130"/>
      <c r="V376" s="130"/>
      <c r="W376" s="130"/>
      <c r="X376" s="130"/>
      <c r="Y376" s="130"/>
      <c r="Z376" s="130"/>
    </row>
    <row r="377" spans="1:26" ht="15.75" customHeight="1">
      <c r="A377" s="130"/>
      <c r="B377" s="130"/>
      <c r="C377" s="130"/>
      <c r="D377" s="130"/>
      <c r="E377" s="130"/>
      <c r="F377" s="130"/>
      <c r="G377" s="130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/>
      <c r="R377" s="130"/>
      <c r="S377" s="130"/>
      <c r="T377" s="130"/>
      <c r="U377" s="130"/>
      <c r="V377" s="130"/>
      <c r="W377" s="130"/>
      <c r="X377" s="130"/>
      <c r="Y377" s="130"/>
      <c r="Z377" s="130"/>
    </row>
    <row r="378" spans="1:26" ht="15.75" customHeight="1">
      <c r="A378" s="130"/>
      <c r="B378" s="130"/>
      <c r="C378" s="130"/>
      <c r="D378" s="130"/>
      <c r="E378" s="130"/>
      <c r="F378" s="130"/>
      <c r="G378" s="130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/>
      <c r="R378" s="130"/>
      <c r="S378" s="130"/>
      <c r="T378" s="130"/>
      <c r="U378" s="130"/>
      <c r="V378" s="130"/>
      <c r="W378" s="130"/>
      <c r="X378" s="130"/>
      <c r="Y378" s="130"/>
      <c r="Z378" s="130"/>
    </row>
    <row r="379" spans="1:26" ht="15.75" customHeight="1">
      <c r="A379" s="130"/>
      <c r="B379" s="130"/>
      <c r="C379" s="130"/>
      <c r="D379" s="130"/>
      <c r="E379" s="130"/>
      <c r="F379" s="130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</row>
    <row r="380" spans="1:26" ht="15.75" customHeight="1">
      <c r="A380" s="130"/>
      <c r="B380" s="130"/>
      <c r="C380" s="130"/>
      <c r="D380" s="130"/>
      <c r="E380" s="130"/>
      <c r="F380" s="130"/>
      <c r="G380" s="130"/>
      <c r="H380" s="130"/>
      <c r="I380" s="130"/>
      <c r="J380" s="130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</row>
    <row r="381" spans="1:26" ht="15.75" customHeight="1">
      <c r="A381" s="130"/>
      <c r="B381" s="130"/>
      <c r="C381" s="130"/>
      <c r="D381" s="130"/>
      <c r="E381" s="130"/>
      <c r="F381" s="130"/>
      <c r="G381" s="130"/>
      <c r="H381" s="130"/>
      <c r="I381" s="130"/>
      <c r="J381" s="130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0"/>
      <c r="Y381" s="130"/>
      <c r="Z381" s="130"/>
    </row>
    <row r="382" spans="1:26" ht="15.75" customHeight="1">
      <c r="A382" s="130"/>
      <c r="B382" s="130"/>
      <c r="C382" s="130"/>
      <c r="D382" s="130"/>
      <c r="E382" s="130"/>
      <c r="F382" s="130"/>
      <c r="G382" s="130"/>
      <c r="H382" s="130"/>
      <c r="I382" s="130"/>
      <c r="J382" s="130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</row>
    <row r="383" spans="1:26" ht="15.75" customHeight="1">
      <c r="A383" s="130"/>
      <c r="B383" s="130"/>
      <c r="C383" s="130"/>
      <c r="D383" s="130"/>
      <c r="E383" s="130"/>
      <c r="F383" s="130"/>
      <c r="G383" s="130"/>
      <c r="H383" s="130"/>
      <c r="I383" s="130"/>
      <c r="J383" s="130"/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</row>
    <row r="384" spans="1:26" ht="15.75" customHeight="1">
      <c r="A384" s="130"/>
      <c r="B384" s="130"/>
      <c r="C384" s="130"/>
      <c r="D384" s="130"/>
      <c r="E384" s="130"/>
      <c r="F384" s="130"/>
      <c r="G384" s="130"/>
      <c r="H384" s="130"/>
      <c r="I384" s="130"/>
      <c r="J384" s="130"/>
      <c r="K384" s="130"/>
      <c r="L384" s="130"/>
      <c r="M384" s="130"/>
      <c r="N384" s="130"/>
      <c r="O384" s="130"/>
      <c r="P384" s="130"/>
      <c r="Q384" s="130"/>
      <c r="R384" s="130"/>
      <c r="S384" s="130"/>
      <c r="T384" s="130"/>
      <c r="U384" s="130"/>
      <c r="V384" s="130"/>
      <c r="W384" s="130"/>
      <c r="X384" s="130"/>
      <c r="Y384" s="130"/>
      <c r="Z384" s="130"/>
    </row>
    <row r="385" spans="1:26" ht="15.75" customHeight="1">
      <c r="A385" s="130"/>
      <c r="B385" s="130"/>
      <c r="C385" s="130"/>
      <c r="D385" s="130"/>
      <c r="E385" s="130"/>
      <c r="F385" s="130"/>
      <c r="G385" s="130"/>
      <c r="H385" s="130"/>
      <c r="I385" s="130"/>
      <c r="J385" s="130"/>
      <c r="K385" s="130"/>
      <c r="L385" s="130"/>
      <c r="M385" s="130"/>
      <c r="N385" s="130"/>
      <c r="O385" s="130"/>
      <c r="P385" s="130"/>
      <c r="Q385" s="130"/>
      <c r="R385" s="130"/>
      <c r="S385" s="130"/>
      <c r="T385" s="130"/>
      <c r="U385" s="130"/>
      <c r="V385" s="130"/>
      <c r="W385" s="130"/>
      <c r="X385" s="130"/>
      <c r="Y385" s="130"/>
      <c r="Z385" s="130"/>
    </row>
    <row r="386" spans="1:26" ht="15.75" customHeight="1">
      <c r="A386" s="130"/>
      <c r="B386" s="130"/>
      <c r="C386" s="130"/>
      <c r="D386" s="130"/>
      <c r="E386" s="130"/>
      <c r="F386" s="130"/>
      <c r="G386" s="130"/>
      <c r="H386" s="130"/>
      <c r="I386" s="130"/>
      <c r="J386" s="130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</row>
    <row r="387" spans="1:26" ht="15.75" customHeight="1">
      <c r="A387" s="130"/>
      <c r="B387" s="130"/>
      <c r="C387" s="130"/>
      <c r="D387" s="130"/>
      <c r="E387" s="130"/>
      <c r="F387" s="130"/>
      <c r="G387" s="130"/>
      <c r="H387" s="130"/>
      <c r="I387" s="130"/>
      <c r="J387" s="130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</row>
    <row r="388" spans="1:26" ht="15.75" customHeight="1">
      <c r="A388" s="130"/>
      <c r="B388" s="130"/>
      <c r="C388" s="130"/>
      <c r="D388" s="130"/>
      <c r="E388" s="130"/>
      <c r="F388" s="130"/>
      <c r="G388" s="130"/>
      <c r="H388" s="130"/>
      <c r="I388" s="130"/>
      <c r="J388" s="130"/>
      <c r="K388" s="130"/>
      <c r="L388" s="130"/>
      <c r="M388" s="130"/>
      <c r="N388" s="130"/>
      <c r="O388" s="130"/>
      <c r="P388" s="130"/>
      <c r="Q388" s="130"/>
      <c r="R388" s="130"/>
      <c r="S388" s="130"/>
      <c r="T388" s="130"/>
      <c r="U388" s="130"/>
      <c r="V388" s="130"/>
      <c r="W388" s="130"/>
      <c r="X388" s="130"/>
      <c r="Y388" s="130"/>
      <c r="Z388" s="130"/>
    </row>
    <row r="389" spans="1:26" ht="15.75" customHeight="1">
      <c r="A389" s="130"/>
      <c r="B389" s="130"/>
      <c r="C389" s="130"/>
      <c r="D389" s="130"/>
      <c r="E389" s="130"/>
      <c r="F389" s="130"/>
      <c r="G389" s="130"/>
      <c r="H389" s="130"/>
      <c r="I389" s="130"/>
      <c r="J389" s="130"/>
      <c r="K389" s="130"/>
      <c r="L389" s="130"/>
      <c r="M389" s="130"/>
      <c r="N389" s="130"/>
      <c r="O389" s="130"/>
      <c r="P389" s="130"/>
      <c r="Q389" s="130"/>
      <c r="R389" s="130"/>
      <c r="S389" s="130"/>
      <c r="T389" s="130"/>
      <c r="U389" s="130"/>
      <c r="V389" s="130"/>
      <c r="W389" s="130"/>
      <c r="X389" s="130"/>
      <c r="Y389" s="130"/>
      <c r="Z389" s="130"/>
    </row>
    <row r="390" spans="1:26" ht="15.75" customHeight="1">
      <c r="A390" s="130"/>
      <c r="B390" s="130"/>
      <c r="C390" s="130"/>
      <c r="D390" s="130"/>
      <c r="E390" s="130"/>
      <c r="F390" s="130"/>
      <c r="G390" s="130"/>
      <c r="H390" s="130"/>
      <c r="I390" s="130"/>
      <c r="J390" s="130"/>
      <c r="K390" s="130"/>
      <c r="L390" s="130"/>
      <c r="M390" s="130"/>
      <c r="N390" s="130"/>
      <c r="O390" s="130"/>
      <c r="P390" s="130"/>
      <c r="Q390" s="130"/>
      <c r="R390" s="130"/>
      <c r="S390" s="130"/>
      <c r="T390" s="130"/>
      <c r="U390" s="130"/>
      <c r="V390" s="130"/>
      <c r="W390" s="130"/>
      <c r="X390" s="130"/>
      <c r="Y390" s="130"/>
      <c r="Z390" s="130"/>
    </row>
    <row r="391" spans="1:26" ht="15.75" customHeight="1">
      <c r="A391" s="130"/>
      <c r="B391" s="130"/>
      <c r="C391" s="130"/>
      <c r="D391" s="130"/>
      <c r="E391" s="130"/>
      <c r="F391" s="130"/>
      <c r="G391" s="130"/>
      <c r="H391" s="130"/>
      <c r="I391" s="130"/>
      <c r="J391" s="130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</row>
    <row r="392" spans="1:26" ht="15.75" customHeight="1">
      <c r="A392" s="130"/>
      <c r="B392" s="130"/>
      <c r="C392" s="130"/>
      <c r="D392" s="130"/>
      <c r="E392" s="130"/>
      <c r="F392" s="130"/>
      <c r="G392" s="130"/>
      <c r="H392" s="130"/>
      <c r="I392" s="130"/>
      <c r="J392" s="130"/>
      <c r="K392" s="130"/>
      <c r="L392" s="130"/>
      <c r="M392" s="130"/>
      <c r="N392" s="130"/>
      <c r="O392" s="130"/>
      <c r="P392" s="130"/>
      <c r="Q392" s="130"/>
      <c r="R392" s="130"/>
      <c r="S392" s="130"/>
      <c r="T392" s="130"/>
      <c r="U392" s="130"/>
      <c r="V392" s="130"/>
      <c r="W392" s="130"/>
      <c r="X392" s="130"/>
      <c r="Y392" s="130"/>
      <c r="Z392" s="130"/>
    </row>
    <row r="393" spans="1:26" ht="15.75" customHeight="1">
      <c r="A393" s="130"/>
      <c r="B393" s="130"/>
      <c r="C393" s="130"/>
      <c r="D393" s="130"/>
      <c r="E393" s="130"/>
      <c r="F393" s="130"/>
      <c r="G393" s="130"/>
      <c r="H393" s="130"/>
      <c r="I393" s="130"/>
      <c r="J393" s="130"/>
      <c r="K393" s="130"/>
      <c r="L393" s="130"/>
      <c r="M393" s="130"/>
      <c r="N393" s="130"/>
      <c r="O393" s="130"/>
      <c r="P393" s="130"/>
      <c r="Q393" s="130"/>
      <c r="R393" s="130"/>
      <c r="S393" s="130"/>
      <c r="T393" s="130"/>
      <c r="U393" s="130"/>
      <c r="V393" s="130"/>
      <c r="W393" s="130"/>
      <c r="X393" s="130"/>
      <c r="Y393" s="130"/>
      <c r="Z393" s="130"/>
    </row>
    <row r="394" spans="1:26" ht="15.75" customHeight="1">
      <c r="A394" s="130"/>
      <c r="B394" s="130"/>
      <c r="C394" s="130"/>
      <c r="D394" s="130"/>
      <c r="E394" s="130"/>
      <c r="F394" s="130"/>
      <c r="G394" s="130"/>
      <c r="H394" s="130"/>
      <c r="I394" s="130"/>
      <c r="J394" s="130"/>
      <c r="K394" s="130"/>
      <c r="L394" s="130"/>
      <c r="M394" s="130"/>
      <c r="N394" s="130"/>
      <c r="O394" s="130"/>
      <c r="P394" s="130"/>
      <c r="Q394" s="130"/>
      <c r="R394" s="130"/>
      <c r="S394" s="130"/>
      <c r="T394" s="130"/>
      <c r="U394" s="130"/>
      <c r="V394" s="130"/>
      <c r="W394" s="130"/>
      <c r="X394" s="130"/>
      <c r="Y394" s="130"/>
      <c r="Z394" s="130"/>
    </row>
    <row r="395" spans="1:26" ht="15.75" customHeight="1">
      <c r="A395" s="130"/>
      <c r="B395" s="130"/>
      <c r="C395" s="130"/>
      <c r="D395" s="130"/>
      <c r="E395" s="130"/>
      <c r="F395" s="130"/>
      <c r="G395" s="130"/>
      <c r="H395" s="130"/>
      <c r="I395" s="130"/>
      <c r="J395" s="130"/>
      <c r="K395" s="130"/>
      <c r="L395" s="130"/>
      <c r="M395" s="130"/>
      <c r="N395" s="130"/>
      <c r="O395" s="130"/>
      <c r="P395" s="130"/>
      <c r="Q395" s="130"/>
      <c r="R395" s="130"/>
      <c r="S395" s="130"/>
      <c r="T395" s="130"/>
      <c r="U395" s="130"/>
      <c r="V395" s="130"/>
      <c r="W395" s="130"/>
      <c r="X395" s="130"/>
      <c r="Y395" s="130"/>
      <c r="Z395" s="130"/>
    </row>
    <row r="396" spans="1:26" ht="15.75" customHeight="1">
      <c r="A396" s="130"/>
      <c r="B396" s="130"/>
      <c r="C396" s="130"/>
      <c r="D396" s="130"/>
      <c r="E396" s="130"/>
      <c r="F396" s="130"/>
      <c r="G396" s="130"/>
      <c r="H396" s="130"/>
      <c r="I396" s="130"/>
      <c r="J396" s="130"/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0"/>
      <c r="Y396" s="130"/>
      <c r="Z396" s="130"/>
    </row>
    <row r="397" spans="1:26" ht="15.75" customHeight="1">
      <c r="A397" s="130"/>
      <c r="B397" s="130"/>
      <c r="C397" s="130"/>
      <c r="D397" s="130"/>
      <c r="E397" s="130"/>
      <c r="F397" s="130"/>
      <c r="G397" s="130"/>
      <c r="H397" s="130"/>
      <c r="I397" s="130"/>
      <c r="J397" s="130"/>
      <c r="K397" s="130"/>
      <c r="L397" s="130"/>
      <c r="M397" s="130"/>
      <c r="N397" s="130"/>
      <c r="O397" s="130"/>
      <c r="P397" s="130"/>
      <c r="Q397" s="130"/>
      <c r="R397" s="130"/>
      <c r="S397" s="130"/>
      <c r="T397" s="130"/>
      <c r="U397" s="130"/>
      <c r="V397" s="130"/>
      <c r="W397" s="130"/>
      <c r="X397" s="130"/>
      <c r="Y397" s="130"/>
      <c r="Z397" s="130"/>
    </row>
    <row r="398" spans="1:26" ht="15.75" customHeight="1">
      <c r="A398" s="130"/>
      <c r="B398" s="130"/>
      <c r="C398" s="130"/>
      <c r="D398" s="130"/>
      <c r="E398" s="130"/>
      <c r="F398" s="130"/>
      <c r="G398" s="130"/>
      <c r="H398" s="130"/>
      <c r="I398" s="130"/>
      <c r="J398" s="130"/>
      <c r="K398" s="130"/>
      <c r="L398" s="130"/>
      <c r="M398" s="130"/>
      <c r="N398" s="130"/>
      <c r="O398" s="130"/>
      <c r="P398" s="130"/>
      <c r="Q398" s="130"/>
      <c r="R398" s="130"/>
      <c r="S398" s="130"/>
      <c r="T398" s="130"/>
      <c r="U398" s="130"/>
      <c r="V398" s="130"/>
      <c r="W398" s="130"/>
      <c r="X398" s="130"/>
      <c r="Y398" s="130"/>
      <c r="Z398" s="130"/>
    </row>
    <row r="399" spans="1:26" ht="15.75" customHeight="1">
      <c r="A399" s="130"/>
      <c r="B399" s="130"/>
      <c r="C399" s="130"/>
      <c r="D399" s="130"/>
      <c r="E399" s="130"/>
      <c r="F399" s="130"/>
      <c r="G399" s="130"/>
      <c r="H399" s="130"/>
      <c r="I399" s="130"/>
      <c r="J399" s="130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</row>
    <row r="400" spans="1:26" ht="15.75" customHeight="1">
      <c r="A400" s="130"/>
      <c r="B400" s="130"/>
      <c r="C400" s="130"/>
      <c r="D400" s="130"/>
      <c r="E400" s="130"/>
      <c r="F400" s="130"/>
      <c r="G400" s="130"/>
      <c r="H400" s="130"/>
      <c r="I400" s="130"/>
      <c r="J400" s="130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</row>
    <row r="401" spans="1:26" ht="15.75" customHeight="1">
      <c r="A401" s="130"/>
      <c r="B401" s="130"/>
      <c r="C401" s="130"/>
      <c r="D401" s="130"/>
      <c r="E401" s="130"/>
      <c r="F401" s="130"/>
      <c r="G401" s="130"/>
      <c r="H401" s="130"/>
      <c r="I401" s="130"/>
      <c r="J401" s="130"/>
      <c r="K401" s="130"/>
      <c r="L401" s="130"/>
      <c r="M401" s="130"/>
      <c r="N401" s="130"/>
      <c r="O401" s="130"/>
      <c r="P401" s="130"/>
      <c r="Q401" s="130"/>
      <c r="R401" s="130"/>
      <c r="S401" s="130"/>
      <c r="T401" s="130"/>
      <c r="U401" s="130"/>
      <c r="V401" s="130"/>
      <c r="W401" s="130"/>
      <c r="X401" s="130"/>
      <c r="Y401" s="130"/>
      <c r="Z401" s="130"/>
    </row>
    <row r="402" spans="1:26" ht="15.75" customHeight="1">
      <c r="A402" s="130"/>
      <c r="B402" s="130"/>
      <c r="C402" s="130"/>
      <c r="D402" s="130"/>
      <c r="E402" s="130"/>
      <c r="F402" s="130"/>
      <c r="G402" s="130"/>
      <c r="H402" s="130"/>
      <c r="I402" s="130"/>
      <c r="J402" s="130"/>
      <c r="K402" s="130"/>
      <c r="L402" s="130"/>
      <c r="M402" s="130"/>
      <c r="N402" s="130"/>
      <c r="O402" s="130"/>
      <c r="P402" s="130"/>
      <c r="Q402" s="130"/>
      <c r="R402" s="130"/>
      <c r="S402" s="130"/>
      <c r="T402" s="130"/>
      <c r="U402" s="130"/>
      <c r="V402" s="130"/>
      <c r="W402" s="130"/>
      <c r="X402" s="130"/>
      <c r="Y402" s="130"/>
      <c r="Z402" s="130"/>
    </row>
    <row r="403" spans="1:26" ht="15.75" customHeight="1">
      <c r="A403" s="130"/>
      <c r="B403" s="130"/>
      <c r="C403" s="130"/>
      <c r="D403" s="130"/>
      <c r="E403" s="130"/>
      <c r="F403" s="130"/>
      <c r="G403" s="130"/>
      <c r="H403" s="130"/>
      <c r="I403" s="130"/>
      <c r="J403" s="130"/>
      <c r="K403" s="130"/>
      <c r="L403" s="130"/>
      <c r="M403" s="130"/>
      <c r="N403" s="130"/>
      <c r="O403" s="130"/>
      <c r="P403" s="130"/>
      <c r="Q403" s="130"/>
      <c r="R403" s="130"/>
      <c r="S403" s="130"/>
      <c r="T403" s="130"/>
      <c r="U403" s="130"/>
      <c r="V403" s="130"/>
      <c r="W403" s="130"/>
      <c r="X403" s="130"/>
      <c r="Y403" s="130"/>
      <c r="Z403" s="130"/>
    </row>
    <row r="404" spans="1:26" ht="15.75" customHeight="1">
      <c r="A404" s="130"/>
      <c r="B404" s="130"/>
      <c r="C404" s="130"/>
      <c r="D404" s="130"/>
      <c r="E404" s="130"/>
      <c r="F404" s="130"/>
      <c r="G404" s="130"/>
      <c r="H404" s="130"/>
      <c r="I404" s="130"/>
      <c r="J404" s="130"/>
      <c r="K404" s="130"/>
      <c r="L404" s="130"/>
      <c r="M404" s="130"/>
      <c r="N404" s="130"/>
      <c r="O404" s="130"/>
      <c r="P404" s="130"/>
      <c r="Q404" s="130"/>
      <c r="R404" s="130"/>
      <c r="S404" s="130"/>
      <c r="T404" s="130"/>
      <c r="U404" s="130"/>
      <c r="V404" s="130"/>
      <c r="W404" s="130"/>
      <c r="X404" s="130"/>
      <c r="Y404" s="130"/>
      <c r="Z404" s="130"/>
    </row>
    <row r="405" spans="1:26" ht="15.75" customHeight="1">
      <c r="A405" s="130"/>
      <c r="B405" s="130"/>
      <c r="C405" s="130"/>
      <c r="D405" s="130"/>
      <c r="E405" s="130"/>
      <c r="F405" s="130"/>
      <c r="G405" s="130"/>
      <c r="H405" s="130"/>
      <c r="I405" s="130"/>
      <c r="J405" s="130"/>
      <c r="K405" s="130"/>
      <c r="L405" s="130"/>
      <c r="M405" s="130"/>
      <c r="N405" s="130"/>
      <c r="O405" s="130"/>
      <c r="P405" s="130"/>
      <c r="Q405" s="130"/>
      <c r="R405" s="130"/>
      <c r="S405" s="130"/>
      <c r="T405" s="130"/>
      <c r="U405" s="130"/>
      <c r="V405" s="130"/>
      <c r="W405" s="130"/>
      <c r="X405" s="130"/>
      <c r="Y405" s="130"/>
      <c r="Z405" s="130"/>
    </row>
    <row r="406" spans="1:26" ht="15.75" customHeight="1">
      <c r="A406" s="130"/>
      <c r="B406" s="130"/>
      <c r="C406" s="130"/>
      <c r="D406" s="130"/>
      <c r="E406" s="130"/>
      <c r="F406" s="130"/>
      <c r="G406" s="130"/>
      <c r="H406" s="130"/>
      <c r="I406" s="130"/>
      <c r="J406" s="130"/>
      <c r="K406" s="130"/>
      <c r="L406" s="130"/>
      <c r="M406" s="130"/>
      <c r="N406" s="130"/>
      <c r="O406" s="130"/>
      <c r="P406" s="130"/>
      <c r="Q406" s="130"/>
      <c r="R406" s="130"/>
      <c r="S406" s="130"/>
      <c r="T406" s="130"/>
      <c r="U406" s="130"/>
      <c r="V406" s="130"/>
      <c r="W406" s="130"/>
      <c r="X406" s="130"/>
      <c r="Y406" s="130"/>
      <c r="Z406" s="130"/>
    </row>
    <row r="407" spans="1:26" ht="15.75" customHeight="1">
      <c r="A407" s="130"/>
      <c r="B407" s="130"/>
      <c r="C407" s="130"/>
      <c r="D407" s="130"/>
      <c r="E407" s="130"/>
      <c r="F407" s="130"/>
      <c r="G407" s="130"/>
      <c r="H407" s="130"/>
      <c r="I407" s="130"/>
      <c r="J407" s="130"/>
      <c r="K407" s="130"/>
      <c r="L407" s="130"/>
      <c r="M407" s="130"/>
      <c r="N407" s="130"/>
      <c r="O407" s="130"/>
      <c r="P407" s="130"/>
      <c r="Q407" s="130"/>
      <c r="R407" s="130"/>
      <c r="S407" s="130"/>
      <c r="T407" s="130"/>
      <c r="U407" s="130"/>
      <c r="V407" s="130"/>
      <c r="W407" s="130"/>
      <c r="X407" s="130"/>
      <c r="Y407" s="130"/>
      <c r="Z407" s="130"/>
    </row>
    <row r="408" spans="1:26" ht="15.75" customHeight="1">
      <c r="A408" s="130"/>
      <c r="B408" s="130"/>
      <c r="C408" s="130"/>
      <c r="D408" s="130"/>
      <c r="E408" s="130"/>
      <c r="F408" s="130"/>
      <c r="G408" s="130"/>
      <c r="H408" s="130"/>
      <c r="I408" s="130"/>
      <c r="J408" s="130"/>
      <c r="K408" s="130"/>
      <c r="L408" s="130"/>
      <c r="M408" s="130"/>
      <c r="N408" s="130"/>
      <c r="O408" s="130"/>
      <c r="P408" s="130"/>
      <c r="Q408" s="130"/>
      <c r="R408" s="130"/>
      <c r="S408" s="130"/>
      <c r="T408" s="130"/>
      <c r="U408" s="130"/>
      <c r="V408" s="130"/>
      <c r="W408" s="130"/>
      <c r="X408" s="130"/>
      <c r="Y408" s="130"/>
      <c r="Z408" s="130"/>
    </row>
    <row r="409" spans="1:26" ht="15.75" customHeight="1">
      <c r="A409" s="130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</row>
    <row r="410" spans="1:26" ht="15.75" customHeight="1">
      <c r="A410" s="130"/>
      <c r="B410" s="130"/>
      <c r="C410" s="130"/>
      <c r="D410" s="130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</row>
    <row r="411" spans="1:26" ht="15.75" customHeight="1">
      <c r="A411" s="130"/>
      <c r="B411" s="130"/>
      <c r="C411" s="130"/>
      <c r="D411" s="130"/>
      <c r="E411" s="130"/>
      <c r="F411" s="130"/>
      <c r="G411" s="130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0"/>
      <c r="Y411" s="130"/>
      <c r="Z411" s="130"/>
    </row>
    <row r="412" spans="1:26" ht="15.75" customHeight="1">
      <c r="A412" s="130"/>
      <c r="B412" s="130"/>
      <c r="C412" s="130"/>
      <c r="D412" s="130"/>
      <c r="E412" s="130"/>
      <c r="F412" s="130"/>
      <c r="G412" s="130"/>
      <c r="H412" s="130"/>
      <c r="I412" s="130"/>
      <c r="J412" s="130"/>
      <c r="K412" s="130"/>
      <c r="L412" s="130"/>
      <c r="M412" s="130"/>
      <c r="N412" s="130"/>
      <c r="O412" s="130"/>
      <c r="P412" s="130"/>
      <c r="Q412" s="130"/>
      <c r="R412" s="130"/>
      <c r="S412" s="130"/>
      <c r="T412" s="130"/>
      <c r="U412" s="130"/>
      <c r="V412" s="130"/>
      <c r="W412" s="130"/>
      <c r="X412" s="130"/>
      <c r="Y412" s="130"/>
      <c r="Z412" s="130"/>
    </row>
    <row r="413" spans="1:26" ht="15.75" customHeight="1">
      <c r="A413" s="130"/>
      <c r="B413" s="130"/>
      <c r="C413" s="130"/>
      <c r="D413" s="130"/>
      <c r="E413" s="130"/>
      <c r="F413" s="130"/>
      <c r="G413" s="130"/>
      <c r="H413" s="130"/>
      <c r="I413" s="130"/>
      <c r="J413" s="130"/>
      <c r="K413" s="130"/>
      <c r="L413" s="130"/>
      <c r="M413" s="130"/>
      <c r="N413" s="130"/>
      <c r="O413" s="130"/>
      <c r="P413" s="130"/>
      <c r="Q413" s="130"/>
      <c r="R413" s="130"/>
      <c r="S413" s="130"/>
      <c r="T413" s="130"/>
      <c r="U413" s="130"/>
      <c r="V413" s="130"/>
      <c r="W413" s="130"/>
      <c r="X413" s="130"/>
      <c r="Y413" s="130"/>
      <c r="Z413" s="130"/>
    </row>
    <row r="414" spans="1:26" ht="15.75" customHeight="1">
      <c r="A414" s="130"/>
      <c r="B414" s="130"/>
      <c r="C414" s="130"/>
      <c r="D414" s="130"/>
      <c r="E414" s="130"/>
      <c r="F414" s="130"/>
      <c r="G414" s="130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</row>
    <row r="415" spans="1:26" ht="15.75" customHeight="1">
      <c r="A415" s="130"/>
      <c r="B415" s="130"/>
      <c r="C415" s="130"/>
      <c r="D415" s="130"/>
      <c r="E415" s="130"/>
      <c r="F415" s="130"/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</row>
    <row r="416" spans="1:26" ht="15.75" customHeight="1">
      <c r="A416" s="130"/>
      <c r="B416" s="130"/>
      <c r="C416" s="130"/>
      <c r="D416" s="130"/>
      <c r="E416" s="130"/>
      <c r="F416" s="130"/>
      <c r="G416" s="130"/>
      <c r="H416" s="130"/>
      <c r="I416" s="130"/>
      <c r="J416" s="130"/>
      <c r="K416" s="130"/>
      <c r="L416" s="130"/>
      <c r="M416" s="130"/>
      <c r="N416" s="130"/>
      <c r="O416" s="130"/>
      <c r="P416" s="130"/>
      <c r="Q416" s="130"/>
      <c r="R416" s="130"/>
      <c r="S416" s="130"/>
      <c r="T416" s="130"/>
      <c r="U416" s="130"/>
      <c r="V416" s="130"/>
      <c r="W416" s="130"/>
      <c r="X416" s="130"/>
      <c r="Y416" s="130"/>
      <c r="Z416" s="130"/>
    </row>
    <row r="417" spans="1:26" ht="15.75" customHeight="1">
      <c r="A417" s="130"/>
      <c r="B417" s="130"/>
      <c r="C417" s="130"/>
      <c r="D417" s="130"/>
      <c r="E417" s="130"/>
      <c r="F417" s="130"/>
      <c r="G417" s="130"/>
      <c r="H417" s="130"/>
      <c r="I417" s="130"/>
      <c r="J417" s="130"/>
      <c r="K417" s="130"/>
      <c r="L417" s="130"/>
      <c r="M417" s="130"/>
      <c r="N417" s="130"/>
      <c r="O417" s="130"/>
      <c r="P417" s="130"/>
      <c r="Q417" s="130"/>
      <c r="R417" s="130"/>
      <c r="S417" s="130"/>
      <c r="T417" s="130"/>
      <c r="U417" s="130"/>
      <c r="V417" s="130"/>
      <c r="W417" s="130"/>
      <c r="X417" s="130"/>
      <c r="Y417" s="130"/>
      <c r="Z417" s="130"/>
    </row>
    <row r="418" spans="1:26" ht="15.75" customHeight="1">
      <c r="A418" s="130"/>
      <c r="B418" s="130"/>
      <c r="C418" s="130"/>
      <c r="D418" s="130"/>
      <c r="E418" s="130"/>
      <c r="F418" s="130"/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  <c r="R418" s="130"/>
      <c r="S418" s="130"/>
      <c r="T418" s="130"/>
      <c r="U418" s="130"/>
      <c r="V418" s="130"/>
      <c r="W418" s="130"/>
      <c r="X418" s="130"/>
      <c r="Y418" s="130"/>
      <c r="Z418" s="130"/>
    </row>
    <row r="419" spans="1:26" ht="15.75" customHeight="1">
      <c r="A419" s="130"/>
      <c r="B419" s="130"/>
      <c r="C419" s="130"/>
      <c r="D419" s="130"/>
      <c r="E419" s="130"/>
      <c r="F419" s="130"/>
      <c r="G419" s="130"/>
      <c r="H419" s="130"/>
      <c r="I419" s="130"/>
      <c r="J419" s="130"/>
      <c r="K419" s="130"/>
      <c r="L419" s="130"/>
      <c r="M419" s="130"/>
      <c r="N419" s="130"/>
      <c r="O419" s="130"/>
      <c r="P419" s="130"/>
      <c r="Q419" s="130"/>
      <c r="R419" s="130"/>
      <c r="S419" s="130"/>
      <c r="T419" s="130"/>
      <c r="U419" s="130"/>
      <c r="V419" s="130"/>
      <c r="W419" s="130"/>
      <c r="X419" s="130"/>
      <c r="Y419" s="130"/>
      <c r="Z419" s="130"/>
    </row>
    <row r="420" spans="1:26" ht="15.75" customHeight="1">
      <c r="A420" s="130"/>
      <c r="B420" s="130"/>
      <c r="C420" s="130"/>
      <c r="D420" s="130"/>
      <c r="E420" s="130"/>
      <c r="F420" s="130"/>
      <c r="G420" s="130"/>
      <c r="H420" s="130"/>
      <c r="I420" s="130"/>
      <c r="J420" s="130"/>
      <c r="K420" s="130"/>
      <c r="L420" s="130"/>
      <c r="M420" s="130"/>
      <c r="N420" s="130"/>
      <c r="O420" s="130"/>
      <c r="P420" s="130"/>
      <c r="Q420" s="130"/>
      <c r="R420" s="130"/>
      <c r="S420" s="130"/>
      <c r="T420" s="130"/>
      <c r="U420" s="130"/>
      <c r="V420" s="130"/>
      <c r="W420" s="130"/>
      <c r="X420" s="130"/>
      <c r="Y420" s="130"/>
      <c r="Z420" s="130"/>
    </row>
    <row r="421" spans="1:26" ht="15.75" customHeight="1">
      <c r="A421" s="130"/>
      <c r="B421" s="130"/>
      <c r="C421" s="130"/>
      <c r="D421" s="130"/>
      <c r="E421" s="130"/>
      <c r="F421" s="130"/>
      <c r="G421" s="130"/>
      <c r="H421" s="130"/>
      <c r="I421" s="130"/>
      <c r="J421" s="130"/>
      <c r="K421" s="130"/>
      <c r="L421" s="130"/>
      <c r="M421" s="130"/>
      <c r="N421" s="130"/>
      <c r="O421" s="130"/>
      <c r="P421" s="130"/>
      <c r="Q421" s="130"/>
      <c r="R421" s="130"/>
      <c r="S421" s="130"/>
      <c r="T421" s="130"/>
      <c r="U421" s="130"/>
      <c r="V421" s="130"/>
      <c r="W421" s="130"/>
      <c r="X421" s="130"/>
      <c r="Y421" s="130"/>
      <c r="Z421" s="130"/>
    </row>
    <row r="422" spans="1:26" ht="15.75" customHeight="1">
      <c r="A422" s="130"/>
      <c r="B422" s="130"/>
      <c r="C422" s="130"/>
      <c r="D422" s="130"/>
      <c r="E422" s="130"/>
      <c r="F422" s="130"/>
      <c r="G422" s="130"/>
      <c r="H422" s="130"/>
      <c r="I422" s="130"/>
      <c r="J422" s="130"/>
      <c r="K422" s="130"/>
      <c r="L422" s="130"/>
      <c r="M422" s="130"/>
      <c r="N422" s="130"/>
      <c r="O422" s="130"/>
      <c r="P422" s="130"/>
      <c r="Q422" s="130"/>
      <c r="R422" s="130"/>
      <c r="S422" s="130"/>
      <c r="T422" s="130"/>
      <c r="U422" s="130"/>
      <c r="V422" s="130"/>
      <c r="W422" s="130"/>
      <c r="X422" s="130"/>
      <c r="Y422" s="130"/>
      <c r="Z422" s="130"/>
    </row>
    <row r="423" spans="1:26" ht="15.75" customHeight="1">
      <c r="A423" s="130"/>
      <c r="B423" s="130"/>
      <c r="C423" s="130"/>
      <c r="D423" s="130"/>
      <c r="E423" s="130"/>
      <c r="F423" s="130"/>
      <c r="G423" s="130"/>
      <c r="H423" s="130"/>
      <c r="I423" s="130"/>
      <c r="J423" s="130"/>
      <c r="K423" s="130"/>
      <c r="L423" s="130"/>
      <c r="M423" s="130"/>
      <c r="N423" s="130"/>
      <c r="O423" s="130"/>
      <c r="P423" s="130"/>
      <c r="Q423" s="130"/>
      <c r="R423" s="130"/>
      <c r="S423" s="130"/>
      <c r="T423" s="130"/>
      <c r="U423" s="130"/>
      <c r="V423" s="130"/>
      <c r="W423" s="130"/>
      <c r="X423" s="130"/>
      <c r="Y423" s="130"/>
      <c r="Z423" s="130"/>
    </row>
    <row r="424" spans="1:26" ht="15.75" customHeight="1">
      <c r="A424" s="130"/>
      <c r="B424" s="130"/>
      <c r="C424" s="130"/>
      <c r="D424" s="130"/>
      <c r="E424" s="130"/>
      <c r="F424" s="130"/>
      <c r="G424" s="130"/>
      <c r="H424" s="130"/>
      <c r="I424" s="130"/>
      <c r="J424" s="130"/>
      <c r="K424" s="130"/>
      <c r="L424" s="130"/>
      <c r="M424" s="130"/>
      <c r="N424" s="130"/>
      <c r="O424" s="130"/>
      <c r="P424" s="130"/>
      <c r="Q424" s="130"/>
      <c r="R424" s="130"/>
      <c r="S424" s="130"/>
      <c r="T424" s="130"/>
      <c r="U424" s="130"/>
      <c r="V424" s="130"/>
      <c r="W424" s="130"/>
      <c r="X424" s="130"/>
      <c r="Y424" s="130"/>
      <c r="Z424" s="130"/>
    </row>
    <row r="425" spans="1:26" ht="15.75" customHeight="1">
      <c r="A425" s="130"/>
      <c r="B425" s="130"/>
      <c r="C425" s="130"/>
      <c r="D425" s="130"/>
      <c r="E425" s="130"/>
      <c r="F425" s="130"/>
      <c r="G425" s="130"/>
      <c r="H425" s="130"/>
      <c r="I425" s="130"/>
      <c r="J425" s="130"/>
      <c r="K425" s="130"/>
      <c r="L425" s="130"/>
      <c r="M425" s="130"/>
      <c r="N425" s="130"/>
      <c r="O425" s="130"/>
      <c r="P425" s="130"/>
      <c r="Q425" s="130"/>
      <c r="R425" s="130"/>
      <c r="S425" s="130"/>
      <c r="T425" s="130"/>
      <c r="U425" s="130"/>
      <c r="V425" s="130"/>
      <c r="W425" s="130"/>
      <c r="X425" s="130"/>
      <c r="Y425" s="130"/>
      <c r="Z425" s="130"/>
    </row>
    <row r="426" spans="1:26" ht="15.75" customHeight="1">
      <c r="A426" s="130"/>
      <c r="B426" s="130"/>
      <c r="C426" s="130"/>
      <c r="D426" s="130"/>
      <c r="E426" s="130"/>
      <c r="F426" s="130"/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</row>
    <row r="427" spans="1:26" ht="15.75" customHeight="1">
      <c r="A427" s="130"/>
      <c r="B427" s="130"/>
      <c r="C427" s="130"/>
      <c r="D427" s="130"/>
      <c r="E427" s="130"/>
      <c r="F427" s="130"/>
      <c r="G427" s="130"/>
      <c r="H427" s="130"/>
      <c r="I427" s="130"/>
      <c r="J427" s="130"/>
      <c r="K427" s="130"/>
      <c r="L427" s="130"/>
      <c r="M427" s="130"/>
      <c r="N427" s="130"/>
      <c r="O427" s="130"/>
      <c r="P427" s="130"/>
      <c r="Q427" s="130"/>
      <c r="R427" s="130"/>
      <c r="S427" s="130"/>
      <c r="T427" s="130"/>
      <c r="U427" s="130"/>
      <c r="V427" s="130"/>
      <c r="W427" s="130"/>
      <c r="X427" s="130"/>
      <c r="Y427" s="130"/>
      <c r="Z427" s="130"/>
    </row>
    <row r="428" spans="1:26" ht="15.75" customHeight="1">
      <c r="A428" s="130"/>
      <c r="B428" s="130"/>
      <c r="C428" s="130"/>
      <c r="D428" s="130"/>
      <c r="E428" s="130"/>
      <c r="F428" s="130"/>
      <c r="G428" s="130"/>
      <c r="H428" s="130"/>
      <c r="I428" s="130"/>
      <c r="J428" s="130"/>
      <c r="K428" s="130"/>
      <c r="L428" s="130"/>
      <c r="M428" s="130"/>
      <c r="N428" s="130"/>
      <c r="O428" s="130"/>
      <c r="P428" s="130"/>
      <c r="Q428" s="130"/>
      <c r="R428" s="130"/>
      <c r="S428" s="130"/>
      <c r="T428" s="130"/>
      <c r="U428" s="130"/>
      <c r="V428" s="130"/>
      <c r="W428" s="130"/>
      <c r="X428" s="130"/>
      <c r="Y428" s="130"/>
      <c r="Z428" s="130"/>
    </row>
    <row r="429" spans="1:26" ht="15.75" customHeight="1">
      <c r="A429" s="130"/>
      <c r="B429" s="130"/>
      <c r="C429" s="130"/>
      <c r="D429" s="130"/>
      <c r="E429" s="130"/>
      <c r="F429" s="130"/>
      <c r="G429" s="130"/>
      <c r="H429" s="130"/>
      <c r="I429" s="130"/>
      <c r="J429" s="130"/>
      <c r="K429" s="130"/>
      <c r="L429" s="130"/>
      <c r="M429" s="130"/>
      <c r="N429" s="130"/>
      <c r="O429" s="130"/>
      <c r="P429" s="130"/>
      <c r="Q429" s="130"/>
      <c r="R429" s="130"/>
      <c r="S429" s="130"/>
      <c r="T429" s="130"/>
      <c r="U429" s="130"/>
      <c r="V429" s="130"/>
      <c r="W429" s="130"/>
      <c r="X429" s="130"/>
      <c r="Y429" s="130"/>
      <c r="Z429" s="130"/>
    </row>
    <row r="430" spans="1:26" ht="15.75" customHeight="1">
      <c r="A430" s="130"/>
      <c r="B430" s="130"/>
      <c r="C430" s="130"/>
      <c r="D430" s="130"/>
      <c r="E430" s="130"/>
      <c r="F430" s="130"/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  <c r="Q430" s="130"/>
      <c r="R430" s="130"/>
      <c r="S430" s="130"/>
      <c r="T430" s="130"/>
      <c r="U430" s="130"/>
      <c r="V430" s="130"/>
      <c r="W430" s="130"/>
      <c r="X430" s="130"/>
      <c r="Y430" s="130"/>
      <c r="Z430" s="130"/>
    </row>
    <row r="431" spans="1:26" ht="15.75" customHeight="1">
      <c r="A431" s="130"/>
      <c r="B431" s="130"/>
      <c r="C431" s="130"/>
      <c r="D431" s="130"/>
      <c r="E431" s="130"/>
      <c r="F431" s="130"/>
      <c r="G431" s="130"/>
      <c r="H431" s="130"/>
      <c r="I431" s="130"/>
      <c r="J431" s="130"/>
      <c r="K431" s="130"/>
      <c r="L431" s="130"/>
      <c r="M431" s="130"/>
      <c r="N431" s="130"/>
      <c r="O431" s="130"/>
      <c r="P431" s="130"/>
      <c r="Q431" s="130"/>
      <c r="R431" s="130"/>
      <c r="S431" s="130"/>
      <c r="T431" s="130"/>
      <c r="U431" s="130"/>
      <c r="V431" s="130"/>
      <c r="W431" s="130"/>
      <c r="X431" s="130"/>
      <c r="Y431" s="130"/>
      <c r="Z431" s="130"/>
    </row>
    <row r="432" spans="1:26" ht="15.75" customHeight="1">
      <c r="A432" s="130"/>
      <c r="B432" s="130"/>
      <c r="C432" s="130"/>
      <c r="D432" s="130"/>
      <c r="E432" s="130"/>
      <c r="F432" s="130"/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  <c r="Q432" s="130"/>
      <c r="R432" s="130"/>
      <c r="S432" s="130"/>
      <c r="T432" s="130"/>
      <c r="U432" s="130"/>
      <c r="V432" s="130"/>
      <c r="W432" s="130"/>
      <c r="X432" s="130"/>
      <c r="Y432" s="130"/>
      <c r="Z432" s="130"/>
    </row>
    <row r="433" spans="1:26" ht="15.75" customHeight="1">
      <c r="A433" s="130"/>
      <c r="B433" s="130"/>
      <c r="C433" s="130"/>
      <c r="D433" s="130"/>
      <c r="E433" s="130"/>
      <c r="F433" s="130"/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30"/>
      <c r="R433" s="130"/>
      <c r="S433" s="130"/>
      <c r="T433" s="130"/>
      <c r="U433" s="130"/>
      <c r="V433" s="130"/>
      <c r="W433" s="130"/>
      <c r="X433" s="130"/>
      <c r="Y433" s="130"/>
      <c r="Z433" s="130"/>
    </row>
    <row r="434" spans="1:26" ht="15.75" customHeight="1">
      <c r="A434" s="130"/>
      <c r="B434" s="130"/>
      <c r="C434" s="130"/>
      <c r="D434" s="130"/>
      <c r="E434" s="130"/>
      <c r="F434" s="130"/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/>
      <c r="R434" s="130"/>
      <c r="S434" s="130"/>
      <c r="T434" s="130"/>
      <c r="U434" s="130"/>
      <c r="V434" s="130"/>
      <c r="W434" s="130"/>
      <c r="X434" s="130"/>
      <c r="Y434" s="130"/>
      <c r="Z434" s="130"/>
    </row>
    <row r="435" spans="1:26" ht="15.75" customHeight="1">
      <c r="A435" s="130"/>
      <c r="B435" s="130"/>
      <c r="C435" s="130"/>
      <c r="D435" s="130"/>
      <c r="E435" s="130"/>
      <c r="F435" s="130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30"/>
      <c r="R435" s="130"/>
      <c r="S435" s="130"/>
      <c r="T435" s="130"/>
      <c r="U435" s="130"/>
      <c r="V435" s="130"/>
      <c r="W435" s="130"/>
      <c r="X435" s="130"/>
      <c r="Y435" s="130"/>
      <c r="Z435" s="130"/>
    </row>
    <row r="436" spans="1:26" ht="15.75" customHeight="1">
      <c r="A436" s="130"/>
      <c r="B436" s="130"/>
      <c r="C436" s="130"/>
      <c r="D436" s="130"/>
      <c r="E436" s="130"/>
      <c r="F436" s="130"/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/>
      <c r="R436" s="130"/>
      <c r="S436" s="130"/>
      <c r="T436" s="130"/>
      <c r="U436" s="130"/>
      <c r="V436" s="130"/>
      <c r="W436" s="130"/>
      <c r="X436" s="130"/>
      <c r="Y436" s="130"/>
      <c r="Z436" s="130"/>
    </row>
    <row r="437" spans="1:26" ht="15.75" customHeight="1">
      <c r="A437" s="130"/>
      <c r="B437" s="130"/>
      <c r="C437" s="130"/>
      <c r="D437" s="130"/>
      <c r="E437" s="130"/>
      <c r="F437" s="130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/>
      <c r="R437" s="130"/>
      <c r="S437" s="130"/>
      <c r="T437" s="130"/>
      <c r="U437" s="130"/>
      <c r="V437" s="130"/>
      <c r="W437" s="130"/>
      <c r="X437" s="130"/>
      <c r="Y437" s="130"/>
      <c r="Z437" s="130"/>
    </row>
    <row r="438" spans="1:26" ht="15.75" customHeight="1">
      <c r="A438" s="130"/>
      <c r="B438" s="130"/>
      <c r="C438" s="130"/>
      <c r="D438" s="130"/>
      <c r="E438" s="130"/>
      <c r="F438" s="130"/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  <c r="Q438" s="130"/>
      <c r="R438" s="130"/>
      <c r="S438" s="130"/>
      <c r="T438" s="130"/>
      <c r="U438" s="130"/>
      <c r="V438" s="130"/>
      <c r="W438" s="130"/>
      <c r="X438" s="130"/>
      <c r="Y438" s="130"/>
      <c r="Z438" s="130"/>
    </row>
    <row r="439" spans="1:26" ht="15.75" customHeight="1">
      <c r="A439" s="130"/>
      <c r="B439" s="130"/>
      <c r="C439" s="130"/>
      <c r="D439" s="130"/>
      <c r="E439" s="130"/>
      <c r="F439" s="130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/>
      <c r="R439" s="130"/>
      <c r="S439" s="130"/>
      <c r="T439" s="130"/>
      <c r="U439" s="130"/>
      <c r="V439" s="130"/>
      <c r="W439" s="130"/>
      <c r="X439" s="130"/>
      <c r="Y439" s="130"/>
      <c r="Z439" s="130"/>
    </row>
    <row r="440" spans="1:26" ht="15.75" customHeight="1">
      <c r="A440" s="130"/>
      <c r="B440" s="130"/>
      <c r="C440" s="130"/>
      <c r="D440" s="130"/>
      <c r="E440" s="130"/>
      <c r="F440" s="130"/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/>
      <c r="R440" s="130"/>
      <c r="S440" s="130"/>
      <c r="T440" s="130"/>
      <c r="U440" s="130"/>
      <c r="V440" s="130"/>
      <c r="W440" s="130"/>
      <c r="X440" s="130"/>
      <c r="Y440" s="130"/>
      <c r="Z440" s="130"/>
    </row>
    <row r="441" spans="1:26" ht="15.75" customHeight="1">
      <c r="A441" s="130"/>
      <c r="B441" s="130"/>
      <c r="C441" s="130"/>
      <c r="D441" s="130"/>
      <c r="E441" s="130"/>
      <c r="F441" s="130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/>
      <c r="R441" s="130"/>
      <c r="S441" s="130"/>
      <c r="T441" s="130"/>
      <c r="U441" s="130"/>
      <c r="V441" s="130"/>
      <c r="W441" s="130"/>
      <c r="X441" s="130"/>
      <c r="Y441" s="130"/>
      <c r="Z441" s="130"/>
    </row>
    <row r="442" spans="1:26" ht="15.75" customHeight="1">
      <c r="A442" s="130"/>
      <c r="B442" s="130"/>
      <c r="C442" s="130"/>
      <c r="D442" s="130"/>
      <c r="E442" s="130"/>
      <c r="F442" s="130"/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/>
      <c r="R442" s="130"/>
      <c r="S442" s="130"/>
      <c r="T442" s="130"/>
      <c r="U442" s="130"/>
      <c r="V442" s="130"/>
      <c r="W442" s="130"/>
      <c r="X442" s="130"/>
      <c r="Y442" s="130"/>
      <c r="Z442" s="130"/>
    </row>
    <row r="443" spans="1:26" ht="15.75" customHeight="1">
      <c r="A443" s="130"/>
      <c r="B443" s="130"/>
      <c r="C443" s="130"/>
      <c r="D443" s="130"/>
      <c r="E443" s="130"/>
      <c r="F443" s="130"/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30"/>
      <c r="R443" s="130"/>
      <c r="S443" s="130"/>
      <c r="T443" s="130"/>
      <c r="U443" s="130"/>
      <c r="V443" s="130"/>
      <c r="W443" s="130"/>
      <c r="X443" s="130"/>
      <c r="Y443" s="130"/>
      <c r="Z443" s="130"/>
    </row>
    <row r="444" spans="1:26" ht="15.75" customHeight="1">
      <c r="A444" s="130"/>
      <c r="B444" s="130"/>
      <c r="C444" s="130"/>
      <c r="D444" s="130"/>
      <c r="E444" s="130"/>
      <c r="F444" s="130"/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  <c r="Q444" s="130"/>
      <c r="R444" s="130"/>
      <c r="S444" s="130"/>
      <c r="T444" s="130"/>
      <c r="U444" s="130"/>
      <c r="V444" s="130"/>
      <c r="W444" s="130"/>
      <c r="X444" s="130"/>
      <c r="Y444" s="130"/>
      <c r="Z444" s="130"/>
    </row>
    <row r="445" spans="1:26" ht="15.75" customHeight="1">
      <c r="A445" s="130"/>
      <c r="B445" s="130"/>
      <c r="C445" s="130"/>
      <c r="D445" s="130"/>
      <c r="E445" s="130"/>
      <c r="F445" s="130"/>
      <c r="G445" s="130"/>
      <c r="H445" s="130"/>
      <c r="I445" s="130"/>
      <c r="J445" s="130"/>
      <c r="K445" s="130"/>
      <c r="L445" s="130"/>
      <c r="M445" s="130"/>
      <c r="N445" s="130"/>
      <c r="O445" s="130"/>
      <c r="P445" s="130"/>
      <c r="Q445" s="130"/>
      <c r="R445" s="130"/>
      <c r="S445" s="130"/>
      <c r="T445" s="130"/>
      <c r="U445" s="130"/>
      <c r="V445" s="130"/>
      <c r="W445" s="130"/>
      <c r="X445" s="130"/>
      <c r="Y445" s="130"/>
      <c r="Z445" s="130"/>
    </row>
    <row r="446" spans="1:26" ht="15.75" customHeight="1">
      <c r="A446" s="130"/>
      <c r="B446" s="130"/>
      <c r="C446" s="130"/>
      <c r="D446" s="130"/>
      <c r="E446" s="130"/>
      <c r="F446" s="130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/>
      <c r="R446" s="130"/>
      <c r="S446" s="130"/>
      <c r="T446" s="130"/>
      <c r="U446" s="130"/>
      <c r="V446" s="130"/>
      <c r="W446" s="130"/>
      <c r="X446" s="130"/>
      <c r="Y446" s="130"/>
      <c r="Z446" s="130"/>
    </row>
    <row r="447" spans="1:26" ht="15.75" customHeight="1">
      <c r="A447" s="130"/>
      <c r="B447" s="130"/>
      <c r="C447" s="130"/>
      <c r="D447" s="130"/>
      <c r="E447" s="130"/>
      <c r="F447" s="130"/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30"/>
      <c r="R447" s="130"/>
      <c r="S447" s="130"/>
      <c r="T447" s="130"/>
      <c r="U447" s="130"/>
      <c r="V447" s="130"/>
      <c r="W447" s="130"/>
      <c r="X447" s="130"/>
      <c r="Y447" s="130"/>
      <c r="Z447" s="130"/>
    </row>
    <row r="448" spans="1:26" ht="15.75" customHeight="1">
      <c r="A448" s="130"/>
      <c r="B448" s="130"/>
      <c r="C448" s="130"/>
      <c r="D448" s="130"/>
      <c r="E448" s="130"/>
      <c r="F448" s="130"/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  <c r="Q448" s="130"/>
      <c r="R448" s="130"/>
      <c r="S448" s="130"/>
      <c r="T448" s="130"/>
      <c r="U448" s="130"/>
      <c r="V448" s="130"/>
      <c r="W448" s="130"/>
      <c r="X448" s="130"/>
      <c r="Y448" s="130"/>
      <c r="Z448" s="130"/>
    </row>
    <row r="449" spans="1:26" ht="15.75" customHeight="1">
      <c r="A449" s="130"/>
      <c r="B449" s="130"/>
      <c r="C449" s="130"/>
      <c r="D449" s="130"/>
      <c r="E449" s="130"/>
      <c r="F449" s="130"/>
      <c r="G449" s="130"/>
      <c r="H449" s="130"/>
      <c r="I449" s="130"/>
      <c r="J449" s="130"/>
      <c r="K449" s="130"/>
      <c r="L449" s="130"/>
      <c r="M449" s="130"/>
      <c r="N449" s="130"/>
      <c r="O449" s="130"/>
      <c r="P449" s="130"/>
      <c r="Q449" s="130"/>
      <c r="R449" s="130"/>
      <c r="S449" s="130"/>
      <c r="T449" s="130"/>
      <c r="U449" s="130"/>
      <c r="V449" s="130"/>
      <c r="W449" s="130"/>
      <c r="X449" s="130"/>
      <c r="Y449" s="130"/>
      <c r="Z449" s="130"/>
    </row>
    <row r="450" spans="1:26" ht="15.75" customHeight="1">
      <c r="A450" s="130"/>
      <c r="B450" s="130"/>
      <c r="C450" s="130"/>
      <c r="D450" s="130"/>
      <c r="E450" s="130"/>
      <c r="F450" s="130"/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30"/>
      <c r="R450" s="130"/>
      <c r="S450" s="130"/>
      <c r="T450" s="130"/>
      <c r="U450" s="130"/>
      <c r="V450" s="130"/>
      <c r="W450" s="130"/>
      <c r="X450" s="130"/>
      <c r="Y450" s="130"/>
      <c r="Z450" s="130"/>
    </row>
    <row r="451" spans="1:26" ht="15.75" customHeight="1">
      <c r="A451" s="130"/>
      <c r="B451" s="130"/>
      <c r="C451" s="130"/>
      <c r="D451" s="130"/>
      <c r="E451" s="130"/>
      <c r="F451" s="130"/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  <c r="Q451" s="130"/>
      <c r="R451" s="130"/>
      <c r="S451" s="130"/>
      <c r="T451" s="130"/>
      <c r="U451" s="130"/>
      <c r="V451" s="130"/>
      <c r="W451" s="130"/>
      <c r="X451" s="130"/>
      <c r="Y451" s="130"/>
      <c r="Z451" s="130"/>
    </row>
    <row r="452" spans="1:26" ht="15.75" customHeight="1">
      <c r="A452" s="130"/>
      <c r="B452" s="130"/>
      <c r="C452" s="130"/>
      <c r="D452" s="130"/>
      <c r="E452" s="130"/>
      <c r="F452" s="130"/>
      <c r="G452" s="130"/>
      <c r="H452" s="130"/>
      <c r="I452" s="130"/>
      <c r="J452" s="130"/>
      <c r="K452" s="130"/>
      <c r="L452" s="130"/>
      <c r="M452" s="130"/>
      <c r="N452" s="130"/>
      <c r="O452" s="130"/>
      <c r="P452" s="130"/>
      <c r="Q452" s="130"/>
      <c r="R452" s="130"/>
      <c r="S452" s="130"/>
      <c r="T452" s="130"/>
      <c r="U452" s="130"/>
      <c r="V452" s="130"/>
      <c r="W452" s="130"/>
      <c r="X452" s="130"/>
      <c r="Y452" s="130"/>
      <c r="Z452" s="130"/>
    </row>
    <row r="453" spans="1:26" ht="15.75" customHeight="1">
      <c r="A453" s="130"/>
      <c r="B453" s="130"/>
      <c r="C453" s="130"/>
      <c r="D453" s="130"/>
      <c r="E453" s="130"/>
      <c r="F453" s="130"/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  <c r="Q453" s="130"/>
      <c r="R453" s="130"/>
      <c r="S453" s="130"/>
      <c r="T453" s="130"/>
      <c r="U453" s="130"/>
      <c r="V453" s="130"/>
      <c r="W453" s="130"/>
      <c r="X453" s="130"/>
      <c r="Y453" s="130"/>
      <c r="Z453" s="130"/>
    </row>
    <row r="454" spans="1:26" ht="15.75" customHeight="1">
      <c r="A454" s="130"/>
      <c r="B454" s="130"/>
      <c r="C454" s="130"/>
      <c r="D454" s="130"/>
      <c r="E454" s="130"/>
      <c r="F454" s="130"/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30"/>
      <c r="R454" s="130"/>
      <c r="S454" s="130"/>
      <c r="T454" s="130"/>
      <c r="U454" s="130"/>
      <c r="V454" s="130"/>
      <c r="W454" s="130"/>
      <c r="X454" s="130"/>
      <c r="Y454" s="130"/>
      <c r="Z454" s="130"/>
    </row>
    <row r="455" spans="1:26" ht="15.75" customHeight="1">
      <c r="A455" s="130"/>
      <c r="B455" s="130"/>
      <c r="C455" s="130"/>
      <c r="D455" s="130"/>
      <c r="E455" s="130"/>
      <c r="F455" s="130"/>
      <c r="G455" s="130"/>
      <c r="H455" s="130"/>
      <c r="I455" s="130"/>
      <c r="J455" s="130"/>
      <c r="K455" s="130"/>
      <c r="L455" s="130"/>
      <c r="M455" s="130"/>
      <c r="N455" s="130"/>
      <c r="O455" s="130"/>
      <c r="P455" s="130"/>
      <c r="Q455" s="130"/>
      <c r="R455" s="130"/>
      <c r="S455" s="130"/>
      <c r="T455" s="130"/>
      <c r="U455" s="130"/>
      <c r="V455" s="130"/>
      <c r="W455" s="130"/>
      <c r="X455" s="130"/>
      <c r="Y455" s="130"/>
      <c r="Z455" s="130"/>
    </row>
    <row r="456" spans="1:26" ht="15.75" customHeight="1">
      <c r="A456" s="130"/>
      <c r="B456" s="130"/>
      <c r="C456" s="130"/>
      <c r="D456" s="130"/>
      <c r="E456" s="130"/>
      <c r="F456" s="130"/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30"/>
      <c r="R456" s="130"/>
      <c r="S456" s="130"/>
      <c r="T456" s="130"/>
      <c r="U456" s="130"/>
      <c r="V456" s="130"/>
      <c r="W456" s="130"/>
      <c r="X456" s="130"/>
      <c r="Y456" s="130"/>
      <c r="Z456" s="130"/>
    </row>
    <row r="457" spans="1:26" ht="15.75" customHeight="1">
      <c r="A457" s="130"/>
      <c r="B457" s="130"/>
      <c r="C457" s="130"/>
      <c r="D457" s="130"/>
      <c r="E457" s="130"/>
      <c r="F457" s="130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  <c r="R457" s="130"/>
      <c r="S457" s="130"/>
      <c r="T457" s="130"/>
      <c r="U457" s="130"/>
      <c r="V457" s="130"/>
      <c r="W457" s="130"/>
      <c r="X457" s="130"/>
      <c r="Y457" s="130"/>
      <c r="Z457" s="130"/>
    </row>
    <row r="458" spans="1:26" ht="15.75" customHeight="1">
      <c r="A458" s="130"/>
      <c r="B458" s="130"/>
      <c r="C458" s="130"/>
      <c r="D458" s="130"/>
      <c r="E458" s="130"/>
      <c r="F458" s="130"/>
      <c r="G458" s="130"/>
      <c r="H458" s="130"/>
      <c r="I458" s="130"/>
      <c r="J458" s="130"/>
      <c r="K458" s="130"/>
      <c r="L458" s="130"/>
      <c r="M458" s="130"/>
      <c r="N458" s="130"/>
      <c r="O458" s="130"/>
      <c r="P458" s="130"/>
      <c r="Q458" s="130"/>
      <c r="R458" s="130"/>
      <c r="S458" s="130"/>
      <c r="T458" s="130"/>
      <c r="U458" s="130"/>
      <c r="V458" s="130"/>
      <c r="W458" s="130"/>
      <c r="X458" s="130"/>
      <c r="Y458" s="130"/>
      <c r="Z458" s="130"/>
    </row>
    <row r="459" spans="1:26" ht="15.75" customHeight="1">
      <c r="A459" s="130"/>
      <c r="B459" s="130"/>
      <c r="C459" s="130"/>
      <c r="D459" s="130"/>
      <c r="E459" s="130"/>
      <c r="F459" s="130"/>
      <c r="G459" s="130"/>
      <c r="H459" s="130"/>
      <c r="I459" s="130"/>
      <c r="J459" s="130"/>
      <c r="K459" s="130"/>
      <c r="L459" s="130"/>
      <c r="M459" s="130"/>
      <c r="N459" s="130"/>
      <c r="O459" s="130"/>
      <c r="P459" s="130"/>
      <c r="Q459" s="130"/>
      <c r="R459" s="130"/>
      <c r="S459" s="130"/>
      <c r="T459" s="130"/>
      <c r="U459" s="130"/>
      <c r="V459" s="130"/>
      <c r="W459" s="130"/>
      <c r="X459" s="130"/>
      <c r="Y459" s="130"/>
      <c r="Z459" s="130"/>
    </row>
    <row r="460" spans="1:26" ht="15.75" customHeight="1">
      <c r="A460" s="130"/>
      <c r="B460" s="130"/>
      <c r="C460" s="130"/>
      <c r="D460" s="130"/>
      <c r="E460" s="130"/>
      <c r="F460" s="130"/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/>
      <c r="R460" s="130"/>
      <c r="S460" s="130"/>
      <c r="T460" s="130"/>
      <c r="U460" s="130"/>
      <c r="V460" s="130"/>
      <c r="W460" s="130"/>
      <c r="X460" s="130"/>
      <c r="Y460" s="130"/>
      <c r="Z460" s="130"/>
    </row>
    <row r="461" spans="1:26" ht="15.75" customHeight="1">
      <c r="A461" s="130"/>
      <c r="B461" s="130"/>
      <c r="C461" s="130"/>
      <c r="D461" s="130"/>
      <c r="E461" s="130"/>
      <c r="F461" s="130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130"/>
      <c r="W461" s="130"/>
      <c r="X461" s="130"/>
      <c r="Y461" s="130"/>
      <c r="Z461" s="130"/>
    </row>
    <row r="462" spans="1:26" ht="15.75" customHeight="1">
      <c r="A462" s="130"/>
      <c r="B462" s="130"/>
      <c r="C462" s="130"/>
      <c r="D462" s="130"/>
      <c r="E462" s="130"/>
      <c r="F462" s="130"/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  <c r="Q462" s="130"/>
      <c r="R462" s="130"/>
      <c r="S462" s="130"/>
      <c r="T462" s="130"/>
      <c r="U462" s="130"/>
      <c r="V462" s="130"/>
      <c r="W462" s="130"/>
      <c r="X462" s="130"/>
      <c r="Y462" s="130"/>
      <c r="Z462" s="130"/>
    </row>
    <row r="463" spans="1:26" ht="15.75" customHeight="1">
      <c r="A463" s="130"/>
      <c r="B463" s="130"/>
      <c r="C463" s="130"/>
      <c r="D463" s="130"/>
      <c r="E463" s="130"/>
      <c r="F463" s="130"/>
      <c r="G463" s="130"/>
      <c r="H463" s="130"/>
      <c r="I463" s="130"/>
      <c r="J463" s="130"/>
      <c r="K463" s="130"/>
      <c r="L463" s="130"/>
      <c r="M463" s="130"/>
      <c r="N463" s="130"/>
      <c r="O463" s="130"/>
      <c r="P463" s="130"/>
      <c r="Q463" s="130"/>
      <c r="R463" s="130"/>
      <c r="S463" s="130"/>
      <c r="T463" s="130"/>
      <c r="U463" s="130"/>
      <c r="V463" s="130"/>
      <c r="W463" s="130"/>
      <c r="X463" s="130"/>
      <c r="Y463" s="130"/>
      <c r="Z463" s="130"/>
    </row>
    <row r="464" spans="1:26" ht="15.75" customHeight="1">
      <c r="A464" s="130"/>
      <c r="B464" s="130"/>
      <c r="C464" s="130"/>
      <c r="D464" s="130"/>
      <c r="E464" s="130"/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  <c r="R464" s="130"/>
      <c r="S464" s="130"/>
      <c r="T464" s="130"/>
      <c r="U464" s="130"/>
      <c r="V464" s="130"/>
      <c r="W464" s="130"/>
      <c r="X464" s="130"/>
      <c r="Y464" s="130"/>
      <c r="Z464" s="130"/>
    </row>
    <row r="465" spans="1:26" ht="15.75" customHeight="1">
      <c r="A465" s="130"/>
      <c r="B465" s="130"/>
      <c r="C465" s="130"/>
      <c r="D465" s="130"/>
      <c r="E465" s="130"/>
      <c r="F465" s="130"/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/>
      <c r="R465" s="130"/>
      <c r="S465" s="130"/>
      <c r="T465" s="130"/>
      <c r="U465" s="130"/>
      <c r="V465" s="130"/>
      <c r="W465" s="130"/>
      <c r="X465" s="130"/>
      <c r="Y465" s="130"/>
      <c r="Z465" s="130"/>
    </row>
    <row r="466" spans="1:26" ht="15.75" customHeight="1">
      <c r="A466" s="130"/>
      <c r="B466" s="130"/>
      <c r="C466" s="130"/>
      <c r="D466" s="130"/>
      <c r="E466" s="130"/>
      <c r="F466" s="130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30"/>
      <c r="R466" s="130"/>
      <c r="S466" s="130"/>
      <c r="T466" s="130"/>
      <c r="U466" s="130"/>
      <c r="V466" s="130"/>
      <c r="W466" s="130"/>
      <c r="X466" s="130"/>
      <c r="Y466" s="130"/>
      <c r="Z466" s="130"/>
    </row>
    <row r="467" spans="1:26" ht="15.75" customHeight="1">
      <c r="A467" s="130"/>
      <c r="B467" s="130"/>
      <c r="C467" s="130"/>
      <c r="D467" s="130"/>
      <c r="E467" s="130"/>
      <c r="F467" s="130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/>
      <c r="R467" s="130"/>
      <c r="S467" s="130"/>
      <c r="T467" s="130"/>
      <c r="U467" s="130"/>
      <c r="V467" s="130"/>
      <c r="W467" s="130"/>
      <c r="X467" s="130"/>
      <c r="Y467" s="130"/>
      <c r="Z467" s="130"/>
    </row>
    <row r="468" spans="1:26" ht="15.75" customHeight="1">
      <c r="A468" s="130"/>
      <c r="B468" s="130"/>
      <c r="C468" s="130"/>
      <c r="D468" s="130"/>
      <c r="E468" s="130"/>
      <c r="F468" s="130"/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  <c r="Q468" s="130"/>
      <c r="R468" s="130"/>
      <c r="S468" s="130"/>
      <c r="T468" s="130"/>
      <c r="U468" s="130"/>
      <c r="V468" s="130"/>
      <c r="W468" s="130"/>
      <c r="X468" s="130"/>
      <c r="Y468" s="130"/>
      <c r="Z468" s="130"/>
    </row>
    <row r="469" spans="1:26" ht="15.75" customHeight="1">
      <c r="A469" s="130"/>
      <c r="B469" s="130"/>
      <c r="C469" s="130"/>
      <c r="D469" s="130"/>
      <c r="E469" s="130"/>
      <c r="F469" s="130"/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/>
      <c r="R469" s="130"/>
      <c r="S469" s="130"/>
      <c r="T469" s="130"/>
      <c r="U469" s="130"/>
      <c r="V469" s="130"/>
      <c r="W469" s="130"/>
      <c r="X469" s="130"/>
      <c r="Y469" s="130"/>
      <c r="Z469" s="130"/>
    </row>
    <row r="470" spans="1:26" ht="15.75" customHeight="1">
      <c r="A470" s="130"/>
      <c r="B470" s="130"/>
      <c r="C470" s="130"/>
      <c r="D470" s="130"/>
      <c r="E470" s="130"/>
      <c r="F470" s="130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  <c r="R470" s="130"/>
      <c r="S470" s="130"/>
      <c r="T470" s="130"/>
      <c r="U470" s="130"/>
      <c r="V470" s="130"/>
      <c r="W470" s="130"/>
      <c r="X470" s="130"/>
      <c r="Y470" s="130"/>
      <c r="Z470" s="130"/>
    </row>
    <row r="471" spans="1:26" ht="15.75" customHeight="1">
      <c r="A471" s="130"/>
      <c r="B471" s="130"/>
      <c r="C471" s="130"/>
      <c r="D471" s="130"/>
      <c r="E471" s="130"/>
      <c r="F471" s="130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0"/>
      <c r="Y471" s="130"/>
      <c r="Z471" s="130"/>
    </row>
    <row r="472" spans="1:26" ht="15.75" customHeight="1">
      <c r="A472" s="130"/>
      <c r="B472" s="130"/>
      <c r="C472" s="130"/>
      <c r="D472" s="130"/>
      <c r="E472" s="130"/>
      <c r="F472" s="130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  <c r="R472" s="130"/>
      <c r="S472" s="130"/>
      <c r="T472" s="130"/>
      <c r="U472" s="130"/>
      <c r="V472" s="130"/>
      <c r="W472" s="130"/>
      <c r="X472" s="130"/>
      <c r="Y472" s="130"/>
      <c r="Z472" s="130"/>
    </row>
    <row r="473" spans="1:26" ht="15.75" customHeight="1">
      <c r="A473" s="130"/>
      <c r="B473" s="130"/>
      <c r="C473" s="130"/>
      <c r="D473" s="130"/>
      <c r="E473" s="130"/>
      <c r="F473" s="130"/>
      <c r="G473" s="130"/>
      <c r="H473" s="130"/>
      <c r="I473" s="130"/>
      <c r="J473" s="130"/>
      <c r="K473" s="130"/>
      <c r="L473" s="130"/>
      <c r="M473" s="130"/>
      <c r="N473" s="130"/>
      <c r="O473" s="130"/>
      <c r="P473" s="130"/>
      <c r="Q473" s="130"/>
      <c r="R473" s="130"/>
      <c r="S473" s="130"/>
      <c r="T473" s="130"/>
      <c r="U473" s="130"/>
      <c r="V473" s="130"/>
      <c r="W473" s="130"/>
      <c r="X473" s="130"/>
      <c r="Y473" s="130"/>
      <c r="Z473" s="130"/>
    </row>
    <row r="474" spans="1:26" ht="15.75" customHeight="1">
      <c r="A474" s="130"/>
      <c r="B474" s="130"/>
      <c r="C474" s="130"/>
      <c r="D474" s="130"/>
      <c r="E474" s="130"/>
      <c r="F474" s="130"/>
      <c r="G474" s="130"/>
      <c r="H474" s="130"/>
      <c r="I474" s="130"/>
      <c r="J474" s="130"/>
      <c r="K474" s="130"/>
      <c r="L474" s="130"/>
      <c r="M474" s="130"/>
      <c r="N474" s="130"/>
      <c r="O474" s="130"/>
      <c r="P474" s="130"/>
      <c r="Q474" s="130"/>
      <c r="R474" s="130"/>
      <c r="S474" s="130"/>
      <c r="T474" s="130"/>
      <c r="U474" s="130"/>
      <c r="V474" s="130"/>
      <c r="W474" s="130"/>
      <c r="X474" s="130"/>
      <c r="Y474" s="130"/>
      <c r="Z474" s="130"/>
    </row>
    <row r="475" spans="1:26" ht="15.75" customHeight="1">
      <c r="A475" s="130"/>
      <c r="B475" s="130"/>
      <c r="C475" s="130"/>
      <c r="D475" s="130"/>
      <c r="E475" s="130"/>
      <c r="F475" s="130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30"/>
      <c r="R475" s="130"/>
      <c r="S475" s="130"/>
      <c r="T475" s="130"/>
      <c r="U475" s="130"/>
      <c r="V475" s="130"/>
      <c r="W475" s="130"/>
      <c r="X475" s="130"/>
      <c r="Y475" s="130"/>
      <c r="Z475" s="130"/>
    </row>
    <row r="476" spans="1:26" ht="15.75" customHeight="1">
      <c r="A476" s="130"/>
      <c r="B476" s="130"/>
      <c r="C476" s="130"/>
      <c r="D476" s="130"/>
      <c r="E476" s="130"/>
      <c r="F476" s="130"/>
      <c r="G476" s="130"/>
      <c r="H476" s="130"/>
      <c r="I476" s="130"/>
      <c r="J476" s="130"/>
      <c r="K476" s="130"/>
      <c r="L476" s="130"/>
      <c r="M476" s="130"/>
      <c r="N476" s="130"/>
      <c r="O476" s="130"/>
      <c r="P476" s="130"/>
      <c r="Q476" s="130"/>
      <c r="R476" s="130"/>
      <c r="S476" s="130"/>
      <c r="T476" s="130"/>
      <c r="U476" s="130"/>
      <c r="V476" s="130"/>
      <c r="W476" s="130"/>
      <c r="X476" s="130"/>
      <c r="Y476" s="130"/>
      <c r="Z476" s="130"/>
    </row>
    <row r="477" spans="1:26" ht="15.75" customHeight="1">
      <c r="A477" s="130"/>
      <c r="B477" s="130"/>
      <c r="C477" s="130"/>
      <c r="D477" s="130"/>
      <c r="E477" s="130"/>
      <c r="F477" s="130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  <c r="R477" s="130"/>
      <c r="S477" s="130"/>
      <c r="T477" s="130"/>
      <c r="U477" s="130"/>
      <c r="V477" s="130"/>
      <c r="W477" s="130"/>
      <c r="X477" s="130"/>
      <c r="Y477" s="130"/>
      <c r="Z477" s="130"/>
    </row>
    <row r="478" spans="1:26" ht="15.75" customHeight="1">
      <c r="A478" s="130"/>
      <c r="B478" s="130"/>
      <c r="C478" s="130"/>
      <c r="D478" s="130"/>
      <c r="E478" s="130"/>
      <c r="F478" s="130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30"/>
      <c r="R478" s="130"/>
      <c r="S478" s="130"/>
      <c r="T478" s="130"/>
      <c r="U478" s="130"/>
      <c r="V478" s="130"/>
      <c r="W478" s="130"/>
      <c r="X478" s="130"/>
      <c r="Y478" s="130"/>
      <c r="Z478" s="130"/>
    </row>
    <row r="479" spans="1:26" ht="15.75" customHeight="1">
      <c r="A479" s="130"/>
      <c r="B479" s="130"/>
      <c r="C479" s="130"/>
      <c r="D479" s="130"/>
      <c r="E479" s="130"/>
      <c r="F479" s="130"/>
      <c r="G479" s="130"/>
      <c r="H479" s="130"/>
      <c r="I479" s="130"/>
      <c r="J479" s="130"/>
      <c r="K479" s="130"/>
      <c r="L479" s="130"/>
      <c r="M479" s="130"/>
      <c r="N479" s="130"/>
      <c r="O479" s="130"/>
      <c r="P479" s="130"/>
      <c r="Q479" s="130"/>
      <c r="R479" s="130"/>
      <c r="S479" s="130"/>
      <c r="T479" s="130"/>
      <c r="U479" s="130"/>
      <c r="V479" s="130"/>
      <c r="W479" s="130"/>
      <c r="X479" s="130"/>
      <c r="Y479" s="130"/>
      <c r="Z479" s="130"/>
    </row>
    <row r="480" spans="1:26" ht="15.75" customHeight="1">
      <c r="A480" s="130"/>
      <c r="B480" s="130"/>
      <c r="C480" s="130"/>
      <c r="D480" s="130"/>
      <c r="E480" s="130"/>
      <c r="F480" s="130"/>
      <c r="G480" s="130"/>
      <c r="H480" s="130"/>
      <c r="I480" s="130"/>
      <c r="J480" s="130"/>
      <c r="K480" s="130"/>
      <c r="L480" s="130"/>
      <c r="M480" s="130"/>
      <c r="N480" s="130"/>
      <c r="O480" s="130"/>
      <c r="P480" s="130"/>
      <c r="Q480" s="130"/>
      <c r="R480" s="130"/>
      <c r="S480" s="130"/>
      <c r="T480" s="130"/>
      <c r="U480" s="130"/>
      <c r="V480" s="130"/>
      <c r="W480" s="130"/>
      <c r="X480" s="130"/>
      <c r="Y480" s="130"/>
      <c r="Z480" s="130"/>
    </row>
    <row r="481" spans="1:26" ht="15.75" customHeight="1">
      <c r="A481" s="130"/>
      <c r="B481" s="130"/>
      <c r="C481" s="130"/>
      <c r="D481" s="130"/>
      <c r="E481" s="130"/>
      <c r="F481" s="130"/>
      <c r="G481" s="130"/>
      <c r="H481" s="130"/>
      <c r="I481" s="130"/>
      <c r="J481" s="130"/>
      <c r="K481" s="130"/>
      <c r="L481" s="130"/>
      <c r="M481" s="130"/>
      <c r="N481" s="130"/>
      <c r="O481" s="130"/>
      <c r="P481" s="130"/>
      <c r="Q481" s="130"/>
      <c r="R481" s="130"/>
      <c r="S481" s="130"/>
      <c r="T481" s="130"/>
      <c r="U481" s="130"/>
      <c r="V481" s="130"/>
      <c r="W481" s="130"/>
      <c r="X481" s="130"/>
      <c r="Y481" s="130"/>
      <c r="Z481" s="130"/>
    </row>
    <row r="482" spans="1:26" ht="15.75" customHeight="1">
      <c r="A482" s="130"/>
      <c r="B482" s="130"/>
      <c r="C482" s="130"/>
      <c r="D482" s="130"/>
      <c r="E482" s="130"/>
      <c r="F482" s="130"/>
      <c r="G482" s="130"/>
      <c r="H482" s="130"/>
      <c r="I482" s="130"/>
      <c r="J482" s="130"/>
      <c r="K482" s="130"/>
      <c r="L482" s="130"/>
      <c r="M482" s="130"/>
      <c r="N482" s="130"/>
      <c r="O482" s="130"/>
      <c r="P482" s="130"/>
      <c r="Q482" s="130"/>
      <c r="R482" s="130"/>
      <c r="S482" s="130"/>
      <c r="T482" s="130"/>
      <c r="U482" s="130"/>
      <c r="V482" s="130"/>
      <c r="W482" s="130"/>
      <c r="X482" s="130"/>
      <c r="Y482" s="130"/>
      <c r="Z482" s="130"/>
    </row>
    <row r="483" spans="1:26" ht="15.75" customHeight="1">
      <c r="A483" s="130"/>
      <c r="B483" s="130"/>
      <c r="C483" s="130"/>
      <c r="D483" s="130"/>
      <c r="E483" s="130"/>
      <c r="F483" s="130"/>
      <c r="G483" s="130"/>
      <c r="H483" s="130"/>
      <c r="I483" s="130"/>
      <c r="J483" s="130"/>
      <c r="K483" s="130"/>
      <c r="L483" s="130"/>
      <c r="M483" s="130"/>
      <c r="N483" s="130"/>
      <c r="O483" s="130"/>
      <c r="P483" s="130"/>
      <c r="Q483" s="130"/>
      <c r="R483" s="130"/>
      <c r="S483" s="130"/>
      <c r="T483" s="130"/>
      <c r="U483" s="130"/>
      <c r="V483" s="130"/>
      <c r="W483" s="130"/>
      <c r="X483" s="130"/>
      <c r="Y483" s="130"/>
      <c r="Z483" s="130"/>
    </row>
    <row r="484" spans="1:26" ht="15.75" customHeight="1">
      <c r="A484" s="130"/>
      <c r="B484" s="130"/>
      <c r="C484" s="130"/>
      <c r="D484" s="130"/>
      <c r="E484" s="130"/>
      <c r="F484" s="130"/>
      <c r="G484" s="130"/>
      <c r="H484" s="130"/>
      <c r="I484" s="130"/>
      <c r="J484" s="130"/>
      <c r="K484" s="130"/>
      <c r="L484" s="130"/>
      <c r="M484" s="130"/>
      <c r="N484" s="130"/>
      <c r="O484" s="130"/>
      <c r="P484" s="130"/>
      <c r="Q484" s="130"/>
      <c r="R484" s="130"/>
      <c r="S484" s="130"/>
      <c r="T484" s="130"/>
      <c r="U484" s="130"/>
      <c r="V484" s="130"/>
      <c r="W484" s="130"/>
      <c r="X484" s="130"/>
      <c r="Y484" s="130"/>
      <c r="Z484" s="130"/>
    </row>
    <row r="485" spans="1:26" ht="15.75" customHeight="1">
      <c r="A485" s="130"/>
      <c r="B485" s="130"/>
      <c r="C485" s="130"/>
      <c r="D485" s="130"/>
      <c r="E485" s="130"/>
      <c r="F485" s="130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30"/>
      <c r="R485" s="130"/>
      <c r="S485" s="130"/>
      <c r="T485" s="130"/>
      <c r="U485" s="130"/>
      <c r="V485" s="130"/>
      <c r="W485" s="130"/>
      <c r="X485" s="130"/>
      <c r="Y485" s="130"/>
      <c r="Z485" s="130"/>
    </row>
    <row r="486" spans="1:26" ht="15.75" customHeight="1">
      <c r="A486" s="130"/>
      <c r="B486" s="130"/>
      <c r="C486" s="130"/>
      <c r="D486" s="130"/>
      <c r="E486" s="130"/>
      <c r="F486" s="130"/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30"/>
      <c r="R486" s="130"/>
      <c r="S486" s="130"/>
      <c r="T486" s="130"/>
      <c r="U486" s="130"/>
      <c r="V486" s="130"/>
      <c r="W486" s="130"/>
      <c r="X486" s="130"/>
      <c r="Y486" s="130"/>
      <c r="Z486" s="130"/>
    </row>
    <row r="487" spans="1:26" ht="15.75" customHeight="1">
      <c r="A487" s="130"/>
      <c r="B487" s="130"/>
      <c r="C487" s="130"/>
      <c r="D487" s="130"/>
      <c r="E487" s="130"/>
      <c r="F487" s="130"/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30"/>
      <c r="R487" s="130"/>
      <c r="S487" s="130"/>
      <c r="T487" s="130"/>
      <c r="U487" s="130"/>
      <c r="V487" s="130"/>
      <c r="W487" s="130"/>
      <c r="X487" s="130"/>
      <c r="Y487" s="130"/>
      <c r="Z487" s="130"/>
    </row>
    <row r="488" spans="1:26" ht="15.75" customHeight="1">
      <c r="A488" s="130"/>
      <c r="B488" s="130"/>
      <c r="C488" s="130"/>
      <c r="D488" s="130"/>
      <c r="E488" s="130"/>
      <c r="F488" s="130"/>
      <c r="G488" s="130"/>
      <c r="H488" s="130"/>
      <c r="I488" s="130"/>
      <c r="J488" s="130"/>
      <c r="K488" s="130"/>
      <c r="L488" s="130"/>
      <c r="M488" s="130"/>
      <c r="N488" s="130"/>
      <c r="O488" s="130"/>
      <c r="P488" s="130"/>
      <c r="Q488" s="130"/>
      <c r="R488" s="130"/>
      <c r="S488" s="130"/>
      <c r="T488" s="130"/>
      <c r="U488" s="130"/>
      <c r="V488" s="130"/>
      <c r="W488" s="130"/>
      <c r="X488" s="130"/>
      <c r="Y488" s="130"/>
      <c r="Z488" s="130"/>
    </row>
    <row r="489" spans="1:26" ht="15.75" customHeight="1">
      <c r="A489" s="130"/>
      <c r="B489" s="130"/>
      <c r="C489" s="130"/>
      <c r="D489" s="130"/>
      <c r="E489" s="130"/>
      <c r="F489" s="130"/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</row>
    <row r="490" spans="1:26" ht="15.75" customHeight="1">
      <c r="A490" s="130"/>
      <c r="B490" s="130"/>
      <c r="C490" s="130"/>
      <c r="D490" s="130"/>
      <c r="E490" s="130"/>
      <c r="F490" s="130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</row>
    <row r="491" spans="1:26" ht="15.75" customHeight="1">
      <c r="A491" s="130"/>
      <c r="B491" s="130"/>
      <c r="C491" s="130"/>
      <c r="D491" s="130"/>
      <c r="E491" s="130"/>
      <c r="F491" s="130"/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30"/>
      <c r="R491" s="130"/>
      <c r="S491" s="130"/>
      <c r="T491" s="130"/>
      <c r="U491" s="130"/>
      <c r="V491" s="130"/>
      <c r="W491" s="130"/>
      <c r="X491" s="130"/>
      <c r="Y491" s="130"/>
      <c r="Z491" s="130"/>
    </row>
    <row r="492" spans="1:26" ht="15.75" customHeight="1">
      <c r="A492" s="130"/>
      <c r="B492" s="130"/>
      <c r="C492" s="130"/>
      <c r="D492" s="130"/>
      <c r="E492" s="130"/>
      <c r="F492" s="130"/>
      <c r="G492" s="130"/>
      <c r="H492" s="130"/>
      <c r="I492" s="130"/>
      <c r="J492" s="130"/>
      <c r="K492" s="130"/>
      <c r="L492" s="130"/>
      <c r="M492" s="130"/>
      <c r="N492" s="130"/>
      <c r="O492" s="130"/>
      <c r="P492" s="130"/>
      <c r="Q492" s="130"/>
      <c r="R492" s="130"/>
      <c r="S492" s="130"/>
      <c r="T492" s="130"/>
      <c r="U492" s="130"/>
      <c r="V492" s="130"/>
      <c r="W492" s="130"/>
      <c r="X492" s="130"/>
      <c r="Y492" s="130"/>
      <c r="Z492" s="130"/>
    </row>
    <row r="493" spans="1:26" ht="15.75" customHeight="1">
      <c r="A493" s="130"/>
      <c r="B493" s="130"/>
      <c r="C493" s="130"/>
      <c r="D493" s="130"/>
      <c r="E493" s="130"/>
      <c r="F493" s="130"/>
      <c r="G493" s="130"/>
      <c r="H493" s="130"/>
      <c r="I493" s="130"/>
      <c r="J493" s="130"/>
      <c r="K493" s="130"/>
      <c r="L493" s="130"/>
      <c r="M493" s="130"/>
      <c r="N493" s="130"/>
      <c r="O493" s="130"/>
      <c r="P493" s="130"/>
      <c r="Q493" s="130"/>
      <c r="R493" s="130"/>
      <c r="S493" s="130"/>
      <c r="T493" s="130"/>
      <c r="U493" s="130"/>
      <c r="V493" s="130"/>
      <c r="W493" s="130"/>
      <c r="X493" s="130"/>
      <c r="Y493" s="130"/>
      <c r="Z493" s="130"/>
    </row>
    <row r="494" spans="1:26" ht="15.75" customHeight="1">
      <c r="A494" s="130"/>
      <c r="B494" s="130"/>
      <c r="C494" s="130"/>
      <c r="D494" s="130"/>
      <c r="E494" s="130"/>
      <c r="F494" s="130"/>
      <c r="G494" s="130"/>
      <c r="H494" s="130"/>
      <c r="I494" s="130"/>
      <c r="J494" s="130"/>
      <c r="K494" s="130"/>
      <c r="L494" s="130"/>
      <c r="M494" s="130"/>
      <c r="N494" s="130"/>
      <c r="O494" s="130"/>
      <c r="P494" s="130"/>
      <c r="Q494" s="130"/>
      <c r="R494" s="130"/>
      <c r="S494" s="130"/>
      <c r="T494" s="130"/>
      <c r="U494" s="130"/>
      <c r="V494" s="130"/>
      <c r="W494" s="130"/>
      <c r="X494" s="130"/>
      <c r="Y494" s="130"/>
      <c r="Z494" s="130"/>
    </row>
    <row r="495" spans="1:26" ht="15.75" customHeight="1">
      <c r="A495" s="130"/>
      <c r="B495" s="130"/>
      <c r="C495" s="130"/>
      <c r="D495" s="130"/>
      <c r="E495" s="130"/>
      <c r="F495" s="130"/>
      <c r="G495" s="130"/>
      <c r="H495" s="130"/>
      <c r="I495" s="130"/>
      <c r="J495" s="130"/>
      <c r="K495" s="130"/>
      <c r="L495" s="130"/>
      <c r="M495" s="130"/>
      <c r="N495" s="130"/>
      <c r="O495" s="130"/>
      <c r="P495" s="130"/>
      <c r="Q495" s="130"/>
      <c r="R495" s="130"/>
      <c r="S495" s="130"/>
      <c r="T495" s="130"/>
      <c r="U495" s="130"/>
      <c r="V495" s="130"/>
      <c r="W495" s="130"/>
      <c r="X495" s="130"/>
      <c r="Y495" s="130"/>
      <c r="Z495" s="130"/>
    </row>
    <row r="496" spans="1:26" ht="15.75" customHeight="1">
      <c r="A496" s="130"/>
      <c r="B496" s="130"/>
      <c r="C496" s="130"/>
      <c r="D496" s="130"/>
      <c r="E496" s="130"/>
      <c r="F496" s="130"/>
      <c r="G496" s="130"/>
      <c r="H496" s="130"/>
      <c r="I496" s="130"/>
      <c r="J496" s="130"/>
      <c r="K496" s="130"/>
      <c r="L496" s="130"/>
      <c r="M496" s="130"/>
      <c r="N496" s="130"/>
      <c r="O496" s="130"/>
      <c r="P496" s="130"/>
      <c r="Q496" s="130"/>
      <c r="R496" s="130"/>
      <c r="S496" s="130"/>
      <c r="T496" s="130"/>
      <c r="U496" s="130"/>
      <c r="V496" s="130"/>
      <c r="W496" s="130"/>
      <c r="X496" s="130"/>
      <c r="Y496" s="130"/>
      <c r="Z496" s="130"/>
    </row>
    <row r="497" spans="1:26" ht="15.75" customHeight="1">
      <c r="A497" s="130"/>
      <c r="B497" s="130"/>
      <c r="C497" s="130"/>
      <c r="D497" s="130"/>
      <c r="E497" s="130"/>
      <c r="F497" s="130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30"/>
      <c r="R497" s="130"/>
      <c r="S497" s="130"/>
      <c r="T497" s="130"/>
      <c r="U497" s="130"/>
      <c r="V497" s="130"/>
      <c r="W497" s="130"/>
      <c r="X497" s="130"/>
      <c r="Y497" s="130"/>
      <c r="Z497" s="130"/>
    </row>
    <row r="498" spans="1:26" ht="15.75" customHeight="1">
      <c r="A498" s="130"/>
      <c r="B498" s="130"/>
      <c r="C498" s="130"/>
      <c r="D498" s="130"/>
      <c r="E498" s="130"/>
      <c r="F498" s="130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30"/>
      <c r="R498" s="130"/>
      <c r="S498" s="130"/>
      <c r="T498" s="130"/>
      <c r="U498" s="130"/>
      <c r="V498" s="130"/>
      <c r="W498" s="130"/>
      <c r="X498" s="130"/>
      <c r="Y498" s="130"/>
      <c r="Z498" s="130"/>
    </row>
    <row r="499" spans="1:26" ht="15.75" customHeight="1">
      <c r="A499" s="130"/>
      <c r="B499" s="130"/>
      <c r="C499" s="130"/>
      <c r="D499" s="130"/>
      <c r="E499" s="130"/>
      <c r="F499" s="130"/>
      <c r="G499" s="130"/>
      <c r="H499" s="130"/>
      <c r="I499" s="130"/>
      <c r="J499" s="130"/>
      <c r="K499" s="130"/>
      <c r="L499" s="130"/>
      <c r="M499" s="130"/>
      <c r="N499" s="130"/>
      <c r="O499" s="130"/>
      <c r="P499" s="130"/>
      <c r="Q499" s="130"/>
      <c r="R499" s="130"/>
      <c r="S499" s="130"/>
      <c r="T499" s="130"/>
      <c r="U499" s="130"/>
      <c r="V499" s="130"/>
      <c r="W499" s="130"/>
      <c r="X499" s="130"/>
      <c r="Y499" s="130"/>
      <c r="Z499" s="130"/>
    </row>
    <row r="500" spans="1:26" ht="15.75" customHeight="1">
      <c r="A500" s="130"/>
      <c r="B500" s="130"/>
      <c r="C500" s="130"/>
      <c r="D500" s="130"/>
      <c r="E500" s="130"/>
      <c r="F500" s="130"/>
      <c r="G500" s="130"/>
      <c r="H500" s="130"/>
      <c r="I500" s="130"/>
      <c r="J500" s="130"/>
      <c r="K500" s="130"/>
      <c r="L500" s="130"/>
      <c r="M500" s="130"/>
      <c r="N500" s="130"/>
      <c r="O500" s="130"/>
      <c r="P500" s="130"/>
      <c r="Q500" s="130"/>
      <c r="R500" s="130"/>
      <c r="S500" s="130"/>
      <c r="T500" s="130"/>
      <c r="U500" s="130"/>
      <c r="V500" s="130"/>
      <c r="W500" s="130"/>
      <c r="X500" s="130"/>
      <c r="Y500" s="130"/>
      <c r="Z500" s="130"/>
    </row>
    <row r="501" spans="1:26" ht="15.75" customHeight="1">
      <c r="A501" s="130"/>
      <c r="B501" s="130"/>
      <c r="C501" s="130"/>
      <c r="D501" s="130"/>
      <c r="E501" s="130"/>
      <c r="F501" s="130"/>
      <c r="G501" s="130"/>
      <c r="H501" s="130"/>
      <c r="I501" s="130"/>
      <c r="J501" s="130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0"/>
      <c r="Y501" s="130"/>
      <c r="Z501" s="130"/>
    </row>
    <row r="502" spans="1:26" ht="15.75" customHeight="1">
      <c r="A502" s="130"/>
      <c r="B502" s="130"/>
      <c r="C502" s="130"/>
      <c r="D502" s="130"/>
      <c r="E502" s="130"/>
      <c r="F502" s="130"/>
      <c r="G502" s="130"/>
      <c r="H502" s="130"/>
      <c r="I502" s="130"/>
      <c r="J502" s="130"/>
      <c r="K502" s="130"/>
      <c r="L502" s="130"/>
      <c r="M502" s="130"/>
      <c r="N502" s="130"/>
      <c r="O502" s="130"/>
      <c r="P502" s="130"/>
      <c r="Q502" s="130"/>
      <c r="R502" s="130"/>
      <c r="S502" s="130"/>
      <c r="T502" s="130"/>
      <c r="U502" s="130"/>
      <c r="V502" s="130"/>
      <c r="W502" s="130"/>
      <c r="X502" s="130"/>
      <c r="Y502" s="130"/>
      <c r="Z502" s="130"/>
    </row>
    <row r="503" spans="1:26" ht="15.75" customHeight="1">
      <c r="A503" s="130"/>
      <c r="B503" s="130"/>
      <c r="C503" s="130"/>
      <c r="D503" s="130"/>
      <c r="E503" s="130"/>
      <c r="F503" s="130"/>
      <c r="G503" s="130"/>
      <c r="H503" s="130"/>
      <c r="I503" s="130"/>
      <c r="J503" s="130"/>
      <c r="K503" s="130"/>
      <c r="L503" s="130"/>
      <c r="M503" s="130"/>
      <c r="N503" s="130"/>
      <c r="O503" s="130"/>
      <c r="P503" s="130"/>
      <c r="Q503" s="130"/>
      <c r="R503" s="130"/>
      <c r="S503" s="130"/>
      <c r="T503" s="130"/>
      <c r="U503" s="130"/>
      <c r="V503" s="130"/>
      <c r="W503" s="130"/>
      <c r="X503" s="130"/>
      <c r="Y503" s="130"/>
      <c r="Z503" s="130"/>
    </row>
    <row r="504" spans="1:26" ht="15.75" customHeight="1">
      <c r="A504" s="130"/>
      <c r="B504" s="130"/>
      <c r="C504" s="130"/>
      <c r="D504" s="130"/>
      <c r="E504" s="130"/>
      <c r="F504" s="130"/>
      <c r="G504" s="130"/>
      <c r="H504" s="130"/>
      <c r="I504" s="130"/>
      <c r="J504" s="130"/>
      <c r="K504" s="130"/>
      <c r="L504" s="130"/>
      <c r="M504" s="130"/>
      <c r="N504" s="130"/>
      <c r="O504" s="130"/>
      <c r="P504" s="130"/>
      <c r="Q504" s="130"/>
      <c r="R504" s="130"/>
      <c r="S504" s="130"/>
      <c r="T504" s="130"/>
      <c r="U504" s="130"/>
      <c r="V504" s="130"/>
      <c r="W504" s="130"/>
      <c r="X504" s="130"/>
      <c r="Y504" s="130"/>
      <c r="Z504" s="130"/>
    </row>
    <row r="505" spans="1:26" ht="15.75" customHeight="1">
      <c r="A505" s="130"/>
      <c r="B505" s="130"/>
      <c r="C505" s="130"/>
      <c r="D505" s="130"/>
      <c r="E505" s="130"/>
      <c r="F505" s="130"/>
      <c r="G505" s="130"/>
      <c r="H505" s="130"/>
      <c r="I505" s="130"/>
      <c r="J505" s="130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</row>
    <row r="506" spans="1:26" ht="15.75" customHeight="1">
      <c r="A506" s="130"/>
      <c r="B506" s="130"/>
      <c r="C506" s="130"/>
      <c r="D506" s="130"/>
      <c r="E506" s="130"/>
      <c r="F506" s="130"/>
      <c r="G506" s="130"/>
      <c r="H506" s="130"/>
      <c r="I506" s="130"/>
      <c r="J506" s="130"/>
      <c r="K506" s="130"/>
      <c r="L506" s="130"/>
      <c r="M506" s="130"/>
      <c r="N506" s="130"/>
      <c r="O506" s="130"/>
      <c r="P506" s="130"/>
      <c r="Q506" s="130"/>
      <c r="R506" s="130"/>
      <c r="S506" s="130"/>
      <c r="T506" s="130"/>
      <c r="U506" s="130"/>
      <c r="V506" s="130"/>
      <c r="W506" s="130"/>
      <c r="X506" s="130"/>
      <c r="Y506" s="130"/>
      <c r="Z506" s="130"/>
    </row>
    <row r="507" spans="1:26" ht="15.75" customHeight="1">
      <c r="A507" s="130"/>
      <c r="B507" s="130"/>
      <c r="C507" s="130"/>
      <c r="D507" s="130"/>
      <c r="E507" s="130"/>
      <c r="F507" s="130"/>
      <c r="G507" s="130"/>
      <c r="H507" s="130"/>
      <c r="I507" s="130"/>
      <c r="J507" s="130"/>
      <c r="K507" s="130"/>
      <c r="L507" s="130"/>
      <c r="M507" s="130"/>
      <c r="N507" s="130"/>
      <c r="O507" s="130"/>
      <c r="P507" s="130"/>
      <c r="Q507" s="130"/>
      <c r="R507" s="130"/>
      <c r="S507" s="130"/>
      <c r="T507" s="130"/>
      <c r="U507" s="130"/>
      <c r="V507" s="130"/>
      <c r="W507" s="130"/>
      <c r="X507" s="130"/>
      <c r="Y507" s="130"/>
      <c r="Z507" s="130"/>
    </row>
    <row r="508" spans="1:26" ht="15.75" customHeight="1">
      <c r="A508" s="130"/>
      <c r="B508" s="130"/>
      <c r="C508" s="130"/>
      <c r="D508" s="130"/>
      <c r="E508" s="130"/>
      <c r="F508" s="130"/>
      <c r="G508" s="130"/>
      <c r="H508" s="130"/>
      <c r="I508" s="130"/>
      <c r="J508" s="130"/>
      <c r="K508" s="130"/>
      <c r="L508" s="130"/>
      <c r="M508" s="130"/>
      <c r="N508" s="130"/>
      <c r="O508" s="130"/>
      <c r="P508" s="130"/>
      <c r="Q508" s="130"/>
      <c r="R508" s="130"/>
      <c r="S508" s="130"/>
      <c r="T508" s="130"/>
      <c r="U508" s="130"/>
      <c r="V508" s="130"/>
      <c r="W508" s="130"/>
      <c r="X508" s="130"/>
      <c r="Y508" s="130"/>
      <c r="Z508" s="130"/>
    </row>
    <row r="509" spans="1:26" ht="15.75" customHeight="1">
      <c r="A509" s="130"/>
      <c r="B509" s="130"/>
      <c r="C509" s="130"/>
      <c r="D509" s="130"/>
      <c r="E509" s="130"/>
      <c r="F509" s="130"/>
      <c r="G509" s="130"/>
      <c r="H509" s="130"/>
      <c r="I509" s="130"/>
      <c r="J509" s="130"/>
      <c r="K509" s="130"/>
      <c r="L509" s="130"/>
      <c r="M509" s="130"/>
      <c r="N509" s="130"/>
      <c r="O509" s="130"/>
      <c r="P509" s="130"/>
      <c r="Q509" s="130"/>
      <c r="R509" s="130"/>
      <c r="S509" s="130"/>
      <c r="T509" s="130"/>
      <c r="U509" s="130"/>
      <c r="V509" s="130"/>
      <c r="W509" s="130"/>
      <c r="X509" s="130"/>
      <c r="Y509" s="130"/>
      <c r="Z509" s="130"/>
    </row>
    <row r="510" spans="1:26" ht="15.75" customHeight="1">
      <c r="A510" s="130"/>
      <c r="B510" s="130"/>
      <c r="C510" s="130"/>
      <c r="D510" s="130"/>
      <c r="E510" s="130"/>
      <c r="F510" s="130"/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30"/>
      <c r="R510" s="130"/>
      <c r="S510" s="130"/>
      <c r="T510" s="130"/>
      <c r="U510" s="130"/>
      <c r="V510" s="130"/>
      <c r="W510" s="130"/>
      <c r="X510" s="130"/>
      <c r="Y510" s="130"/>
      <c r="Z510" s="130"/>
    </row>
    <row r="511" spans="1:26" ht="15.75" customHeight="1">
      <c r="A511" s="130"/>
      <c r="B511" s="130"/>
      <c r="C511" s="130"/>
      <c r="D511" s="130"/>
      <c r="E511" s="130"/>
      <c r="F511" s="130"/>
      <c r="G511" s="130"/>
      <c r="H511" s="130"/>
      <c r="I511" s="130"/>
      <c r="J511" s="130"/>
      <c r="K511" s="130"/>
      <c r="L511" s="130"/>
      <c r="M511" s="130"/>
      <c r="N511" s="130"/>
      <c r="O511" s="130"/>
      <c r="P511" s="130"/>
      <c r="Q511" s="130"/>
      <c r="R511" s="130"/>
      <c r="S511" s="130"/>
      <c r="T511" s="130"/>
      <c r="U511" s="130"/>
      <c r="V511" s="130"/>
      <c r="W511" s="130"/>
      <c r="X511" s="130"/>
      <c r="Y511" s="130"/>
      <c r="Z511" s="130"/>
    </row>
    <row r="512" spans="1:26" ht="15.75" customHeight="1">
      <c r="A512" s="130"/>
      <c r="B512" s="130"/>
      <c r="C512" s="130"/>
      <c r="D512" s="130"/>
      <c r="E512" s="130"/>
      <c r="F512" s="130"/>
      <c r="G512" s="130"/>
      <c r="H512" s="130"/>
      <c r="I512" s="130"/>
      <c r="J512" s="130"/>
      <c r="K512" s="130"/>
      <c r="L512" s="130"/>
      <c r="M512" s="130"/>
      <c r="N512" s="130"/>
      <c r="O512" s="130"/>
      <c r="P512" s="130"/>
      <c r="Q512" s="130"/>
      <c r="R512" s="130"/>
      <c r="S512" s="130"/>
      <c r="T512" s="130"/>
      <c r="U512" s="130"/>
      <c r="V512" s="130"/>
      <c r="W512" s="130"/>
      <c r="X512" s="130"/>
      <c r="Y512" s="130"/>
      <c r="Z512" s="130"/>
    </row>
    <row r="513" spans="1:26" ht="15.75" customHeight="1">
      <c r="A513" s="130"/>
      <c r="B513" s="130"/>
      <c r="C513" s="130"/>
      <c r="D513" s="130"/>
      <c r="E513" s="130"/>
      <c r="F513" s="130"/>
      <c r="G513" s="130"/>
      <c r="H513" s="130"/>
      <c r="I513" s="130"/>
      <c r="J513" s="130"/>
      <c r="K513" s="130"/>
      <c r="L513" s="130"/>
      <c r="M513" s="130"/>
      <c r="N513" s="130"/>
      <c r="O513" s="130"/>
      <c r="P513" s="130"/>
      <c r="Q513" s="130"/>
      <c r="R513" s="130"/>
      <c r="S513" s="130"/>
      <c r="T513" s="130"/>
      <c r="U513" s="130"/>
      <c r="V513" s="130"/>
      <c r="W513" s="130"/>
      <c r="X513" s="130"/>
      <c r="Y513" s="130"/>
      <c r="Z513" s="130"/>
    </row>
    <row r="514" spans="1:26" ht="15.75" customHeight="1">
      <c r="A514" s="130"/>
      <c r="B514" s="130"/>
      <c r="C514" s="130"/>
      <c r="D514" s="130"/>
      <c r="E514" s="130"/>
      <c r="F514" s="130"/>
      <c r="G514" s="130"/>
      <c r="H514" s="130"/>
      <c r="I514" s="130"/>
      <c r="J514" s="130"/>
      <c r="K514" s="130"/>
      <c r="L514" s="130"/>
      <c r="M514" s="130"/>
      <c r="N514" s="130"/>
      <c r="O514" s="130"/>
      <c r="P514" s="130"/>
      <c r="Q514" s="130"/>
      <c r="R514" s="130"/>
      <c r="S514" s="130"/>
      <c r="T514" s="130"/>
      <c r="U514" s="130"/>
      <c r="V514" s="130"/>
      <c r="W514" s="130"/>
      <c r="X514" s="130"/>
      <c r="Y514" s="130"/>
      <c r="Z514" s="130"/>
    </row>
    <row r="515" spans="1:26" ht="15.75" customHeight="1">
      <c r="A515" s="130"/>
      <c r="B515" s="130"/>
      <c r="C515" s="130"/>
      <c r="D515" s="130"/>
      <c r="E515" s="130"/>
      <c r="F515" s="130"/>
      <c r="G515" s="130"/>
      <c r="H515" s="130"/>
      <c r="I515" s="130"/>
      <c r="J515" s="130"/>
      <c r="K515" s="130"/>
      <c r="L515" s="130"/>
      <c r="M515" s="130"/>
      <c r="N515" s="130"/>
      <c r="O515" s="130"/>
      <c r="P515" s="130"/>
      <c r="Q515" s="130"/>
      <c r="R515" s="130"/>
      <c r="S515" s="130"/>
      <c r="T515" s="130"/>
      <c r="U515" s="130"/>
      <c r="V515" s="130"/>
      <c r="W515" s="130"/>
      <c r="X515" s="130"/>
      <c r="Y515" s="130"/>
      <c r="Z515" s="130"/>
    </row>
    <row r="516" spans="1:26" ht="15.75" customHeight="1">
      <c r="A516" s="130"/>
      <c r="B516" s="130"/>
      <c r="C516" s="130"/>
      <c r="D516" s="130"/>
      <c r="E516" s="130"/>
      <c r="F516" s="130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30"/>
      <c r="R516" s="130"/>
      <c r="S516" s="130"/>
      <c r="T516" s="130"/>
      <c r="U516" s="130"/>
      <c r="V516" s="130"/>
      <c r="W516" s="130"/>
      <c r="X516" s="130"/>
      <c r="Y516" s="130"/>
      <c r="Z516" s="130"/>
    </row>
    <row r="517" spans="1:26" ht="15.75" customHeight="1">
      <c r="A517" s="130"/>
      <c r="B517" s="130"/>
      <c r="C517" s="130"/>
      <c r="D517" s="130"/>
      <c r="E517" s="130"/>
      <c r="F517" s="130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30"/>
      <c r="R517" s="130"/>
      <c r="S517" s="130"/>
      <c r="T517" s="130"/>
      <c r="U517" s="130"/>
      <c r="V517" s="130"/>
      <c r="W517" s="130"/>
      <c r="X517" s="130"/>
      <c r="Y517" s="130"/>
      <c r="Z517" s="130"/>
    </row>
    <row r="518" spans="1:26" ht="15.75" customHeight="1">
      <c r="A518" s="130"/>
      <c r="B518" s="130"/>
      <c r="C518" s="130"/>
      <c r="D518" s="130"/>
      <c r="E518" s="130"/>
      <c r="F518" s="130"/>
      <c r="G518" s="130"/>
      <c r="H518" s="130"/>
      <c r="I518" s="130"/>
      <c r="J518" s="130"/>
      <c r="K518" s="130"/>
      <c r="L518" s="130"/>
      <c r="M518" s="130"/>
      <c r="N518" s="130"/>
      <c r="O518" s="130"/>
      <c r="P518" s="130"/>
      <c r="Q518" s="130"/>
      <c r="R518" s="130"/>
      <c r="S518" s="130"/>
      <c r="T518" s="130"/>
      <c r="U518" s="130"/>
      <c r="V518" s="130"/>
      <c r="W518" s="130"/>
      <c r="X518" s="130"/>
      <c r="Y518" s="130"/>
      <c r="Z518" s="130"/>
    </row>
    <row r="519" spans="1:26" ht="15.75" customHeight="1">
      <c r="A519" s="130"/>
      <c r="B519" s="130"/>
      <c r="C519" s="130"/>
      <c r="D519" s="130"/>
      <c r="E519" s="130"/>
      <c r="F519" s="130"/>
      <c r="G519" s="130"/>
      <c r="H519" s="130"/>
      <c r="I519" s="130"/>
      <c r="J519" s="130"/>
      <c r="K519" s="130"/>
      <c r="L519" s="130"/>
      <c r="M519" s="130"/>
      <c r="N519" s="130"/>
      <c r="O519" s="130"/>
      <c r="P519" s="130"/>
      <c r="Q519" s="130"/>
      <c r="R519" s="130"/>
      <c r="S519" s="130"/>
      <c r="T519" s="130"/>
      <c r="U519" s="130"/>
      <c r="V519" s="130"/>
      <c r="W519" s="130"/>
      <c r="X519" s="130"/>
      <c r="Y519" s="130"/>
      <c r="Z519" s="130"/>
    </row>
    <row r="520" spans="1:26" ht="15.75" customHeight="1">
      <c r="A520" s="130"/>
      <c r="B520" s="130"/>
      <c r="C520" s="130"/>
      <c r="D520" s="130"/>
      <c r="E520" s="130"/>
      <c r="F520" s="130"/>
      <c r="G520" s="130"/>
      <c r="H520" s="130"/>
      <c r="I520" s="130"/>
      <c r="J520" s="130"/>
      <c r="K520" s="130"/>
      <c r="L520" s="130"/>
      <c r="M520" s="130"/>
      <c r="N520" s="130"/>
      <c r="O520" s="130"/>
      <c r="P520" s="130"/>
      <c r="Q520" s="130"/>
      <c r="R520" s="130"/>
      <c r="S520" s="130"/>
      <c r="T520" s="130"/>
      <c r="U520" s="130"/>
      <c r="V520" s="130"/>
      <c r="W520" s="130"/>
      <c r="X520" s="130"/>
      <c r="Y520" s="130"/>
      <c r="Z520" s="130"/>
    </row>
    <row r="521" spans="1:26" ht="15.75" customHeight="1">
      <c r="A521" s="130"/>
      <c r="B521" s="130"/>
      <c r="C521" s="130"/>
      <c r="D521" s="130"/>
      <c r="E521" s="130"/>
      <c r="F521" s="130"/>
      <c r="G521" s="130"/>
      <c r="H521" s="130"/>
      <c r="I521" s="130"/>
      <c r="J521" s="130"/>
      <c r="K521" s="130"/>
      <c r="L521" s="130"/>
      <c r="M521" s="130"/>
      <c r="N521" s="130"/>
      <c r="O521" s="130"/>
      <c r="P521" s="130"/>
      <c r="Q521" s="130"/>
      <c r="R521" s="130"/>
      <c r="S521" s="130"/>
      <c r="T521" s="130"/>
      <c r="U521" s="130"/>
      <c r="V521" s="130"/>
      <c r="W521" s="130"/>
      <c r="X521" s="130"/>
      <c r="Y521" s="130"/>
      <c r="Z521" s="130"/>
    </row>
    <row r="522" spans="1:26" ht="15.75" customHeight="1">
      <c r="A522" s="130"/>
      <c r="B522" s="130"/>
      <c r="C522" s="130"/>
      <c r="D522" s="130"/>
      <c r="E522" s="130"/>
      <c r="F522" s="130"/>
      <c r="G522" s="130"/>
      <c r="H522" s="130"/>
      <c r="I522" s="130"/>
      <c r="J522" s="130"/>
      <c r="K522" s="130"/>
      <c r="L522" s="130"/>
      <c r="M522" s="130"/>
      <c r="N522" s="130"/>
      <c r="O522" s="130"/>
      <c r="P522" s="130"/>
      <c r="Q522" s="130"/>
      <c r="R522" s="130"/>
      <c r="S522" s="130"/>
      <c r="T522" s="130"/>
      <c r="U522" s="130"/>
      <c r="V522" s="130"/>
      <c r="W522" s="130"/>
      <c r="X522" s="130"/>
      <c r="Y522" s="130"/>
      <c r="Z522" s="130"/>
    </row>
    <row r="523" spans="1:26" ht="15.75" customHeight="1">
      <c r="A523" s="130"/>
      <c r="B523" s="130"/>
      <c r="C523" s="130"/>
      <c r="D523" s="130"/>
      <c r="E523" s="130"/>
      <c r="F523" s="130"/>
      <c r="G523" s="130"/>
      <c r="H523" s="130"/>
      <c r="I523" s="130"/>
      <c r="J523" s="130"/>
      <c r="K523" s="130"/>
      <c r="L523" s="130"/>
      <c r="M523" s="130"/>
      <c r="N523" s="130"/>
      <c r="O523" s="130"/>
      <c r="P523" s="130"/>
      <c r="Q523" s="130"/>
      <c r="R523" s="130"/>
      <c r="S523" s="130"/>
      <c r="T523" s="130"/>
      <c r="U523" s="130"/>
      <c r="V523" s="130"/>
      <c r="W523" s="130"/>
      <c r="X523" s="130"/>
      <c r="Y523" s="130"/>
      <c r="Z523" s="130"/>
    </row>
    <row r="524" spans="1:26" ht="15.75" customHeight="1">
      <c r="A524" s="130"/>
      <c r="B524" s="130"/>
      <c r="C524" s="130"/>
      <c r="D524" s="130"/>
      <c r="E524" s="130"/>
      <c r="F524" s="130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30"/>
      <c r="R524" s="130"/>
      <c r="S524" s="130"/>
      <c r="T524" s="130"/>
      <c r="U524" s="130"/>
      <c r="V524" s="130"/>
      <c r="W524" s="130"/>
      <c r="X524" s="130"/>
      <c r="Y524" s="130"/>
      <c r="Z524" s="130"/>
    </row>
    <row r="525" spans="1:26" ht="15.75" customHeight="1">
      <c r="A525" s="130"/>
      <c r="B525" s="130"/>
      <c r="C525" s="130"/>
      <c r="D525" s="130"/>
      <c r="E525" s="130"/>
      <c r="F525" s="130"/>
      <c r="G525" s="130"/>
      <c r="H525" s="130"/>
      <c r="I525" s="130"/>
      <c r="J525" s="130"/>
      <c r="K525" s="130"/>
      <c r="L525" s="130"/>
      <c r="M525" s="130"/>
      <c r="N525" s="130"/>
      <c r="O525" s="130"/>
      <c r="P525" s="130"/>
      <c r="Q525" s="130"/>
      <c r="R525" s="130"/>
      <c r="S525" s="130"/>
      <c r="T525" s="130"/>
      <c r="U525" s="130"/>
      <c r="V525" s="130"/>
      <c r="W525" s="130"/>
      <c r="X525" s="130"/>
      <c r="Y525" s="130"/>
      <c r="Z525" s="130"/>
    </row>
    <row r="526" spans="1:26" ht="15.75" customHeight="1">
      <c r="A526" s="130"/>
      <c r="B526" s="130"/>
      <c r="C526" s="130"/>
      <c r="D526" s="130"/>
      <c r="E526" s="130"/>
      <c r="F526" s="130"/>
      <c r="G526" s="130"/>
      <c r="H526" s="130"/>
      <c r="I526" s="130"/>
      <c r="J526" s="130"/>
      <c r="K526" s="130"/>
      <c r="L526" s="130"/>
      <c r="M526" s="130"/>
      <c r="N526" s="130"/>
      <c r="O526" s="130"/>
      <c r="P526" s="130"/>
      <c r="Q526" s="130"/>
      <c r="R526" s="130"/>
      <c r="S526" s="130"/>
      <c r="T526" s="130"/>
      <c r="U526" s="130"/>
      <c r="V526" s="130"/>
      <c r="W526" s="130"/>
      <c r="X526" s="130"/>
      <c r="Y526" s="130"/>
      <c r="Z526" s="130"/>
    </row>
    <row r="527" spans="1:26" ht="15.75" customHeight="1">
      <c r="A527" s="130"/>
      <c r="B527" s="130"/>
      <c r="C527" s="130"/>
      <c r="D527" s="130"/>
      <c r="E527" s="130"/>
      <c r="F527" s="130"/>
      <c r="G527" s="130"/>
      <c r="H527" s="130"/>
      <c r="I527" s="130"/>
      <c r="J527" s="130"/>
      <c r="K527" s="130"/>
      <c r="L527" s="130"/>
      <c r="M527" s="130"/>
      <c r="N527" s="130"/>
      <c r="O527" s="130"/>
      <c r="P527" s="130"/>
      <c r="Q527" s="130"/>
      <c r="R527" s="130"/>
      <c r="S527" s="130"/>
      <c r="T527" s="130"/>
      <c r="U527" s="130"/>
      <c r="V527" s="130"/>
      <c r="W527" s="130"/>
      <c r="X527" s="130"/>
      <c r="Y527" s="130"/>
      <c r="Z527" s="130"/>
    </row>
    <row r="528" spans="1:26" ht="15.75" customHeight="1">
      <c r="A528" s="130"/>
      <c r="B528" s="130"/>
      <c r="C528" s="130"/>
      <c r="D528" s="130"/>
      <c r="E528" s="130"/>
      <c r="F528" s="130"/>
      <c r="G528" s="130"/>
      <c r="H528" s="130"/>
      <c r="I528" s="130"/>
      <c r="J528" s="130"/>
      <c r="K528" s="130"/>
      <c r="L528" s="130"/>
      <c r="M528" s="130"/>
      <c r="N528" s="130"/>
      <c r="O528" s="130"/>
      <c r="P528" s="130"/>
      <c r="Q528" s="130"/>
      <c r="R528" s="130"/>
      <c r="S528" s="130"/>
      <c r="T528" s="130"/>
      <c r="U528" s="130"/>
      <c r="V528" s="130"/>
      <c r="W528" s="130"/>
      <c r="X528" s="130"/>
      <c r="Y528" s="130"/>
      <c r="Z528" s="130"/>
    </row>
    <row r="529" spans="1:26" ht="15.75" customHeight="1">
      <c r="A529" s="130"/>
      <c r="B529" s="130"/>
      <c r="C529" s="130"/>
      <c r="D529" s="130"/>
      <c r="E529" s="130"/>
      <c r="F529" s="130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30"/>
      <c r="R529" s="130"/>
      <c r="S529" s="130"/>
      <c r="T529" s="130"/>
      <c r="U529" s="130"/>
      <c r="V529" s="130"/>
      <c r="W529" s="130"/>
      <c r="X529" s="130"/>
      <c r="Y529" s="130"/>
      <c r="Z529" s="130"/>
    </row>
    <row r="530" spans="1:26" ht="15.75" customHeight="1">
      <c r="A530" s="130"/>
      <c r="B530" s="130"/>
      <c r="C530" s="130"/>
      <c r="D530" s="130"/>
      <c r="E530" s="130"/>
      <c r="F530" s="130"/>
      <c r="G530" s="130"/>
      <c r="H530" s="130"/>
      <c r="I530" s="130"/>
      <c r="J530" s="130"/>
      <c r="K530" s="130"/>
      <c r="L530" s="130"/>
      <c r="M530" s="130"/>
      <c r="N530" s="130"/>
      <c r="O530" s="130"/>
      <c r="P530" s="130"/>
      <c r="Q530" s="130"/>
      <c r="R530" s="130"/>
      <c r="S530" s="130"/>
      <c r="T530" s="130"/>
      <c r="U530" s="130"/>
      <c r="V530" s="130"/>
      <c r="W530" s="130"/>
      <c r="X530" s="130"/>
      <c r="Y530" s="130"/>
      <c r="Z530" s="130"/>
    </row>
    <row r="531" spans="1:26" ht="15.75" customHeight="1">
      <c r="A531" s="130"/>
      <c r="B531" s="130"/>
      <c r="C531" s="130"/>
      <c r="D531" s="130"/>
      <c r="E531" s="130"/>
      <c r="F531" s="130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30"/>
      <c r="R531" s="130"/>
      <c r="S531" s="130"/>
      <c r="T531" s="130"/>
      <c r="U531" s="130"/>
      <c r="V531" s="130"/>
      <c r="W531" s="130"/>
      <c r="X531" s="130"/>
      <c r="Y531" s="130"/>
      <c r="Z531" s="130"/>
    </row>
    <row r="532" spans="1:26" ht="15.75" customHeight="1">
      <c r="A532" s="130"/>
      <c r="B532" s="130"/>
      <c r="C532" s="130"/>
      <c r="D532" s="130"/>
      <c r="E532" s="130"/>
      <c r="F532" s="130"/>
      <c r="G532" s="130"/>
      <c r="H532" s="130"/>
      <c r="I532" s="130"/>
      <c r="J532" s="130"/>
      <c r="K532" s="130"/>
      <c r="L532" s="130"/>
      <c r="M532" s="130"/>
      <c r="N532" s="130"/>
      <c r="O532" s="130"/>
      <c r="P532" s="130"/>
      <c r="Q532" s="130"/>
      <c r="R532" s="130"/>
      <c r="S532" s="130"/>
      <c r="T532" s="130"/>
      <c r="U532" s="130"/>
      <c r="V532" s="130"/>
      <c r="W532" s="130"/>
      <c r="X532" s="130"/>
      <c r="Y532" s="130"/>
      <c r="Z532" s="130"/>
    </row>
    <row r="533" spans="1:26" ht="15.75" customHeight="1">
      <c r="A533" s="130"/>
      <c r="B533" s="130"/>
      <c r="C533" s="130"/>
      <c r="D533" s="130"/>
      <c r="E533" s="130"/>
      <c r="F533" s="130"/>
      <c r="G533" s="130"/>
      <c r="H533" s="130"/>
      <c r="I533" s="130"/>
      <c r="J533" s="130"/>
      <c r="K533" s="130"/>
      <c r="L533" s="130"/>
      <c r="M533" s="130"/>
      <c r="N533" s="130"/>
      <c r="O533" s="130"/>
      <c r="P533" s="130"/>
      <c r="Q533" s="130"/>
      <c r="R533" s="130"/>
      <c r="S533" s="130"/>
      <c r="T533" s="130"/>
      <c r="U533" s="130"/>
      <c r="V533" s="130"/>
      <c r="W533" s="130"/>
      <c r="X533" s="130"/>
      <c r="Y533" s="130"/>
      <c r="Z533" s="130"/>
    </row>
    <row r="534" spans="1:26" ht="15.75" customHeight="1">
      <c r="A534" s="130"/>
      <c r="B534" s="130"/>
      <c r="C534" s="130"/>
      <c r="D534" s="130"/>
      <c r="E534" s="130"/>
      <c r="F534" s="130"/>
      <c r="G534" s="130"/>
      <c r="H534" s="130"/>
      <c r="I534" s="130"/>
      <c r="J534" s="130"/>
      <c r="K534" s="130"/>
      <c r="L534" s="130"/>
      <c r="M534" s="130"/>
      <c r="N534" s="130"/>
      <c r="O534" s="130"/>
      <c r="P534" s="130"/>
      <c r="Q534" s="130"/>
      <c r="R534" s="130"/>
      <c r="S534" s="130"/>
      <c r="T534" s="130"/>
      <c r="U534" s="130"/>
      <c r="V534" s="130"/>
      <c r="W534" s="130"/>
      <c r="X534" s="130"/>
      <c r="Y534" s="130"/>
      <c r="Z534" s="130"/>
    </row>
    <row r="535" spans="1:26" ht="15.75" customHeight="1"/>
    <row r="536" spans="1:26" ht="15.75" customHeight="1"/>
    <row r="537" spans="1:26" ht="15.75" customHeight="1"/>
    <row r="538" spans="1:26" ht="15.75" customHeight="1"/>
    <row r="539" spans="1:26" ht="15.75" customHeight="1"/>
    <row r="540" spans="1:26" ht="15.75" customHeight="1"/>
    <row r="541" spans="1:26" ht="15.75" customHeight="1"/>
    <row r="542" spans="1:26" ht="15.75" customHeight="1"/>
    <row r="543" spans="1:26" ht="15.75" customHeight="1"/>
    <row r="544" spans="1:26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M1:M2"/>
    <mergeCell ref="H330:I330"/>
    <mergeCell ref="A1:C1"/>
    <mergeCell ref="D1:F1"/>
    <mergeCell ref="G1:I1"/>
    <mergeCell ref="J1:L1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B3E5A1"/>
  </sheetPr>
  <dimension ref="A1:F1001"/>
  <sheetViews>
    <sheetView topLeftCell="A52" workbookViewId="0">
      <selection activeCell="B12" sqref="B12"/>
    </sheetView>
  </sheetViews>
  <sheetFormatPr baseColWidth="10" defaultColWidth="12.5" defaultRowHeight="15" customHeight="1"/>
  <cols>
    <col min="1" max="1" width="6.5" customWidth="1"/>
    <col min="2" max="2" width="48.25" customWidth="1"/>
    <col min="3" max="3" width="14.5" customWidth="1"/>
    <col min="4" max="4" width="17.75" customWidth="1"/>
    <col min="5" max="5" width="15.5" customWidth="1"/>
    <col min="6" max="6" width="15" customWidth="1"/>
  </cols>
  <sheetData>
    <row r="1" spans="1:6" ht="28.5">
      <c r="A1" s="49"/>
      <c r="B1" s="49" t="s">
        <v>129</v>
      </c>
      <c r="C1" s="37" t="s">
        <v>1053</v>
      </c>
      <c r="D1" s="269" t="s">
        <v>656</v>
      </c>
      <c r="E1" s="248" t="s">
        <v>657</v>
      </c>
      <c r="F1" s="161" t="s">
        <v>100</v>
      </c>
    </row>
    <row r="2" spans="1:6" ht="14.25">
      <c r="A2" s="49">
        <v>1</v>
      </c>
      <c r="B2" s="162" t="s">
        <v>658</v>
      </c>
      <c r="C2" s="162">
        <v>1</v>
      </c>
      <c r="D2" s="163">
        <v>99831.93</v>
      </c>
      <c r="E2" s="68">
        <v>77434</v>
      </c>
      <c r="F2" s="163">
        <f>AVERAGE(D2:E2)</f>
        <v>88632.964999999997</v>
      </c>
    </row>
    <row r="3" spans="1:6" ht="14.25">
      <c r="A3" s="49">
        <v>2</v>
      </c>
      <c r="B3" s="164" t="s">
        <v>659</v>
      </c>
      <c r="C3" s="164">
        <v>1</v>
      </c>
      <c r="D3" s="163">
        <v>99831.93</v>
      </c>
      <c r="E3" s="68">
        <v>75473</v>
      </c>
      <c r="F3" s="163">
        <f t="shared" ref="F3:F64" si="0">AVERAGE(D3:E3)</f>
        <v>87652.464999999997</v>
      </c>
    </row>
    <row r="4" spans="1:6" ht="14.25">
      <c r="A4" s="49">
        <v>3</v>
      </c>
      <c r="B4" s="162" t="s">
        <v>660</v>
      </c>
      <c r="C4" s="164">
        <v>1</v>
      </c>
      <c r="D4" s="163">
        <v>102521.01</v>
      </c>
      <c r="E4" s="68">
        <v>85113</v>
      </c>
      <c r="F4" s="163">
        <f t="shared" si="0"/>
        <v>93817.005000000005</v>
      </c>
    </row>
    <row r="5" spans="1:6" ht="14.25">
      <c r="A5" s="49">
        <v>4</v>
      </c>
      <c r="B5" s="164" t="s">
        <v>661</v>
      </c>
      <c r="C5" s="164">
        <v>1</v>
      </c>
      <c r="D5" s="163">
        <v>102521.01</v>
      </c>
      <c r="E5" s="68">
        <v>85113</v>
      </c>
      <c r="F5" s="163">
        <f t="shared" si="0"/>
        <v>93817.005000000005</v>
      </c>
    </row>
    <row r="6" spans="1:6" ht="14.25">
      <c r="A6" s="49">
        <v>5</v>
      </c>
      <c r="B6" s="162" t="s">
        <v>662</v>
      </c>
      <c r="C6" s="164">
        <v>1</v>
      </c>
      <c r="D6" s="163">
        <v>38319.33</v>
      </c>
      <c r="E6" s="68">
        <v>104879</v>
      </c>
      <c r="F6" s="163">
        <f t="shared" si="0"/>
        <v>71599.165000000008</v>
      </c>
    </row>
    <row r="7" spans="1:6" ht="14.25">
      <c r="A7" s="49">
        <v>6</v>
      </c>
      <c r="B7" s="164" t="s">
        <v>663</v>
      </c>
      <c r="C7" s="164">
        <v>1</v>
      </c>
      <c r="D7" s="163">
        <v>38319.33</v>
      </c>
      <c r="E7" s="68">
        <v>104879</v>
      </c>
      <c r="F7" s="163">
        <f t="shared" si="0"/>
        <v>71599.165000000008</v>
      </c>
    </row>
    <row r="8" spans="1:6" ht="14.25">
      <c r="A8" s="49">
        <v>7</v>
      </c>
      <c r="B8" s="162" t="s">
        <v>664</v>
      </c>
      <c r="C8" s="164">
        <v>1</v>
      </c>
      <c r="D8" s="163">
        <v>54369.75</v>
      </c>
      <c r="E8" s="68">
        <v>118803</v>
      </c>
      <c r="F8" s="163">
        <f t="shared" si="0"/>
        <v>86586.375</v>
      </c>
    </row>
    <row r="9" spans="1:6" ht="14.25">
      <c r="A9" s="49">
        <v>8</v>
      </c>
      <c r="B9" s="164" t="s">
        <v>665</v>
      </c>
      <c r="C9" s="164">
        <v>1</v>
      </c>
      <c r="D9" s="163">
        <v>271428.57</v>
      </c>
      <c r="E9" s="68"/>
      <c r="F9" s="163">
        <f t="shared" si="0"/>
        <v>271428.57</v>
      </c>
    </row>
    <row r="10" spans="1:6" ht="14.25">
      <c r="A10" s="49">
        <v>9</v>
      </c>
      <c r="B10" s="162" t="s">
        <v>666</v>
      </c>
      <c r="C10" s="164">
        <v>1</v>
      </c>
      <c r="D10" s="163">
        <v>120000</v>
      </c>
      <c r="E10" s="68">
        <v>100142</v>
      </c>
      <c r="F10" s="163">
        <f t="shared" si="0"/>
        <v>110071</v>
      </c>
    </row>
    <row r="11" spans="1:6" ht="14.25">
      <c r="A11" s="49">
        <v>10</v>
      </c>
      <c r="B11" s="164" t="s">
        <v>667</v>
      </c>
      <c r="C11" s="164">
        <v>1</v>
      </c>
      <c r="D11" s="163">
        <v>120756.3</v>
      </c>
      <c r="E11" s="68">
        <v>107103</v>
      </c>
      <c r="F11" s="163">
        <f t="shared" si="0"/>
        <v>113929.65</v>
      </c>
    </row>
    <row r="12" spans="1:6" ht="14.25">
      <c r="A12" s="49">
        <v>11</v>
      </c>
      <c r="B12" s="162" t="s">
        <v>668</v>
      </c>
      <c r="C12" s="164">
        <v>1</v>
      </c>
      <c r="D12" s="163">
        <v>120000</v>
      </c>
      <c r="E12" s="68">
        <v>98182</v>
      </c>
      <c r="F12" s="163">
        <f t="shared" si="0"/>
        <v>109091</v>
      </c>
    </row>
    <row r="13" spans="1:6" ht="14.25">
      <c r="A13" s="49">
        <v>12</v>
      </c>
      <c r="B13" s="164" t="s">
        <v>669</v>
      </c>
      <c r="C13" s="164">
        <v>1</v>
      </c>
      <c r="D13" s="163">
        <v>128571.43</v>
      </c>
      <c r="E13" s="68"/>
      <c r="F13" s="163">
        <f t="shared" si="0"/>
        <v>128571.43</v>
      </c>
    </row>
    <row r="14" spans="1:6" ht="14.25">
      <c r="A14" s="49">
        <v>13</v>
      </c>
      <c r="B14" s="162" t="s">
        <v>670</v>
      </c>
      <c r="C14" s="164">
        <v>1</v>
      </c>
      <c r="D14" s="163">
        <v>102352.94</v>
      </c>
      <c r="E14" s="68">
        <v>94424</v>
      </c>
      <c r="F14" s="163">
        <f t="shared" si="0"/>
        <v>98388.47</v>
      </c>
    </row>
    <row r="15" spans="1:6" ht="14.25">
      <c r="A15" s="49">
        <v>14</v>
      </c>
      <c r="B15" s="164" t="s">
        <v>671</v>
      </c>
      <c r="C15" s="164">
        <v>1</v>
      </c>
      <c r="D15" s="163">
        <v>128991.6</v>
      </c>
      <c r="E15" s="68">
        <v>80840</v>
      </c>
      <c r="F15" s="163">
        <f t="shared" si="0"/>
        <v>104915.8</v>
      </c>
    </row>
    <row r="16" spans="1:6" ht="14.25">
      <c r="A16" s="49">
        <v>15</v>
      </c>
      <c r="B16" s="162" t="s">
        <v>672</v>
      </c>
      <c r="C16" s="164">
        <v>1</v>
      </c>
      <c r="D16" s="163">
        <v>102352.94</v>
      </c>
      <c r="E16" s="68">
        <v>92627</v>
      </c>
      <c r="F16" s="163">
        <f t="shared" si="0"/>
        <v>97489.97</v>
      </c>
    </row>
    <row r="17" spans="1:6" ht="14.25">
      <c r="A17" s="49">
        <v>16</v>
      </c>
      <c r="B17" s="164" t="s">
        <v>673</v>
      </c>
      <c r="C17" s="164">
        <v>1</v>
      </c>
      <c r="D17" s="163">
        <v>128991.6</v>
      </c>
      <c r="E17" s="68">
        <v>87124</v>
      </c>
      <c r="F17" s="163">
        <f t="shared" si="0"/>
        <v>108057.8</v>
      </c>
    </row>
    <row r="18" spans="1:6" ht="14.25">
      <c r="A18" s="49">
        <v>17</v>
      </c>
      <c r="B18" s="162" t="s">
        <v>674</v>
      </c>
      <c r="C18" s="164">
        <v>1</v>
      </c>
      <c r="D18" s="163">
        <v>63697.48</v>
      </c>
      <c r="E18" s="68">
        <v>87233</v>
      </c>
      <c r="F18" s="163">
        <f t="shared" si="0"/>
        <v>75465.240000000005</v>
      </c>
    </row>
    <row r="19" spans="1:6" ht="14.25">
      <c r="A19" s="49">
        <v>18</v>
      </c>
      <c r="B19" s="164" t="s">
        <v>675</v>
      </c>
      <c r="C19" s="164">
        <v>1</v>
      </c>
      <c r="D19" s="163">
        <v>63697.48</v>
      </c>
      <c r="E19" s="68">
        <v>59036</v>
      </c>
      <c r="F19" s="163">
        <f t="shared" si="0"/>
        <v>61366.740000000005</v>
      </c>
    </row>
    <row r="20" spans="1:6" ht="14.25">
      <c r="A20" s="49">
        <v>19</v>
      </c>
      <c r="B20" s="162" t="s">
        <v>676</v>
      </c>
      <c r="C20" s="164">
        <v>1</v>
      </c>
      <c r="D20" s="163">
        <v>151008.4</v>
      </c>
      <c r="E20" s="68">
        <v>93184</v>
      </c>
      <c r="F20" s="163">
        <f t="shared" si="0"/>
        <v>122096.2</v>
      </c>
    </row>
    <row r="21" spans="1:6" ht="15.75" customHeight="1">
      <c r="A21" s="49">
        <v>20</v>
      </c>
      <c r="B21" s="164" t="s">
        <v>677</v>
      </c>
      <c r="C21" s="164">
        <v>1</v>
      </c>
      <c r="D21" s="163">
        <v>153277.31</v>
      </c>
      <c r="E21" s="68">
        <v>156000</v>
      </c>
      <c r="F21" s="163">
        <f t="shared" si="0"/>
        <v>154638.655</v>
      </c>
    </row>
    <row r="22" spans="1:6" ht="15.75" customHeight="1">
      <c r="A22" s="49">
        <v>21</v>
      </c>
      <c r="B22" s="162" t="s">
        <v>678</v>
      </c>
      <c r="C22" s="164">
        <v>1</v>
      </c>
      <c r="D22" s="163">
        <v>173697.48</v>
      </c>
      <c r="E22" s="68">
        <v>188186</v>
      </c>
      <c r="F22" s="163">
        <f t="shared" si="0"/>
        <v>180941.74</v>
      </c>
    </row>
    <row r="23" spans="1:6" ht="15.75" customHeight="1">
      <c r="A23" s="49">
        <v>22</v>
      </c>
      <c r="B23" s="164" t="s">
        <v>679</v>
      </c>
      <c r="C23" s="164">
        <v>1</v>
      </c>
      <c r="D23" s="163">
        <v>546050.42000000004</v>
      </c>
      <c r="E23" s="68">
        <v>473500</v>
      </c>
      <c r="F23" s="163">
        <f t="shared" si="0"/>
        <v>509775.21</v>
      </c>
    </row>
    <row r="24" spans="1:6" ht="15.75" customHeight="1">
      <c r="A24" s="49">
        <v>23</v>
      </c>
      <c r="B24" s="162" t="s">
        <v>680</v>
      </c>
      <c r="C24" s="164">
        <v>1</v>
      </c>
      <c r="D24" s="163">
        <v>195966.39</v>
      </c>
      <c r="E24" s="68"/>
      <c r="F24" s="163">
        <f t="shared" si="0"/>
        <v>195966.39</v>
      </c>
    </row>
    <row r="25" spans="1:6" ht="15.75" customHeight="1">
      <c r="A25" s="49">
        <v>24</v>
      </c>
      <c r="B25" s="164" t="s">
        <v>681</v>
      </c>
      <c r="C25" s="164">
        <v>1</v>
      </c>
      <c r="D25" s="163">
        <v>403361.34</v>
      </c>
      <c r="E25" s="68"/>
      <c r="F25" s="163">
        <f t="shared" si="0"/>
        <v>403361.34</v>
      </c>
    </row>
    <row r="26" spans="1:6" ht="15.75" customHeight="1">
      <c r="A26" s="49">
        <v>25</v>
      </c>
      <c r="B26" s="162" t="s">
        <v>682</v>
      </c>
      <c r="C26" s="164">
        <v>1</v>
      </c>
      <c r="D26" s="163">
        <v>403361.34</v>
      </c>
      <c r="E26" s="68"/>
      <c r="F26" s="163">
        <f t="shared" si="0"/>
        <v>403361.34</v>
      </c>
    </row>
    <row r="27" spans="1:6" ht="15.75" customHeight="1">
      <c r="A27" s="49">
        <v>26</v>
      </c>
      <c r="B27" s="164" t="s">
        <v>683</v>
      </c>
      <c r="C27" s="164">
        <v>1</v>
      </c>
      <c r="D27" s="163">
        <v>47899.16</v>
      </c>
      <c r="E27" s="68"/>
      <c r="F27" s="163">
        <f t="shared" si="0"/>
        <v>47899.16</v>
      </c>
    </row>
    <row r="28" spans="1:6" ht="15.75" customHeight="1">
      <c r="A28" s="49">
        <v>27</v>
      </c>
      <c r="B28" s="162" t="s">
        <v>684</v>
      </c>
      <c r="C28" s="164">
        <v>1</v>
      </c>
      <c r="D28" s="163">
        <v>605882.35</v>
      </c>
      <c r="E28" s="68"/>
      <c r="F28" s="163">
        <f t="shared" si="0"/>
        <v>605882.35</v>
      </c>
    </row>
    <row r="29" spans="1:6" ht="15.75" customHeight="1">
      <c r="A29" s="49">
        <v>28</v>
      </c>
      <c r="B29" s="164" t="s">
        <v>685</v>
      </c>
      <c r="C29" s="164">
        <v>1</v>
      </c>
      <c r="D29" s="163">
        <v>347394.96</v>
      </c>
      <c r="E29" s="68"/>
      <c r="F29" s="163">
        <f t="shared" si="0"/>
        <v>347394.96</v>
      </c>
    </row>
    <row r="30" spans="1:6" ht="15.75" customHeight="1">
      <c r="A30" s="49">
        <v>29</v>
      </c>
      <c r="B30" s="162" t="s">
        <v>686</v>
      </c>
      <c r="C30" s="164">
        <v>1</v>
      </c>
      <c r="D30" s="163">
        <v>332268.90999999997</v>
      </c>
      <c r="E30" s="68"/>
      <c r="F30" s="163">
        <f t="shared" si="0"/>
        <v>332268.90999999997</v>
      </c>
    </row>
    <row r="31" spans="1:6" ht="15.75" customHeight="1">
      <c r="A31" s="49">
        <v>30</v>
      </c>
      <c r="B31" s="164" t="s">
        <v>687</v>
      </c>
      <c r="C31" s="164">
        <v>1</v>
      </c>
      <c r="D31" s="163">
        <v>171923.77</v>
      </c>
      <c r="E31" s="68"/>
      <c r="F31" s="163">
        <f t="shared" si="0"/>
        <v>171923.77</v>
      </c>
    </row>
    <row r="32" spans="1:6" ht="15.75" customHeight="1">
      <c r="A32" s="49">
        <v>31</v>
      </c>
      <c r="B32" s="162" t="s">
        <v>688</v>
      </c>
      <c r="C32" s="164">
        <v>1</v>
      </c>
      <c r="D32" s="163">
        <v>171932.77</v>
      </c>
      <c r="E32" s="68"/>
      <c r="F32" s="163">
        <f t="shared" si="0"/>
        <v>171932.77</v>
      </c>
    </row>
    <row r="33" spans="1:6" ht="15.75" customHeight="1">
      <c r="A33" s="49">
        <v>32</v>
      </c>
      <c r="B33" s="164" t="s">
        <v>689</v>
      </c>
      <c r="C33" s="164">
        <v>1</v>
      </c>
      <c r="D33" s="163">
        <v>177310.92</v>
      </c>
      <c r="E33" s="68"/>
      <c r="F33" s="163">
        <f t="shared" si="0"/>
        <v>177310.92</v>
      </c>
    </row>
    <row r="34" spans="1:6" ht="15.75" customHeight="1">
      <c r="A34" s="49">
        <v>33</v>
      </c>
      <c r="B34" s="162" t="s">
        <v>690</v>
      </c>
      <c r="C34" s="164">
        <v>1</v>
      </c>
      <c r="D34" s="163">
        <v>668067.23</v>
      </c>
      <c r="E34" s="68"/>
      <c r="F34" s="163">
        <f t="shared" si="0"/>
        <v>668067.23</v>
      </c>
    </row>
    <row r="35" spans="1:6" ht="15.75" customHeight="1">
      <c r="A35" s="49">
        <v>34</v>
      </c>
      <c r="B35" s="164" t="s">
        <v>691</v>
      </c>
      <c r="C35" s="164">
        <v>1</v>
      </c>
      <c r="D35" s="163">
        <v>5714285.71</v>
      </c>
      <c r="E35" s="68"/>
      <c r="F35" s="163">
        <f t="shared" si="0"/>
        <v>5714285.71</v>
      </c>
    </row>
    <row r="36" spans="1:6" ht="15.75" customHeight="1">
      <c r="A36" s="49">
        <v>35</v>
      </c>
      <c r="B36" s="162" t="s">
        <v>692</v>
      </c>
      <c r="C36" s="164">
        <v>1</v>
      </c>
      <c r="D36" s="163">
        <v>397478.99</v>
      </c>
      <c r="E36" s="68"/>
      <c r="F36" s="163">
        <f t="shared" si="0"/>
        <v>397478.99</v>
      </c>
    </row>
    <row r="37" spans="1:6" ht="15.75" customHeight="1">
      <c r="A37" s="49">
        <v>36</v>
      </c>
      <c r="B37" s="164" t="s">
        <v>693</v>
      </c>
      <c r="C37" s="164">
        <v>1</v>
      </c>
      <c r="D37" s="163">
        <v>209243.7</v>
      </c>
      <c r="E37" s="68"/>
      <c r="F37" s="163">
        <f t="shared" si="0"/>
        <v>209243.7</v>
      </c>
    </row>
    <row r="38" spans="1:6" ht="15.75" customHeight="1">
      <c r="A38" s="49">
        <v>37</v>
      </c>
      <c r="B38" s="162" t="s">
        <v>694</v>
      </c>
      <c r="C38" s="164">
        <v>1</v>
      </c>
      <c r="D38" s="163">
        <v>302521.01</v>
      </c>
      <c r="E38" s="68"/>
      <c r="F38" s="163">
        <f t="shared" si="0"/>
        <v>302521.01</v>
      </c>
    </row>
    <row r="39" spans="1:6" ht="15.75" customHeight="1">
      <c r="A39" s="49">
        <v>38</v>
      </c>
      <c r="B39" s="164" t="s">
        <v>695</v>
      </c>
      <c r="C39" s="164">
        <v>1</v>
      </c>
      <c r="D39" s="163">
        <v>318487.39</v>
      </c>
      <c r="E39" s="68"/>
      <c r="F39" s="163">
        <f t="shared" si="0"/>
        <v>318487.39</v>
      </c>
    </row>
    <row r="40" spans="1:6" ht="15.75" customHeight="1">
      <c r="A40" s="49">
        <v>39</v>
      </c>
      <c r="B40" s="162" t="s">
        <v>696</v>
      </c>
      <c r="C40" s="164">
        <v>1</v>
      </c>
      <c r="D40" s="163">
        <v>367226.89</v>
      </c>
      <c r="E40" s="68"/>
      <c r="F40" s="163">
        <f t="shared" si="0"/>
        <v>367226.89</v>
      </c>
    </row>
    <row r="41" spans="1:6" ht="15.75" customHeight="1">
      <c r="A41" s="49">
        <v>40</v>
      </c>
      <c r="B41" s="164" t="s">
        <v>697</v>
      </c>
      <c r="C41" s="164">
        <v>1</v>
      </c>
      <c r="D41" s="163">
        <v>442016.81</v>
      </c>
      <c r="E41" s="68"/>
      <c r="F41" s="163">
        <f t="shared" si="0"/>
        <v>442016.81</v>
      </c>
    </row>
    <row r="42" spans="1:6" ht="15.75" customHeight="1">
      <c r="A42" s="49">
        <v>41</v>
      </c>
      <c r="B42" s="162" t="s">
        <v>698</v>
      </c>
      <c r="C42" s="164">
        <v>1</v>
      </c>
      <c r="D42" s="163">
        <v>391932.77</v>
      </c>
      <c r="E42" s="68">
        <v>308400</v>
      </c>
      <c r="F42" s="163">
        <f t="shared" si="0"/>
        <v>350166.38500000001</v>
      </c>
    </row>
    <row r="43" spans="1:6" ht="15.75" customHeight="1">
      <c r="A43" s="49">
        <v>42</v>
      </c>
      <c r="B43" s="164" t="s">
        <v>699</v>
      </c>
      <c r="C43" s="164">
        <v>1</v>
      </c>
      <c r="D43" s="163">
        <v>171932.77</v>
      </c>
      <c r="E43" s="68"/>
      <c r="F43" s="163">
        <f t="shared" si="0"/>
        <v>171932.77</v>
      </c>
    </row>
    <row r="44" spans="1:6" ht="15.75" customHeight="1">
      <c r="A44" s="49">
        <v>43</v>
      </c>
      <c r="B44" s="162" t="s">
        <v>700</v>
      </c>
      <c r="C44" s="165">
        <v>2</v>
      </c>
      <c r="D44" s="163">
        <v>433361.34</v>
      </c>
      <c r="E44" s="68"/>
      <c r="F44" s="163">
        <f t="shared" si="0"/>
        <v>433361.34</v>
      </c>
    </row>
    <row r="45" spans="1:6" ht="15.75" customHeight="1">
      <c r="A45" s="49">
        <v>44</v>
      </c>
      <c r="B45" s="164" t="s">
        <v>701</v>
      </c>
      <c r="C45" s="164">
        <v>1</v>
      </c>
      <c r="D45" s="163">
        <v>568067.23</v>
      </c>
      <c r="E45" s="68"/>
      <c r="F45" s="163">
        <f t="shared" si="0"/>
        <v>568067.23</v>
      </c>
    </row>
    <row r="46" spans="1:6" ht="15.75" customHeight="1">
      <c r="A46" s="49">
        <v>45</v>
      </c>
      <c r="B46" s="162" t="s">
        <v>702</v>
      </c>
      <c r="C46" s="162">
        <v>1</v>
      </c>
      <c r="D46" s="163">
        <v>26400</v>
      </c>
      <c r="E46" s="68">
        <v>17360</v>
      </c>
      <c r="F46" s="163">
        <f t="shared" si="0"/>
        <v>21880</v>
      </c>
    </row>
    <row r="47" spans="1:6" ht="15.75" customHeight="1">
      <c r="A47" s="49">
        <v>46</v>
      </c>
      <c r="B47" s="164" t="s">
        <v>703</v>
      </c>
      <c r="C47" s="164">
        <v>1</v>
      </c>
      <c r="D47" s="163">
        <v>26400</v>
      </c>
      <c r="E47" s="68"/>
      <c r="F47" s="163">
        <f t="shared" si="0"/>
        <v>26400</v>
      </c>
    </row>
    <row r="48" spans="1:6" ht="15.75" customHeight="1">
      <c r="A48" s="49">
        <v>47</v>
      </c>
      <c r="B48" s="162" t="s">
        <v>704</v>
      </c>
      <c r="C48" s="162">
        <v>1</v>
      </c>
      <c r="D48" s="163">
        <v>27600</v>
      </c>
      <c r="E48" s="68">
        <v>26040</v>
      </c>
      <c r="F48" s="163">
        <f t="shared" si="0"/>
        <v>26820</v>
      </c>
    </row>
    <row r="49" spans="1:6" ht="15.75" customHeight="1">
      <c r="A49" s="49">
        <v>48</v>
      </c>
      <c r="B49" s="164" t="s">
        <v>705</v>
      </c>
      <c r="C49" s="164">
        <v>1</v>
      </c>
      <c r="D49" s="163">
        <v>26400</v>
      </c>
      <c r="E49" s="68">
        <v>26040</v>
      </c>
      <c r="F49" s="163">
        <f t="shared" si="0"/>
        <v>26220</v>
      </c>
    </row>
    <row r="50" spans="1:6" ht="15.75" customHeight="1">
      <c r="A50" s="49">
        <v>49</v>
      </c>
      <c r="B50" s="162" t="s">
        <v>706</v>
      </c>
      <c r="C50" s="266">
        <v>5</v>
      </c>
      <c r="D50" s="163">
        <v>15600</v>
      </c>
      <c r="E50" s="68"/>
      <c r="F50" s="163">
        <f t="shared" si="0"/>
        <v>15600</v>
      </c>
    </row>
    <row r="51" spans="1:6" ht="15.75" customHeight="1">
      <c r="A51" s="49">
        <v>50</v>
      </c>
      <c r="B51" s="164" t="s">
        <v>707</v>
      </c>
      <c r="C51" s="267">
        <v>5</v>
      </c>
      <c r="D51" s="163">
        <v>18000</v>
      </c>
      <c r="E51" s="68"/>
      <c r="F51" s="163">
        <f t="shared" si="0"/>
        <v>18000</v>
      </c>
    </row>
    <row r="52" spans="1:6" ht="15.75" customHeight="1">
      <c r="A52" s="49">
        <v>51</v>
      </c>
      <c r="B52" s="162" t="s">
        <v>708</v>
      </c>
      <c r="C52" s="268">
        <v>5</v>
      </c>
      <c r="D52" s="163">
        <v>18400</v>
      </c>
      <c r="E52" s="68"/>
      <c r="F52" s="163">
        <f t="shared" si="0"/>
        <v>18400</v>
      </c>
    </row>
    <row r="53" spans="1:6" ht="15.75" customHeight="1">
      <c r="A53" s="49">
        <v>52</v>
      </c>
      <c r="B53" s="164" t="s">
        <v>709</v>
      </c>
      <c r="C53" s="267">
        <v>5</v>
      </c>
      <c r="D53" s="163">
        <v>24600</v>
      </c>
      <c r="E53" s="68"/>
      <c r="F53" s="163">
        <f t="shared" si="0"/>
        <v>24600</v>
      </c>
    </row>
    <row r="54" spans="1:6" ht="15.75" customHeight="1">
      <c r="A54" s="49">
        <v>53</v>
      </c>
      <c r="B54" s="162" t="s">
        <v>710</v>
      </c>
      <c r="C54" s="268">
        <v>5</v>
      </c>
      <c r="D54" s="163">
        <v>28400</v>
      </c>
      <c r="E54" s="68"/>
      <c r="F54" s="163">
        <f t="shared" si="0"/>
        <v>28400</v>
      </c>
    </row>
    <row r="55" spans="1:6" ht="15.75" customHeight="1">
      <c r="A55" s="49">
        <v>54</v>
      </c>
      <c r="B55" s="164" t="s">
        <v>711</v>
      </c>
      <c r="C55" s="267">
        <v>5</v>
      </c>
      <c r="D55" s="163">
        <v>34400</v>
      </c>
      <c r="E55" s="68"/>
      <c r="F55" s="163">
        <f t="shared" si="0"/>
        <v>34400</v>
      </c>
    </row>
    <row r="56" spans="1:6" ht="15.75" customHeight="1">
      <c r="A56" s="49">
        <v>55</v>
      </c>
      <c r="B56" s="162" t="s">
        <v>712</v>
      </c>
      <c r="C56" s="268">
        <v>5</v>
      </c>
      <c r="D56" s="163">
        <v>47700</v>
      </c>
      <c r="E56" s="68"/>
      <c r="F56" s="163">
        <f t="shared" si="0"/>
        <v>47700</v>
      </c>
    </row>
    <row r="57" spans="1:6" ht="15.75" customHeight="1">
      <c r="A57" s="49">
        <v>56</v>
      </c>
      <c r="B57" s="164" t="s">
        <v>713</v>
      </c>
      <c r="C57" s="267">
        <v>5</v>
      </c>
      <c r="D57" s="163">
        <v>51300</v>
      </c>
      <c r="E57" s="68"/>
      <c r="F57" s="163">
        <f t="shared" si="0"/>
        <v>51300</v>
      </c>
    </row>
    <row r="58" spans="1:6" ht="15.75" customHeight="1">
      <c r="A58" s="49">
        <v>57</v>
      </c>
      <c r="B58" s="162" t="s">
        <v>714</v>
      </c>
      <c r="C58" s="268">
        <v>5</v>
      </c>
      <c r="D58" s="163">
        <v>53600</v>
      </c>
      <c r="E58" s="68"/>
      <c r="F58" s="163">
        <f t="shared" si="0"/>
        <v>53600</v>
      </c>
    </row>
    <row r="59" spans="1:6" ht="15.75" customHeight="1">
      <c r="A59" s="49">
        <v>58</v>
      </c>
      <c r="B59" s="164" t="s">
        <v>715</v>
      </c>
      <c r="C59" s="267">
        <v>5</v>
      </c>
      <c r="D59" s="163">
        <v>61900</v>
      </c>
      <c r="E59" s="68"/>
      <c r="F59" s="163">
        <f t="shared" si="0"/>
        <v>61900</v>
      </c>
    </row>
    <row r="60" spans="1:6" ht="15.75" customHeight="1">
      <c r="A60" s="49">
        <v>59</v>
      </c>
      <c r="B60" s="162" t="s">
        <v>716</v>
      </c>
      <c r="C60" s="268">
        <v>5</v>
      </c>
      <c r="D60" s="163">
        <v>45800</v>
      </c>
      <c r="E60" s="68"/>
      <c r="F60" s="163">
        <f t="shared" si="0"/>
        <v>45800</v>
      </c>
    </row>
    <row r="61" spans="1:6" ht="15.75" customHeight="1">
      <c r="A61" s="49">
        <v>60</v>
      </c>
      <c r="B61" s="164" t="s">
        <v>717</v>
      </c>
      <c r="C61" s="267">
        <v>5</v>
      </c>
      <c r="D61" s="163">
        <v>54500</v>
      </c>
      <c r="E61" s="68"/>
      <c r="F61" s="163">
        <f t="shared" si="0"/>
        <v>54500</v>
      </c>
    </row>
    <row r="62" spans="1:6" ht="15.75" customHeight="1">
      <c r="A62" s="49">
        <v>61</v>
      </c>
      <c r="B62" s="162" t="s">
        <v>718</v>
      </c>
      <c r="C62" s="268">
        <v>5</v>
      </c>
      <c r="D62" s="163">
        <v>55700</v>
      </c>
      <c r="E62" s="68"/>
      <c r="F62" s="163">
        <f t="shared" si="0"/>
        <v>55700</v>
      </c>
    </row>
    <row r="63" spans="1:6" ht="15.75" customHeight="1">
      <c r="A63" s="49">
        <v>62</v>
      </c>
      <c r="B63" s="164" t="s">
        <v>719</v>
      </c>
      <c r="C63" s="267">
        <v>5</v>
      </c>
      <c r="D63" s="163">
        <v>64200</v>
      </c>
      <c r="E63" s="68"/>
      <c r="F63" s="163">
        <f t="shared" si="0"/>
        <v>64200</v>
      </c>
    </row>
    <row r="64" spans="1:6" ht="15.75" customHeight="1">
      <c r="A64" s="49">
        <v>63</v>
      </c>
      <c r="B64" s="162" t="s">
        <v>720</v>
      </c>
      <c r="C64" s="268">
        <v>5</v>
      </c>
      <c r="D64" s="163">
        <v>74400</v>
      </c>
      <c r="E64" s="68"/>
      <c r="F64" s="163">
        <f t="shared" si="0"/>
        <v>74400</v>
      </c>
    </row>
    <row r="65" spans="1:6" ht="15.75" customHeight="1">
      <c r="D65" s="166"/>
      <c r="E65" s="69"/>
    </row>
    <row r="66" spans="1:6" ht="15.75" customHeight="1">
      <c r="D66" s="166"/>
      <c r="E66" s="69"/>
    </row>
    <row r="67" spans="1:6" ht="15.75" customHeight="1">
      <c r="D67" s="167" t="s">
        <v>132</v>
      </c>
      <c r="E67" s="168" t="s">
        <v>202</v>
      </c>
    </row>
    <row r="68" spans="1:6" ht="15.75" customHeight="1">
      <c r="D68" s="163" t="s">
        <v>721</v>
      </c>
      <c r="E68" s="73">
        <v>32000000</v>
      </c>
    </row>
    <row r="69" spans="1:6" ht="15.75" customHeight="1">
      <c r="D69" s="166"/>
      <c r="E69" s="69"/>
    </row>
    <row r="70" spans="1:6" ht="15.75" customHeight="1">
      <c r="A70" s="120" t="s">
        <v>722</v>
      </c>
      <c r="D70" s="166"/>
      <c r="E70" s="69"/>
    </row>
    <row r="71" spans="1:6" ht="15.75" customHeight="1">
      <c r="D71" s="166"/>
      <c r="E71" s="69"/>
    </row>
    <row r="72" spans="1:6" ht="15.75" customHeight="1">
      <c r="B72" s="270"/>
      <c r="C72" s="256"/>
      <c r="D72" s="271"/>
      <c r="E72" s="69"/>
    </row>
    <row r="73" spans="1:6" ht="15.75" customHeight="1">
      <c r="B73" s="272"/>
      <c r="C73" s="256"/>
      <c r="D73" s="273"/>
      <c r="E73" s="46"/>
      <c r="F73" s="46"/>
    </row>
    <row r="74" spans="1:6" ht="15.75" customHeight="1">
      <c r="B74" s="274"/>
      <c r="C74" s="256"/>
      <c r="D74" s="275"/>
      <c r="E74" s="48"/>
      <c r="F74" s="48"/>
    </row>
    <row r="75" spans="1:6" ht="15.75" customHeight="1">
      <c r="B75" s="272"/>
      <c r="C75" s="256"/>
      <c r="D75" s="276"/>
      <c r="E75" s="5"/>
      <c r="F75" s="5"/>
    </row>
    <row r="76" spans="1:6" ht="15.75" customHeight="1">
      <c r="B76" s="272"/>
      <c r="C76" s="256"/>
      <c r="D76" s="275"/>
      <c r="E76" s="48"/>
      <c r="F76" s="48"/>
    </row>
    <row r="77" spans="1:6" ht="15.75" customHeight="1">
      <c r="B77" s="274"/>
      <c r="C77" s="256"/>
      <c r="D77" s="256"/>
    </row>
    <row r="78" spans="1:6" ht="15.75" customHeight="1">
      <c r="B78" s="256"/>
      <c r="C78" s="256"/>
      <c r="D78" s="271"/>
      <c r="E78" s="69"/>
    </row>
    <row r="79" spans="1:6" ht="15.75" customHeight="1">
      <c r="B79" s="258"/>
      <c r="C79" s="259"/>
      <c r="D79" s="271"/>
      <c r="E79" s="69"/>
    </row>
    <row r="80" spans="1:6" ht="15.75" customHeight="1">
      <c r="B80" s="261"/>
      <c r="C80" s="259"/>
      <c r="D80" s="271"/>
      <c r="E80" s="69"/>
    </row>
    <row r="81" spans="1:5" ht="15.75" customHeight="1">
      <c r="B81" s="277"/>
      <c r="C81" s="259"/>
      <c r="D81" s="271"/>
      <c r="E81" s="69"/>
    </row>
    <row r="82" spans="1:5" ht="15.75" customHeight="1">
      <c r="B82" s="278"/>
      <c r="C82" s="259"/>
      <c r="D82" s="271"/>
      <c r="E82" s="69"/>
    </row>
    <row r="83" spans="1:5" ht="15.75" customHeight="1">
      <c r="D83" s="166"/>
      <c r="E83" s="69"/>
    </row>
    <row r="84" spans="1:5" ht="15.75" customHeight="1">
      <c r="B84" s="229" t="s">
        <v>968</v>
      </c>
      <c r="D84" s="166"/>
      <c r="E84" s="69"/>
    </row>
    <row r="85" spans="1:5" ht="15.75" customHeight="1">
      <c r="A85">
        <v>1</v>
      </c>
      <c r="B85" s="229" t="s">
        <v>1034</v>
      </c>
      <c r="D85" s="166"/>
      <c r="E85" s="69"/>
    </row>
    <row r="86" spans="1:5" ht="15.75" customHeight="1">
      <c r="A86">
        <v>2</v>
      </c>
      <c r="B86" s="229" t="s">
        <v>1035</v>
      </c>
      <c r="D86" s="166"/>
      <c r="E86" s="69"/>
    </row>
    <row r="87" spans="1:5" ht="15.75" customHeight="1">
      <c r="A87">
        <v>3</v>
      </c>
      <c r="B87" s="229" t="s">
        <v>1036</v>
      </c>
      <c r="D87" s="166"/>
      <c r="E87" s="69"/>
    </row>
    <row r="88" spans="1:5" ht="15.75" customHeight="1">
      <c r="B88" s="229"/>
      <c r="D88" s="166"/>
      <c r="E88" s="69"/>
    </row>
    <row r="89" spans="1:5" ht="15.75" customHeight="1">
      <c r="D89" s="166"/>
      <c r="E89" s="69"/>
    </row>
    <row r="90" spans="1:5" ht="15.75" customHeight="1">
      <c r="D90" s="166"/>
      <c r="E90" s="69"/>
    </row>
    <row r="91" spans="1:5" ht="15.75" customHeight="1">
      <c r="D91" s="166"/>
      <c r="E91" s="69"/>
    </row>
    <row r="92" spans="1:5" ht="15.75" customHeight="1">
      <c r="D92" s="166"/>
      <c r="E92" s="69"/>
    </row>
    <row r="93" spans="1:5" ht="15.75" customHeight="1">
      <c r="D93" s="166"/>
      <c r="E93" s="69"/>
    </row>
    <row r="94" spans="1:5" ht="15.75" customHeight="1">
      <c r="D94" s="166"/>
      <c r="E94" s="69"/>
    </row>
    <row r="95" spans="1:5" ht="15.75" customHeight="1">
      <c r="D95" s="166"/>
      <c r="E95" s="69"/>
    </row>
    <row r="96" spans="1:5" ht="15.75" customHeight="1">
      <c r="D96" s="166"/>
      <c r="E96" s="69"/>
    </row>
    <row r="97" spans="4:5" ht="15.75" customHeight="1">
      <c r="D97" s="166"/>
      <c r="E97" s="69"/>
    </row>
    <row r="98" spans="4:5" ht="15.75" customHeight="1">
      <c r="D98" s="166"/>
      <c r="E98" s="69"/>
    </row>
    <row r="99" spans="4:5" ht="15.75" customHeight="1">
      <c r="D99" s="166"/>
      <c r="E99" s="69"/>
    </row>
    <row r="100" spans="4:5" ht="15.75" customHeight="1">
      <c r="D100" s="166"/>
      <c r="E100" s="69"/>
    </row>
    <row r="101" spans="4:5" ht="15.75" customHeight="1">
      <c r="D101" s="166"/>
      <c r="E101" s="69"/>
    </row>
    <row r="102" spans="4:5" ht="15.75" customHeight="1">
      <c r="D102" s="166"/>
      <c r="E102" s="69"/>
    </row>
    <row r="103" spans="4:5" ht="15.75" customHeight="1">
      <c r="D103" s="166"/>
      <c r="E103" s="69"/>
    </row>
    <row r="104" spans="4:5" ht="15.75" customHeight="1">
      <c r="D104" s="166"/>
      <c r="E104" s="69"/>
    </row>
    <row r="105" spans="4:5" ht="15.75" customHeight="1">
      <c r="D105" s="166"/>
      <c r="E105" s="69"/>
    </row>
    <row r="106" spans="4:5" ht="15.75" customHeight="1">
      <c r="D106" s="166"/>
      <c r="E106" s="69"/>
    </row>
    <row r="107" spans="4:5" ht="15.75" customHeight="1">
      <c r="D107" s="166"/>
      <c r="E107" s="69"/>
    </row>
    <row r="108" spans="4:5" ht="15.75" customHeight="1">
      <c r="D108" s="166"/>
      <c r="E108" s="69"/>
    </row>
    <row r="109" spans="4:5" ht="15.75" customHeight="1">
      <c r="D109" s="166"/>
      <c r="E109" s="69"/>
    </row>
    <row r="110" spans="4:5" ht="15.75" customHeight="1">
      <c r="D110" s="166"/>
      <c r="E110" s="69"/>
    </row>
    <row r="111" spans="4:5" ht="15.75" customHeight="1">
      <c r="D111" s="166"/>
      <c r="E111" s="69"/>
    </row>
    <row r="112" spans="4:5" ht="15.75" customHeight="1">
      <c r="D112" s="166"/>
      <c r="E112" s="69"/>
    </row>
    <row r="113" spans="4:5" ht="15.75" customHeight="1">
      <c r="D113" s="166"/>
      <c r="E113" s="69"/>
    </row>
    <row r="114" spans="4:5" ht="15.75" customHeight="1">
      <c r="D114" s="166"/>
      <c r="E114" s="69"/>
    </row>
    <row r="115" spans="4:5" ht="15.75" customHeight="1">
      <c r="D115" s="166"/>
      <c r="E115" s="69"/>
    </row>
    <row r="116" spans="4:5" ht="15.75" customHeight="1">
      <c r="D116" s="166"/>
      <c r="E116" s="69"/>
    </row>
    <row r="117" spans="4:5" ht="15.75" customHeight="1">
      <c r="D117" s="166"/>
      <c r="E117" s="69"/>
    </row>
    <row r="118" spans="4:5" ht="15.75" customHeight="1">
      <c r="D118" s="166"/>
      <c r="E118" s="69"/>
    </row>
    <row r="119" spans="4:5" ht="15.75" customHeight="1">
      <c r="D119" s="166"/>
      <c r="E119" s="69"/>
    </row>
    <row r="120" spans="4:5" ht="15.75" customHeight="1">
      <c r="D120" s="166"/>
      <c r="E120" s="69"/>
    </row>
    <row r="121" spans="4:5" ht="15.75" customHeight="1">
      <c r="D121" s="166"/>
      <c r="E121" s="69"/>
    </row>
    <row r="122" spans="4:5" ht="15.75" customHeight="1">
      <c r="D122" s="166"/>
      <c r="E122" s="69"/>
    </row>
    <row r="123" spans="4:5" ht="15.75" customHeight="1">
      <c r="D123" s="166"/>
      <c r="E123" s="69"/>
    </row>
    <row r="124" spans="4:5" ht="15.75" customHeight="1">
      <c r="D124" s="166"/>
      <c r="E124" s="69"/>
    </row>
    <row r="125" spans="4:5" ht="15.75" customHeight="1">
      <c r="D125" s="166"/>
      <c r="E125" s="69"/>
    </row>
    <row r="126" spans="4:5" ht="15.75" customHeight="1">
      <c r="D126" s="166"/>
      <c r="E126" s="69"/>
    </row>
    <row r="127" spans="4:5" ht="15.75" customHeight="1">
      <c r="D127" s="166"/>
      <c r="E127" s="69"/>
    </row>
    <row r="128" spans="4:5" ht="15.75" customHeight="1">
      <c r="D128" s="166"/>
      <c r="E128" s="69"/>
    </row>
    <row r="129" spans="4:5" ht="15.75" customHeight="1">
      <c r="D129" s="166"/>
      <c r="E129" s="69"/>
    </row>
    <row r="130" spans="4:5" ht="15.75" customHeight="1">
      <c r="D130" s="166"/>
      <c r="E130" s="69"/>
    </row>
    <row r="131" spans="4:5" ht="15.75" customHeight="1">
      <c r="D131" s="166"/>
      <c r="E131" s="69"/>
    </row>
    <row r="132" spans="4:5" ht="15.75" customHeight="1">
      <c r="D132" s="166"/>
      <c r="E132" s="69"/>
    </row>
    <row r="133" spans="4:5" ht="15.75" customHeight="1">
      <c r="D133" s="166"/>
      <c r="E133" s="69"/>
    </row>
    <row r="134" spans="4:5" ht="15.75" customHeight="1">
      <c r="D134" s="166"/>
      <c r="E134" s="69"/>
    </row>
    <row r="135" spans="4:5" ht="15.75" customHeight="1">
      <c r="D135" s="166"/>
      <c r="E135" s="69"/>
    </row>
    <row r="136" spans="4:5" ht="15.75" customHeight="1">
      <c r="D136" s="166"/>
      <c r="E136" s="69"/>
    </row>
    <row r="137" spans="4:5" ht="15.75" customHeight="1">
      <c r="D137" s="166"/>
      <c r="E137" s="69"/>
    </row>
    <row r="138" spans="4:5" ht="15.75" customHeight="1">
      <c r="D138" s="166"/>
      <c r="E138" s="69"/>
    </row>
    <row r="139" spans="4:5" ht="15.75" customHeight="1">
      <c r="D139" s="166"/>
      <c r="E139" s="69"/>
    </row>
    <row r="140" spans="4:5" ht="15.75" customHeight="1">
      <c r="D140" s="166"/>
      <c r="E140" s="69"/>
    </row>
    <row r="141" spans="4:5" ht="15.75" customHeight="1">
      <c r="D141" s="166"/>
      <c r="E141" s="69"/>
    </row>
    <row r="142" spans="4:5" ht="15.75" customHeight="1">
      <c r="D142" s="166"/>
      <c r="E142" s="69"/>
    </row>
    <row r="143" spans="4:5" ht="15.75" customHeight="1">
      <c r="D143" s="166"/>
      <c r="E143" s="69"/>
    </row>
    <row r="144" spans="4:5" ht="15.75" customHeight="1">
      <c r="D144" s="166"/>
      <c r="E144" s="69"/>
    </row>
    <row r="145" spans="4:5" ht="15.75" customHeight="1">
      <c r="D145" s="166"/>
      <c r="E145" s="69"/>
    </row>
    <row r="146" spans="4:5" ht="15.75" customHeight="1">
      <c r="D146" s="166"/>
      <c r="E146" s="69"/>
    </row>
    <row r="147" spans="4:5" ht="15.75" customHeight="1">
      <c r="D147" s="166"/>
      <c r="E147" s="69"/>
    </row>
    <row r="148" spans="4:5" ht="15.75" customHeight="1">
      <c r="D148" s="166"/>
      <c r="E148" s="69"/>
    </row>
    <row r="149" spans="4:5" ht="15.75" customHeight="1">
      <c r="D149" s="166"/>
      <c r="E149" s="69"/>
    </row>
    <row r="150" spans="4:5" ht="15.75" customHeight="1">
      <c r="D150" s="166"/>
      <c r="E150" s="69"/>
    </row>
    <row r="151" spans="4:5" ht="15.75" customHeight="1">
      <c r="D151" s="166"/>
      <c r="E151" s="69"/>
    </row>
    <row r="152" spans="4:5" ht="15.75" customHeight="1">
      <c r="D152" s="166"/>
      <c r="E152" s="69"/>
    </row>
    <row r="153" spans="4:5" ht="15.75" customHeight="1">
      <c r="D153" s="166"/>
      <c r="E153" s="69"/>
    </row>
    <row r="154" spans="4:5" ht="15.75" customHeight="1">
      <c r="D154" s="166"/>
      <c r="E154" s="69"/>
    </row>
    <row r="155" spans="4:5" ht="15.75" customHeight="1">
      <c r="D155" s="166"/>
      <c r="E155" s="69"/>
    </row>
    <row r="156" spans="4:5" ht="15.75" customHeight="1">
      <c r="D156" s="166"/>
      <c r="E156" s="69"/>
    </row>
    <row r="157" spans="4:5" ht="15.75" customHeight="1">
      <c r="D157" s="166"/>
      <c r="E157" s="69"/>
    </row>
    <row r="158" spans="4:5" ht="15.75" customHeight="1">
      <c r="D158" s="166"/>
      <c r="E158" s="69"/>
    </row>
    <row r="159" spans="4:5" ht="15.75" customHeight="1">
      <c r="D159" s="166"/>
      <c r="E159" s="69"/>
    </row>
    <row r="160" spans="4:5" ht="15.75" customHeight="1">
      <c r="D160" s="166"/>
      <c r="E160" s="69"/>
    </row>
    <row r="161" spans="4:5" ht="15.75" customHeight="1">
      <c r="D161" s="166"/>
      <c r="E161" s="69"/>
    </row>
    <row r="162" spans="4:5" ht="15.75" customHeight="1">
      <c r="D162" s="166"/>
      <c r="E162" s="69"/>
    </row>
    <row r="163" spans="4:5" ht="15.75" customHeight="1">
      <c r="D163" s="166"/>
      <c r="E163" s="69"/>
    </row>
    <row r="164" spans="4:5" ht="15.75" customHeight="1">
      <c r="D164" s="166"/>
      <c r="E164" s="69"/>
    </row>
    <row r="165" spans="4:5" ht="15.75" customHeight="1">
      <c r="D165" s="166"/>
      <c r="E165" s="69"/>
    </row>
    <row r="166" spans="4:5" ht="15.75" customHeight="1">
      <c r="D166" s="166"/>
      <c r="E166" s="69"/>
    </row>
    <row r="167" spans="4:5" ht="15.75" customHeight="1">
      <c r="D167" s="166"/>
      <c r="E167" s="69"/>
    </row>
    <row r="168" spans="4:5" ht="15.75" customHeight="1">
      <c r="D168" s="166"/>
      <c r="E168" s="69"/>
    </row>
    <row r="169" spans="4:5" ht="15.75" customHeight="1">
      <c r="D169" s="166"/>
      <c r="E169" s="69"/>
    </row>
    <row r="170" spans="4:5" ht="15.75" customHeight="1">
      <c r="D170" s="166"/>
      <c r="E170" s="69"/>
    </row>
    <row r="171" spans="4:5" ht="15.75" customHeight="1">
      <c r="D171" s="166"/>
      <c r="E171" s="69"/>
    </row>
    <row r="172" spans="4:5" ht="15.75" customHeight="1">
      <c r="D172" s="166"/>
      <c r="E172" s="69"/>
    </row>
    <row r="173" spans="4:5" ht="15.75" customHeight="1">
      <c r="D173" s="166"/>
      <c r="E173" s="69"/>
    </row>
    <row r="174" spans="4:5" ht="15.75" customHeight="1">
      <c r="D174" s="166"/>
      <c r="E174" s="69"/>
    </row>
    <row r="175" spans="4:5" ht="15.75" customHeight="1">
      <c r="D175" s="166"/>
      <c r="E175" s="69"/>
    </row>
    <row r="176" spans="4:5" ht="15.75" customHeight="1">
      <c r="D176" s="166"/>
      <c r="E176" s="69"/>
    </row>
    <row r="177" spans="4:5" ht="15.75" customHeight="1">
      <c r="D177" s="166"/>
      <c r="E177" s="69"/>
    </row>
    <row r="178" spans="4:5" ht="15.75" customHeight="1">
      <c r="D178" s="166"/>
      <c r="E178" s="69"/>
    </row>
    <row r="179" spans="4:5" ht="15.75" customHeight="1">
      <c r="D179" s="166"/>
      <c r="E179" s="69"/>
    </row>
    <row r="180" spans="4:5" ht="15.75" customHeight="1">
      <c r="D180" s="166"/>
      <c r="E180" s="69"/>
    </row>
    <row r="181" spans="4:5" ht="15.75" customHeight="1">
      <c r="D181" s="166"/>
      <c r="E181" s="69"/>
    </row>
    <row r="182" spans="4:5" ht="15.75" customHeight="1">
      <c r="D182" s="166"/>
      <c r="E182" s="69"/>
    </row>
    <row r="183" spans="4:5" ht="15.75" customHeight="1">
      <c r="D183" s="166"/>
      <c r="E183" s="69"/>
    </row>
    <row r="184" spans="4:5" ht="15.75" customHeight="1">
      <c r="D184" s="166"/>
      <c r="E184" s="69"/>
    </row>
    <row r="185" spans="4:5" ht="15.75" customHeight="1">
      <c r="D185" s="166"/>
      <c r="E185" s="69"/>
    </row>
    <row r="186" spans="4:5" ht="15.75" customHeight="1">
      <c r="D186" s="166"/>
      <c r="E186" s="69"/>
    </row>
    <row r="187" spans="4:5" ht="15.75" customHeight="1">
      <c r="D187" s="166"/>
      <c r="E187" s="69"/>
    </row>
    <row r="188" spans="4:5" ht="15.75" customHeight="1">
      <c r="D188" s="166"/>
      <c r="E188" s="69"/>
    </row>
    <row r="189" spans="4:5" ht="15.75" customHeight="1">
      <c r="D189" s="166"/>
      <c r="E189" s="69"/>
    </row>
    <row r="190" spans="4:5" ht="15.75" customHeight="1">
      <c r="D190" s="166"/>
      <c r="E190" s="69"/>
    </row>
    <row r="191" spans="4:5" ht="15.75" customHeight="1">
      <c r="D191" s="166"/>
      <c r="E191" s="69"/>
    </row>
    <row r="192" spans="4:5" ht="15.75" customHeight="1">
      <c r="D192" s="166"/>
      <c r="E192" s="69"/>
    </row>
    <row r="193" spans="4:5" ht="15.75" customHeight="1">
      <c r="D193" s="166"/>
      <c r="E193" s="69"/>
    </row>
    <row r="194" spans="4:5" ht="15.75" customHeight="1">
      <c r="D194" s="166"/>
      <c r="E194" s="69"/>
    </row>
    <row r="195" spans="4:5" ht="15.75" customHeight="1">
      <c r="D195" s="166"/>
      <c r="E195" s="69"/>
    </row>
    <row r="196" spans="4:5" ht="15.75" customHeight="1">
      <c r="D196" s="166"/>
      <c r="E196" s="69"/>
    </row>
    <row r="197" spans="4:5" ht="15.75" customHeight="1">
      <c r="D197" s="166"/>
      <c r="E197" s="69"/>
    </row>
    <row r="198" spans="4:5" ht="15.75" customHeight="1">
      <c r="D198" s="166"/>
      <c r="E198" s="69"/>
    </row>
    <row r="199" spans="4:5" ht="15.75" customHeight="1">
      <c r="D199" s="166"/>
      <c r="E199" s="69"/>
    </row>
    <row r="200" spans="4:5" ht="15.75" customHeight="1">
      <c r="D200" s="166"/>
      <c r="E200" s="69"/>
    </row>
    <row r="201" spans="4:5" ht="15.75" customHeight="1">
      <c r="D201" s="166"/>
      <c r="E201" s="69"/>
    </row>
    <row r="202" spans="4:5" ht="15.75" customHeight="1">
      <c r="D202" s="166"/>
      <c r="E202" s="69"/>
    </row>
    <row r="203" spans="4:5" ht="15.75" customHeight="1">
      <c r="D203" s="166"/>
      <c r="E203" s="69"/>
    </row>
    <row r="204" spans="4:5" ht="15.75" customHeight="1">
      <c r="D204" s="166"/>
      <c r="E204" s="69"/>
    </row>
    <row r="205" spans="4:5" ht="15.75" customHeight="1">
      <c r="D205" s="166"/>
      <c r="E205" s="69"/>
    </row>
    <row r="206" spans="4:5" ht="15.75" customHeight="1">
      <c r="D206" s="166"/>
      <c r="E206" s="69"/>
    </row>
    <row r="207" spans="4:5" ht="15.75" customHeight="1">
      <c r="D207" s="166"/>
      <c r="E207" s="69"/>
    </row>
    <row r="208" spans="4:5" ht="15.75" customHeight="1">
      <c r="D208" s="166"/>
      <c r="E208" s="69"/>
    </row>
    <row r="209" spans="4:5" ht="15.75" customHeight="1">
      <c r="D209" s="166"/>
      <c r="E209" s="69"/>
    </row>
    <row r="210" spans="4:5" ht="15.75" customHeight="1">
      <c r="D210" s="166"/>
      <c r="E210" s="69"/>
    </row>
    <row r="211" spans="4:5" ht="15.75" customHeight="1">
      <c r="D211" s="166"/>
      <c r="E211" s="69"/>
    </row>
    <row r="212" spans="4:5" ht="15.75" customHeight="1">
      <c r="D212" s="166"/>
      <c r="E212" s="69"/>
    </row>
    <row r="213" spans="4:5" ht="15.75" customHeight="1">
      <c r="D213" s="166"/>
      <c r="E213" s="69"/>
    </row>
    <row r="214" spans="4:5" ht="15.75" customHeight="1">
      <c r="D214" s="166"/>
      <c r="E214" s="69"/>
    </row>
    <row r="215" spans="4:5" ht="15.75" customHeight="1">
      <c r="D215" s="166"/>
      <c r="E215" s="69"/>
    </row>
    <row r="216" spans="4:5" ht="15.75" customHeight="1">
      <c r="D216" s="166"/>
      <c r="E216" s="69"/>
    </row>
    <row r="217" spans="4:5" ht="15.75" customHeight="1">
      <c r="D217" s="166"/>
      <c r="E217" s="69"/>
    </row>
    <row r="218" spans="4:5" ht="15.75" customHeight="1">
      <c r="D218" s="166"/>
      <c r="E218" s="69"/>
    </row>
    <row r="219" spans="4:5" ht="15.75" customHeight="1">
      <c r="D219" s="166"/>
      <c r="E219" s="69"/>
    </row>
    <row r="220" spans="4:5" ht="15.75" customHeight="1">
      <c r="D220" s="166"/>
      <c r="E220" s="69"/>
    </row>
    <row r="221" spans="4:5" ht="15.75" customHeight="1">
      <c r="D221" s="166"/>
      <c r="E221" s="69"/>
    </row>
    <row r="222" spans="4:5" ht="15.75" customHeight="1">
      <c r="D222" s="166"/>
      <c r="E222" s="69"/>
    </row>
    <row r="223" spans="4:5" ht="15.75" customHeight="1">
      <c r="D223" s="166"/>
      <c r="E223" s="69"/>
    </row>
    <row r="224" spans="4:5" ht="15.75" customHeight="1">
      <c r="D224" s="166"/>
      <c r="E224" s="69"/>
    </row>
    <row r="225" spans="4:5" ht="15.75" customHeight="1">
      <c r="D225" s="166"/>
      <c r="E225" s="69"/>
    </row>
    <row r="226" spans="4:5" ht="15.75" customHeight="1">
      <c r="D226" s="166"/>
      <c r="E226" s="69"/>
    </row>
    <row r="227" spans="4:5" ht="15.75" customHeight="1">
      <c r="D227" s="166"/>
      <c r="E227" s="69"/>
    </row>
    <row r="228" spans="4:5" ht="15.75" customHeight="1">
      <c r="D228" s="166"/>
      <c r="E228" s="69"/>
    </row>
    <row r="229" spans="4:5" ht="15.75" customHeight="1">
      <c r="D229" s="166"/>
      <c r="E229" s="69"/>
    </row>
    <row r="230" spans="4:5" ht="15.75" customHeight="1">
      <c r="D230" s="166"/>
      <c r="E230" s="69"/>
    </row>
    <row r="231" spans="4:5" ht="15.75" customHeight="1">
      <c r="D231" s="166"/>
      <c r="E231" s="69"/>
    </row>
    <row r="232" spans="4:5" ht="15.75" customHeight="1">
      <c r="D232" s="166"/>
      <c r="E232" s="69"/>
    </row>
    <row r="233" spans="4:5" ht="15.75" customHeight="1">
      <c r="D233" s="166"/>
      <c r="E233" s="69"/>
    </row>
    <row r="234" spans="4:5" ht="15.75" customHeight="1">
      <c r="D234" s="166"/>
      <c r="E234" s="69"/>
    </row>
    <row r="235" spans="4:5" ht="15.75" customHeight="1">
      <c r="D235" s="166"/>
      <c r="E235" s="69"/>
    </row>
    <row r="236" spans="4:5" ht="15.75" customHeight="1">
      <c r="D236" s="166"/>
      <c r="E236" s="69"/>
    </row>
    <row r="237" spans="4:5" ht="15.75" customHeight="1">
      <c r="D237" s="166"/>
      <c r="E237" s="69"/>
    </row>
    <row r="238" spans="4:5" ht="15.75" customHeight="1">
      <c r="D238" s="166"/>
      <c r="E238" s="69"/>
    </row>
    <row r="239" spans="4:5" ht="15.75" customHeight="1">
      <c r="D239" s="166"/>
      <c r="E239" s="69"/>
    </row>
    <row r="240" spans="4:5" ht="15.75" customHeight="1">
      <c r="D240" s="166"/>
      <c r="E240" s="69"/>
    </row>
    <row r="241" spans="4:5" ht="15.75" customHeight="1">
      <c r="D241" s="166"/>
      <c r="E241" s="69"/>
    </row>
    <row r="242" spans="4:5" ht="15.75" customHeight="1">
      <c r="D242" s="166"/>
      <c r="E242" s="69"/>
    </row>
    <row r="243" spans="4:5" ht="15.75" customHeight="1">
      <c r="D243" s="166"/>
      <c r="E243" s="69"/>
    </row>
    <row r="244" spans="4:5" ht="15.75" customHeight="1">
      <c r="D244" s="166"/>
      <c r="E244" s="69"/>
    </row>
    <row r="245" spans="4:5" ht="15.75" customHeight="1">
      <c r="D245" s="166"/>
      <c r="E245" s="69"/>
    </row>
    <row r="246" spans="4:5" ht="15.75" customHeight="1">
      <c r="D246" s="166"/>
      <c r="E246" s="69"/>
    </row>
    <row r="247" spans="4:5" ht="15.75" customHeight="1">
      <c r="D247" s="166"/>
      <c r="E247" s="69"/>
    </row>
    <row r="248" spans="4:5" ht="15.75" customHeight="1">
      <c r="D248" s="166"/>
      <c r="E248" s="69"/>
    </row>
    <row r="249" spans="4:5" ht="15.75" customHeight="1">
      <c r="D249" s="166"/>
      <c r="E249" s="69"/>
    </row>
    <row r="250" spans="4:5" ht="15.75" customHeight="1">
      <c r="D250" s="166"/>
      <c r="E250" s="69"/>
    </row>
    <row r="251" spans="4:5" ht="15.75" customHeight="1">
      <c r="D251" s="166"/>
      <c r="E251" s="69"/>
    </row>
    <row r="252" spans="4:5" ht="15.75" customHeight="1">
      <c r="D252" s="166"/>
      <c r="E252" s="69"/>
    </row>
    <row r="253" spans="4:5" ht="15.75" customHeight="1">
      <c r="D253" s="166"/>
      <c r="E253" s="69"/>
    </row>
    <row r="254" spans="4:5" ht="15.75" customHeight="1">
      <c r="D254" s="166"/>
      <c r="E254" s="69"/>
    </row>
    <row r="255" spans="4:5" ht="15.75" customHeight="1">
      <c r="D255" s="166"/>
      <c r="E255" s="69"/>
    </row>
    <row r="256" spans="4:5" ht="15.75" customHeight="1">
      <c r="D256" s="166"/>
      <c r="E256" s="69"/>
    </row>
    <row r="257" spans="4:5" ht="15.75" customHeight="1">
      <c r="D257" s="166"/>
      <c r="E257" s="69"/>
    </row>
    <row r="258" spans="4:5" ht="15.75" customHeight="1">
      <c r="D258" s="166"/>
      <c r="E258" s="69"/>
    </row>
    <row r="259" spans="4:5" ht="15.75" customHeight="1">
      <c r="D259" s="166"/>
      <c r="E259" s="69"/>
    </row>
    <row r="260" spans="4:5" ht="15.75" customHeight="1">
      <c r="D260" s="166"/>
      <c r="E260" s="69"/>
    </row>
    <row r="261" spans="4:5" ht="15.75" customHeight="1">
      <c r="D261" s="166"/>
      <c r="E261" s="69"/>
    </row>
    <row r="262" spans="4:5" ht="15.75" customHeight="1">
      <c r="D262" s="166"/>
      <c r="E262" s="69"/>
    </row>
    <row r="263" spans="4:5" ht="15.75" customHeight="1">
      <c r="D263" s="166"/>
      <c r="E263" s="69"/>
    </row>
    <row r="264" spans="4:5" ht="15.75" customHeight="1">
      <c r="D264" s="166"/>
      <c r="E264" s="69"/>
    </row>
    <row r="265" spans="4:5" ht="15.75" customHeight="1">
      <c r="D265" s="166"/>
      <c r="E265" s="69"/>
    </row>
    <row r="266" spans="4:5" ht="15.75" customHeight="1">
      <c r="D266" s="166"/>
      <c r="E266" s="69"/>
    </row>
    <row r="267" spans="4:5" ht="15.75" customHeight="1">
      <c r="D267" s="166"/>
      <c r="E267" s="69"/>
    </row>
    <row r="268" spans="4:5" ht="15.75" customHeight="1">
      <c r="D268" s="166"/>
      <c r="E268" s="69"/>
    </row>
    <row r="269" spans="4:5" ht="15.75" customHeight="1">
      <c r="D269" s="166"/>
      <c r="E269" s="69"/>
    </row>
    <row r="270" spans="4:5" ht="15.75" customHeight="1">
      <c r="D270" s="166"/>
      <c r="E270" s="69"/>
    </row>
    <row r="271" spans="4:5" ht="15.75" customHeight="1">
      <c r="D271" s="166"/>
      <c r="E271" s="69"/>
    </row>
    <row r="272" spans="4:5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ageMargins left="0.7" right="0.7" top="0.75" bottom="0.75" header="0" footer="0"/>
  <pageSetup orientation="landscape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B3E5A1"/>
  </sheetPr>
  <dimension ref="A1:H1000"/>
  <sheetViews>
    <sheetView workbookViewId="0">
      <selection activeCell="C16" sqref="C16"/>
    </sheetView>
  </sheetViews>
  <sheetFormatPr baseColWidth="10" defaultColWidth="12.5" defaultRowHeight="15" customHeight="1"/>
  <cols>
    <col min="1" max="1" width="4.75" customWidth="1"/>
    <col min="2" max="2" width="24.5" customWidth="1"/>
    <col min="3" max="3" width="9" customWidth="1"/>
    <col min="4" max="5" width="16.75" customWidth="1"/>
    <col min="6" max="6" width="17.5" customWidth="1"/>
    <col min="7" max="7" width="14" customWidth="1"/>
    <col min="8" max="8" width="13" bestFit="1" customWidth="1"/>
  </cols>
  <sheetData>
    <row r="1" spans="1:8" ht="42.75">
      <c r="A1" s="90" t="s">
        <v>112</v>
      </c>
      <c r="B1" s="169" t="s">
        <v>143</v>
      </c>
      <c r="C1" s="91" t="s">
        <v>723</v>
      </c>
      <c r="D1" s="170" t="s">
        <v>724</v>
      </c>
      <c r="E1" s="171" t="s">
        <v>725</v>
      </c>
      <c r="F1" s="172" t="s">
        <v>726</v>
      </c>
      <c r="G1" s="92" t="s">
        <v>100</v>
      </c>
    </row>
    <row r="2" spans="1:8" ht="14.25">
      <c r="A2" s="173">
        <v>1</v>
      </c>
      <c r="B2" s="67" t="s">
        <v>727</v>
      </c>
      <c r="C2" s="51">
        <v>1</v>
      </c>
      <c r="D2" s="68">
        <v>35020000</v>
      </c>
      <c r="E2" s="68">
        <v>18900000</v>
      </c>
      <c r="F2" s="174">
        <v>25000000</v>
      </c>
      <c r="G2" s="94">
        <f t="shared" ref="G2:G5" si="0">AVERAGE(D2:F2)</f>
        <v>26306666.666666668</v>
      </c>
    </row>
    <row r="3" spans="1:8" ht="14.25">
      <c r="A3" s="173">
        <v>2</v>
      </c>
      <c r="B3" s="67" t="s">
        <v>728</v>
      </c>
      <c r="C3" s="51">
        <v>1</v>
      </c>
      <c r="D3" s="68">
        <v>55023000</v>
      </c>
      <c r="E3" s="68">
        <v>40000000</v>
      </c>
      <c r="F3" s="174">
        <v>60000000</v>
      </c>
      <c r="G3" s="94">
        <f t="shared" si="0"/>
        <v>51674333.333333336</v>
      </c>
    </row>
    <row r="4" spans="1:8" ht="14.25">
      <c r="A4" s="173">
        <v>3</v>
      </c>
      <c r="B4" s="67" t="s">
        <v>729</v>
      </c>
      <c r="C4" s="51">
        <v>9</v>
      </c>
      <c r="D4" s="280">
        <f>4100000*9</f>
        <v>36900000</v>
      </c>
      <c r="E4" s="68">
        <v>21411000</v>
      </c>
      <c r="F4" s="174">
        <v>32000000</v>
      </c>
      <c r="G4" s="94">
        <f t="shared" si="0"/>
        <v>30103666.666666668</v>
      </c>
      <c r="H4" s="213"/>
    </row>
    <row r="5" spans="1:8" ht="14.25">
      <c r="A5" s="173">
        <v>4</v>
      </c>
      <c r="B5" s="67" t="s">
        <v>730</v>
      </c>
      <c r="C5" s="51">
        <v>1</v>
      </c>
      <c r="D5" s="68">
        <v>4100000</v>
      </c>
      <c r="E5" s="68">
        <v>2379000</v>
      </c>
      <c r="F5" s="174">
        <v>4000000</v>
      </c>
      <c r="G5" s="94">
        <f t="shared" si="0"/>
        <v>3493000</v>
      </c>
    </row>
    <row r="6" spans="1:8" ht="14.25">
      <c r="A6" s="403" t="s">
        <v>103</v>
      </c>
      <c r="B6" s="404"/>
      <c r="C6" s="405"/>
      <c r="D6" s="96">
        <f t="shared" ref="D6:G6" si="1">SUM(D2:D5)</f>
        <v>131043000</v>
      </c>
      <c r="E6" s="96">
        <f t="shared" si="1"/>
        <v>82690000</v>
      </c>
      <c r="F6" s="175">
        <f t="shared" si="1"/>
        <v>121000000</v>
      </c>
      <c r="G6" s="97">
        <f t="shared" si="1"/>
        <v>111577666.66666667</v>
      </c>
    </row>
    <row r="7" spans="1:8" ht="14.25">
      <c r="B7" s="44"/>
      <c r="D7" s="69"/>
      <c r="E7" s="166"/>
      <c r="F7" s="69"/>
    </row>
    <row r="8" spans="1:8">
      <c r="B8" s="45"/>
      <c r="D8" s="69"/>
      <c r="E8" s="166"/>
      <c r="F8" s="69"/>
    </row>
    <row r="9" spans="1:8" ht="14.25">
      <c r="B9" s="44"/>
      <c r="D9" s="46"/>
      <c r="E9" s="46"/>
      <c r="F9" s="46"/>
    </row>
    <row r="10" spans="1:8" ht="14.25">
      <c r="B10" s="47"/>
      <c r="D10" s="48"/>
      <c r="E10" s="176"/>
      <c r="F10" s="177"/>
    </row>
    <row r="11" spans="1:8" ht="14.25">
      <c r="B11" s="44"/>
      <c r="D11" s="48"/>
      <c r="E11" s="176"/>
      <c r="F11" s="177"/>
    </row>
    <row r="12" spans="1:8" ht="14.25">
      <c r="B12" s="44"/>
      <c r="D12" s="48"/>
      <c r="E12" s="176"/>
      <c r="F12" s="177"/>
    </row>
    <row r="13" spans="1:8" ht="14.25">
      <c r="B13" s="47"/>
      <c r="D13" s="128"/>
      <c r="E13" s="128"/>
      <c r="F13" s="128"/>
    </row>
    <row r="14" spans="1:8" ht="14.25">
      <c r="B14" s="44"/>
      <c r="D14" s="69"/>
      <c r="E14" s="166"/>
      <c r="F14" s="69"/>
    </row>
    <row r="15" spans="1:8" ht="14.25">
      <c r="B15" s="279"/>
      <c r="C15" s="129"/>
      <c r="D15" s="69"/>
      <c r="E15" s="166"/>
      <c r="F15" s="69"/>
    </row>
    <row r="16" spans="1:8" ht="14.25">
      <c r="B16" s="44"/>
      <c r="C16" s="129"/>
      <c r="D16" s="69"/>
      <c r="E16" s="166"/>
      <c r="F16" s="69"/>
    </row>
    <row r="17" spans="2:6" ht="14.25">
      <c r="B17" s="44"/>
      <c r="D17" s="69"/>
      <c r="E17" s="166"/>
      <c r="F17" s="69"/>
    </row>
    <row r="18" spans="2:6" ht="14.25">
      <c r="B18" s="44"/>
      <c r="D18" s="69"/>
      <c r="E18" s="166"/>
      <c r="F18" s="69"/>
    </row>
    <row r="19" spans="2:6" ht="14.25">
      <c r="B19" s="44"/>
      <c r="D19" s="69"/>
      <c r="E19" s="166"/>
      <c r="F19" s="69"/>
    </row>
    <row r="20" spans="2:6" ht="14.25">
      <c r="B20" s="44"/>
      <c r="D20" s="69"/>
      <c r="E20" s="166"/>
      <c r="F20" s="69"/>
    </row>
    <row r="21" spans="2:6" ht="15.75" customHeight="1">
      <c r="B21" s="44"/>
      <c r="D21" s="69"/>
      <c r="E21" s="166"/>
      <c r="F21" s="69"/>
    </row>
    <row r="22" spans="2:6" ht="15.75" customHeight="1">
      <c r="B22" s="44"/>
      <c r="D22" s="69"/>
      <c r="E22" s="166"/>
      <c r="F22" s="69"/>
    </row>
    <row r="23" spans="2:6" ht="15.75" customHeight="1">
      <c r="B23" s="44"/>
      <c r="D23" s="69"/>
      <c r="E23" s="166"/>
      <c r="F23" s="69"/>
    </row>
    <row r="24" spans="2:6" ht="15.75" customHeight="1">
      <c r="B24" s="44"/>
      <c r="D24" s="69"/>
      <c r="E24" s="166"/>
      <c r="F24" s="69"/>
    </row>
    <row r="25" spans="2:6" ht="15.75" customHeight="1">
      <c r="B25" s="44"/>
      <c r="D25" s="69"/>
      <c r="E25" s="166"/>
      <c r="F25" s="69"/>
    </row>
    <row r="26" spans="2:6" ht="15.75" customHeight="1">
      <c r="B26" s="44"/>
      <c r="D26" s="69"/>
      <c r="E26" s="166"/>
      <c r="F26" s="69"/>
    </row>
    <row r="27" spans="2:6" ht="15.75" customHeight="1">
      <c r="B27" s="44"/>
      <c r="D27" s="69"/>
      <c r="E27" s="166"/>
      <c r="F27" s="69"/>
    </row>
    <row r="28" spans="2:6" ht="15.75" customHeight="1">
      <c r="B28" s="44"/>
      <c r="D28" s="69"/>
      <c r="E28" s="166"/>
      <c r="F28" s="69"/>
    </row>
    <row r="29" spans="2:6" ht="15.75" customHeight="1">
      <c r="B29" s="44"/>
      <c r="D29" s="69"/>
      <c r="E29" s="166"/>
      <c r="F29" s="69"/>
    </row>
    <row r="30" spans="2:6" ht="15.75" customHeight="1">
      <c r="B30" s="44"/>
      <c r="D30" s="69"/>
      <c r="E30" s="166"/>
      <c r="F30" s="69"/>
    </row>
    <row r="31" spans="2:6" ht="15.75" customHeight="1">
      <c r="B31" s="44"/>
      <c r="D31" s="69"/>
      <c r="E31" s="166"/>
      <c r="F31" s="69"/>
    </row>
    <row r="32" spans="2:6" ht="15.75" customHeight="1">
      <c r="B32" s="44"/>
      <c r="D32" s="69"/>
      <c r="E32" s="166"/>
      <c r="F32" s="69"/>
    </row>
    <row r="33" spans="2:6" ht="15.75" customHeight="1">
      <c r="B33" s="44"/>
      <c r="D33" s="69"/>
      <c r="E33" s="166"/>
      <c r="F33" s="69"/>
    </row>
    <row r="34" spans="2:6" ht="15.75" customHeight="1">
      <c r="B34" s="44"/>
      <c r="D34" s="69"/>
      <c r="E34" s="166"/>
      <c r="F34" s="69"/>
    </row>
    <row r="35" spans="2:6" ht="15.75" customHeight="1">
      <c r="B35" s="44"/>
      <c r="D35" s="69"/>
      <c r="E35" s="166"/>
      <c r="F35" s="69"/>
    </row>
    <row r="36" spans="2:6" ht="15.75" customHeight="1">
      <c r="B36" s="44"/>
      <c r="D36" s="69"/>
      <c r="E36" s="166"/>
      <c r="F36" s="69"/>
    </row>
    <row r="37" spans="2:6" ht="15.75" customHeight="1">
      <c r="B37" s="44"/>
      <c r="D37" s="69"/>
      <c r="E37" s="166"/>
      <c r="F37" s="69"/>
    </row>
    <row r="38" spans="2:6" ht="15.75" customHeight="1">
      <c r="B38" s="44"/>
      <c r="D38" s="69"/>
      <c r="E38" s="166"/>
      <c r="F38" s="69"/>
    </row>
    <row r="39" spans="2:6" ht="15.75" customHeight="1">
      <c r="B39" s="44"/>
      <c r="D39" s="69"/>
      <c r="E39" s="166"/>
      <c r="F39" s="69"/>
    </row>
    <row r="40" spans="2:6" ht="15.75" customHeight="1">
      <c r="B40" s="44"/>
      <c r="D40" s="69"/>
      <c r="E40" s="166"/>
      <c r="F40" s="69"/>
    </row>
    <row r="41" spans="2:6" ht="15.75" customHeight="1">
      <c r="B41" s="44"/>
      <c r="D41" s="69"/>
      <c r="E41" s="166"/>
      <c r="F41" s="69"/>
    </row>
    <row r="42" spans="2:6" ht="15.75" customHeight="1">
      <c r="B42" s="44"/>
      <c r="D42" s="69"/>
      <c r="E42" s="166"/>
      <c r="F42" s="69"/>
    </row>
    <row r="43" spans="2:6" ht="15.75" customHeight="1">
      <c r="B43" s="44"/>
      <c r="D43" s="69"/>
      <c r="E43" s="166"/>
      <c r="F43" s="69"/>
    </row>
    <row r="44" spans="2:6" ht="15.75" customHeight="1">
      <c r="B44" s="44"/>
      <c r="D44" s="69"/>
      <c r="E44" s="166"/>
      <c r="F44" s="69"/>
    </row>
    <row r="45" spans="2:6" ht="15.75" customHeight="1">
      <c r="B45" s="44"/>
      <c r="D45" s="69"/>
      <c r="E45" s="166"/>
      <c r="F45" s="69"/>
    </row>
    <row r="46" spans="2:6" ht="15.75" customHeight="1">
      <c r="B46" s="44"/>
      <c r="D46" s="69"/>
      <c r="E46" s="166"/>
      <c r="F46" s="69"/>
    </row>
    <row r="47" spans="2:6" ht="15.75" customHeight="1">
      <c r="B47" s="44"/>
      <c r="D47" s="69"/>
      <c r="E47" s="166"/>
      <c r="F47" s="69"/>
    </row>
    <row r="48" spans="2:6" ht="15.75" customHeight="1">
      <c r="B48" s="44"/>
      <c r="D48" s="69"/>
      <c r="E48" s="166"/>
      <c r="F48" s="69"/>
    </row>
    <row r="49" spans="2:6" ht="15.75" customHeight="1">
      <c r="B49" s="44"/>
      <c r="D49" s="69"/>
      <c r="E49" s="166"/>
      <c r="F49" s="69"/>
    </row>
    <row r="50" spans="2:6" ht="15.75" customHeight="1">
      <c r="B50" s="44"/>
      <c r="D50" s="69"/>
      <c r="E50" s="166"/>
      <c r="F50" s="69"/>
    </row>
    <row r="51" spans="2:6" ht="15.75" customHeight="1">
      <c r="B51" s="44"/>
      <c r="D51" s="69"/>
      <c r="E51" s="166"/>
      <c r="F51" s="69"/>
    </row>
    <row r="52" spans="2:6" ht="15.75" customHeight="1">
      <c r="B52" s="44"/>
      <c r="D52" s="69"/>
      <c r="E52" s="166"/>
      <c r="F52" s="69"/>
    </row>
    <row r="53" spans="2:6" ht="15.75" customHeight="1">
      <c r="B53" s="44"/>
      <c r="D53" s="69"/>
      <c r="E53" s="166"/>
      <c r="F53" s="69"/>
    </row>
    <row r="54" spans="2:6" ht="15.75" customHeight="1">
      <c r="B54" s="44"/>
      <c r="D54" s="69"/>
      <c r="E54" s="166"/>
      <c r="F54" s="69"/>
    </row>
    <row r="55" spans="2:6" ht="15.75" customHeight="1">
      <c r="B55" s="44"/>
      <c r="D55" s="69"/>
      <c r="E55" s="166"/>
      <c r="F55" s="69"/>
    </row>
    <row r="56" spans="2:6" ht="15.75" customHeight="1">
      <c r="B56" s="44"/>
      <c r="D56" s="69"/>
      <c r="E56" s="166"/>
      <c r="F56" s="69"/>
    </row>
    <row r="57" spans="2:6" ht="15.75" customHeight="1">
      <c r="B57" s="44"/>
      <c r="D57" s="69"/>
      <c r="E57" s="166"/>
      <c r="F57" s="69"/>
    </row>
    <row r="58" spans="2:6" ht="15.75" customHeight="1">
      <c r="B58" s="44"/>
      <c r="D58" s="69"/>
      <c r="E58" s="166"/>
      <c r="F58" s="69"/>
    </row>
    <row r="59" spans="2:6" ht="15.75" customHeight="1">
      <c r="B59" s="44"/>
      <c r="D59" s="69"/>
      <c r="E59" s="166"/>
      <c r="F59" s="69"/>
    </row>
    <row r="60" spans="2:6" ht="15.75" customHeight="1">
      <c r="B60" s="44"/>
      <c r="D60" s="69"/>
      <c r="E60" s="166"/>
      <c r="F60" s="69"/>
    </row>
    <row r="61" spans="2:6" ht="15.75" customHeight="1">
      <c r="B61" s="44"/>
      <c r="D61" s="69"/>
      <c r="E61" s="166"/>
      <c r="F61" s="69"/>
    </row>
    <row r="62" spans="2:6" ht="15.75" customHeight="1">
      <c r="B62" s="44"/>
      <c r="D62" s="69"/>
      <c r="E62" s="166"/>
      <c r="F62" s="69"/>
    </row>
    <row r="63" spans="2:6" ht="15.75" customHeight="1">
      <c r="B63" s="44"/>
      <c r="D63" s="69"/>
      <c r="E63" s="166"/>
      <c r="F63" s="69"/>
    </row>
    <row r="64" spans="2:6" ht="15.75" customHeight="1">
      <c r="B64" s="44"/>
      <c r="D64" s="69"/>
      <c r="E64" s="166"/>
      <c r="F64" s="69"/>
    </row>
    <row r="65" spans="2:6" ht="15.75" customHeight="1">
      <c r="B65" s="44"/>
      <c r="D65" s="69"/>
      <c r="E65" s="166"/>
      <c r="F65" s="69"/>
    </row>
    <row r="66" spans="2:6" ht="15.75" customHeight="1">
      <c r="B66" s="44"/>
      <c r="D66" s="69"/>
      <c r="E66" s="166"/>
      <c r="F66" s="69"/>
    </row>
    <row r="67" spans="2:6" ht="15.75" customHeight="1">
      <c r="B67" s="44"/>
      <c r="D67" s="69"/>
      <c r="E67" s="166"/>
      <c r="F67" s="69"/>
    </row>
    <row r="68" spans="2:6" ht="15.75" customHeight="1">
      <c r="B68" s="44"/>
      <c r="D68" s="69"/>
      <c r="E68" s="166"/>
      <c r="F68" s="69"/>
    </row>
    <row r="69" spans="2:6" ht="15.75" customHeight="1">
      <c r="B69" s="44"/>
      <c r="D69" s="69"/>
      <c r="E69" s="166"/>
      <c r="F69" s="69"/>
    </row>
    <row r="70" spans="2:6" ht="15.75" customHeight="1">
      <c r="B70" s="44"/>
      <c r="D70" s="69"/>
      <c r="E70" s="166"/>
      <c r="F70" s="69"/>
    </row>
    <row r="71" spans="2:6" ht="15.75" customHeight="1">
      <c r="B71" s="44"/>
      <c r="D71" s="69"/>
      <c r="E71" s="166"/>
      <c r="F71" s="69"/>
    </row>
    <row r="72" spans="2:6" ht="15.75" customHeight="1">
      <c r="B72" s="44"/>
      <c r="D72" s="69"/>
      <c r="E72" s="166"/>
      <c r="F72" s="69"/>
    </row>
    <row r="73" spans="2:6" ht="15.75" customHeight="1">
      <c r="B73" s="44"/>
      <c r="D73" s="69"/>
      <c r="E73" s="166"/>
      <c r="F73" s="69"/>
    </row>
    <row r="74" spans="2:6" ht="15.75" customHeight="1">
      <c r="B74" s="44"/>
      <c r="D74" s="69"/>
      <c r="E74" s="166"/>
      <c r="F74" s="69"/>
    </row>
    <row r="75" spans="2:6" ht="15.75" customHeight="1">
      <c r="B75" s="44"/>
      <c r="D75" s="69"/>
      <c r="E75" s="166"/>
      <c r="F75" s="69"/>
    </row>
    <row r="76" spans="2:6" ht="15.75" customHeight="1">
      <c r="B76" s="44"/>
      <c r="D76" s="69"/>
      <c r="E76" s="166"/>
      <c r="F76" s="69"/>
    </row>
    <row r="77" spans="2:6" ht="15.75" customHeight="1">
      <c r="B77" s="44"/>
      <c r="D77" s="69"/>
      <c r="E77" s="166"/>
      <c r="F77" s="69"/>
    </row>
    <row r="78" spans="2:6" ht="15.75" customHeight="1">
      <c r="B78" s="44"/>
      <c r="D78" s="69"/>
      <c r="E78" s="166"/>
      <c r="F78" s="69"/>
    </row>
    <row r="79" spans="2:6" ht="15.75" customHeight="1">
      <c r="B79" s="44"/>
      <c r="D79" s="69"/>
      <c r="E79" s="166"/>
      <c r="F79" s="69"/>
    </row>
    <row r="80" spans="2:6" ht="15.75" customHeight="1">
      <c r="B80" s="44"/>
      <c r="D80" s="69"/>
      <c r="E80" s="166"/>
      <c r="F80" s="69"/>
    </row>
    <row r="81" spans="2:6" ht="15.75" customHeight="1">
      <c r="B81" s="44"/>
      <c r="D81" s="69"/>
      <c r="E81" s="166"/>
      <c r="F81" s="69"/>
    </row>
    <row r="82" spans="2:6" ht="15.75" customHeight="1">
      <c r="B82" s="44"/>
      <c r="D82" s="69"/>
      <c r="E82" s="166"/>
      <c r="F82" s="69"/>
    </row>
    <row r="83" spans="2:6" ht="15.75" customHeight="1">
      <c r="B83" s="44"/>
      <c r="D83" s="69"/>
      <c r="E83" s="166"/>
      <c r="F83" s="69"/>
    </row>
    <row r="84" spans="2:6" ht="15.75" customHeight="1">
      <c r="B84" s="44"/>
      <c r="D84" s="69"/>
      <c r="E84" s="166"/>
      <c r="F84" s="69"/>
    </row>
    <row r="85" spans="2:6" ht="15.75" customHeight="1">
      <c r="B85" s="44"/>
      <c r="D85" s="69"/>
      <c r="E85" s="166"/>
      <c r="F85" s="69"/>
    </row>
    <row r="86" spans="2:6" ht="15.75" customHeight="1">
      <c r="B86" s="44"/>
      <c r="D86" s="69"/>
      <c r="E86" s="166"/>
      <c r="F86" s="69"/>
    </row>
    <row r="87" spans="2:6" ht="15.75" customHeight="1">
      <c r="B87" s="44"/>
      <c r="D87" s="69"/>
      <c r="E87" s="166"/>
      <c r="F87" s="69"/>
    </row>
    <row r="88" spans="2:6" ht="15.75" customHeight="1">
      <c r="B88" s="44"/>
      <c r="D88" s="69"/>
      <c r="E88" s="166"/>
      <c r="F88" s="69"/>
    </row>
    <row r="89" spans="2:6" ht="15.75" customHeight="1">
      <c r="B89" s="44"/>
      <c r="D89" s="69"/>
      <c r="E89" s="166"/>
      <c r="F89" s="69"/>
    </row>
    <row r="90" spans="2:6" ht="15.75" customHeight="1">
      <c r="B90" s="44"/>
      <c r="D90" s="69"/>
      <c r="E90" s="166"/>
      <c r="F90" s="69"/>
    </row>
    <row r="91" spans="2:6" ht="15.75" customHeight="1">
      <c r="B91" s="44"/>
      <c r="D91" s="69"/>
      <c r="E91" s="166"/>
      <c r="F91" s="69"/>
    </row>
    <row r="92" spans="2:6" ht="15.75" customHeight="1">
      <c r="B92" s="44"/>
      <c r="D92" s="69"/>
      <c r="E92" s="166"/>
      <c r="F92" s="69"/>
    </row>
    <row r="93" spans="2:6" ht="15.75" customHeight="1">
      <c r="B93" s="44"/>
      <c r="D93" s="69"/>
      <c r="E93" s="166"/>
      <c r="F93" s="69"/>
    </row>
    <row r="94" spans="2:6" ht="15.75" customHeight="1">
      <c r="B94" s="44"/>
      <c r="D94" s="69"/>
      <c r="E94" s="166"/>
      <c r="F94" s="69"/>
    </row>
    <row r="95" spans="2:6" ht="15.75" customHeight="1">
      <c r="B95" s="44"/>
      <c r="D95" s="69"/>
      <c r="E95" s="166"/>
      <c r="F95" s="69"/>
    </row>
    <row r="96" spans="2:6" ht="15.75" customHeight="1">
      <c r="B96" s="44"/>
      <c r="D96" s="69"/>
      <c r="E96" s="166"/>
      <c r="F96" s="69"/>
    </row>
    <row r="97" spans="2:6" ht="15.75" customHeight="1">
      <c r="B97" s="44"/>
      <c r="D97" s="69"/>
      <c r="E97" s="166"/>
      <c r="F97" s="69"/>
    </row>
    <row r="98" spans="2:6" ht="15.75" customHeight="1">
      <c r="B98" s="44"/>
      <c r="D98" s="69"/>
      <c r="E98" s="166"/>
      <c r="F98" s="69"/>
    </row>
    <row r="99" spans="2:6" ht="15.75" customHeight="1">
      <c r="B99" s="44"/>
      <c r="D99" s="69"/>
      <c r="E99" s="166"/>
      <c r="F99" s="69"/>
    </row>
    <row r="100" spans="2:6" ht="15.75" customHeight="1">
      <c r="B100" s="44"/>
      <c r="D100" s="69"/>
      <c r="E100" s="166"/>
      <c r="F100" s="69"/>
    </row>
    <row r="101" spans="2:6" ht="15.75" customHeight="1">
      <c r="B101" s="44"/>
      <c r="D101" s="69"/>
      <c r="E101" s="166"/>
      <c r="F101" s="69"/>
    </row>
    <row r="102" spans="2:6" ht="15.75" customHeight="1">
      <c r="B102" s="44"/>
      <c r="D102" s="69"/>
      <c r="E102" s="166"/>
      <c r="F102" s="69"/>
    </row>
    <row r="103" spans="2:6" ht="15.75" customHeight="1">
      <c r="B103" s="44"/>
      <c r="D103" s="69"/>
      <c r="E103" s="166"/>
      <c r="F103" s="69"/>
    </row>
    <row r="104" spans="2:6" ht="15.75" customHeight="1">
      <c r="B104" s="44"/>
      <c r="D104" s="69"/>
      <c r="E104" s="166"/>
      <c r="F104" s="69"/>
    </row>
    <row r="105" spans="2:6" ht="15.75" customHeight="1">
      <c r="B105" s="44"/>
      <c r="D105" s="69"/>
      <c r="E105" s="166"/>
      <c r="F105" s="69"/>
    </row>
    <row r="106" spans="2:6" ht="15.75" customHeight="1">
      <c r="B106" s="44"/>
      <c r="D106" s="69"/>
      <c r="E106" s="166"/>
      <c r="F106" s="69"/>
    </row>
    <row r="107" spans="2:6" ht="15.75" customHeight="1">
      <c r="B107" s="44"/>
      <c r="D107" s="69"/>
      <c r="E107" s="166"/>
      <c r="F107" s="69"/>
    </row>
    <row r="108" spans="2:6" ht="15.75" customHeight="1">
      <c r="B108" s="44"/>
      <c r="D108" s="69"/>
      <c r="E108" s="166"/>
      <c r="F108" s="69"/>
    </row>
    <row r="109" spans="2:6" ht="15.75" customHeight="1">
      <c r="B109" s="44"/>
      <c r="D109" s="69"/>
      <c r="E109" s="166"/>
      <c r="F109" s="69"/>
    </row>
    <row r="110" spans="2:6" ht="15.75" customHeight="1">
      <c r="B110" s="44"/>
      <c r="D110" s="69"/>
      <c r="E110" s="166"/>
      <c r="F110" s="69"/>
    </row>
    <row r="111" spans="2:6" ht="15.75" customHeight="1">
      <c r="B111" s="44"/>
      <c r="D111" s="69"/>
      <c r="E111" s="166"/>
      <c r="F111" s="69"/>
    </row>
    <row r="112" spans="2:6" ht="15.75" customHeight="1">
      <c r="B112" s="44"/>
      <c r="D112" s="69"/>
      <c r="E112" s="166"/>
      <c r="F112" s="69"/>
    </row>
    <row r="113" spans="2:6" ht="15.75" customHeight="1">
      <c r="B113" s="44"/>
      <c r="D113" s="69"/>
      <c r="E113" s="166"/>
      <c r="F113" s="69"/>
    </row>
    <row r="114" spans="2:6" ht="15.75" customHeight="1">
      <c r="B114" s="44"/>
      <c r="D114" s="69"/>
      <c r="E114" s="166"/>
      <c r="F114" s="69"/>
    </row>
    <row r="115" spans="2:6" ht="15.75" customHeight="1">
      <c r="B115" s="44"/>
      <c r="D115" s="69"/>
      <c r="E115" s="166"/>
      <c r="F115" s="69"/>
    </row>
    <row r="116" spans="2:6" ht="15.75" customHeight="1">
      <c r="B116" s="44"/>
      <c r="D116" s="69"/>
      <c r="E116" s="166"/>
      <c r="F116" s="69"/>
    </row>
    <row r="117" spans="2:6" ht="15.75" customHeight="1">
      <c r="B117" s="44"/>
      <c r="D117" s="69"/>
      <c r="E117" s="166"/>
      <c r="F117" s="69"/>
    </row>
    <row r="118" spans="2:6" ht="15.75" customHeight="1">
      <c r="B118" s="44"/>
      <c r="D118" s="69"/>
      <c r="E118" s="166"/>
      <c r="F118" s="69"/>
    </row>
    <row r="119" spans="2:6" ht="15.75" customHeight="1">
      <c r="B119" s="44"/>
      <c r="D119" s="69"/>
      <c r="E119" s="166"/>
      <c r="F119" s="69"/>
    </row>
    <row r="120" spans="2:6" ht="15.75" customHeight="1">
      <c r="B120" s="44"/>
      <c r="D120" s="69"/>
      <c r="E120" s="166"/>
      <c r="F120" s="69"/>
    </row>
    <row r="121" spans="2:6" ht="15.75" customHeight="1">
      <c r="B121" s="44"/>
      <c r="D121" s="69"/>
      <c r="E121" s="166"/>
      <c r="F121" s="69"/>
    </row>
    <row r="122" spans="2:6" ht="15.75" customHeight="1">
      <c r="B122" s="44"/>
      <c r="D122" s="69"/>
      <c r="E122" s="166"/>
      <c r="F122" s="69"/>
    </row>
    <row r="123" spans="2:6" ht="15.75" customHeight="1">
      <c r="B123" s="44"/>
      <c r="D123" s="69"/>
      <c r="E123" s="166"/>
      <c r="F123" s="69"/>
    </row>
    <row r="124" spans="2:6" ht="15.75" customHeight="1">
      <c r="B124" s="44"/>
      <c r="D124" s="69"/>
      <c r="E124" s="166"/>
      <c r="F124" s="69"/>
    </row>
    <row r="125" spans="2:6" ht="15.75" customHeight="1">
      <c r="B125" s="44"/>
      <c r="D125" s="69"/>
      <c r="E125" s="166"/>
      <c r="F125" s="69"/>
    </row>
    <row r="126" spans="2:6" ht="15.75" customHeight="1">
      <c r="B126" s="44"/>
      <c r="D126" s="69"/>
      <c r="E126" s="166"/>
      <c r="F126" s="69"/>
    </row>
    <row r="127" spans="2:6" ht="15.75" customHeight="1">
      <c r="B127" s="44"/>
      <c r="D127" s="69"/>
      <c r="E127" s="166"/>
      <c r="F127" s="69"/>
    </row>
    <row r="128" spans="2:6" ht="15.75" customHeight="1">
      <c r="B128" s="44"/>
      <c r="D128" s="69"/>
      <c r="E128" s="166"/>
      <c r="F128" s="69"/>
    </row>
    <row r="129" spans="2:6" ht="15.75" customHeight="1">
      <c r="B129" s="44"/>
      <c r="D129" s="69"/>
      <c r="E129" s="166"/>
      <c r="F129" s="69"/>
    </row>
    <row r="130" spans="2:6" ht="15.75" customHeight="1">
      <c r="B130" s="44"/>
      <c r="D130" s="69"/>
      <c r="E130" s="166"/>
      <c r="F130" s="69"/>
    </row>
    <row r="131" spans="2:6" ht="15.75" customHeight="1">
      <c r="B131" s="44"/>
      <c r="D131" s="69"/>
      <c r="E131" s="166"/>
      <c r="F131" s="69"/>
    </row>
    <row r="132" spans="2:6" ht="15.75" customHeight="1">
      <c r="B132" s="44"/>
      <c r="D132" s="69"/>
      <c r="E132" s="166"/>
      <c r="F132" s="69"/>
    </row>
    <row r="133" spans="2:6" ht="15.75" customHeight="1">
      <c r="B133" s="44"/>
      <c r="D133" s="69"/>
      <c r="E133" s="166"/>
      <c r="F133" s="69"/>
    </row>
    <row r="134" spans="2:6" ht="15.75" customHeight="1">
      <c r="B134" s="44"/>
      <c r="D134" s="69"/>
      <c r="E134" s="166"/>
      <c r="F134" s="69"/>
    </row>
    <row r="135" spans="2:6" ht="15.75" customHeight="1">
      <c r="B135" s="44"/>
      <c r="D135" s="69"/>
      <c r="E135" s="166"/>
      <c r="F135" s="69"/>
    </row>
    <row r="136" spans="2:6" ht="15.75" customHeight="1">
      <c r="B136" s="44"/>
      <c r="D136" s="69"/>
      <c r="E136" s="166"/>
      <c r="F136" s="69"/>
    </row>
    <row r="137" spans="2:6" ht="15.75" customHeight="1">
      <c r="B137" s="44"/>
      <c r="D137" s="69"/>
      <c r="E137" s="166"/>
      <c r="F137" s="69"/>
    </row>
    <row r="138" spans="2:6" ht="15.75" customHeight="1">
      <c r="B138" s="44"/>
      <c r="D138" s="69"/>
      <c r="E138" s="166"/>
      <c r="F138" s="69"/>
    </row>
    <row r="139" spans="2:6" ht="15.75" customHeight="1">
      <c r="B139" s="44"/>
      <c r="D139" s="69"/>
      <c r="E139" s="166"/>
      <c r="F139" s="69"/>
    </row>
    <row r="140" spans="2:6" ht="15.75" customHeight="1">
      <c r="B140" s="44"/>
      <c r="D140" s="69"/>
      <c r="E140" s="166"/>
      <c r="F140" s="69"/>
    </row>
    <row r="141" spans="2:6" ht="15.75" customHeight="1">
      <c r="B141" s="44"/>
      <c r="D141" s="69"/>
      <c r="E141" s="166"/>
      <c r="F141" s="69"/>
    </row>
    <row r="142" spans="2:6" ht="15.75" customHeight="1">
      <c r="B142" s="44"/>
      <c r="D142" s="69"/>
      <c r="E142" s="166"/>
      <c r="F142" s="69"/>
    </row>
    <row r="143" spans="2:6" ht="15.75" customHeight="1">
      <c r="B143" s="44"/>
      <c r="D143" s="69"/>
      <c r="E143" s="166"/>
      <c r="F143" s="69"/>
    </row>
    <row r="144" spans="2:6" ht="15.75" customHeight="1">
      <c r="B144" s="44"/>
      <c r="D144" s="69"/>
      <c r="E144" s="166"/>
      <c r="F144" s="69"/>
    </row>
    <row r="145" spans="2:6" ht="15.75" customHeight="1">
      <c r="B145" s="44"/>
      <c r="D145" s="69"/>
      <c r="E145" s="166"/>
      <c r="F145" s="69"/>
    </row>
    <row r="146" spans="2:6" ht="15.75" customHeight="1">
      <c r="B146" s="44"/>
      <c r="D146" s="69"/>
      <c r="E146" s="166"/>
      <c r="F146" s="69"/>
    </row>
    <row r="147" spans="2:6" ht="15.75" customHeight="1">
      <c r="B147" s="44"/>
      <c r="D147" s="69"/>
      <c r="E147" s="166"/>
      <c r="F147" s="69"/>
    </row>
    <row r="148" spans="2:6" ht="15.75" customHeight="1">
      <c r="B148" s="44"/>
      <c r="D148" s="69"/>
      <c r="E148" s="166"/>
      <c r="F148" s="69"/>
    </row>
    <row r="149" spans="2:6" ht="15.75" customHeight="1">
      <c r="B149" s="44"/>
      <c r="D149" s="69"/>
      <c r="E149" s="166"/>
      <c r="F149" s="69"/>
    </row>
    <row r="150" spans="2:6" ht="15.75" customHeight="1">
      <c r="B150" s="44"/>
      <c r="D150" s="69"/>
      <c r="E150" s="166"/>
      <c r="F150" s="69"/>
    </row>
    <row r="151" spans="2:6" ht="15.75" customHeight="1">
      <c r="B151" s="44"/>
      <c r="D151" s="69"/>
      <c r="E151" s="166"/>
      <c r="F151" s="69"/>
    </row>
    <row r="152" spans="2:6" ht="15.75" customHeight="1">
      <c r="B152" s="44"/>
      <c r="D152" s="69"/>
      <c r="E152" s="166"/>
      <c r="F152" s="69"/>
    </row>
    <row r="153" spans="2:6" ht="15.75" customHeight="1">
      <c r="B153" s="44"/>
      <c r="D153" s="69"/>
      <c r="E153" s="166"/>
      <c r="F153" s="69"/>
    </row>
    <row r="154" spans="2:6" ht="15.75" customHeight="1">
      <c r="B154" s="44"/>
      <c r="D154" s="69"/>
      <c r="E154" s="166"/>
      <c r="F154" s="69"/>
    </row>
    <row r="155" spans="2:6" ht="15.75" customHeight="1">
      <c r="B155" s="44"/>
      <c r="D155" s="69"/>
      <c r="E155" s="166"/>
      <c r="F155" s="69"/>
    </row>
    <row r="156" spans="2:6" ht="15.75" customHeight="1">
      <c r="B156" s="44"/>
      <c r="D156" s="69"/>
      <c r="E156" s="166"/>
      <c r="F156" s="69"/>
    </row>
    <row r="157" spans="2:6" ht="15.75" customHeight="1">
      <c r="B157" s="44"/>
      <c r="D157" s="69"/>
      <c r="E157" s="166"/>
      <c r="F157" s="69"/>
    </row>
    <row r="158" spans="2:6" ht="15.75" customHeight="1">
      <c r="B158" s="44"/>
      <c r="D158" s="69"/>
      <c r="E158" s="166"/>
      <c r="F158" s="69"/>
    </row>
    <row r="159" spans="2:6" ht="15.75" customHeight="1">
      <c r="B159" s="44"/>
      <c r="D159" s="69"/>
      <c r="E159" s="166"/>
      <c r="F159" s="69"/>
    </row>
    <row r="160" spans="2:6" ht="15.75" customHeight="1">
      <c r="B160" s="44"/>
      <c r="D160" s="69"/>
      <c r="E160" s="166"/>
      <c r="F160" s="69"/>
    </row>
    <row r="161" spans="2:6" ht="15.75" customHeight="1">
      <c r="B161" s="44"/>
      <c r="D161" s="69"/>
      <c r="E161" s="166"/>
      <c r="F161" s="69"/>
    </row>
    <row r="162" spans="2:6" ht="15.75" customHeight="1">
      <c r="B162" s="44"/>
      <c r="D162" s="69"/>
      <c r="E162" s="166"/>
      <c r="F162" s="69"/>
    </row>
    <row r="163" spans="2:6" ht="15.75" customHeight="1">
      <c r="B163" s="44"/>
      <c r="D163" s="69"/>
      <c r="E163" s="166"/>
      <c r="F163" s="69"/>
    </row>
    <row r="164" spans="2:6" ht="15.75" customHeight="1">
      <c r="B164" s="44"/>
      <c r="D164" s="69"/>
      <c r="E164" s="166"/>
      <c r="F164" s="69"/>
    </row>
    <row r="165" spans="2:6" ht="15.75" customHeight="1">
      <c r="B165" s="44"/>
      <c r="D165" s="69"/>
      <c r="E165" s="166"/>
      <c r="F165" s="69"/>
    </row>
    <row r="166" spans="2:6" ht="15.75" customHeight="1">
      <c r="B166" s="44"/>
      <c r="D166" s="69"/>
      <c r="E166" s="166"/>
      <c r="F166" s="69"/>
    </row>
    <row r="167" spans="2:6" ht="15.75" customHeight="1">
      <c r="B167" s="44"/>
      <c r="D167" s="69"/>
      <c r="E167" s="166"/>
      <c r="F167" s="69"/>
    </row>
    <row r="168" spans="2:6" ht="15.75" customHeight="1">
      <c r="B168" s="44"/>
      <c r="D168" s="69"/>
      <c r="E168" s="166"/>
      <c r="F168" s="69"/>
    </row>
    <row r="169" spans="2:6" ht="15.75" customHeight="1">
      <c r="B169" s="44"/>
      <c r="D169" s="69"/>
      <c r="E169" s="166"/>
      <c r="F169" s="69"/>
    </row>
    <row r="170" spans="2:6" ht="15.75" customHeight="1">
      <c r="B170" s="44"/>
      <c r="D170" s="69"/>
      <c r="E170" s="166"/>
      <c r="F170" s="69"/>
    </row>
    <row r="171" spans="2:6" ht="15.75" customHeight="1">
      <c r="B171" s="44"/>
      <c r="D171" s="69"/>
      <c r="E171" s="166"/>
      <c r="F171" s="69"/>
    </row>
    <row r="172" spans="2:6" ht="15.75" customHeight="1">
      <c r="B172" s="44"/>
      <c r="D172" s="69"/>
      <c r="E172" s="166"/>
      <c r="F172" s="69"/>
    </row>
    <row r="173" spans="2:6" ht="15.75" customHeight="1">
      <c r="B173" s="44"/>
      <c r="D173" s="69"/>
      <c r="E173" s="166"/>
      <c r="F173" s="69"/>
    </row>
    <row r="174" spans="2:6" ht="15.75" customHeight="1">
      <c r="B174" s="44"/>
      <c r="D174" s="69"/>
      <c r="E174" s="166"/>
      <c r="F174" s="69"/>
    </row>
    <row r="175" spans="2:6" ht="15.75" customHeight="1">
      <c r="B175" s="44"/>
      <c r="D175" s="69"/>
      <c r="E175" s="166"/>
      <c r="F175" s="69"/>
    </row>
    <row r="176" spans="2:6" ht="15.75" customHeight="1">
      <c r="B176" s="44"/>
      <c r="D176" s="69"/>
      <c r="E176" s="166"/>
      <c r="F176" s="69"/>
    </row>
    <row r="177" spans="2:6" ht="15.75" customHeight="1">
      <c r="B177" s="44"/>
      <c r="D177" s="69"/>
      <c r="E177" s="166"/>
      <c r="F177" s="69"/>
    </row>
    <row r="178" spans="2:6" ht="15.75" customHeight="1">
      <c r="B178" s="44"/>
      <c r="D178" s="69"/>
      <c r="E178" s="166"/>
      <c r="F178" s="69"/>
    </row>
    <row r="179" spans="2:6" ht="15.75" customHeight="1">
      <c r="B179" s="44"/>
      <c r="D179" s="69"/>
      <c r="E179" s="166"/>
      <c r="F179" s="69"/>
    </row>
    <row r="180" spans="2:6" ht="15.75" customHeight="1">
      <c r="B180" s="44"/>
      <c r="D180" s="69"/>
      <c r="E180" s="166"/>
      <c r="F180" s="69"/>
    </row>
    <row r="181" spans="2:6" ht="15.75" customHeight="1">
      <c r="B181" s="44"/>
      <c r="D181" s="69"/>
      <c r="E181" s="166"/>
      <c r="F181" s="69"/>
    </row>
    <row r="182" spans="2:6" ht="15.75" customHeight="1">
      <c r="B182" s="44"/>
      <c r="D182" s="69"/>
      <c r="E182" s="166"/>
      <c r="F182" s="69"/>
    </row>
    <row r="183" spans="2:6" ht="15.75" customHeight="1">
      <c r="B183" s="44"/>
      <c r="D183" s="69"/>
      <c r="E183" s="166"/>
      <c r="F183" s="69"/>
    </row>
    <row r="184" spans="2:6" ht="15.75" customHeight="1">
      <c r="B184" s="44"/>
      <c r="D184" s="69"/>
      <c r="E184" s="166"/>
      <c r="F184" s="69"/>
    </row>
    <row r="185" spans="2:6" ht="15.75" customHeight="1">
      <c r="B185" s="44"/>
      <c r="D185" s="69"/>
      <c r="E185" s="166"/>
      <c r="F185" s="69"/>
    </row>
    <row r="186" spans="2:6" ht="15.75" customHeight="1">
      <c r="B186" s="44"/>
      <c r="D186" s="69"/>
      <c r="E186" s="166"/>
      <c r="F186" s="69"/>
    </row>
    <row r="187" spans="2:6" ht="15.75" customHeight="1">
      <c r="B187" s="44"/>
      <c r="D187" s="69"/>
      <c r="E187" s="166"/>
      <c r="F187" s="69"/>
    </row>
    <row r="188" spans="2:6" ht="15.75" customHeight="1">
      <c r="B188" s="44"/>
      <c r="D188" s="69"/>
      <c r="E188" s="166"/>
      <c r="F188" s="69"/>
    </row>
    <row r="189" spans="2:6" ht="15.75" customHeight="1">
      <c r="B189" s="44"/>
      <c r="D189" s="69"/>
      <c r="E189" s="166"/>
      <c r="F189" s="69"/>
    </row>
    <row r="190" spans="2:6" ht="15.75" customHeight="1">
      <c r="B190" s="44"/>
      <c r="D190" s="69"/>
      <c r="E190" s="166"/>
      <c r="F190" s="69"/>
    </row>
    <row r="191" spans="2:6" ht="15.75" customHeight="1">
      <c r="B191" s="44"/>
      <c r="D191" s="69"/>
      <c r="E191" s="166"/>
      <c r="F191" s="69"/>
    </row>
    <row r="192" spans="2:6" ht="15.75" customHeight="1">
      <c r="B192" s="44"/>
      <c r="D192" s="69"/>
      <c r="E192" s="166"/>
      <c r="F192" s="69"/>
    </row>
    <row r="193" spans="2:6" ht="15.75" customHeight="1">
      <c r="B193" s="44"/>
      <c r="D193" s="69"/>
      <c r="E193" s="166"/>
      <c r="F193" s="69"/>
    </row>
    <row r="194" spans="2:6" ht="15.75" customHeight="1">
      <c r="B194" s="44"/>
      <c r="D194" s="69"/>
      <c r="E194" s="166"/>
      <c r="F194" s="69"/>
    </row>
    <row r="195" spans="2:6" ht="15.75" customHeight="1">
      <c r="B195" s="44"/>
      <c r="D195" s="69"/>
      <c r="E195" s="166"/>
      <c r="F195" s="69"/>
    </row>
    <row r="196" spans="2:6" ht="15.75" customHeight="1">
      <c r="B196" s="44"/>
      <c r="D196" s="69"/>
      <c r="E196" s="166"/>
      <c r="F196" s="69"/>
    </row>
    <row r="197" spans="2:6" ht="15.75" customHeight="1">
      <c r="B197" s="44"/>
      <c r="D197" s="69"/>
      <c r="E197" s="166"/>
      <c r="F197" s="69"/>
    </row>
    <row r="198" spans="2:6" ht="15.75" customHeight="1">
      <c r="B198" s="44"/>
      <c r="D198" s="69"/>
      <c r="E198" s="166"/>
      <c r="F198" s="69"/>
    </row>
    <row r="199" spans="2:6" ht="15.75" customHeight="1">
      <c r="B199" s="44"/>
      <c r="D199" s="69"/>
      <c r="E199" s="166"/>
      <c r="F199" s="69"/>
    </row>
    <row r="200" spans="2:6" ht="15.75" customHeight="1">
      <c r="B200" s="44"/>
      <c r="D200" s="69"/>
      <c r="E200" s="166"/>
      <c r="F200" s="69"/>
    </row>
    <row r="201" spans="2:6" ht="15.75" customHeight="1">
      <c r="B201" s="44"/>
      <c r="D201" s="69"/>
      <c r="E201" s="166"/>
      <c r="F201" s="69"/>
    </row>
    <row r="202" spans="2:6" ht="15.75" customHeight="1">
      <c r="B202" s="44"/>
      <c r="D202" s="69"/>
      <c r="E202" s="166"/>
      <c r="F202" s="69"/>
    </row>
    <row r="203" spans="2:6" ht="15.75" customHeight="1">
      <c r="B203" s="44"/>
      <c r="D203" s="69"/>
      <c r="E203" s="166"/>
      <c r="F203" s="69"/>
    </row>
    <row r="204" spans="2:6" ht="15.75" customHeight="1">
      <c r="B204" s="44"/>
      <c r="D204" s="69"/>
      <c r="E204" s="166"/>
      <c r="F204" s="69"/>
    </row>
    <row r="205" spans="2:6" ht="15.75" customHeight="1">
      <c r="B205" s="44"/>
      <c r="D205" s="69"/>
      <c r="E205" s="166"/>
      <c r="F205" s="69"/>
    </row>
    <row r="206" spans="2:6" ht="15.75" customHeight="1">
      <c r="B206" s="44"/>
      <c r="D206" s="69"/>
      <c r="E206" s="166"/>
      <c r="F206" s="69"/>
    </row>
    <row r="207" spans="2:6" ht="15.75" customHeight="1">
      <c r="B207" s="44"/>
      <c r="D207" s="69"/>
      <c r="E207" s="166"/>
      <c r="F207" s="69"/>
    </row>
    <row r="208" spans="2:6" ht="15.75" customHeight="1">
      <c r="B208" s="44"/>
      <c r="D208" s="69"/>
      <c r="E208" s="166"/>
      <c r="F208" s="69"/>
    </row>
    <row r="209" spans="2:6" ht="15.75" customHeight="1">
      <c r="B209" s="44"/>
      <c r="D209" s="69"/>
      <c r="E209" s="166"/>
      <c r="F209" s="69"/>
    </row>
    <row r="210" spans="2:6" ht="15.75" customHeight="1">
      <c r="B210" s="44"/>
      <c r="D210" s="69"/>
      <c r="E210" s="166"/>
      <c r="F210" s="69"/>
    </row>
    <row r="211" spans="2:6" ht="15.75" customHeight="1">
      <c r="B211" s="44"/>
      <c r="D211" s="69"/>
      <c r="E211" s="166"/>
      <c r="F211" s="69"/>
    </row>
    <row r="212" spans="2:6" ht="15.75" customHeight="1">
      <c r="B212" s="44"/>
      <c r="D212" s="69"/>
      <c r="E212" s="166"/>
      <c r="F212" s="69"/>
    </row>
    <row r="213" spans="2:6" ht="15.75" customHeight="1">
      <c r="B213" s="44"/>
      <c r="D213" s="69"/>
      <c r="E213" s="166"/>
      <c r="F213" s="69"/>
    </row>
    <row r="214" spans="2:6" ht="15.75" customHeight="1">
      <c r="B214" s="44"/>
      <c r="D214" s="69"/>
      <c r="E214" s="166"/>
      <c r="F214" s="69"/>
    </row>
    <row r="215" spans="2:6" ht="15.75" customHeight="1">
      <c r="B215" s="44"/>
      <c r="D215" s="69"/>
      <c r="E215" s="166"/>
      <c r="F215" s="69"/>
    </row>
    <row r="216" spans="2:6" ht="15.75" customHeight="1">
      <c r="B216" s="44"/>
      <c r="D216" s="69"/>
      <c r="E216" s="166"/>
      <c r="F216" s="69"/>
    </row>
    <row r="217" spans="2:6" ht="15.75" customHeight="1">
      <c r="B217" s="44"/>
      <c r="D217" s="69"/>
      <c r="E217" s="166"/>
      <c r="F217" s="69"/>
    </row>
    <row r="218" spans="2:6" ht="15.75" customHeight="1">
      <c r="B218" s="44"/>
      <c r="D218" s="69"/>
      <c r="E218" s="166"/>
      <c r="F218" s="69"/>
    </row>
    <row r="219" spans="2:6" ht="15.75" customHeight="1">
      <c r="B219" s="44"/>
      <c r="D219" s="69"/>
      <c r="E219" s="166"/>
      <c r="F219" s="69"/>
    </row>
    <row r="220" spans="2:6" ht="15.75" customHeight="1">
      <c r="B220" s="44"/>
      <c r="D220" s="69"/>
      <c r="E220" s="166"/>
      <c r="F220" s="69"/>
    </row>
    <row r="221" spans="2:6" ht="15.75" customHeight="1"/>
    <row r="222" spans="2:6" ht="15.75" customHeight="1"/>
    <row r="223" spans="2:6" ht="15.75" customHeight="1"/>
    <row r="224" spans="2: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6:C6"/>
  </mergeCells>
  <pageMargins left="0.7" right="0.7" top="0.75" bottom="0.75" header="0" footer="0"/>
  <pageSetup orientation="landscape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B3E5A1"/>
  </sheetPr>
  <dimension ref="A2:D1000"/>
  <sheetViews>
    <sheetView workbookViewId="0">
      <selection activeCell="A29" sqref="A29"/>
    </sheetView>
  </sheetViews>
  <sheetFormatPr baseColWidth="10" defaultColWidth="12.5" defaultRowHeight="15" customHeight="1"/>
  <cols>
    <col min="1" max="1" width="110.875" customWidth="1"/>
    <col min="2" max="2" width="19.125" customWidth="1"/>
    <col min="3" max="3" width="10.5" customWidth="1"/>
    <col min="4" max="4" width="16.5" customWidth="1"/>
    <col min="5" max="6" width="10.5" customWidth="1"/>
  </cols>
  <sheetData>
    <row r="2" spans="1:4" ht="14.25">
      <c r="A2" s="40" t="s">
        <v>731</v>
      </c>
      <c r="B2" s="40" t="s">
        <v>732</v>
      </c>
    </row>
    <row r="3" spans="1:4" ht="14.25">
      <c r="A3" s="40">
        <v>4556</v>
      </c>
      <c r="B3" s="115">
        <v>57271530</v>
      </c>
    </row>
    <row r="4" spans="1:4" ht="14.25">
      <c r="A4" s="40">
        <v>4474</v>
      </c>
      <c r="B4" s="115">
        <v>23661800</v>
      </c>
    </row>
    <row r="5" spans="1:4" ht="14.25">
      <c r="A5" s="40">
        <v>4314</v>
      </c>
      <c r="B5" s="115">
        <v>40301190</v>
      </c>
    </row>
    <row r="6" spans="1:4" ht="14.25">
      <c r="A6" s="40">
        <v>4240</v>
      </c>
      <c r="B6" s="115">
        <v>24605110</v>
      </c>
    </row>
    <row r="7" spans="1:4" ht="14.25">
      <c r="A7" s="40" t="s">
        <v>197</v>
      </c>
      <c r="B7" s="115">
        <f>SUM(B3:B6)</f>
        <v>145839630</v>
      </c>
    </row>
    <row r="8" spans="1:4" ht="14.25">
      <c r="A8" s="40" t="s">
        <v>137</v>
      </c>
      <c r="B8" s="115">
        <f>B7/4</f>
        <v>36459907.5</v>
      </c>
      <c r="D8" t="s">
        <v>1058</v>
      </c>
    </row>
    <row r="10" spans="1:4" ht="14.25">
      <c r="A10" s="120" t="s">
        <v>733</v>
      </c>
    </row>
    <row r="12" spans="1:4" ht="14.25">
      <c r="A12" s="120" t="s">
        <v>734</v>
      </c>
    </row>
    <row r="13" spans="1:4" ht="14.25">
      <c r="B13" s="51" t="s">
        <v>735</v>
      </c>
      <c r="C13" s="51" t="s">
        <v>736</v>
      </c>
      <c r="D13" s="51" t="s">
        <v>103</v>
      </c>
    </row>
    <row r="14" spans="1:4" ht="14.25">
      <c r="B14" s="119">
        <v>30000000</v>
      </c>
      <c r="C14" s="51">
        <v>3</v>
      </c>
      <c r="D14" s="119">
        <f>B14*C14</f>
        <v>90000000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B3E5A1"/>
  </sheetPr>
  <dimension ref="A1:I998"/>
  <sheetViews>
    <sheetView topLeftCell="A100" workbookViewId="0">
      <selection activeCell="E107" sqref="E107"/>
    </sheetView>
  </sheetViews>
  <sheetFormatPr baseColWidth="10" defaultColWidth="12.5" defaultRowHeight="15" customHeight="1"/>
  <cols>
    <col min="1" max="1" width="6.125" customWidth="1"/>
    <col min="2" max="2" width="43.5" customWidth="1"/>
    <col min="3" max="3" width="16.125" customWidth="1"/>
    <col min="4" max="4" width="11.25" customWidth="1"/>
    <col min="5" max="5" width="16.5" customWidth="1"/>
    <col min="6" max="6" width="13.25" style="285" customWidth="1"/>
    <col min="7" max="7" width="10.5" style="288" customWidth="1"/>
  </cols>
  <sheetData>
    <row r="1" spans="1:9" ht="30">
      <c r="A1" s="178" t="s">
        <v>95</v>
      </c>
      <c r="B1" s="179" t="s">
        <v>737</v>
      </c>
      <c r="C1" s="178" t="s">
        <v>266</v>
      </c>
      <c r="D1" s="178" t="s">
        <v>738</v>
      </c>
      <c r="E1" s="180" t="s">
        <v>739</v>
      </c>
      <c r="F1" s="281" t="s">
        <v>740</v>
      </c>
      <c r="G1" s="286" t="s">
        <v>137</v>
      </c>
    </row>
    <row r="2" spans="1:9" ht="30" customHeight="1">
      <c r="A2" s="181">
        <v>1</v>
      </c>
      <c r="B2" s="182" t="s">
        <v>741</v>
      </c>
      <c r="C2" s="182" t="s">
        <v>266</v>
      </c>
      <c r="D2" s="182" t="s">
        <v>742</v>
      </c>
      <c r="E2" s="183">
        <v>7008</v>
      </c>
      <c r="F2" s="282">
        <v>7797</v>
      </c>
      <c r="G2" s="287">
        <f t="shared" ref="G2:G33" si="0">AVERAGE(E2:F2)</f>
        <v>7402.5</v>
      </c>
    </row>
    <row r="3" spans="1:9" ht="42.75" customHeight="1">
      <c r="A3" s="181">
        <v>2</v>
      </c>
      <c r="B3" s="182" t="s">
        <v>743</v>
      </c>
      <c r="C3" s="182" t="s">
        <v>266</v>
      </c>
      <c r="D3" s="182" t="s">
        <v>742</v>
      </c>
      <c r="E3" s="183">
        <v>43355</v>
      </c>
      <c r="F3" s="282">
        <v>50830</v>
      </c>
      <c r="G3" s="287">
        <f t="shared" si="0"/>
        <v>47092.5</v>
      </c>
    </row>
    <row r="4" spans="1:9" ht="36.75" customHeight="1">
      <c r="A4" s="181">
        <v>3</v>
      </c>
      <c r="B4" s="182" t="s">
        <v>744</v>
      </c>
      <c r="C4" s="182" t="s">
        <v>266</v>
      </c>
      <c r="D4" s="182" t="s">
        <v>742</v>
      </c>
      <c r="E4" s="183">
        <v>352993</v>
      </c>
      <c r="F4" s="282">
        <v>461860</v>
      </c>
      <c r="G4" s="287">
        <f t="shared" si="0"/>
        <v>407426.5</v>
      </c>
    </row>
    <row r="5" spans="1:9" ht="14.25">
      <c r="A5" s="181">
        <v>4</v>
      </c>
      <c r="B5" s="182" t="s">
        <v>745</v>
      </c>
      <c r="C5" s="182" t="s">
        <v>266</v>
      </c>
      <c r="D5" s="182" t="s">
        <v>742</v>
      </c>
      <c r="E5" s="183">
        <v>6391</v>
      </c>
      <c r="F5" s="282">
        <v>7052</v>
      </c>
      <c r="G5" s="287">
        <f t="shared" si="0"/>
        <v>6721.5</v>
      </c>
    </row>
    <row r="6" spans="1:9" ht="14.25">
      <c r="A6" s="181">
        <v>5</v>
      </c>
      <c r="B6" s="182" t="s">
        <v>746</v>
      </c>
      <c r="C6" s="182" t="s">
        <v>747</v>
      </c>
      <c r="D6" s="182" t="s">
        <v>748</v>
      </c>
      <c r="E6" s="183">
        <v>7247</v>
      </c>
      <c r="F6" s="282">
        <v>7747</v>
      </c>
      <c r="G6" s="287">
        <f t="shared" si="0"/>
        <v>7497</v>
      </c>
    </row>
    <row r="7" spans="1:9" ht="14.25">
      <c r="A7" s="181">
        <v>6</v>
      </c>
      <c r="B7" s="182" t="s">
        <v>749</v>
      </c>
      <c r="C7" s="182" t="s">
        <v>334</v>
      </c>
      <c r="D7" s="182" t="s">
        <v>742</v>
      </c>
      <c r="E7" s="183">
        <v>62654</v>
      </c>
      <c r="F7" s="282">
        <v>73328</v>
      </c>
      <c r="G7" s="287">
        <f t="shared" si="0"/>
        <v>67991</v>
      </c>
    </row>
    <row r="8" spans="1:9" ht="14.25">
      <c r="A8" s="181">
        <v>7</v>
      </c>
      <c r="B8" s="182" t="s">
        <v>750</v>
      </c>
      <c r="C8" s="182" t="s">
        <v>751</v>
      </c>
      <c r="D8" s="182" t="s">
        <v>742</v>
      </c>
      <c r="E8" s="183">
        <v>15445</v>
      </c>
      <c r="F8" s="282">
        <v>18602</v>
      </c>
      <c r="G8" s="287">
        <f t="shared" si="0"/>
        <v>17023.5</v>
      </c>
      <c r="I8" s="229" t="s">
        <v>969</v>
      </c>
    </row>
    <row r="9" spans="1:9" ht="14.25">
      <c r="A9" s="181">
        <v>8</v>
      </c>
      <c r="B9" s="182" t="s">
        <v>752</v>
      </c>
      <c r="C9" s="182" t="s">
        <v>753</v>
      </c>
      <c r="D9" s="182" t="s">
        <v>742</v>
      </c>
      <c r="E9" s="183">
        <v>3106</v>
      </c>
      <c r="F9" s="282">
        <v>3641</v>
      </c>
      <c r="G9" s="287">
        <f t="shared" si="0"/>
        <v>3373.5</v>
      </c>
      <c r="I9" s="247" t="s">
        <v>1060</v>
      </c>
    </row>
    <row r="10" spans="1:9" ht="28.5">
      <c r="A10" s="181">
        <v>9</v>
      </c>
      <c r="B10" s="182" t="s">
        <v>754</v>
      </c>
      <c r="C10" s="182" t="s">
        <v>755</v>
      </c>
      <c r="D10" s="182" t="s">
        <v>742</v>
      </c>
      <c r="E10" s="183">
        <v>5548</v>
      </c>
      <c r="F10" s="282">
        <v>7397</v>
      </c>
      <c r="G10" s="287">
        <f t="shared" si="0"/>
        <v>6472.5</v>
      </c>
    </row>
    <row r="11" spans="1:9" ht="28.5">
      <c r="A11" s="181">
        <v>10</v>
      </c>
      <c r="B11" s="182" t="s">
        <v>756</v>
      </c>
      <c r="C11" s="182" t="s">
        <v>755</v>
      </c>
      <c r="D11" s="182" t="s">
        <v>742</v>
      </c>
      <c r="E11" s="183">
        <v>3249</v>
      </c>
      <c r="F11" s="282">
        <v>5415</v>
      </c>
      <c r="G11" s="287">
        <f t="shared" si="0"/>
        <v>4332</v>
      </c>
    </row>
    <row r="12" spans="1:9" ht="28.5">
      <c r="A12" s="181">
        <v>11</v>
      </c>
      <c r="B12" s="182" t="s">
        <v>757</v>
      </c>
      <c r="C12" s="182" t="s">
        <v>758</v>
      </c>
      <c r="D12" s="182" t="s">
        <v>748</v>
      </c>
      <c r="E12" s="183">
        <v>9996</v>
      </c>
      <c r="F12" s="282">
        <v>11781</v>
      </c>
      <c r="G12" s="287">
        <f t="shared" si="0"/>
        <v>10888.5</v>
      </c>
    </row>
    <row r="13" spans="1:9" ht="14.25">
      <c r="A13" s="181">
        <v>12</v>
      </c>
      <c r="B13" s="182" t="s">
        <v>759</v>
      </c>
      <c r="C13" s="182" t="s">
        <v>760</v>
      </c>
      <c r="D13" s="182" t="s">
        <v>748</v>
      </c>
      <c r="E13" s="183">
        <v>9072</v>
      </c>
      <c r="F13" s="282">
        <v>8959</v>
      </c>
      <c r="G13" s="287">
        <f t="shared" si="0"/>
        <v>9015.5</v>
      </c>
    </row>
    <row r="14" spans="1:9" ht="14.25">
      <c r="A14" s="181">
        <v>13</v>
      </c>
      <c r="B14" s="182" t="s">
        <v>761</v>
      </c>
      <c r="C14" s="182" t="s">
        <v>762</v>
      </c>
      <c r="D14" s="182" t="s">
        <v>742</v>
      </c>
      <c r="E14" s="183">
        <v>9163</v>
      </c>
      <c r="F14" s="282">
        <v>9687</v>
      </c>
      <c r="G14" s="287">
        <f t="shared" si="0"/>
        <v>9425</v>
      </c>
    </row>
    <row r="15" spans="1:9" ht="28.5">
      <c r="A15" s="181">
        <v>14</v>
      </c>
      <c r="B15" s="182" t="s">
        <v>763</v>
      </c>
      <c r="C15" s="182" t="s">
        <v>764</v>
      </c>
      <c r="D15" s="182" t="s">
        <v>742</v>
      </c>
      <c r="E15" s="183">
        <v>12495</v>
      </c>
      <c r="F15" s="282">
        <v>13388</v>
      </c>
      <c r="G15" s="287">
        <f t="shared" si="0"/>
        <v>12941.5</v>
      </c>
    </row>
    <row r="16" spans="1:9" ht="28.5">
      <c r="A16" s="181">
        <v>15</v>
      </c>
      <c r="B16" s="182" t="s">
        <v>765</v>
      </c>
      <c r="C16" s="182" t="s">
        <v>764</v>
      </c>
      <c r="D16" s="182" t="s">
        <v>742</v>
      </c>
      <c r="E16" s="183">
        <v>12495</v>
      </c>
      <c r="F16" s="282">
        <v>15173</v>
      </c>
      <c r="G16" s="287">
        <f t="shared" si="0"/>
        <v>13834</v>
      </c>
    </row>
    <row r="17" spans="1:7" ht="28.5">
      <c r="A17" s="181">
        <v>16</v>
      </c>
      <c r="B17" s="182" t="s">
        <v>766</v>
      </c>
      <c r="C17" s="182" t="s">
        <v>764</v>
      </c>
      <c r="D17" s="182" t="s">
        <v>742</v>
      </c>
      <c r="E17" s="183">
        <v>12495</v>
      </c>
      <c r="F17" s="282">
        <v>15887</v>
      </c>
      <c r="G17" s="287">
        <f t="shared" si="0"/>
        <v>14191</v>
      </c>
    </row>
    <row r="18" spans="1:7" ht="28.5">
      <c r="A18" s="181">
        <v>17</v>
      </c>
      <c r="B18" s="182" t="s">
        <v>767</v>
      </c>
      <c r="C18" s="182" t="s">
        <v>764</v>
      </c>
      <c r="D18" s="182" t="s">
        <v>742</v>
      </c>
      <c r="E18" s="183">
        <v>10329</v>
      </c>
      <c r="F18" s="282">
        <v>12912</v>
      </c>
      <c r="G18" s="287">
        <f t="shared" si="0"/>
        <v>11620.5</v>
      </c>
    </row>
    <row r="19" spans="1:7" ht="28.5">
      <c r="A19" s="181">
        <v>18</v>
      </c>
      <c r="B19" s="182" t="s">
        <v>768</v>
      </c>
      <c r="C19" s="182" t="s">
        <v>764</v>
      </c>
      <c r="D19" s="182" t="s">
        <v>742</v>
      </c>
      <c r="E19" s="183">
        <v>2618</v>
      </c>
      <c r="F19" s="282">
        <v>3273</v>
      </c>
      <c r="G19" s="287">
        <f t="shared" si="0"/>
        <v>2945.5</v>
      </c>
    </row>
    <row r="20" spans="1:7" ht="28.5">
      <c r="A20" s="181">
        <v>19</v>
      </c>
      <c r="B20" s="182" t="s">
        <v>769</v>
      </c>
      <c r="C20" s="182" t="s">
        <v>764</v>
      </c>
      <c r="D20" s="182" t="s">
        <v>742</v>
      </c>
      <c r="E20" s="183">
        <v>2618</v>
      </c>
      <c r="F20" s="282">
        <v>3665</v>
      </c>
      <c r="G20" s="287">
        <f t="shared" si="0"/>
        <v>3141.5</v>
      </c>
    </row>
    <row r="21" spans="1:7" ht="15.75" customHeight="1">
      <c r="A21" s="181">
        <v>20</v>
      </c>
      <c r="B21" s="182" t="s">
        <v>770</v>
      </c>
      <c r="C21" s="182" t="s">
        <v>764</v>
      </c>
      <c r="D21" s="182" t="s">
        <v>742</v>
      </c>
      <c r="E21" s="183">
        <v>2618</v>
      </c>
      <c r="F21" s="282">
        <v>3011</v>
      </c>
      <c r="G21" s="287">
        <f t="shared" si="0"/>
        <v>2814.5</v>
      </c>
    </row>
    <row r="22" spans="1:7" ht="15.75" customHeight="1">
      <c r="A22" s="181">
        <v>21</v>
      </c>
      <c r="B22" s="182" t="s">
        <v>771</v>
      </c>
      <c r="C22" s="182" t="s">
        <v>764</v>
      </c>
      <c r="D22" s="182" t="s">
        <v>742</v>
      </c>
      <c r="E22" s="183">
        <v>2382</v>
      </c>
      <c r="F22" s="282">
        <v>2487</v>
      </c>
      <c r="G22" s="287">
        <f t="shared" si="0"/>
        <v>2434.5</v>
      </c>
    </row>
    <row r="23" spans="1:7" ht="15.75" customHeight="1">
      <c r="A23" s="181">
        <v>22</v>
      </c>
      <c r="B23" s="182" t="s">
        <v>772</v>
      </c>
      <c r="C23" s="182" t="s">
        <v>764</v>
      </c>
      <c r="D23" s="182" t="s">
        <v>742</v>
      </c>
      <c r="E23" s="183">
        <v>4284</v>
      </c>
      <c r="F23" s="282">
        <v>4855</v>
      </c>
      <c r="G23" s="287">
        <f t="shared" si="0"/>
        <v>4569.5</v>
      </c>
    </row>
    <row r="24" spans="1:7" ht="15.75" customHeight="1">
      <c r="A24" s="181">
        <v>23</v>
      </c>
      <c r="B24" s="182" t="s">
        <v>773</v>
      </c>
      <c r="C24" s="182" t="s">
        <v>764</v>
      </c>
      <c r="D24" s="182" t="s">
        <v>742</v>
      </c>
      <c r="E24" s="183">
        <v>4918</v>
      </c>
      <c r="F24" s="282">
        <v>5426</v>
      </c>
      <c r="G24" s="287">
        <f t="shared" si="0"/>
        <v>5172</v>
      </c>
    </row>
    <row r="25" spans="1:7" ht="15.75" customHeight="1">
      <c r="A25" s="181">
        <v>24</v>
      </c>
      <c r="B25" s="182" t="s">
        <v>774</v>
      </c>
      <c r="C25" s="182" t="s">
        <v>764</v>
      </c>
      <c r="D25" s="182" t="s">
        <v>742</v>
      </c>
      <c r="E25" s="183">
        <v>4918</v>
      </c>
      <c r="F25" s="282">
        <v>5087</v>
      </c>
      <c r="G25" s="287">
        <f t="shared" si="0"/>
        <v>5002.5</v>
      </c>
    </row>
    <row r="26" spans="1:7" ht="15.75" customHeight="1">
      <c r="A26" s="181">
        <v>25</v>
      </c>
      <c r="B26" s="182" t="s">
        <v>775</v>
      </c>
      <c r="C26" s="182" t="s">
        <v>764</v>
      </c>
      <c r="D26" s="182" t="s">
        <v>742</v>
      </c>
      <c r="E26" s="183">
        <v>4918</v>
      </c>
      <c r="F26" s="282">
        <v>5257</v>
      </c>
      <c r="G26" s="287">
        <f t="shared" si="0"/>
        <v>5087.5</v>
      </c>
    </row>
    <row r="27" spans="1:7" ht="15.75" customHeight="1">
      <c r="A27" s="181">
        <v>26</v>
      </c>
      <c r="B27" s="182" t="s">
        <v>776</v>
      </c>
      <c r="C27" s="182" t="s">
        <v>762</v>
      </c>
      <c r="D27" s="182" t="s">
        <v>742</v>
      </c>
      <c r="E27" s="183">
        <v>3491</v>
      </c>
      <c r="F27" s="282">
        <v>3641</v>
      </c>
      <c r="G27" s="287">
        <f t="shared" si="0"/>
        <v>3566</v>
      </c>
    </row>
    <row r="28" spans="1:7" ht="29.25" customHeight="1">
      <c r="A28" s="181">
        <v>27</v>
      </c>
      <c r="B28" s="182" t="s">
        <v>777</v>
      </c>
      <c r="C28" s="182" t="s">
        <v>762</v>
      </c>
      <c r="D28" s="182" t="s">
        <v>742</v>
      </c>
      <c r="E28" s="183">
        <v>27608</v>
      </c>
      <c r="F28" s="282">
        <v>28560</v>
      </c>
      <c r="G28" s="287">
        <f t="shared" si="0"/>
        <v>28084</v>
      </c>
    </row>
    <row r="29" spans="1:7" ht="15.75" customHeight="1">
      <c r="A29" s="181">
        <v>28</v>
      </c>
      <c r="B29" s="182" t="s">
        <v>778</v>
      </c>
      <c r="C29" s="182">
        <v>2.5</v>
      </c>
      <c r="D29" s="182" t="s">
        <v>748</v>
      </c>
      <c r="E29" s="183">
        <v>132487</v>
      </c>
      <c r="F29" s="282">
        <v>158985</v>
      </c>
      <c r="G29" s="287">
        <f t="shared" si="0"/>
        <v>145736</v>
      </c>
    </row>
    <row r="30" spans="1:7" ht="15.75" customHeight="1">
      <c r="A30" s="181">
        <v>29</v>
      </c>
      <c r="B30" s="182" t="s">
        <v>779</v>
      </c>
      <c r="C30" s="182" t="s">
        <v>780</v>
      </c>
      <c r="D30" s="182" t="s">
        <v>748</v>
      </c>
      <c r="E30" s="183">
        <v>26583</v>
      </c>
      <c r="F30" s="282">
        <v>34833</v>
      </c>
      <c r="G30" s="287">
        <f t="shared" si="0"/>
        <v>30708</v>
      </c>
    </row>
    <row r="31" spans="1:7" ht="15.75" customHeight="1">
      <c r="A31" s="181">
        <v>30</v>
      </c>
      <c r="B31" s="182" t="s">
        <v>781</v>
      </c>
      <c r="C31" s="182" t="s">
        <v>782</v>
      </c>
      <c r="D31" s="182" t="s">
        <v>748</v>
      </c>
      <c r="E31" s="183">
        <v>23338</v>
      </c>
      <c r="F31" s="282">
        <v>23814</v>
      </c>
      <c r="G31" s="287">
        <f t="shared" si="0"/>
        <v>23576</v>
      </c>
    </row>
    <row r="32" spans="1:7" ht="15.75" customHeight="1">
      <c r="A32" s="181">
        <v>31</v>
      </c>
      <c r="B32" s="182" t="s">
        <v>781</v>
      </c>
      <c r="C32" s="182" t="s">
        <v>783</v>
      </c>
      <c r="D32" s="182" t="s">
        <v>748</v>
      </c>
      <c r="E32" s="183">
        <v>43452</v>
      </c>
      <c r="F32" s="282">
        <v>44951</v>
      </c>
      <c r="G32" s="287">
        <f t="shared" si="0"/>
        <v>44201.5</v>
      </c>
    </row>
    <row r="33" spans="1:7" ht="15.75" customHeight="1">
      <c r="A33" s="181">
        <v>32</v>
      </c>
      <c r="B33" s="182" t="s">
        <v>784</v>
      </c>
      <c r="C33" s="182" t="s">
        <v>785</v>
      </c>
      <c r="D33" s="182" t="s">
        <v>748</v>
      </c>
      <c r="E33" s="183">
        <v>34337</v>
      </c>
      <c r="F33" s="282">
        <v>39074</v>
      </c>
      <c r="G33" s="287">
        <f t="shared" si="0"/>
        <v>36705.5</v>
      </c>
    </row>
    <row r="34" spans="1:7" ht="15.75" customHeight="1">
      <c r="A34" s="181">
        <v>33</v>
      </c>
      <c r="B34" s="182" t="s">
        <v>786</v>
      </c>
      <c r="C34" s="184" t="s">
        <v>762</v>
      </c>
      <c r="D34" s="184" t="s">
        <v>742</v>
      </c>
      <c r="E34" s="183">
        <v>3414</v>
      </c>
      <c r="F34" s="282">
        <v>3920</v>
      </c>
      <c r="G34" s="287">
        <f t="shared" ref="G34:G65" si="1">AVERAGE(E34:F34)</f>
        <v>3667</v>
      </c>
    </row>
    <row r="35" spans="1:7" ht="15.75" customHeight="1">
      <c r="A35" s="181">
        <v>34</v>
      </c>
      <c r="B35" s="184" t="s">
        <v>787</v>
      </c>
      <c r="C35" s="184" t="s">
        <v>762</v>
      </c>
      <c r="D35" s="184" t="s">
        <v>742</v>
      </c>
      <c r="E35" s="183">
        <v>7001</v>
      </c>
      <c r="F35" s="282">
        <v>7705</v>
      </c>
      <c r="G35" s="287">
        <f t="shared" si="1"/>
        <v>7353</v>
      </c>
    </row>
    <row r="36" spans="1:7" ht="15.75" customHeight="1">
      <c r="A36" s="181">
        <v>35</v>
      </c>
      <c r="B36" s="184" t="s">
        <v>788</v>
      </c>
      <c r="C36" s="184" t="s">
        <v>762</v>
      </c>
      <c r="D36" s="184" t="s">
        <v>742</v>
      </c>
      <c r="E36" s="183">
        <v>7333</v>
      </c>
      <c r="F36" s="282">
        <v>8354</v>
      </c>
      <c r="G36" s="287">
        <f t="shared" si="1"/>
        <v>7843.5</v>
      </c>
    </row>
    <row r="37" spans="1:7" ht="15.75" customHeight="1">
      <c r="A37" s="181">
        <v>36</v>
      </c>
      <c r="B37" s="184" t="s">
        <v>789</v>
      </c>
      <c r="C37" s="184" t="s">
        <v>790</v>
      </c>
      <c r="D37" s="184" t="s">
        <v>742</v>
      </c>
      <c r="E37" s="183">
        <v>39388</v>
      </c>
      <c r="F37" s="282">
        <v>51612</v>
      </c>
      <c r="G37" s="287">
        <f t="shared" si="1"/>
        <v>45500</v>
      </c>
    </row>
    <row r="38" spans="1:7" ht="15.75" customHeight="1">
      <c r="A38" s="181">
        <v>37</v>
      </c>
      <c r="B38" s="185" t="s">
        <v>536</v>
      </c>
      <c r="C38" s="184" t="s">
        <v>334</v>
      </c>
      <c r="D38" s="184" t="s">
        <v>742</v>
      </c>
      <c r="E38" s="183">
        <v>25903</v>
      </c>
      <c r="F38" s="282">
        <v>31589</v>
      </c>
      <c r="G38" s="287">
        <f t="shared" si="1"/>
        <v>28746</v>
      </c>
    </row>
    <row r="39" spans="1:7" ht="15.75" customHeight="1">
      <c r="A39" s="181">
        <v>38</v>
      </c>
      <c r="B39" s="185" t="s">
        <v>791</v>
      </c>
      <c r="C39" s="184" t="s">
        <v>792</v>
      </c>
      <c r="D39" s="184" t="s">
        <v>742</v>
      </c>
      <c r="E39" s="183">
        <v>31497</v>
      </c>
      <c r="F39" s="282">
        <v>33670</v>
      </c>
      <c r="G39" s="287">
        <f t="shared" si="1"/>
        <v>32583.5</v>
      </c>
    </row>
    <row r="40" spans="1:7" ht="29.25" customHeight="1">
      <c r="A40" s="181">
        <v>39</v>
      </c>
      <c r="B40" s="185" t="s">
        <v>793</v>
      </c>
      <c r="C40" s="182" t="s">
        <v>762</v>
      </c>
      <c r="D40" s="184" t="s">
        <v>742</v>
      </c>
      <c r="E40" s="183">
        <v>7830</v>
      </c>
      <c r="F40" s="282">
        <v>8334</v>
      </c>
      <c r="G40" s="287">
        <f t="shared" si="1"/>
        <v>8082</v>
      </c>
    </row>
    <row r="41" spans="1:7" ht="30" customHeight="1">
      <c r="A41" s="181">
        <v>40</v>
      </c>
      <c r="B41" s="185" t="s">
        <v>794</v>
      </c>
      <c r="C41" s="184" t="s">
        <v>762</v>
      </c>
      <c r="D41" s="184" t="s">
        <v>742</v>
      </c>
      <c r="E41" s="183">
        <v>7597</v>
      </c>
      <c r="F41" s="282">
        <v>7997</v>
      </c>
      <c r="G41" s="287">
        <f t="shared" si="1"/>
        <v>7797</v>
      </c>
    </row>
    <row r="42" spans="1:7" ht="32.25" customHeight="1">
      <c r="A42" s="181">
        <v>41</v>
      </c>
      <c r="B42" s="185" t="s">
        <v>795</v>
      </c>
      <c r="C42" s="184" t="s">
        <v>762</v>
      </c>
      <c r="D42" s="182" t="s">
        <v>742</v>
      </c>
      <c r="E42" s="183">
        <v>15714</v>
      </c>
      <c r="F42" s="282">
        <v>16958</v>
      </c>
      <c r="G42" s="287">
        <f t="shared" si="1"/>
        <v>16336</v>
      </c>
    </row>
    <row r="43" spans="1:7" ht="15.75" customHeight="1">
      <c r="A43" s="181">
        <v>42</v>
      </c>
      <c r="B43" s="186" t="s">
        <v>796</v>
      </c>
      <c r="C43" s="182" t="s">
        <v>797</v>
      </c>
      <c r="D43" s="182" t="s">
        <v>742</v>
      </c>
      <c r="E43" s="183">
        <v>580</v>
      </c>
      <c r="F43" s="282">
        <v>446</v>
      </c>
      <c r="G43" s="287">
        <f t="shared" si="1"/>
        <v>513</v>
      </c>
    </row>
    <row r="44" spans="1:7" ht="15.75" customHeight="1">
      <c r="A44" s="181">
        <v>43</v>
      </c>
      <c r="B44" s="186" t="s">
        <v>798</v>
      </c>
      <c r="C44" s="182" t="s">
        <v>334</v>
      </c>
      <c r="D44" s="182" t="s">
        <v>742</v>
      </c>
      <c r="E44" s="183">
        <v>52539</v>
      </c>
      <c r="F44" s="282">
        <v>52920</v>
      </c>
      <c r="G44" s="287">
        <f t="shared" si="1"/>
        <v>52729.5</v>
      </c>
    </row>
    <row r="45" spans="1:7" ht="15.75" customHeight="1">
      <c r="A45" s="181">
        <v>44</v>
      </c>
      <c r="B45" s="186" t="s">
        <v>799</v>
      </c>
      <c r="C45" s="182" t="s">
        <v>800</v>
      </c>
      <c r="D45" s="182" t="s">
        <v>742</v>
      </c>
      <c r="E45" s="183">
        <v>8047</v>
      </c>
      <c r="F45" s="282">
        <v>8047</v>
      </c>
      <c r="G45" s="287">
        <f t="shared" si="1"/>
        <v>8047</v>
      </c>
    </row>
    <row r="46" spans="1:7" ht="15.75" customHeight="1">
      <c r="A46" s="181">
        <v>45</v>
      </c>
      <c r="B46" s="186" t="s">
        <v>801</v>
      </c>
      <c r="C46" s="182" t="s">
        <v>334</v>
      </c>
      <c r="D46" s="182" t="s">
        <v>742</v>
      </c>
      <c r="E46" s="183">
        <v>17233</v>
      </c>
      <c r="F46" s="282">
        <v>17233</v>
      </c>
      <c r="G46" s="287">
        <f t="shared" si="1"/>
        <v>17233</v>
      </c>
    </row>
    <row r="47" spans="1:7" ht="15.75" customHeight="1">
      <c r="A47" s="181">
        <v>46</v>
      </c>
      <c r="B47" s="186" t="s">
        <v>802</v>
      </c>
      <c r="C47" s="182" t="s">
        <v>334</v>
      </c>
      <c r="D47" s="182" t="s">
        <v>742</v>
      </c>
      <c r="E47" s="183">
        <v>20899</v>
      </c>
      <c r="F47" s="282">
        <v>20899</v>
      </c>
      <c r="G47" s="287">
        <f t="shared" si="1"/>
        <v>20899</v>
      </c>
    </row>
    <row r="48" spans="1:7" ht="15.75" customHeight="1">
      <c r="A48" s="181">
        <v>47</v>
      </c>
      <c r="B48" s="186" t="s">
        <v>803</v>
      </c>
      <c r="C48" s="182" t="s">
        <v>762</v>
      </c>
      <c r="D48" s="182" t="s">
        <v>742</v>
      </c>
      <c r="E48" s="183">
        <v>17280</v>
      </c>
      <c r="F48" s="282">
        <v>17280</v>
      </c>
      <c r="G48" s="287">
        <f t="shared" si="1"/>
        <v>17280</v>
      </c>
    </row>
    <row r="49" spans="1:7" ht="15.75" customHeight="1">
      <c r="A49" s="181">
        <v>48</v>
      </c>
      <c r="B49" s="186" t="s">
        <v>804</v>
      </c>
      <c r="C49" s="182" t="s">
        <v>805</v>
      </c>
      <c r="D49" s="182" t="s">
        <v>742</v>
      </c>
      <c r="E49" s="183">
        <v>24359</v>
      </c>
      <c r="F49" s="282">
        <v>24359</v>
      </c>
      <c r="G49" s="287">
        <f t="shared" si="1"/>
        <v>24359</v>
      </c>
    </row>
    <row r="50" spans="1:7" ht="15.75" customHeight="1">
      <c r="A50" s="181">
        <v>49</v>
      </c>
      <c r="B50" s="186" t="s">
        <v>806</v>
      </c>
      <c r="C50" s="182" t="s">
        <v>334</v>
      </c>
      <c r="D50" s="182" t="s">
        <v>742</v>
      </c>
      <c r="E50" s="183">
        <v>15220</v>
      </c>
      <c r="F50" s="282">
        <v>15220</v>
      </c>
      <c r="G50" s="287">
        <f t="shared" si="1"/>
        <v>15220</v>
      </c>
    </row>
    <row r="51" spans="1:7" ht="15.75" customHeight="1">
      <c r="A51" s="181">
        <v>51</v>
      </c>
      <c r="B51" s="186" t="s">
        <v>807</v>
      </c>
      <c r="C51" s="182" t="s">
        <v>334</v>
      </c>
      <c r="D51" s="182" t="s">
        <v>742</v>
      </c>
      <c r="E51" s="183">
        <v>16347</v>
      </c>
      <c r="F51" s="282">
        <v>16347</v>
      </c>
      <c r="G51" s="287">
        <f t="shared" si="1"/>
        <v>16347</v>
      </c>
    </row>
    <row r="52" spans="1:7" ht="15.75" customHeight="1">
      <c r="A52" s="181">
        <v>53</v>
      </c>
      <c r="B52" s="186" t="s">
        <v>808</v>
      </c>
      <c r="C52" s="182" t="s">
        <v>334</v>
      </c>
      <c r="D52" s="182" t="s">
        <v>742</v>
      </c>
      <c r="E52" s="183">
        <v>36711</v>
      </c>
      <c r="F52" s="282">
        <v>36711</v>
      </c>
      <c r="G52" s="287">
        <f t="shared" si="1"/>
        <v>36711</v>
      </c>
    </row>
    <row r="53" spans="1:7" ht="15.75" customHeight="1">
      <c r="A53" s="181">
        <v>54</v>
      </c>
      <c r="B53" s="186" t="s">
        <v>809</v>
      </c>
      <c r="C53" s="182" t="s">
        <v>334</v>
      </c>
      <c r="D53" s="182" t="s">
        <v>742</v>
      </c>
      <c r="E53" s="183">
        <v>14796</v>
      </c>
      <c r="F53" s="282">
        <v>14796</v>
      </c>
      <c r="G53" s="287">
        <f t="shared" si="1"/>
        <v>14796</v>
      </c>
    </row>
    <row r="54" spans="1:7" ht="15.75" customHeight="1">
      <c r="A54" s="181">
        <v>55</v>
      </c>
      <c r="B54" s="186" t="s">
        <v>810</v>
      </c>
      <c r="C54" s="182" t="s">
        <v>811</v>
      </c>
      <c r="D54" s="182" t="s">
        <v>742</v>
      </c>
      <c r="E54" s="183">
        <v>9656</v>
      </c>
      <c r="F54" s="282">
        <v>9656</v>
      </c>
      <c r="G54" s="287">
        <f t="shared" si="1"/>
        <v>9656</v>
      </c>
    </row>
    <row r="55" spans="1:7" ht="15.75" customHeight="1">
      <c r="A55" s="181">
        <v>56</v>
      </c>
      <c r="B55" s="186" t="s">
        <v>812</v>
      </c>
      <c r="C55" s="182" t="s">
        <v>811</v>
      </c>
      <c r="D55" s="182" t="s">
        <v>742</v>
      </c>
      <c r="E55" s="183">
        <v>9656</v>
      </c>
      <c r="F55" s="282">
        <v>9656</v>
      </c>
      <c r="G55" s="287">
        <f t="shared" si="1"/>
        <v>9656</v>
      </c>
    </row>
    <row r="56" spans="1:7" ht="15.75" customHeight="1">
      <c r="A56" s="181">
        <v>57</v>
      </c>
      <c r="B56" s="186" t="s">
        <v>813</v>
      </c>
      <c r="C56" s="182" t="s">
        <v>381</v>
      </c>
      <c r="D56" s="182" t="s">
        <v>742</v>
      </c>
      <c r="E56" s="183">
        <v>13382</v>
      </c>
      <c r="F56" s="282">
        <v>13382</v>
      </c>
      <c r="G56" s="287">
        <f t="shared" si="1"/>
        <v>13382</v>
      </c>
    </row>
    <row r="57" spans="1:7" ht="15.75" customHeight="1">
      <c r="A57" s="181">
        <v>58</v>
      </c>
      <c r="B57" s="186" t="s">
        <v>814</v>
      </c>
      <c r="C57" s="182" t="s">
        <v>334</v>
      </c>
      <c r="D57" s="182" t="s">
        <v>742</v>
      </c>
      <c r="E57" s="183">
        <v>48280</v>
      </c>
      <c r="F57" s="282">
        <v>48280</v>
      </c>
      <c r="G57" s="287">
        <f t="shared" si="1"/>
        <v>48280</v>
      </c>
    </row>
    <row r="58" spans="1:7" ht="15.75" customHeight="1">
      <c r="A58" s="181">
        <v>59</v>
      </c>
      <c r="B58" s="186" t="s">
        <v>815</v>
      </c>
      <c r="C58" s="182" t="s">
        <v>762</v>
      </c>
      <c r="D58" s="182" t="s">
        <v>742</v>
      </c>
      <c r="E58" s="183">
        <v>6286</v>
      </c>
      <c r="F58" s="282">
        <v>6286</v>
      </c>
      <c r="G58" s="287">
        <f t="shared" si="1"/>
        <v>6286</v>
      </c>
    </row>
    <row r="59" spans="1:7" ht="15.75" customHeight="1">
      <c r="A59" s="181">
        <v>60</v>
      </c>
      <c r="B59" s="186" t="s">
        <v>816</v>
      </c>
      <c r="C59" s="182" t="s">
        <v>817</v>
      </c>
      <c r="D59" s="182" t="s">
        <v>742</v>
      </c>
      <c r="E59" s="183">
        <v>3744</v>
      </c>
      <c r="F59" s="282">
        <v>3744</v>
      </c>
      <c r="G59" s="287">
        <f t="shared" si="1"/>
        <v>3744</v>
      </c>
    </row>
    <row r="60" spans="1:7" ht="15.75" customHeight="1">
      <c r="A60" s="181">
        <v>61</v>
      </c>
      <c r="B60" s="186" t="s">
        <v>818</v>
      </c>
      <c r="C60" s="182" t="s">
        <v>819</v>
      </c>
      <c r="D60" s="182" t="s">
        <v>742</v>
      </c>
      <c r="E60" s="183">
        <v>7420</v>
      </c>
      <c r="F60" s="282">
        <v>7420</v>
      </c>
      <c r="G60" s="287">
        <f t="shared" si="1"/>
        <v>7420</v>
      </c>
    </row>
    <row r="61" spans="1:7" ht="15.75" customHeight="1">
      <c r="A61" s="181">
        <v>62</v>
      </c>
      <c r="B61" s="186" t="s">
        <v>820</v>
      </c>
      <c r="C61" s="182" t="s">
        <v>821</v>
      </c>
      <c r="D61" s="182" t="s">
        <v>742</v>
      </c>
      <c r="E61" s="183">
        <v>7247</v>
      </c>
      <c r="F61" s="282">
        <v>7247</v>
      </c>
      <c r="G61" s="287">
        <f t="shared" si="1"/>
        <v>7247</v>
      </c>
    </row>
    <row r="62" spans="1:7" ht="15.75" customHeight="1">
      <c r="A62" s="181">
        <v>63</v>
      </c>
      <c r="B62" s="186" t="s">
        <v>822</v>
      </c>
      <c r="C62" s="182" t="s">
        <v>821</v>
      </c>
      <c r="D62" s="182" t="s">
        <v>742</v>
      </c>
      <c r="E62" s="183">
        <v>3278</v>
      </c>
      <c r="F62" s="282">
        <v>3278</v>
      </c>
      <c r="G62" s="287">
        <f t="shared" si="1"/>
        <v>3278</v>
      </c>
    </row>
    <row r="63" spans="1:7" ht="15.75" customHeight="1">
      <c r="A63" s="181">
        <v>64</v>
      </c>
      <c r="B63" s="186" t="s">
        <v>823</v>
      </c>
      <c r="C63" s="182" t="s">
        <v>762</v>
      </c>
      <c r="D63" s="182" t="s">
        <v>742</v>
      </c>
      <c r="E63" s="183">
        <v>4498</v>
      </c>
      <c r="F63" s="282">
        <v>4498</v>
      </c>
      <c r="G63" s="287">
        <f t="shared" si="1"/>
        <v>4498</v>
      </c>
    </row>
    <row r="64" spans="1:7" ht="15.75" customHeight="1">
      <c r="A64" s="181">
        <v>65</v>
      </c>
      <c r="B64" s="186" t="s">
        <v>824</v>
      </c>
      <c r="C64" s="182" t="s">
        <v>762</v>
      </c>
      <c r="D64" s="182" t="s">
        <v>742</v>
      </c>
      <c r="E64" s="183">
        <v>4831</v>
      </c>
      <c r="F64" s="282">
        <v>4831</v>
      </c>
      <c r="G64" s="287">
        <f t="shared" si="1"/>
        <v>4831</v>
      </c>
    </row>
    <row r="65" spans="1:7" ht="15.75" customHeight="1">
      <c r="A65" s="181">
        <v>66</v>
      </c>
      <c r="B65" s="186" t="s">
        <v>825</v>
      </c>
      <c r="C65" s="182" t="s">
        <v>762</v>
      </c>
      <c r="D65" s="182" t="s">
        <v>742</v>
      </c>
      <c r="E65" s="183">
        <v>13459</v>
      </c>
      <c r="F65" s="282">
        <v>13459</v>
      </c>
      <c r="G65" s="287">
        <f t="shared" si="1"/>
        <v>13459</v>
      </c>
    </row>
    <row r="66" spans="1:7" ht="15.75" customHeight="1">
      <c r="A66" s="181">
        <v>67</v>
      </c>
      <c r="B66" s="186" t="s">
        <v>826</v>
      </c>
      <c r="C66" s="182" t="s">
        <v>762</v>
      </c>
      <c r="D66" s="182" t="s">
        <v>742</v>
      </c>
      <c r="E66" s="183">
        <v>6557</v>
      </c>
      <c r="F66" s="282">
        <v>6557</v>
      </c>
      <c r="G66" s="287">
        <f t="shared" ref="G66:G97" si="2">AVERAGE(E66:F66)</f>
        <v>6557</v>
      </c>
    </row>
    <row r="67" spans="1:7" ht="15.75" customHeight="1">
      <c r="A67" s="181">
        <v>68</v>
      </c>
      <c r="B67" s="186" t="s">
        <v>827</v>
      </c>
      <c r="C67" s="182" t="s">
        <v>762</v>
      </c>
      <c r="D67" s="182" t="s">
        <v>742</v>
      </c>
      <c r="E67" s="183">
        <v>14667</v>
      </c>
      <c r="F67" s="282">
        <v>14667</v>
      </c>
      <c r="G67" s="287">
        <f t="shared" si="2"/>
        <v>14667</v>
      </c>
    </row>
    <row r="68" spans="1:7" ht="15.75" customHeight="1">
      <c r="A68" s="181">
        <v>69</v>
      </c>
      <c r="B68" s="186" t="s">
        <v>828</v>
      </c>
      <c r="C68" s="182" t="s">
        <v>762</v>
      </c>
      <c r="D68" s="182" t="s">
        <v>742</v>
      </c>
      <c r="E68" s="183">
        <v>22432</v>
      </c>
      <c r="F68" s="282">
        <v>22432</v>
      </c>
      <c r="G68" s="287">
        <f t="shared" si="2"/>
        <v>22432</v>
      </c>
    </row>
    <row r="69" spans="1:7" ht="15.75" customHeight="1">
      <c r="A69" s="181">
        <v>70</v>
      </c>
      <c r="B69" s="186" t="s">
        <v>829</v>
      </c>
      <c r="C69" s="182" t="s">
        <v>762</v>
      </c>
      <c r="D69" s="182" t="s">
        <v>742</v>
      </c>
      <c r="E69" s="183">
        <v>6962</v>
      </c>
      <c r="F69" s="282">
        <v>6962</v>
      </c>
      <c r="G69" s="287">
        <f t="shared" si="2"/>
        <v>6962</v>
      </c>
    </row>
    <row r="70" spans="1:7" ht="15.75" customHeight="1">
      <c r="A70" s="181">
        <v>71</v>
      </c>
      <c r="B70" s="186" t="s">
        <v>830</v>
      </c>
      <c r="C70" s="182" t="s">
        <v>762</v>
      </c>
      <c r="D70" s="182" t="s">
        <v>742</v>
      </c>
      <c r="E70" s="183">
        <v>5867</v>
      </c>
      <c r="F70" s="282">
        <v>5867</v>
      </c>
      <c r="G70" s="287">
        <f t="shared" si="2"/>
        <v>5867</v>
      </c>
    </row>
    <row r="71" spans="1:7" ht="15.75" customHeight="1">
      <c r="A71" s="181">
        <v>72</v>
      </c>
      <c r="B71" s="186" t="s">
        <v>831</v>
      </c>
      <c r="C71" s="182" t="s">
        <v>751</v>
      </c>
      <c r="D71" s="182" t="s">
        <v>742</v>
      </c>
      <c r="E71" s="183">
        <v>25526</v>
      </c>
      <c r="F71" s="282">
        <v>25526</v>
      </c>
      <c r="G71" s="287">
        <f t="shared" si="2"/>
        <v>25526</v>
      </c>
    </row>
    <row r="72" spans="1:7" ht="15.75" customHeight="1">
      <c r="A72" s="181">
        <v>73</v>
      </c>
      <c r="B72" s="186" t="s">
        <v>832</v>
      </c>
      <c r="C72" s="182" t="s">
        <v>751</v>
      </c>
      <c r="D72" s="182" t="s">
        <v>742</v>
      </c>
      <c r="E72" s="183">
        <v>44518</v>
      </c>
      <c r="F72" s="282">
        <v>46053</v>
      </c>
      <c r="G72" s="287">
        <f t="shared" si="2"/>
        <v>45285.5</v>
      </c>
    </row>
    <row r="73" spans="1:7" ht="15.75" customHeight="1">
      <c r="A73" s="181">
        <v>74</v>
      </c>
      <c r="B73" s="186" t="s">
        <v>833</v>
      </c>
      <c r="C73" s="182" t="s">
        <v>834</v>
      </c>
      <c r="D73" s="182" t="s">
        <v>742</v>
      </c>
      <c r="E73" s="183">
        <v>185831</v>
      </c>
      <c r="F73" s="282">
        <v>192239</v>
      </c>
      <c r="G73" s="287">
        <f t="shared" si="2"/>
        <v>189035</v>
      </c>
    </row>
    <row r="74" spans="1:7" ht="15.75" customHeight="1">
      <c r="A74" s="181">
        <v>75</v>
      </c>
      <c r="B74" s="186" t="s">
        <v>835</v>
      </c>
      <c r="C74" s="182" t="s">
        <v>762</v>
      </c>
      <c r="D74" s="182" t="s">
        <v>742</v>
      </c>
      <c r="E74" s="183">
        <v>1747</v>
      </c>
      <c r="F74" s="282">
        <v>1782</v>
      </c>
      <c r="G74" s="287">
        <f t="shared" si="2"/>
        <v>1764.5</v>
      </c>
    </row>
    <row r="75" spans="1:7" ht="15.75" customHeight="1">
      <c r="A75" s="181">
        <v>76</v>
      </c>
      <c r="B75" s="186" t="s">
        <v>836</v>
      </c>
      <c r="C75" s="182" t="s">
        <v>762</v>
      </c>
      <c r="D75" s="182" t="s">
        <v>742</v>
      </c>
      <c r="E75" s="183">
        <v>28500</v>
      </c>
      <c r="F75" s="282">
        <v>30000</v>
      </c>
      <c r="G75" s="287">
        <f t="shared" si="2"/>
        <v>29250</v>
      </c>
    </row>
    <row r="76" spans="1:7" ht="15.75" customHeight="1">
      <c r="A76" s="181">
        <v>77</v>
      </c>
      <c r="B76" s="186" t="s">
        <v>837</v>
      </c>
      <c r="C76" s="182" t="s">
        <v>762</v>
      </c>
      <c r="D76" s="182" t="s">
        <v>742</v>
      </c>
      <c r="E76" s="183">
        <v>2481</v>
      </c>
      <c r="F76" s="282">
        <v>2642</v>
      </c>
      <c r="G76" s="287">
        <f t="shared" si="2"/>
        <v>2561.5</v>
      </c>
    </row>
    <row r="77" spans="1:7" ht="15.75" customHeight="1">
      <c r="A77" s="181">
        <v>78</v>
      </c>
      <c r="B77" s="186" t="s">
        <v>838</v>
      </c>
      <c r="C77" s="182" t="s">
        <v>762</v>
      </c>
      <c r="D77" s="182" t="s">
        <v>742</v>
      </c>
      <c r="E77" s="183">
        <v>4823</v>
      </c>
      <c r="F77" s="282">
        <v>4923</v>
      </c>
      <c r="G77" s="287">
        <f t="shared" si="2"/>
        <v>4873</v>
      </c>
    </row>
    <row r="78" spans="1:7" ht="15.75" customHeight="1">
      <c r="A78" s="181">
        <v>79</v>
      </c>
      <c r="B78" s="186" t="s">
        <v>839</v>
      </c>
      <c r="C78" s="182" t="s">
        <v>751</v>
      </c>
      <c r="D78" s="182" t="s">
        <v>742</v>
      </c>
      <c r="E78" s="183">
        <v>17094</v>
      </c>
      <c r="F78" s="282">
        <v>17943</v>
      </c>
      <c r="G78" s="287">
        <f t="shared" si="2"/>
        <v>17518.5</v>
      </c>
    </row>
    <row r="79" spans="1:7" ht="15.75" customHeight="1">
      <c r="A79" s="181">
        <v>80</v>
      </c>
      <c r="B79" s="186" t="s">
        <v>840</v>
      </c>
      <c r="C79" s="182" t="s">
        <v>762</v>
      </c>
      <c r="D79" s="182" t="s">
        <v>742</v>
      </c>
      <c r="E79" s="183">
        <v>29256</v>
      </c>
      <c r="F79" s="282">
        <v>31376</v>
      </c>
      <c r="G79" s="287">
        <f t="shared" si="2"/>
        <v>30316</v>
      </c>
    </row>
    <row r="80" spans="1:7" ht="15.75" customHeight="1">
      <c r="A80" s="181">
        <v>81</v>
      </c>
      <c r="B80" s="186" t="s">
        <v>841</v>
      </c>
      <c r="C80" s="182" t="s">
        <v>762</v>
      </c>
      <c r="D80" s="182" t="s">
        <v>742</v>
      </c>
      <c r="E80" s="183">
        <v>621</v>
      </c>
      <c r="F80" s="282">
        <v>634</v>
      </c>
      <c r="G80" s="287">
        <f t="shared" si="2"/>
        <v>627.5</v>
      </c>
    </row>
    <row r="81" spans="1:7" ht="15.75" customHeight="1">
      <c r="A81" s="181">
        <v>82</v>
      </c>
      <c r="B81" s="186" t="s">
        <v>842</v>
      </c>
      <c r="C81" s="182" t="s">
        <v>843</v>
      </c>
      <c r="D81" s="182" t="s">
        <v>742</v>
      </c>
      <c r="E81" s="183">
        <v>60750</v>
      </c>
      <c r="F81" s="282">
        <v>62100</v>
      </c>
      <c r="G81" s="287">
        <f t="shared" si="2"/>
        <v>61425</v>
      </c>
    </row>
    <row r="82" spans="1:7" ht="15.75" customHeight="1">
      <c r="A82" s="181">
        <v>83</v>
      </c>
      <c r="B82" s="186" t="s">
        <v>844</v>
      </c>
      <c r="C82" s="182" t="s">
        <v>762</v>
      </c>
      <c r="D82" s="182" t="s">
        <v>742</v>
      </c>
      <c r="E82" s="183">
        <v>24612</v>
      </c>
      <c r="F82" s="282">
        <v>25159</v>
      </c>
      <c r="G82" s="287">
        <f t="shared" si="2"/>
        <v>24885.5</v>
      </c>
    </row>
    <row r="83" spans="1:7" ht="15.75" customHeight="1">
      <c r="A83" s="181">
        <v>84</v>
      </c>
      <c r="B83" s="186" t="s">
        <v>845</v>
      </c>
      <c r="C83" s="182" t="s">
        <v>846</v>
      </c>
      <c r="D83" s="182" t="s">
        <v>742</v>
      </c>
      <c r="E83" s="183">
        <v>37520</v>
      </c>
      <c r="F83" s="282">
        <v>38640</v>
      </c>
      <c r="G83" s="287">
        <f t="shared" si="2"/>
        <v>38080</v>
      </c>
    </row>
    <row r="84" spans="1:7" ht="15.75" customHeight="1">
      <c r="A84" s="181">
        <v>85</v>
      </c>
      <c r="B84" s="186" t="s">
        <v>847</v>
      </c>
      <c r="C84" s="182" t="s">
        <v>848</v>
      </c>
      <c r="D84" s="182" t="s">
        <v>742</v>
      </c>
      <c r="E84" s="183">
        <v>24737</v>
      </c>
      <c r="F84" s="282">
        <v>25249</v>
      </c>
      <c r="G84" s="287">
        <f t="shared" si="2"/>
        <v>24993</v>
      </c>
    </row>
    <row r="85" spans="1:7" ht="15.75" customHeight="1">
      <c r="A85" s="181">
        <v>86</v>
      </c>
      <c r="B85" s="186" t="s">
        <v>849</v>
      </c>
      <c r="C85" s="182" t="s">
        <v>762</v>
      </c>
      <c r="D85" s="182" t="s">
        <v>742</v>
      </c>
      <c r="E85" s="183">
        <v>41145</v>
      </c>
      <c r="F85" s="282">
        <v>41425</v>
      </c>
      <c r="G85" s="287">
        <f t="shared" si="2"/>
        <v>41285</v>
      </c>
    </row>
    <row r="86" spans="1:7" ht="15.75" customHeight="1">
      <c r="A86" s="181">
        <v>87</v>
      </c>
      <c r="B86" s="186" t="s">
        <v>850</v>
      </c>
      <c r="C86" s="182" t="s">
        <v>762</v>
      </c>
      <c r="D86" s="182" t="s">
        <v>742</v>
      </c>
      <c r="E86" s="183">
        <v>37386</v>
      </c>
      <c r="F86" s="282">
        <v>37386</v>
      </c>
      <c r="G86" s="287">
        <f t="shared" si="2"/>
        <v>37386</v>
      </c>
    </row>
    <row r="87" spans="1:7" ht="15.75" customHeight="1">
      <c r="A87" s="181">
        <v>88</v>
      </c>
      <c r="B87" s="185" t="s">
        <v>851</v>
      </c>
      <c r="C87" s="184" t="s">
        <v>762</v>
      </c>
      <c r="D87" s="184" t="s">
        <v>742</v>
      </c>
      <c r="E87" s="183">
        <v>97005</v>
      </c>
      <c r="F87" s="282">
        <v>99012</v>
      </c>
      <c r="G87" s="287">
        <f t="shared" si="2"/>
        <v>98008.5</v>
      </c>
    </row>
    <row r="88" spans="1:7" ht="15.75" customHeight="1">
      <c r="A88" s="181">
        <v>89</v>
      </c>
      <c r="B88" s="185" t="s">
        <v>852</v>
      </c>
      <c r="C88" s="184" t="s">
        <v>762</v>
      </c>
      <c r="D88" s="184" t="s">
        <v>742</v>
      </c>
      <c r="E88" s="183">
        <v>15600</v>
      </c>
      <c r="F88" s="282">
        <v>17400</v>
      </c>
      <c r="G88" s="287">
        <f t="shared" si="2"/>
        <v>16500</v>
      </c>
    </row>
    <row r="89" spans="1:7" ht="15.75" customHeight="1">
      <c r="A89" s="181">
        <v>90</v>
      </c>
      <c r="B89" s="185" t="s">
        <v>853</v>
      </c>
      <c r="C89" s="184" t="s">
        <v>797</v>
      </c>
      <c r="D89" s="184" t="s">
        <v>742</v>
      </c>
      <c r="E89" s="183">
        <v>1702</v>
      </c>
      <c r="F89" s="282">
        <v>1898</v>
      </c>
      <c r="G89" s="287">
        <f t="shared" si="2"/>
        <v>1800</v>
      </c>
    </row>
    <row r="90" spans="1:7" ht="15.75" customHeight="1">
      <c r="A90" s="181">
        <v>91</v>
      </c>
      <c r="B90" s="185" t="s">
        <v>854</v>
      </c>
      <c r="C90" s="184" t="s">
        <v>843</v>
      </c>
      <c r="D90" s="184" t="s">
        <v>742</v>
      </c>
      <c r="E90" s="187">
        <v>46200</v>
      </c>
      <c r="F90" s="282">
        <v>47850</v>
      </c>
      <c r="G90" s="287">
        <f t="shared" si="2"/>
        <v>47025</v>
      </c>
    </row>
    <row r="91" spans="1:7" ht="15.75" customHeight="1">
      <c r="A91" s="181">
        <v>92</v>
      </c>
      <c r="B91" s="185" t="s">
        <v>855</v>
      </c>
      <c r="C91" s="184" t="s">
        <v>843</v>
      </c>
      <c r="D91" s="184" t="s">
        <v>742</v>
      </c>
      <c r="E91" s="187">
        <v>51309</v>
      </c>
      <c r="F91" s="282">
        <v>53142</v>
      </c>
      <c r="G91" s="287">
        <f t="shared" si="2"/>
        <v>52225.5</v>
      </c>
    </row>
    <row r="92" spans="1:7" ht="15.75" customHeight="1">
      <c r="A92" s="181">
        <v>93</v>
      </c>
      <c r="B92" s="185" t="s">
        <v>856</v>
      </c>
      <c r="C92" s="182" t="s">
        <v>843</v>
      </c>
      <c r="D92" s="184" t="s">
        <v>742</v>
      </c>
      <c r="E92" s="187">
        <v>125550</v>
      </c>
      <c r="F92" s="282">
        <v>130200</v>
      </c>
      <c r="G92" s="287">
        <f t="shared" si="2"/>
        <v>127875</v>
      </c>
    </row>
    <row r="93" spans="1:7" ht="15.75" customHeight="1">
      <c r="A93" s="181">
        <v>94</v>
      </c>
      <c r="B93" s="185" t="s">
        <v>857</v>
      </c>
      <c r="C93" s="184" t="s">
        <v>762</v>
      </c>
      <c r="D93" s="184" t="s">
        <v>742</v>
      </c>
      <c r="E93" s="187">
        <v>51551</v>
      </c>
      <c r="F93" s="282">
        <v>53460</v>
      </c>
      <c r="G93" s="287">
        <f t="shared" si="2"/>
        <v>52505.5</v>
      </c>
    </row>
    <row r="94" spans="1:7" ht="15.75" customHeight="1">
      <c r="A94" s="181">
        <v>95</v>
      </c>
      <c r="B94" s="185" t="s">
        <v>858</v>
      </c>
      <c r="C94" s="184" t="s">
        <v>762</v>
      </c>
      <c r="D94" s="182" t="s">
        <v>742</v>
      </c>
      <c r="E94" s="187">
        <v>1315</v>
      </c>
      <c r="F94" s="282">
        <v>1467</v>
      </c>
      <c r="G94" s="287">
        <f t="shared" si="2"/>
        <v>1391</v>
      </c>
    </row>
    <row r="95" spans="1:7" ht="15.75" customHeight="1">
      <c r="A95" s="181">
        <v>96</v>
      </c>
      <c r="B95" s="186" t="s">
        <v>859</v>
      </c>
      <c r="C95" s="182" t="s">
        <v>834</v>
      </c>
      <c r="D95" s="182" t="s">
        <v>742</v>
      </c>
      <c r="E95" s="187">
        <v>93733</v>
      </c>
      <c r="F95" s="282">
        <v>94257</v>
      </c>
      <c r="G95" s="287">
        <f t="shared" si="2"/>
        <v>93995</v>
      </c>
    </row>
    <row r="96" spans="1:7" ht="15.75" customHeight="1">
      <c r="A96" s="181">
        <v>97</v>
      </c>
      <c r="B96" s="186" t="s">
        <v>860</v>
      </c>
      <c r="C96" s="182" t="s">
        <v>834</v>
      </c>
      <c r="D96" s="182" t="s">
        <v>742</v>
      </c>
      <c r="E96" s="187">
        <v>102554</v>
      </c>
      <c r="F96" s="282">
        <v>106981</v>
      </c>
      <c r="G96" s="287">
        <f t="shared" si="2"/>
        <v>104767.5</v>
      </c>
    </row>
    <row r="97" spans="1:7" ht="15.75" customHeight="1">
      <c r="A97" s="181">
        <v>98</v>
      </c>
      <c r="B97" s="186" t="s">
        <v>861</v>
      </c>
      <c r="C97" s="182" t="s">
        <v>848</v>
      </c>
      <c r="D97" s="182" t="s">
        <v>742</v>
      </c>
      <c r="E97" s="187">
        <v>8410</v>
      </c>
      <c r="F97" s="282">
        <v>8700</v>
      </c>
      <c r="G97" s="287">
        <f t="shared" si="2"/>
        <v>8555</v>
      </c>
    </row>
    <row r="98" spans="1:7" ht="15.75" customHeight="1">
      <c r="A98" s="181">
        <v>99</v>
      </c>
      <c r="B98" s="186" t="s">
        <v>862</v>
      </c>
      <c r="C98" s="182" t="s">
        <v>762</v>
      </c>
      <c r="D98" s="182" t="s">
        <v>742</v>
      </c>
      <c r="E98" s="187">
        <v>12941</v>
      </c>
      <c r="F98" s="282">
        <v>13388</v>
      </c>
      <c r="G98" s="287">
        <f t="shared" ref="G98:G104" si="3">AVERAGE(E98:F98)</f>
        <v>13164.5</v>
      </c>
    </row>
    <row r="99" spans="1:7" ht="15.75" customHeight="1">
      <c r="A99" s="181">
        <v>100</v>
      </c>
      <c r="B99" s="186" t="s">
        <v>863</v>
      </c>
      <c r="C99" s="182" t="s">
        <v>843</v>
      </c>
      <c r="D99" s="182" t="s">
        <v>742</v>
      </c>
      <c r="E99" s="187">
        <v>43785</v>
      </c>
      <c r="F99" s="282">
        <v>45675</v>
      </c>
      <c r="G99" s="287">
        <f t="shared" si="3"/>
        <v>44730</v>
      </c>
    </row>
    <row r="100" spans="1:7" ht="15.75" customHeight="1">
      <c r="A100" s="181">
        <v>101</v>
      </c>
      <c r="B100" s="186" t="s">
        <v>864</v>
      </c>
      <c r="C100" s="182" t="s">
        <v>843</v>
      </c>
      <c r="D100" s="182" t="s">
        <v>742</v>
      </c>
      <c r="E100" s="187">
        <v>132745</v>
      </c>
      <c r="F100" s="282">
        <v>138475</v>
      </c>
      <c r="G100" s="287">
        <f t="shared" si="3"/>
        <v>135610</v>
      </c>
    </row>
    <row r="101" spans="1:7" ht="15.75" customHeight="1">
      <c r="A101" s="181">
        <v>102</v>
      </c>
      <c r="B101" s="186" t="s">
        <v>865</v>
      </c>
      <c r="C101" s="182" t="s">
        <v>843</v>
      </c>
      <c r="D101" s="182" t="s">
        <v>742</v>
      </c>
      <c r="E101" s="187">
        <v>21569</v>
      </c>
      <c r="F101" s="282">
        <v>22313</v>
      </c>
      <c r="G101" s="287">
        <f t="shared" si="3"/>
        <v>21941</v>
      </c>
    </row>
    <row r="102" spans="1:7" ht="15.75" customHeight="1">
      <c r="A102" s="181">
        <v>103</v>
      </c>
      <c r="B102" s="186" t="s">
        <v>866</v>
      </c>
      <c r="C102" s="182" t="s">
        <v>762</v>
      </c>
      <c r="D102" s="182" t="s">
        <v>742</v>
      </c>
      <c r="E102" s="187">
        <v>3415</v>
      </c>
      <c r="F102" s="282">
        <v>3537</v>
      </c>
      <c r="G102" s="287">
        <f t="shared" si="3"/>
        <v>3476</v>
      </c>
    </row>
    <row r="103" spans="1:7" ht="15.75" customHeight="1">
      <c r="A103" s="181">
        <v>104</v>
      </c>
      <c r="B103" s="186" t="s">
        <v>867</v>
      </c>
      <c r="C103" s="182" t="s">
        <v>843</v>
      </c>
      <c r="D103" s="182" t="s">
        <v>742</v>
      </c>
      <c r="E103" s="187">
        <v>27612</v>
      </c>
      <c r="F103" s="282">
        <v>28674</v>
      </c>
      <c r="G103" s="287">
        <f t="shared" si="3"/>
        <v>28143</v>
      </c>
    </row>
    <row r="104" spans="1:7" ht="15.75" customHeight="1">
      <c r="A104" s="181">
        <v>105</v>
      </c>
      <c r="B104" s="186" t="s">
        <v>868</v>
      </c>
      <c r="C104" s="182" t="s">
        <v>843</v>
      </c>
      <c r="D104" s="182" t="s">
        <v>742</v>
      </c>
      <c r="E104" s="187">
        <v>47850</v>
      </c>
      <c r="F104" s="282">
        <v>48840</v>
      </c>
      <c r="G104" s="287">
        <f t="shared" si="3"/>
        <v>48345</v>
      </c>
    </row>
    <row r="105" spans="1:7" ht="15.75" customHeight="1">
      <c r="A105" s="188"/>
      <c r="B105" s="408" t="s">
        <v>869</v>
      </c>
      <c r="C105" s="356"/>
      <c r="D105" s="368"/>
      <c r="E105" s="189">
        <f t="shared" ref="E105:F105" si="4">SUM(E2:E104)</f>
        <v>2912914</v>
      </c>
      <c r="F105" s="283">
        <f t="shared" si="4"/>
        <v>3179340</v>
      </c>
    </row>
    <row r="106" spans="1:7" ht="15.75" customHeight="1">
      <c r="A106" s="188"/>
      <c r="B106" s="409" t="s">
        <v>197</v>
      </c>
      <c r="C106" s="356"/>
      <c r="D106" s="368"/>
      <c r="E106" s="189">
        <f>SUM(E105:E105)</f>
        <v>2912914</v>
      </c>
      <c r="F106" s="283">
        <f>F105</f>
        <v>3179340</v>
      </c>
      <c r="G106" s="292"/>
    </row>
    <row r="107" spans="1:7" ht="15.75" customHeight="1">
      <c r="E107" s="69"/>
      <c r="F107" s="284"/>
      <c r="G107" s="285"/>
    </row>
    <row r="108" spans="1:7" ht="15.75" customHeight="1">
      <c r="E108" s="69"/>
      <c r="F108" s="284"/>
      <c r="G108" s="285"/>
    </row>
    <row r="109" spans="1:7" ht="15.75" customHeight="1">
      <c r="E109" s="406" t="s">
        <v>721</v>
      </c>
      <c r="F109" s="407"/>
      <c r="G109" s="285"/>
    </row>
    <row r="110" spans="1:7" ht="15.75" customHeight="1">
      <c r="E110" s="174" t="s">
        <v>870</v>
      </c>
      <c r="F110" s="294" t="s">
        <v>202</v>
      </c>
      <c r="G110" s="285"/>
    </row>
    <row r="111" spans="1:7" ht="15.75" customHeight="1">
      <c r="E111" s="174" t="s">
        <v>871</v>
      </c>
      <c r="F111" s="287">
        <v>32000000</v>
      </c>
      <c r="G111" s="285"/>
    </row>
    <row r="112" spans="1:7" ht="15.75" customHeight="1">
      <c r="E112" s="69"/>
      <c r="F112" s="284"/>
      <c r="G112" s="285"/>
    </row>
    <row r="113" spans="5:7" ht="15.75" customHeight="1">
      <c r="E113" s="69"/>
      <c r="F113" s="284"/>
      <c r="G113" s="285"/>
    </row>
    <row r="114" spans="5:7" ht="15.75" customHeight="1">
      <c r="E114" s="69"/>
      <c r="F114" s="284"/>
      <c r="G114" s="285"/>
    </row>
    <row r="115" spans="5:7" ht="15.75" customHeight="1">
      <c r="E115" s="69"/>
      <c r="F115" s="284"/>
      <c r="G115" s="285"/>
    </row>
    <row r="116" spans="5:7" ht="15.75" customHeight="1">
      <c r="E116" s="69"/>
      <c r="F116" s="284"/>
      <c r="G116" s="285"/>
    </row>
    <row r="117" spans="5:7" ht="15.75" customHeight="1">
      <c r="E117" s="69"/>
      <c r="F117" s="284"/>
      <c r="G117" s="285"/>
    </row>
    <row r="118" spans="5:7" ht="15.75" customHeight="1">
      <c r="E118" s="69"/>
      <c r="F118" s="284"/>
      <c r="G118" s="285"/>
    </row>
    <row r="119" spans="5:7" ht="15.75" customHeight="1">
      <c r="E119" s="69"/>
      <c r="F119" s="284"/>
      <c r="G119" s="285"/>
    </row>
    <row r="120" spans="5:7" ht="15.75" customHeight="1">
      <c r="E120" s="69"/>
      <c r="F120" s="284"/>
      <c r="G120" s="285"/>
    </row>
    <row r="121" spans="5:7" ht="15.75" customHeight="1">
      <c r="E121" s="69"/>
      <c r="F121" s="284"/>
      <c r="G121" s="285"/>
    </row>
    <row r="122" spans="5:7" ht="15.75" customHeight="1">
      <c r="E122" s="69"/>
      <c r="F122" s="284"/>
      <c r="G122" s="285"/>
    </row>
    <row r="123" spans="5:7" ht="15.75" customHeight="1">
      <c r="E123" s="69"/>
      <c r="F123" s="284"/>
      <c r="G123" s="285"/>
    </row>
    <row r="124" spans="5:7" ht="15.75" customHeight="1">
      <c r="E124" s="69"/>
      <c r="F124" s="284"/>
      <c r="G124" s="285"/>
    </row>
    <row r="125" spans="5:7" ht="15.75" customHeight="1">
      <c r="E125" s="69"/>
      <c r="F125" s="284"/>
      <c r="G125" s="285"/>
    </row>
    <row r="126" spans="5:7" ht="15.75" customHeight="1">
      <c r="E126" s="69"/>
      <c r="F126" s="284"/>
      <c r="G126" s="285"/>
    </row>
    <row r="127" spans="5:7" ht="15.75" customHeight="1">
      <c r="E127" s="69"/>
      <c r="F127" s="284"/>
      <c r="G127" s="285"/>
    </row>
    <row r="128" spans="5:7" ht="15.75" customHeight="1">
      <c r="E128" s="69"/>
      <c r="F128" s="284"/>
      <c r="G128" s="285"/>
    </row>
    <row r="129" spans="5:7" ht="15.75" customHeight="1">
      <c r="E129" s="69"/>
      <c r="F129" s="284"/>
      <c r="G129" s="285"/>
    </row>
    <row r="130" spans="5:7" ht="15.75" customHeight="1">
      <c r="E130" s="69"/>
      <c r="F130" s="284"/>
      <c r="G130" s="285"/>
    </row>
    <row r="131" spans="5:7" ht="15.75" customHeight="1">
      <c r="E131" s="69"/>
      <c r="F131" s="284"/>
      <c r="G131" s="285"/>
    </row>
    <row r="132" spans="5:7" ht="15.75" customHeight="1">
      <c r="E132" s="69"/>
      <c r="F132" s="284"/>
      <c r="G132" s="285"/>
    </row>
    <row r="133" spans="5:7" ht="15.75" customHeight="1">
      <c r="E133" s="69"/>
      <c r="F133" s="284"/>
      <c r="G133" s="285"/>
    </row>
    <row r="134" spans="5:7" ht="15.75" customHeight="1">
      <c r="E134" s="69"/>
      <c r="F134" s="284"/>
      <c r="G134" s="285"/>
    </row>
    <row r="135" spans="5:7" ht="15.75" customHeight="1">
      <c r="E135" s="69"/>
      <c r="F135" s="284"/>
      <c r="G135" s="285"/>
    </row>
    <row r="136" spans="5:7" ht="15.75" customHeight="1">
      <c r="E136" s="69"/>
      <c r="F136" s="284"/>
      <c r="G136" s="285"/>
    </row>
    <row r="137" spans="5:7" ht="15.75" customHeight="1">
      <c r="E137" s="69"/>
      <c r="F137" s="284"/>
      <c r="G137" s="285"/>
    </row>
    <row r="138" spans="5:7" ht="15.75" customHeight="1">
      <c r="E138" s="69"/>
      <c r="F138" s="284"/>
      <c r="G138" s="285"/>
    </row>
    <row r="139" spans="5:7" ht="15.75" customHeight="1">
      <c r="E139" s="69"/>
      <c r="F139" s="284"/>
      <c r="G139" s="285"/>
    </row>
    <row r="140" spans="5:7" ht="15.75" customHeight="1">
      <c r="E140" s="69"/>
      <c r="F140" s="284"/>
      <c r="G140" s="285"/>
    </row>
    <row r="141" spans="5:7" ht="15.75" customHeight="1">
      <c r="E141" s="69"/>
      <c r="F141" s="284"/>
      <c r="G141" s="285"/>
    </row>
    <row r="142" spans="5:7" ht="15.75" customHeight="1">
      <c r="E142" s="69"/>
      <c r="F142" s="284"/>
      <c r="G142" s="285"/>
    </row>
    <row r="143" spans="5:7" ht="15.75" customHeight="1">
      <c r="E143" s="69"/>
      <c r="F143" s="284"/>
      <c r="G143" s="285"/>
    </row>
    <row r="144" spans="5:7" ht="15.75" customHeight="1">
      <c r="E144" s="69"/>
      <c r="F144" s="284"/>
      <c r="G144" s="285"/>
    </row>
    <row r="145" spans="5:7" ht="15.75" customHeight="1">
      <c r="E145" s="69"/>
      <c r="F145" s="284"/>
      <c r="G145" s="285"/>
    </row>
    <row r="146" spans="5:7" ht="15.75" customHeight="1">
      <c r="E146" s="69"/>
      <c r="F146" s="284"/>
      <c r="G146" s="285"/>
    </row>
    <row r="147" spans="5:7" ht="15.75" customHeight="1">
      <c r="E147" s="69"/>
      <c r="F147" s="284"/>
      <c r="G147" s="285"/>
    </row>
    <row r="148" spans="5:7" ht="15.75" customHeight="1">
      <c r="E148" s="69"/>
      <c r="F148" s="284"/>
      <c r="G148" s="285"/>
    </row>
    <row r="149" spans="5:7" ht="15.75" customHeight="1">
      <c r="E149" s="69"/>
      <c r="F149" s="284"/>
      <c r="G149" s="285"/>
    </row>
    <row r="150" spans="5:7" ht="15.75" customHeight="1">
      <c r="E150" s="69"/>
      <c r="F150" s="284"/>
      <c r="G150" s="285"/>
    </row>
    <row r="151" spans="5:7" ht="15.75" customHeight="1">
      <c r="E151" s="69"/>
      <c r="F151" s="284"/>
      <c r="G151" s="285"/>
    </row>
    <row r="152" spans="5:7" ht="15.75" customHeight="1">
      <c r="E152" s="69"/>
      <c r="F152" s="284"/>
      <c r="G152" s="285"/>
    </row>
    <row r="153" spans="5:7" ht="15.75" customHeight="1">
      <c r="E153" s="69"/>
      <c r="F153" s="284"/>
      <c r="G153" s="285"/>
    </row>
    <row r="154" spans="5:7" ht="15.75" customHeight="1">
      <c r="E154" s="69"/>
      <c r="F154" s="284"/>
      <c r="G154" s="285"/>
    </row>
    <row r="155" spans="5:7" ht="15.75" customHeight="1">
      <c r="E155" s="69"/>
      <c r="F155" s="284"/>
      <c r="G155" s="285"/>
    </row>
    <row r="156" spans="5:7" ht="15.75" customHeight="1">
      <c r="E156" s="69"/>
      <c r="F156" s="284"/>
      <c r="G156" s="285"/>
    </row>
    <row r="157" spans="5:7" ht="15.75" customHeight="1">
      <c r="E157" s="69"/>
      <c r="F157" s="284"/>
      <c r="G157" s="285"/>
    </row>
    <row r="158" spans="5:7" ht="15.75" customHeight="1">
      <c r="E158" s="69"/>
      <c r="F158" s="284"/>
      <c r="G158" s="285"/>
    </row>
    <row r="159" spans="5:7" ht="15.75" customHeight="1">
      <c r="E159" s="69"/>
      <c r="F159" s="284"/>
      <c r="G159" s="285"/>
    </row>
    <row r="160" spans="5:7" ht="15.75" customHeight="1">
      <c r="E160" s="69"/>
      <c r="F160" s="284"/>
      <c r="G160" s="285"/>
    </row>
    <row r="161" spans="5:7" ht="15.75" customHeight="1">
      <c r="E161" s="69"/>
      <c r="F161" s="284"/>
      <c r="G161" s="285"/>
    </row>
    <row r="162" spans="5:7" ht="15.75" customHeight="1">
      <c r="E162" s="69"/>
      <c r="F162" s="284"/>
      <c r="G162" s="285"/>
    </row>
    <row r="163" spans="5:7" ht="15.75" customHeight="1">
      <c r="E163" s="69"/>
      <c r="F163" s="284"/>
      <c r="G163" s="285"/>
    </row>
    <row r="164" spans="5:7" ht="15.75" customHeight="1">
      <c r="E164" s="69"/>
      <c r="F164" s="284"/>
      <c r="G164" s="285"/>
    </row>
    <row r="165" spans="5:7" ht="15.75" customHeight="1">
      <c r="E165" s="69"/>
      <c r="F165" s="284"/>
      <c r="G165" s="285"/>
    </row>
    <row r="166" spans="5:7" ht="15.75" customHeight="1">
      <c r="E166" s="69"/>
      <c r="F166" s="284"/>
      <c r="G166" s="285"/>
    </row>
    <row r="167" spans="5:7" ht="15.75" customHeight="1">
      <c r="E167" s="69"/>
      <c r="F167" s="284"/>
      <c r="G167" s="285"/>
    </row>
    <row r="168" spans="5:7" ht="15.75" customHeight="1">
      <c r="E168" s="69"/>
      <c r="F168" s="284"/>
      <c r="G168" s="285"/>
    </row>
    <row r="169" spans="5:7" ht="15.75" customHeight="1">
      <c r="E169" s="69"/>
      <c r="F169" s="284"/>
      <c r="G169" s="285"/>
    </row>
    <row r="170" spans="5:7" ht="15.75" customHeight="1">
      <c r="E170" s="69"/>
      <c r="F170" s="284"/>
      <c r="G170" s="285"/>
    </row>
    <row r="171" spans="5:7" ht="15.75" customHeight="1">
      <c r="E171" s="69"/>
      <c r="F171" s="284"/>
      <c r="G171" s="285"/>
    </row>
    <row r="172" spans="5:7" ht="15.75" customHeight="1">
      <c r="E172" s="69"/>
      <c r="F172" s="284"/>
      <c r="G172" s="285"/>
    </row>
    <row r="173" spans="5:7" ht="15.75" customHeight="1">
      <c r="E173" s="69"/>
      <c r="F173" s="284"/>
      <c r="G173" s="285"/>
    </row>
    <row r="174" spans="5:7" ht="15.75" customHeight="1">
      <c r="E174" s="69"/>
      <c r="F174" s="284"/>
      <c r="G174" s="285"/>
    </row>
    <row r="175" spans="5:7" ht="15.75" customHeight="1">
      <c r="E175" s="69"/>
      <c r="F175" s="284"/>
      <c r="G175" s="285"/>
    </row>
    <row r="176" spans="5:7" ht="15.75" customHeight="1">
      <c r="E176" s="69"/>
      <c r="F176" s="284"/>
      <c r="G176" s="285"/>
    </row>
    <row r="177" spans="5:7" ht="15.75" customHeight="1">
      <c r="E177" s="69"/>
      <c r="F177" s="284"/>
      <c r="G177" s="285"/>
    </row>
    <row r="178" spans="5:7" ht="15.75" customHeight="1">
      <c r="E178" s="69"/>
      <c r="F178" s="284"/>
      <c r="G178" s="285"/>
    </row>
    <row r="179" spans="5:7" ht="15.75" customHeight="1">
      <c r="E179" s="69"/>
      <c r="F179" s="284"/>
      <c r="G179" s="285"/>
    </row>
    <row r="180" spans="5:7" ht="15.75" customHeight="1">
      <c r="E180" s="69"/>
      <c r="F180" s="284"/>
      <c r="G180" s="285"/>
    </row>
    <row r="181" spans="5:7" ht="15.75" customHeight="1">
      <c r="E181" s="69"/>
      <c r="F181" s="284"/>
      <c r="G181" s="285"/>
    </row>
    <row r="182" spans="5:7" ht="15.75" customHeight="1">
      <c r="E182" s="69"/>
      <c r="F182" s="284"/>
      <c r="G182" s="285"/>
    </row>
    <row r="183" spans="5:7" ht="15.75" customHeight="1">
      <c r="E183" s="69"/>
      <c r="F183" s="284"/>
      <c r="G183" s="285"/>
    </row>
    <row r="184" spans="5:7" ht="15.75" customHeight="1">
      <c r="E184" s="69"/>
      <c r="F184" s="284"/>
      <c r="G184" s="285"/>
    </row>
    <row r="185" spans="5:7" ht="15.75" customHeight="1">
      <c r="E185" s="69"/>
      <c r="F185" s="284"/>
      <c r="G185" s="285"/>
    </row>
    <row r="186" spans="5:7" ht="15.75" customHeight="1">
      <c r="E186" s="69"/>
      <c r="F186" s="284"/>
      <c r="G186" s="285"/>
    </row>
    <row r="187" spans="5:7" ht="15.75" customHeight="1">
      <c r="E187" s="69"/>
      <c r="F187" s="284"/>
      <c r="G187" s="285"/>
    </row>
    <row r="188" spans="5:7" ht="15.75" customHeight="1">
      <c r="E188" s="69"/>
      <c r="F188" s="284"/>
      <c r="G188" s="285"/>
    </row>
    <row r="189" spans="5:7" ht="15.75" customHeight="1">
      <c r="E189" s="69"/>
      <c r="F189" s="284"/>
      <c r="G189" s="285"/>
    </row>
    <row r="190" spans="5:7" ht="15.75" customHeight="1">
      <c r="E190" s="69"/>
      <c r="F190" s="284"/>
      <c r="G190" s="285"/>
    </row>
    <row r="191" spans="5:7" ht="15.75" customHeight="1">
      <c r="E191" s="69"/>
      <c r="F191" s="284"/>
      <c r="G191" s="285"/>
    </row>
    <row r="192" spans="5:7" ht="15.75" customHeight="1">
      <c r="E192" s="69"/>
      <c r="F192" s="284"/>
      <c r="G192" s="285"/>
    </row>
    <row r="193" spans="5:7" ht="15.75" customHeight="1">
      <c r="E193" s="69"/>
      <c r="F193" s="284"/>
      <c r="G193" s="285"/>
    </row>
    <row r="194" spans="5:7" ht="15.75" customHeight="1">
      <c r="E194" s="69"/>
      <c r="F194" s="284"/>
      <c r="G194" s="285"/>
    </row>
    <row r="195" spans="5:7" ht="15.75" customHeight="1">
      <c r="E195" s="69"/>
      <c r="F195" s="284"/>
      <c r="G195" s="285"/>
    </row>
    <row r="196" spans="5:7" ht="15.75" customHeight="1">
      <c r="E196" s="69"/>
      <c r="F196" s="284"/>
      <c r="G196" s="285"/>
    </row>
    <row r="197" spans="5:7" ht="15.75" customHeight="1">
      <c r="E197" s="69"/>
      <c r="F197" s="284"/>
      <c r="G197" s="285"/>
    </row>
    <row r="198" spans="5:7" ht="15.75" customHeight="1">
      <c r="E198" s="69"/>
      <c r="F198" s="284"/>
      <c r="G198" s="285"/>
    </row>
    <row r="199" spans="5:7" ht="15.75" customHeight="1">
      <c r="E199" s="69"/>
      <c r="F199" s="284"/>
      <c r="G199" s="285"/>
    </row>
    <row r="200" spans="5:7" ht="15.75" customHeight="1">
      <c r="E200" s="69"/>
      <c r="F200" s="284"/>
      <c r="G200" s="285"/>
    </row>
    <row r="201" spans="5:7" ht="15.75" customHeight="1">
      <c r="E201" s="69"/>
      <c r="F201" s="284"/>
      <c r="G201" s="285"/>
    </row>
    <row r="202" spans="5:7" ht="15.75" customHeight="1">
      <c r="E202" s="69"/>
      <c r="F202" s="284"/>
      <c r="G202" s="285"/>
    </row>
    <row r="203" spans="5:7" ht="15.75" customHeight="1">
      <c r="E203" s="69"/>
      <c r="F203" s="284"/>
      <c r="G203" s="285"/>
    </row>
    <row r="204" spans="5:7" ht="15.75" customHeight="1">
      <c r="E204" s="69"/>
      <c r="F204" s="284"/>
      <c r="G204" s="285"/>
    </row>
    <row r="205" spans="5:7" ht="15.75" customHeight="1">
      <c r="E205" s="69"/>
      <c r="F205" s="284"/>
      <c r="G205" s="285"/>
    </row>
    <row r="206" spans="5:7" ht="15.75" customHeight="1">
      <c r="E206" s="69"/>
      <c r="F206" s="284"/>
      <c r="G206" s="285"/>
    </row>
    <row r="207" spans="5:7" ht="15.75" customHeight="1">
      <c r="E207" s="69"/>
      <c r="F207" s="284"/>
      <c r="G207" s="285"/>
    </row>
    <row r="208" spans="5:7" ht="15.75" customHeight="1">
      <c r="E208" s="69"/>
      <c r="F208" s="284"/>
      <c r="G208" s="285"/>
    </row>
    <row r="209" spans="5:7" ht="15.75" customHeight="1">
      <c r="E209" s="69"/>
      <c r="F209" s="284"/>
      <c r="G209" s="285"/>
    </row>
    <row r="210" spans="5:7" ht="15.75" customHeight="1">
      <c r="E210" s="69"/>
      <c r="F210" s="284"/>
      <c r="G210" s="285"/>
    </row>
    <row r="211" spans="5:7" ht="15.75" customHeight="1">
      <c r="E211" s="69"/>
      <c r="F211" s="284"/>
      <c r="G211" s="285"/>
    </row>
    <row r="212" spans="5:7" ht="15.75" customHeight="1">
      <c r="E212" s="69"/>
      <c r="F212" s="284"/>
      <c r="G212" s="285"/>
    </row>
    <row r="213" spans="5:7" ht="15.75" customHeight="1">
      <c r="E213" s="69"/>
      <c r="F213" s="284"/>
      <c r="G213" s="285"/>
    </row>
    <row r="214" spans="5:7" ht="15.75" customHeight="1">
      <c r="E214" s="69"/>
      <c r="F214" s="284"/>
      <c r="G214" s="285"/>
    </row>
    <row r="215" spans="5:7" ht="15.75" customHeight="1">
      <c r="E215" s="69"/>
      <c r="F215" s="284"/>
      <c r="G215" s="285"/>
    </row>
    <row r="216" spans="5:7" ht="15.75" customHeight="1">
      <c r="E216" s="69"/>
      <c r="F216" s="284"/>
      <c r="G216" s="285"/>
    </row>
    <row r="217" spans="5:7" ht="15.75" customHeight="1">
      <c r="E217" s="69"/>
      <c r="F217" s="284"/>
      <c r="G217" s="285"/>
    </row>
    <row r="218" spans="5:7" ht="15.75" customHeight="1">
      <c r="E218" s="69"/>
      <c r="F218" s="284"/>
      <c r="G218" s="285"/>
    </row>
    <row r="219" spans="5:7" ht="15.75" customHeight="1">
      <c r="E219" s="69"/>
      <c r="F219" s="284"/>
      <c r="G219" s="285"/>
    </row>
    <row r="220" spans="5:7" ht="15.75" customHeight="1">
      <c r="E220" s="69"/>
      <c r="F220" s="284"/>
      <c r="G220" s="285"/>
    </row>
    <row r="221" spans="5:7" ht="15.75" customHeight="1">
      <c r="E221" s="69"/>
      <c r="F221" s="284"/>
      <c r="G221" s="285"/>
    </row>
    <row r="222" spans="5:7" ht="15.75" customHeight="1">
      <c r="E222" s="69"/>
      <c r="F222" s="284"/>
      <c r="G222" s="285"/>
    </row>
    <row r="223" spans="5:7" ht="15.75" customHeight="1">
      <c r="E223" s="69"/>
      <c r="F223" s="284"/>
      <c r="G223" s="285"/>
    </row>
    <row r="224" spans="5:7" ht="15.75" customHeight="1">
      <c r="E224" s="69"/>
      <c r="F224" s="284"/>
      <c r="G224" s="293"/>
    </row>
    <row r="225" spans="5:6" ht="15.75" customHeight="1">
      <c r="E225" s="69"/>
      <c r="F225" s="284"/>
    </row>
    <row r="226" spans="5:6" ht="15.75" customHeight="1">
      <c r="E226" s="69"/>
      <c r="F226" s="284"/>
    </row>
    <row r="227" spans="5:6" ht="15.75" customHeight="1">
      <c r="E227" s="69"/>
      <c r="F227" s="284"/>
    </row>
    <row r="228" spans="5:6" ht="15.75" customHeight="1">
      <c r="E228" s="69"/>
      <c r="F228" s="284"/>
    </row>
    <row r="229" spans="5:6" ht="15.75" customHeight="1">
      <c r="E229" s="69"/>
      <c r="F229" s="284"/>
    </row>
    <row r="230" spans="5:6" ht="15.75" customHeight="1">
      <c r="E230" s="69"/>
      <c r="F230" s="284"/>
    </row>
    <row r="231" spans="5:6" ht="15.75" customHeight="1">
      <c r="E231" s="69"/>
      <c r="F231" s="284"/>
    </row>
    <row r="232" spans="5:6" ht="15.75" customHeight="1">
      <c r="E232" s="69"/>
      <c r="F232" s="284"/>
    </row>
    <row r="233" spans="5:6" ht="15.75" customHeight="1">
      <c r="E233" s="69"/>
      <c r="F233" s="284"/>
    </row>
    <row r="234" spans="5:6" ht="15.75" customHeight="1">
      <c r="E234" s="69"/>
      <c r="F234" s="284"/>
    </row>
    <row r="235" spans="5:6" ht="15.75" customHeight="1">
      <c r="E235" s="69"/>
      <c r="F235" s="284"/>
    </row>
    <row r="236" spans="5:6" ht="15.75" customHeight="1">
      <c r="E236" s="69"/>
      <c r="F236" s="284"/>
    </row>
    <row r="237" spans="5:6" ht="15.75" customHeight="1">
      <c r="E237" s="69"/>
      <c r="F237" s="284"/>
    </row>
    <row r="238" spans="5:6" ht="15.75" customHeight="1">
      <c r="E238" s="69"/>
      <c r="F238" s="284"/>
    </row>
    <row r="239" spans="5:6" ht="15.75" customHeight="1">
      <c r="E239" s="69"/>
      <c r="F239" s="284"/>
    </row>
    <row r="240" spans="5:6" ht="15.75" customHeight="1">
      <c r="E240" s="69"/>
      <c r="F240" s="284"/>
    </row>
    <row r="241" spans="5:6" ht="15.75" customHeight="1">
      <c r="E241" s="69"/>
      <c r="F241" s="284"/>
    </row>
    <row r="242" spans="5:6" ht="15.75" customHeight="1">
      <c r="E242" s="69"/>
      <c r="F242" s="284"/>
    </row>
    <row r="243" spans="5:6" ht="15.75" customHeight="1">
      <c r="E243" s="69"/>
      <c r="F243" s="284"/>
    </row>
    <row r="244" spans="5:6" ht="15.75" customHeight="1">
      <c r="E244" s="69"/>
      <c r="F244" s="284"/>
    </row>
    <row r="245" spans="5:6" ht="15.75" customHeight="1">
      <c r="E245" s="69"/>
      <c r="F245" s="284"/>
    </row>
    <row r="246" spans="5:6" ht="15.75" customHeight="1">
      <c r="E246" s="69"/>
      <c r="F246" s="284"/>
    </row>
    <row r="247" spans="5:6" ht="15.75" customHeight="1">
      <c r="E247" s="69"/>
      <c r="F247" s="284"/>
    </row>
    <row r="248" spans="5:6" ht="15.75" customHeight="1">
      <c r="E248" s="69"/>
      <c r="F248" s="284"/>
    </row>
    <row r="249" spans="5:6" ht="15.75" customHeight="1">
      <c r="E249" s="69"/>
      <c r="F249" s="284"/>
    </row>
    <row r="250" spans="5:6" ht="15.75" customHeight="1">
      <c r="E250" s="69"/>
      <c r="F250" s="284"/>
    </row>
    <row r="251" spans="5:6" ht="15.75" customHeight="1">
      <c r="E251" s="69"/>
      <c r="F251" s="284"/>
    </row>
    <row r="252" spans="5:6" ht="15.75" customHeight="1">
      <c r="E252" s="69"/>
      <c r="F252" s="284"/>
    </row>
    <row r="253" spans="5:6" ht="15.75" customHeight="1">
      <c r="E253" s="69"/>
      <c r="F253" s="284"/>
    </row>
    <row r="254" spans="5:6" ht="15.75" customHeight="1">
      <c r="E254" s="69"/>
      <c r="F254" s="284"/>
    </row>
    <row r="255" spans="5:6" ht="15.75" customHeight="1">
      <c r="E255" s="69"/>
      <c r="F255" s="284"/>
    </row>
    <row r="256" spans="5:6" ht="15.75" customHeight="1">
      <c r="E256" s="69"/>
      <c r="F256" s="284"/>
    </row>
    <row r="257" spans="5:6" ht="15.75" customHeight="1">
      <c r="E257" s="69"/>
      <c r="F257" s="284"/>
    </row>
    <row r="258" spans="5:6" ht="15.75" customHeight="1">
      <c r="E258" s="69"/>
      <c r="F258" s="284"/>
    </row>
    <row r="259" spans="5:6" ht="15.75" customHeight="1">
      <c r="E259" s="69"/>
      <c r="F259" s="284"/>
    </row>
    <row r="260" spans="5:6" ht="15.75" customHeight="1">
      <c r="E260" s="69"/>
      <c r="F260" s="284"/>
    </row>
    <row r="261" spans="5:6" ht="15.75" customHeight="1">
      <c r="E261" s="69"/>
      <c r="F261" s="284"/>
    </row>
    <row r="262" spans="5:6" ht="15.75" customHeight="1">
      <c r="E262" s="69"/>
      <c r="F262" s="284"/>
    </row>
    <row r="263" spans="5:6" ht="15.75" customHeight="1">
      <c r="E263" s="69"/>
      <c r="F263" s="284"/>
    </row>
    <row r="264" spans="5:6" ht="15.75" customHeight="1">
      <c r="E264" s="69"/>
      <c r="F264" s="284"/>
    </row>
    <row r="265" spans="5:6" ht="15.75" customHeight="1">
      <c r="E265" s="69"/>
      <c r="F265" s="284"/>
    </row>
    <row r="266" spans="5:6" ht="15.75" customHeight="1">
      <c r="E266" s="69"/>
      <c r="F266" s="284"/>
    </row>
    <row r="267" spans="5:6" ht="15.75" customHeight="1">
      <c r="E267" s="69"/>
      <c r="F267" s="284"/>
    </row>
    <row r="268" spans="5:6" ht="15.75" customHeight="1">
      <c r="E268" s="69"/>
      <c r="F268" s="284"/>
    </row>
    <row r="269" spans="5:6" ht="15.75" customHeight="1">
      <c r="E269" s="69"/>
      <c r="F269" s="284"/>
    </row>
    <row r="270" spans="5:6" ht="15.75" customHeight="1">
      <c r="E270" s="69"/>
      <c r="F270" s="284"/>
    </row>
    <row r="271" spans="5:6" ht="15.75" customHeight="1">
      <c r="E271" s="69"/>
      <c r="F271" s="284"/>
    </row>
    <row r="272" spans="5:6" ht="15.75" customHeight="1">
      <c r="E272" s="69"/>
      <c r="F272" s="284"/>
    </row>
    <row r="273" spans="5:6" ht="15.75" customHeight="1">
      <c r="E273" s="69"/>
      <c r="F273" s="284"/>
    </row>
    <row r="274" spans="5:6" ht="15.75" customHeight="1">
      <c r="E274" s="69"/>
      <c r="F274" s="284"/>
    </row>
    <row r="275" spans="5:6" ht="15.75" customHeight="1">
      <c r="E275" s="69"/>
      <c r="F275" s="284"/>
    </row>
    <row r="276" spans="5:6" ht="15.75" customHeight="1">
      <c r="E276" s="69"/>
      <c r="F276" s="284"/>
    </row>
    <row r="277" spans="5:6" ht="15.75" customHeight="1">
      <c r="E277" s="69"/>
      <c r="F277" s="284"/>
    </row>
    <row r="278" spans="5:6" ht="15.75" customHeight="1">
      <c r="E278" s="69"/>
      <c r="F278" s="284"/>
    </row>
    <row r="279" spans="5:6" ht="15.75" customHeight="1">
      <c r="E279" s="69"/>
      <c r="F279" s="284"/>
    </row>
    <row r="280" spans="5:6" ht="15.75" customHeight="1">
      <c r="E280" s="69"/>
      <c r="F280" s="284"/>
    </row>
    <row r="281" spans="5:6" ht="15.75" customHeight="1">
      <c r="E281" s="69"/>
      <c r="F281" s="284"/>
    </row>
    <row r="282" spans="5:6" ht="15.75" customHeight="1">
      <c r="E282" s="69"/>
      <c r="F282" s="284"/>
    </row>
    <row r="283" spans="5:6" ht="15.75" customHeight="1">
      <c r="E283" s="69"/>
      <c r="F283" s="284"/>
    </row>
    <row r="284" spans="5:6" ht="15.75" customHeight="1">
      <c r="E284" s="69"/>
      <c r="F284" s="284"/>
    </row>
    <row r="285" spans="5:6" ht="15.75" customHeight="1">
      <c r="E285" s="69"/>
      <c r="F285" s="284"/>
    </row>
    <row r="286" spans="5:6" ht="15.75" customHeight="1">
      <c r="E286" s="69"/>
      <c r="F286" s="284"/>
    </row>
    <row r="287" spans="5:6" ht="15.75" customHeight="1">
      <c r="E287" s="69"/>
      <c r="F287" s="284"/>
    </row>
    <row r="288" spans="5:6" ht="15.75" customHeight="1">
      <c r="E288" s="69"/>
      <c r="F288" s="284"/>
    </row>
    <row r="289" spans="5:6" ht="15.75" customHeight="1">
      <c r="E289" s="69"/>
      <c r="F289" s="284"/>
    </row>
    <row r="290" spans="5:6" ht="15.75" customHeight="1">
      <c r="E290" s="69"/>
      <c r="F290" s="284"/>
    </row>
    <row r="291" spans="5:6" ht="15.75" customHeight="1">
      <c r="E291" s="69"/>
      <c r="F291" s="284"/>
    </row>
    <row r="292" spans="5:6" ht="15.75" customHeight="1">
      <c r="E292" s="69"/>
      <c r="F292" s="284"/>
    </row>
    <row r="293" spans="5:6" ht="15.75" customHeight="1">
      <c r="E293" s="69"/>
      <c r="F293" s="284"/>
    </row>
    <row r="294" spans="5:6" ht="15.75" customHeight="1">
      <c r="E294" s="69"/>
      <c r="F294" s="284"/>
    </row>
    <row r="295" spans="5:6" ht="15.75" customHeight="1">
      <c r="E295" s="69"/>
      <c r="F295" s="284"/>
    </row>
    <row r="296" spans="5:6" ht="15.75" customHeight="1">
      <c r="E296" s="69"/>
      <c r="F296" s="284"/>
    </row>
    <row r="297" spans="5:6" ht="15.75" customHeight="1">
      <c r="E297" s="69"/>
      <c r="F297" s="284"/>
    </row>
    <row r="298" spans="5:6" ht="15.75" customHeight="1">
      <c r="E298" s="69"/>
      <c r="F298" s="284"/>
    </row>
    <row r="299" spans="5:6" ht="15.75" customHeight="1">
      <c r="E299" s="69"/>
      <c r="F299" s="284"/>
    </row>
    <row r="300" spans="5:6" ht="15.75" customHeight="1">
      <c r="E300" s="69"/>
      <c r="F300" s="284"/>
    </row>
    <row r="301" spans="5:6" ht="15.75" customHeight="1">
      <c r="E301" s="69"/>
      <c r="F301" s="284"/>
    </row>
    <row r="302" spans="5:6" ht="15.75" customHeight="1">
      <c r="E302" s="69"/>
      <c r="F302" s="284"/>
    </row>
    <row r="303" spans="5:6" ht="15.75" customHeight="1">
      <c r="E303" s="69"/>
      <c r="F303" s="284"/>
    </row>
    <row r="304" spans="5:6" ht="15.75" customHeight="1">
      <c r="E304" s="69"/>
      <c r="F304" s="284"/>
    </row>
    <row r="305" spans="5:6" ht="15.75" customHeight="1">
      <c r="E305" s="69"/>
      <c r="F305" s="284"/>
    </row>
    <row r="306" spans="5:6" ht="15.75" customHeight="1">
      <c r="E306" s="69"/>
      <c r="F306" s="284"/>
    </row>
    <row r="307" spans="5:6" ht="15.75" customHeight="1">
      <c r="E307" s="69"/>
      <c r="F307" s="284"/>
    </row>
    <row r="308" spans="5:6" ht="15.75" customHeight="1">
      <c r="E308" s="69"/>
      <c r="F308" s="284"/>
    </row>
    <row r="309" spans="5:6" ht="15.75" customHeight="1">
      <c r="E309" s="69"/>
      <c r="F309" s="284"/>
    </row>
    <row r="310" spans="5:6" ht="15.75" customHeight="1">
      <c r="E310" s="69"/>
      <c r="F310" s="284"/>
    </row>
    <row r="311" spans="5:6" ht="15.75" customHeight="1">
      <c r="E311" s="69"/>
      <c r="F311" s="284"/>
    </row>
    <row r="312" spans="5:6" ht="15.75" customHeight="1"/>
    <row r="313" spans="5:6" ht="15.75" customHeight="1"/>
    <row r="314" spans="5:6" ht="15.75" customHeight="1"/>
    <row r="315" spans="5:6" ht="15.75" customHeight="1"/>
    <row r="316" spans="5:6" ht="15.75" customHeight="1"/>
    <row r="317" spans="5:6" ht="15.75" customHeight="1"/>
    <row r="318" spans="5:6" ht="15.75" customHeight="1"/>
    <row r="319" spans="5:6" ht="15.75" customHeight="1"/>
    <row r="320" spans="5:6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3">
    <mergeCell ref="E109:F109"/>
    <mergeCell ref="B105:D105"/>
    <mergeCell ref="B106:D106"/>
  </mergeCells>
  <pageMargins left="0.7" right="0.7" top="0.75" bottom="0.75" header="0" footer="0"/>
  <pageSetup orientation="landscape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B3E5A1"/>
  </sheetPr>
  <dimension ref="A1:G996"/>
  <sheetViews>
    <sheetView topLeftCell="A42" workbookViewId="0">
      <selection activeCell="F65" sqref="F65"/>
    </sheetView>
  </sheetViews>
  <sheetFormatPr baseColWidth="10" defaultColWidth="12.5" defaultRowHeight="15" customHeight="1"/>
  <cols>
    <col min="1" max="1" width="7" customWidth="1"/>
    <col min="2" max="2" width="20.75" customWidth="1"/>
    <col min="3" max="3" width="10.5" customWidth="1"/>
    <col min="4" max="4" width="11.75" style="320" customWidth="1"/>
    <col min="5" max="5" width="13" customWidth="1"/>
    <col min="6" max="7" width="12" customWidth="1"/>
  </cols>
  <sheetData>
    <row r="1" spans="1:7" ht="42.75">
      <c r="A1" s="37" t="s">
        <v>112</v>
      </c>
      <c r="B1" s="37" t="s">
        <v>143</v>
      </c>
      <c r="C1" s="37" t="s">
        <v>872</v>
      </c>
      <c r="D1" s="316" t="s">
        <v>739</v>
      </c>
      <c r="E1" s="249" t="s">
        <v>873</v>
      </c>
      <c r="F1" s="190" t="s">
        <v>740</v>
      </c>
      <c r="G1" s="190" t="s">
        <v>137</v>
      </c>
    </row>
    <row r="2" spans="1:7" ht="24">
      <c r="A2" s="191">
        <v>1</v>
      </c>
      <c r="B2" s="192" t="s">
        <v>874</v>
      </c>
      <c r="C2" s="192" t="s">
        <v>266</v>
      </c>
      <c r="D2" s="317">
        <v>6556.9</v>
      </c>
      <c r="E2" s="248">
        <f>5700*1.19</f>
        <v>6783</v>
      </c>
      <c r="F2" s="68">
        <v>8818</v>
      </c>
      <c r="G2" s="68">
        <f>+AVERAGE(D2:F2)</f>
        <v>7385.9666666666672</v>
      </c>
    </row>
    <row r="3" spans="1:7" ht="14.25">
      <c r="A3" s="193">
        <v>2</v>
      </c>
      <c r="B3" s="192" t="s">
        <v>875</v>
      </c>
      <c r="C3" s="192" t="s">
        <v>266</v>
      </c>
      <c r="D3" s="317">
        <v>1363.15</v>
      </c>
      <c r="E3" s="248">
        <f>1580*1.19</f>
        <v>1880.1999999999998</v>
      </c>
      <c r="F3" s="68">
        <v>1739</v>
      </c>
      <c r="G3" s="68">
        <f t="shared" ref="G3:G47" si="0">+AVERAGE(D3:F3)</f>
        <v>1660.7833333333335</v>
      </c>
    </row>
    <row r="4" spans="1:7" ht="24">
      <c r="A4" s="191">
        <v>3</v>
      </c>
      <c r="B4" s="192" t="s">
        <v>876</v>
      </c>
      <c r="C4" s="192" t="s">
        <v>877</v>
      </c>
      <c r="D4" s="317">
        <v>1207.8499999999999</v>
      </c>
      <c r="E4" s="248">
        <f>1120*1.19</f>
        <v>1332.8</v>
      </c>
      <c r="F4" s="68">
        <v>1541</v>
      </c>
      <c r="G4" s="68">
        <f t="shared" si="0"/>
        <v>1360.55</v>
      </c>
    </row>
    <row r="5" spans="1:7" ht="14.25">
      <c r="A5" s="193">
        <v>4</v>
      </c>
      <c r="B5" s="192" t="s">
        <v>878</v>
      </c>
      <c r="C5" s="192" t="s">
        <v>879</v>
      </c>
      <c r="D5" s="317">
        <v>3105.9</v>
      </c>
      <c r="E5" s="248">
        <f>2700*1.19</f>
        <v>3213</v>
      </c>
      <c r="F5" s="68">
        <v>3963</v>
      </c>
      <c r="G5" s="68">
        <f t="shared" si="0"/>
        <v>3427.2999999999997</v>
      </c>
    </row>
    <row r="6" spans="1:7" ht="14.25">
      <c r="A6" s="191">
        <v>5</v>
      </c>
      <c r="B6" s="194" t="s">
        <v>880</v>
      </c>
      <c r="C6" s="192" t="s">
        <v>879</v>
      </c>
      <c r="D6" s="317">
        <v>13458.9</v>
      </c>
      <c r="E6" s="248">
        <f>14040*1.19</f>
        <v>16707.599999999999</v>
      </c>
      <c r="F6" s="68">
        <v>17172</v>
      </c>
      <c r="G6" s="68">
        <f t="shared" si="0"/>
        <v>15779.5</v>
      </c>
    </row>
    <row r="7" spans="1:7" ht="14.25">
      <c r="A7" s="193">
        <v>6</v>
      </c>
      <c r="B7" s="194" t="s">
        <v>881</v>
      </c>
      <c r="C7" s="192" t="s">
        <v>266</v>
      </c>
      <c r="D7" s="317">
        <v>4201.59</v>
      </c>
      <c r="E7" s="248">
        <f>4627*1.19</f>
        <v>5506.13</v>
      </c>
      <c r="F7" s="68">
        <v>5361</v>
      </c>
      <c r="G7" s="68">
        <f t="shared" si="0"/>
        <v>5022.9066666666668</v>
      </c>
    </row>
    <row r="8" spans="1:7" ht="14.25">
      <c r="A8" s="191">
        <v>7</v>
      </c>
      <c r="B8" s="192" t="s">
        <v>882</v>
      </c>
      <c r="C8" s="192" t="s">
        <v>266</v>
      </c>
      <c r="D8" s="317">
        <v>2243.15</v>
      </c>
      <c r="E8" s="248">
        <f>1950*1.19</f>
        <v>2320.5</v>
      </c>
      <c r="F8" s="68">
        <v>2862</v>
      </c>
      <c r="G8" s="68">
        <f t="shared" si="0"/>
        <v>2475.2166666666667</v>
      </c>
    </row>
    <row r="9" spans="1:7" ht="14.25">
      <c r="A9" s="193">
        <v>8</v>
      </c>
      <c r="B9" s="192" t="s">
        <v>883</v>
      </c>
      <c r="C9" s="192" t="s">
        <v>266</v>
      </c>
      <c r="D9" s="317">
        <v>7096.98</v>
      </c>
      <c r="E9" s="248">
        <f>6170*1.19</f>
        <v>7342.2999999999993</v>
      </c>
      <c r="F9" s="68">
        <v>9055</v>
      </c>
      <c r="G9" s="68">
        <f t="shared" si="0"/>
        <v>7831.4266666666663</v>
      </c>
    </row>
    <row r="10" spans="1:7" ht="14.25">
      <c r="A10" s="191">
        <v>9</v>
      </c>
      <c r="B10" s="192" t="s">
        <v>884</v>
      </c>
      <c r="C10" s="192" t="s">
        <v>885</v>
      </c>
      <c r="D10" s="317">
        <v>163.92</v>
      </c>
      <c r="E10" s="248">
        <f>143*1.19</f>
        <v>170.17</v>
      </c>
      <c r="F10" s="68">
        <v>209</v>
      </c>
      <c r="G10" s="68">
        <f t="shared" si="0"/>
        <v>181.02999999999997</v>
      </c>
    </row>
    <row r="11" spans="1:7" ht="24">
      <c r="A11" s="193">
        <v>10</v>
      </c>
      <c r="B11" s="192" t="s">
        <v>886</v>
      </c>
      <c r="C11" s="192" t="s">
        <v>266</v>
      </c>
      <c r="D11" s="317">
        <v>50750</v>
      </c>
      <c r="E11" s="248">
        <f>44118*1.19</f>
        <v>52500.42</v>
      </c>
      <c r="F11" s="68">
        <v>64750</v>
      </c>
      <c r="G11" s="68">
        <f t="shared" si="0"/>
        <v>56000.139999999992</v>
      </c>
    </row>
    <row r="12" spans="1:7" ht="14.25">
      <c r="A12" s="191">
        <v>11</v>
      </c>
      <c r="B12" s="192" t="s">
        <v>887</v>
      </c>
      <c r="C12" s="192" t="s">
        <v>266</v>
      </c>
      <c r="D12" s="317">
        <v>1898.05</v>
      </c>
      <c r="E12" s="248">
        <f>1650*1.19</f>
        <v>1963.5</v>
      </c>
      <c r="F12" s="68">
        <v>2422</v>
      </c>
      <c r="G12" s="68">
        <f t="shared" si="0"/>
        <v>2094.5166666666669</v>
      </c>
    </row>
    <row r="13" spans="1:7" ht="37.5" customHeight="1">
      <c r="A13" s="193">
        <v>12</v>
      </c>
      <c r="B13" s="192" t="s">
        <v>888</v>
      </c>
      <c r="C13" s="192" t="s">
        <v>889</v>
      </c>
      <c r="D13" s="317">
        <v>1466.68</v>
      </c>
      <c r="E13" s="248">
        <f>1275*1.19</f>
        <v>1517.25</v>
      </c>
      <c r="F13" s="68">
        <v>1871</v>
      </c>
      <c r="G13" s="68">
        <f>+AVERAGE(D13:F13)</f>
        <v>1618.3100000000002</v>
      </c>
    </row>
    <row r="14" spans="1:7" ht="14.25">
      <c r="A14" s="191">
        <v>13</v>
      </c>
      <c r="B14" s="192" t="s">
        <v>890</v>
      </c>
      <c r="C14" s="192" t="s">
        <v>266</v>
      </c>
      <c r="D14" s="317">
        <v>10318.49</v>
      </c>
      <c r="E14" s="248">
        <f>8970*1.19</f>
        <v>10674.3</v>
      </c>
      <c r="F14" s="68">
        <v>13165</v>
      </c>
      <c r="G14" s="68">
        <f t="shared" si="0"/>
        <v>11385.93</v>
      </c>
    </row>
    <row r="15" spans="1:7" ht="14.25">
      <c r="A15" s="193">
        <v>14</v>
      </c>
      <c r="B15" s="192" t="s">
        <v>891</v>
      </c>
      <c r="C15" s="192" t="s">
        <v>266</v>
      </c>
      <c r="D15" s="317">
        <v>5349.05</v>
      </c>
      <c r="E15" s="248">
        <f>6200*1.19</f>
        <v>7378</v>
      </c>
      <c r="F15" s="68">
        <v>6825</v>
      </c>
      <c r="G15" s="68">
        <f t="shared" si="0"/>
        <v>6517.3499999999995</v>
      </c>
    </row>
    <row r="16" spans="1:7" ht="14.25">
      <c r="A16" s="191">
        <v>15</v>
      </c>
      <c r="B16" s="192" t="s">
        <v>892</v>
      </c>
      <c r="C16" s="192" t="s">
        <v>266</v>
      </c>
      <c r="D16" s="317">
        <v>9490.25</v>
      </c>
      <c r="E16" s="248">
        <f>11000*1.19</f>
        <v>13090</v>
      </c>
      <c r="F16" s="68">
        <v>12108</v>
      </c>
      <c r="G16" s="68">
        <f t="shared" si="0"/>
        <v>11562.75</v>
      </c>
    </row>
    <row r="17" spans="1:7" ht="14.25">
      <c r="A17" s="193">
        <v>16</v>
      </c>
      <c r="B17" s="192" t="s">
        <v>893</v>
      </c>
      <c r="C17" s="192" t="s">
        <v>266</v>
      </c>
      <c r="D17" s="317">
        <v>40455</v>
      </c>
      <c r="E17" s="248">
        <f>38685*1.19</f>
        <v>46035.15</v>
      </c>
      <c r="F17" s="68">
        <v>51615</v>
      </c>
      <c r="G17" s="68">
        <f t="shared" si="0"/>
        <v>46035.049999999996</v>
      </c>
    </row>
    <row r="18" spans="1:7" ht="14.25">
      <c r="A18" s="191">
        <v>17</v>
      </c>
      <c r="B18" s="192" t="s">
        <v>894</v>
      </c>
      <c r="C18" s="192" t="s">
        <v>266</v>
      </c>
      <c r="D18" s="317">
        <v>40454.35</v>
      </c>
      <c r="E18" s="248">
        <f>38684*1.19</f>
        <v>46033.96</v>
      </c>
      <c r="F18" s="68">
        <v>51614</v>
      </c>
      <c r="G18" s="68">
        <f t="shared" si="0"/>
        <v>46034.103333333333</v>
      </c>
    </row>
    <row r="19" spans="1:7" ht="14.25">
      <c r="A19" s="193">
        <v>18</v>
      </c>
      <c r="B19" s="192" t="s">
        <v>895</v>
      </c>
      <c r="C19" s="192" t="s">
        <v>266</v>
      </c>
      <c r="D19" s="317">
        <v>40454.35</v>
      </c>
      <c r="E19" s="248">
        <f>38684*1.19</f>
        <v>46033.96</v>
      </c>
      <c r="F19" s="68">
        <v>51614</v>
      </c>
      <c r="G19" s="68">
        <f t="shared" si="0"/>
        <v>46034.103333333333</v>
      </c>
    </row>
    <row r="20" spans="1:7" ht="14.25">
      <c r="A20" s="191">
        <v>19</v>
      </c>
      <c r="B20" s="192" t="s">
        <v>896</v>
      </c>
      <c r="C20" s="192" t="s">
        <v>266</v>
      </c>
      <c r="D20" s="317">
        <v>50212.05</v>
      </c>
      <c r="E20" s="248">
        <f>45105*1.19</f>
        <v>53674.95</v>
      </c>
      <c r="F20" s="68">
        <v>50212</v>
      </c>
      <c r="G20" s="68">
        <f t="shared" si="0"/>
        <v>51366.333333333336</v>
      </c>
    </row>
    <row r="21" spans="1:7" ht="15.75" customHeight="1">
      <c r="A21" s="193">
        <v>20</v>
      </c>
      <c r="B21" s="192" t="s">
        <v>897</v>
      </c>
      <c r="C21" s="192" t="s">
        <v>266</v>
      </c>
      <c r="D21" s="317">
        <v>1104</v>
      </c>
      <c r="E21" s="248">
        <f>1104*1.19</f>
        <v>1313.76</v>
      </c>
      <c r="F21" s="68">
        <v>1276</v>
      </c>
      <c r="G21" s="68">
        <f t="shared" si="0"/>
        <v>1231.2533333333333</v>
      </c>
    </row>
    <row r="22" spans="1:7" ht="15.75" customHeight="1">
      <c r="A22" s="191">
        <v>21</v>
      </c>
      <c r="B22" s="192" t="s">
        <v>898</v>
      </c>
      <c r="C22" s="192" t="s">
        <v>266</v>
      </c>
      <c r="D22" s="317">
        <v>959.38</v>
      </c>
      <c r="E22" s="248">
        <f>806*1.19</f>
        <v>959.14</v>
      </c>
      <c r="F22" s="68">
        <v>1456</v>
      </c>
      <c r="G22" s="68">
        <f t="shared" si="0"/>
        <v>1124.8399999999999</v>
      </c>
    </row>
    <row r="23" spans="1:7" ht="15.75" customHeight="1">
      <c r="A23" s="193">
        <v>22</v>
      </c>
      <c r="B23" s="192" t="s">
        <v>899</v>
      </c>
      <c r="C23" s="192" t="s">
        <v>266</v>
      </c>
      <c r="D23" s="317">
        <v>4227.4799999999996</v>
      </c>
      <c r="E23" s="248">
        <f>4165*1.19</f>
        <v>4956.3499999999995</v>
      </c>
      <c r="F23" s="68">
        <v>4519</v>
      </c>
      <c r="G23" s="68">
        <f t="shared" si="0"/>
        <v>4567.6099999999997</v>
      </c>
    </row>
    <row r="24" spans="1:7" ht="15.75" customHeight="1">
      <c r="A24" s="191">
        <v>23</v>
      </c>
      <c r="B24" s="192" t="s">
        <v>900</v>
      </c>
      <c r="C24" s="192" t="s">
        <v>266</v>
      </c>
      <c r="D24" s="317">
        <v>1587.46</v>
      </c>
      <c r="E24" s="248">
        <f>1380*1.19</f>
        <v>1642.1999999999998</v>
      </c>
      <c r="F24" s="68">
        <v>1697</v>
      </c>
      <c r="G24" s="68">
        <f t="shared" si="0"/>
        <v>1642.22</v>
      </c>
    </row>
    <row r="25" spans="1:7" ht="15.75" customHeight="1">
      <c r="A25" s="193">
        <v>24</v>
      </c>
      <c r="B25" s="192" t="s">
        <v>901</v>
      </c>
      <c r="C25" s="192" t="s">
        <v>266</v>
      </c>
      <c r="D25" s="317">
        <v>6600.04</v>
      </c>
      <c r="E25" s="248">
        <f>5546*1.19</f>
        <v>6599.74</v>
      </c>
      <c r="F25" s="68">
        <v>6828</v>
      </c>
      <c r="G25" s="68">
        <f t="shared" si="0"/>
        <v>6675.9266666666663</v>
      </c>
    </row>
    <row r="26" spans="1:7" ht="15.75" customHeight="1">
      <c r="A26" s="191">
        <v>25</v>
      </c>
      <c r="B26" s="195" t="s">
        <v>902</v>
      </c>
      <c r="C26" s="192" t="s">
        <v>266</v>
      </c>
      <c r="D26" s="317">
        <v>862.75</v>
      </c>
      <c r="E26" s="248">
        <f>750*1.19</f>
        <v>892.5</v>
      </c>
      <c r="F26" s="68">
        <v>744</v>
      </c>
      <c r="G26" s="68">
        <f t="shared" si="0"/>
        <v>833.08333333333337</v>
      </c>
    </row>
    <row r="27" spans="1:7" ht="15.75" customHeight="1">
      <c r="A27" s="193">
        <v>26</v>
      </c>
      <c r="B27" s="195" t="s">
        <v>903</v>
      </c>
      <c r="C27" s="192" t="s">
        <v>904</v>
      </c>
      <c r="D27" s="317">
        <v>101499</v>
      </c>
      <c r="E27" s="248">
        <f>99999*1.19</f>
        <v>118998.81</v>
      </c>
      <c r="F27" s="68">
        <v>97999</v>
      </c>
      <c r="G27" s="68">
        <f t="shared" si="0"/>
        <v>106165.60333333333</v>
      </c>
    </row>
    <row r="28" spans="1:7" ht="15.75" customHeight="1">
      <c r="A28" s="191">
        <v>27</v>
      </c>
      <c r="B28" s="195" t="s">
        <v>905</v>
      </c>
      <c r="C28" s="196" t="s">
        <v>266</v>
      </c>
      <c r="D28" s="317">
        <v>18980.5</v>
      </c>
      <c r="E28" s="248">
        <f>16500*1.19</f>
        <v>19635</v>
      </c>
      <c r="F28" s="68">
        <v>18326</v>
      </c>
      <c r="G28" s="68">
        <f t="shared" si="0"/>
        <v>18980.5</v>
      </c>
    </row>
    <row r="29" spans="1:7" ht="15.75" customHeight="1">
      <c r="A29" s="193">
        <v>28</v>
      </c>
      <c r="B29" s="195" t="s">
        <v>906</v>
      </c>
      <c r="C29" s="196" t="s">
        <v>266</v>
      </c>
      <c r="D29" s="317">
        <v>138.04</v>
      </c>
      <c r="E29" s="248">
        <f>120*1.19</f>
        <v>142.79999999999998</v>
      </c>
      <c r="F29" s="68">
        <v>133</v>
      </c>
      <c r="G29" s="68">
        <f t="shared" si="0"/>
        <v>137.94666666666666</v>
      </c>
    </row>
    <row r="30" spans="1:7" ht="15.75" customHeight="1">
      <c r="A30" s="191">
        <v>29</v>
      </c>
      <c r="B30" s="195" t="s">
        <v>907</v>
      </c>
      <c r="C30" s="196" t="s">
        <v>266</v>
      </c>
      <c r="D30" s="317">
        <v>2415.6999999999998</v>
      </c>
      <c r="E30" s="248">
        <f>2248*1.19</f>
        <v>2675.12</v>
      </c>
      <c r="F30" s="68">
        <v>2933</v>
      </c>
      <c r="G30" s="68">
        <f t="shared" si="0"/>
        <v>2674.6066666666666</v>
      </c>
    </row>
    <row r="31" spans="1:7" ht="15.75" customHeight="1">
      <c r="A31" s="193">
        <v>30</v>
      </c>
      <c r="B31" s="195" t="s">
        <v>908</v>
      </c>
      <c r="C31" s="196" t="s">
        <v>266</v>
      </c>
      <c r="D31" s="317">
        <v>4348.26</v>
      </c>
      <c r="E31" s="248">
        <f>3780*1.19</f>
        <v>4498.2</v>
      </c>
      <c r="F31" s="68">
        <v>5098</v>
      </c>
      <c r="G31" s="68">
        <f t="shared" si="0"/>
        <v>4648.1533333333327</v>
      </c>
    </row>
    <row r="32" spans="1:7" ht="15.75" customHeight="1">
      <c r="A32" s="191">
        <v>31</v>
      </c>
      <c r="B32" s="195" t="s">
        <v>909</v>
      </c>
      <c r="C32" s="196" t="s">
        <v>266</v>
      </c>
      <c r="D32" s="317">
        <v>862.75</v>
      </c>
      <c r="E32" s="248">
        <f>750*1.19</f>
        <v>892.5</v>
      </c>
      <c r="F32" s="68">
        <v>744</v>
      </c>
      <c r="G32" s="68">
        <f t="shared" si="0"/>
        <v>833.08333333333337</v>
      </c>
    </row>
    <row r="33" spans="1:7" ht="15.75" customHeight="1">
      <c r="A33" s="193">
        <v>32</v>
      </c>
      <c r="B33" s="195" t="s">
        <v>910</v>
      </c>
      <c r="C33" s="196" t="s">
        <v>266</v>
      </c>
      <c r="D33" s="317">
        <v>23725.63</v>
      </c>
      <c r="E33" s="248">
        <f>20625*1.19</f>
        <v>24543.75</v>
      </c>
      <c r="F33" s="68">
        <v>24544</v>
      </c>
      <c r="G33" s="68">
        <f t="shared" si="0"/>
        <v>24271.126666666667</v>
      </c>
    </row>
    <row r="34" spans="1:7" ht="15.75" customHeight="1">
      <c r="A34" s="191">
        <v>33</v>
      </c>
      <c r="B34" s="197" t="s">
        <v>911</v>
      </c>
      <c r="C34" s="196" t="s">
        <v>266</v>
      </c>
      <c r="D34" s="317">
        <v>172.55</v>
      </c>
      <c r="E34" s="248">
        <f>150*1.19</f>
        <v>178.5</v>
      </c>
      <c r="F34" s="68">
        <v>179</v>
      </c>
      <c r="G34" s="68">
        <f t="shared" si="0"/>
        <v>176.68333333333331</v>
      </c>
    </row>
    <row r="35" spans="1:7" ht="15.75" customHeight="1">
      <c r="A35" s="193">
        <v>34</v>
      </c>
      <c r="B35" s="197" t="s">
        <v>912</v>
      </c>
      <c r="C35" s="196" t="s">
        <v>266</v>
      </c>
      <c r="D35" s="317">
        <v>13494.6</v>
      </c>
      <c r="E35" s="248">
        <f>12150*1.19</f>
        <v>14458.5</v>
      </c>
      <c r="F35" s="68">
        <v>14459</v>
      </c>
      <c r="G35" s="68">
        <f t="shared" si="0"/>
        <v>14137.366666666667</v>
      </c>
    </row>
    <row r="36" spans="1:7" ht="15.75" customHeight="1">
      <c r="A36" s="198">
        <v>35</v>
      </c>
      <c r="B36" s="199" t="s">
        <v>913</v>
      </c>
      <c r="C36" s="196" t="s">
        <v>266</v>
      </c>
      <c r="D36" s="318">
        <v>10698.1</v>
      </c>
      <c r="E36" s="248">
        <f>9300*1.19</f>
        <v>11067</v>
      </c>
      <c r="F36" s="250">
        <v>11436</v>
      </c>
      <c r="G36" s="250">
        <f t="shared" si="0"/>
        <v>11067.033333333333</v>
      </c>
    </row>
    <row r="37" spans="1:7" ht="15.75" customHeight="1">
      <c r="A37" s="193">
        <v>36</v>
      </c>
      <c r="B37" s="199" t="s">
        <v>914</v>
      </c>
      <c r="C37" s="196" t="s">
        <v>266</v>
      </c>
      <c r="D37" s="318">
        <v>3559.71</v>
      </c>
      <c r="E37" s="248">
        <f>3095*1.19</f>
        <v>3683.0499999999997</v>
      </c>
      <c r="F37" s="68">
        <v>3707</v>
      </c>
      <c r="G37" s="68">
        <f t="shared" si="0"/>
        <v>3649.92</v>
      </c>
    </row>
    <row r="38" spans="1:7" ht="15.75" customHeight="1">
      <c r="A38" s="198">
        <v>37</v>
      </c>
      <c r="B38" s="199" t="s">
        <v>915</v>
      </c>
      <c r="C38" s="196" t="s">
        <v>266</v>
      </c>
      <c r="D38" s="318">
        <v>1466.68</v>
      </c>
      <c r="E38" s="248">
        <f>1360*1.19</f>
        <v>1618.3999999999999</v>
      </c>
      <c r="F38" s="68">
        <v>1548</v>
      </c>
      <c r="G38" s="68">
        <f t="shared" si="0"/>
        <v>1544.36</v>
      </c>
    </row>
    <row r="39" spans="1:7" ht="15.75" customHeight="1">
      <c r="A39" s="193">
        <v>38</v>
      </c>
      <c r="B39" s="199" t="s">
        <v>916</v>
      </c>
      <c r="C39" s="196" t="s">
        <v>266</v>
      </c>
      <c r="D39" s="318">
        <v>12166.56</v>
      </c>
      <c r="E39" s="248">
        <f>11360*1.19</f>
        <v>13518.4</v>
      </c>
      <c r="F39" s="68">
        <v>13941</v>
      </c>
      <c r="G39" s="68">
        <f t="shared" si="0"/>
        <v>13208.653333333334</v>
      </c>
    </row>
    <row r="40" spans="1:7" ht="15.75" customHeight="1">
      <c r="A40" s="198">
        <v>39</v>
      </c>
      <c r="B40" s="195" t="s">
        <v>917</v>
      </c>
      <c r="C40" s="196" t="s">
        <v>266</v>
      </c>
      <c r="D40" s="318">
        <v>3278.45</v>
      </c>
      <c r="E40" s="248">
        <f>3040*1.19</f>
        <v>3617.6</v>
      </c>
      <c r="F40" s="68">
        <v>3912</v>
      </c>
      <c r="G40" s="68">
        <f t="shared" si="0"/>
        <v>3602.6833333333329</v>
      </c>
    </row>
    <row r="41" spans="1:7" ht="15.75" customHeight="1">
      <c r="A41" s="193">
        <v>40</v>
      </c>
      <c r="B41" s="195" t="s">
        <v>918</v>
      </c>
      <c r="C41" s="196" t="s">
        <v>266</v>
      </c>
      <c r="D41" s="318">
        <v>85632.4</v>
      </c>
      <c r="E41" s="248">
        <f>77100*1.19</f>
        <v>91749</v>
      </c>
      <c r="F41" s="68">
        <v>99701</v>
      </c>
      <c r="G41" s="68">
        <f t="shared" si="0"/>
        <v>92360.8</v>
      </c>
    </row>
    <row r="42" spans="1:7" ht="15.75" customHeight="1">
      <c r="A42" s="198">
        <v>41</v>
      </c>
      <c r="B42" s="195" t="s">
        <v>919</v>
      </c>
      <c r="C42" s="196" t="s">
        <v>266</v>
      </c>
      <c r="D42" s="318">
        <v>76136.2</v>
      </c>
      <c r="E42" s="248">
        <f>63980*1.19</f>
        <v>76136.2</v>
      </c>
      <c r="F42" s="68">
        <v>88100</v>
      </c>
      <c r="G42" s="68">
        <f t="shared" si="0"/>
        <v>80124.133333333331</v>
      </c>
    </row>
    <row r="43" spans="1:7" ht="15.75" customHeight="1">
      <c r="A43" s="193">
        <v>42</v>
      </c>
      <c r="B43" s="195" t="s">
        <v>920</v>
      </c>
      <c r="C43" s="196" t="s">
        <v>266</v>
      </c>
      <c r="D43" s="318">
        <v>76136.2</v>
      </c>
      <c r="E43" s="248">
        <f>66265*1.19</f>
        <v>78855.349999999991</v>
      </c>
      <c r="F43" s="68">
        <v>78855</v>
      </c>
      <c r="G43" s="68">
        <f t="shared" si="0"/>
        <v>77948.849999999991</v>
      </c>
    </row>
    <row r="44" spans="1:7" ht="15.75" customHeight="1">
      <c r="A44" s="198">
        <v>43</v>
      </c>
      <c r="B44" s="195" t="s">
        <v>921</v>
      </c>
      <c r="C44" s="196" t="s">
        <v>266</v>
      </c>
      <c r="D44" s="318">
        <v>76136.2</v>
      </c>
      <c r="E44" s="248">
        <f>66265*1.19</f>
        <v>78855.349999999991</v>
      </c>
      <c r="F44" s="68">
        <v>80487</v>
      </c>
      <c r="G44" s="68">
        <f t="shared" si="0"/>
        <v>78492.849999999991</v>
      </c>
    </row>
    <row r="45" spans="1:7" ht="15.75" customHeight="1">
      <c r="A45" s="193">
        <v>44</v>
      </c>
      <c r="B45" s="195" t="s">
        <v>922</v>
      </c>
      <c r="C45" s="196" t="s">
        <v>266</v>
      </c>
      <c r="D45" s="318">
        <v>141491</v>
      </c>
      <c r="E45" s="248">
        <f>127100*1.19</f>
        <v>151249</v>
      </c>
      <c r="F45" s="68">
        <v>144418</v>
      </c>
      <c r="G45" s="68">
        <f t="shared" si="0"/>
        <v>145719.33333333334</v>
      </c>
    </row>
    <row r="46" spans="1:7" ht="15.75" customHeight="1">
      <c r="A46" s="198">
        <v>45</v>
      </c>
      <c r="B46" s="200" t="s">
        <v>923</v>
      </c>
      <c r="C46" s="196" t="s">
        <v>924</v>
      </c>
      <c r="D46" s="318">
        <v>6579.33</v>
      </c>
      <c r="E46" s="248">
        <f>6101*1.19</f>
        <v>7260.19</v>
      </c>
      <c r="F46" s="68">
        <v>7623</v>
      </c>
      <c r="G46" s="68">
        <f t="shared" si="0"/>
        <v>7154.1733333333332</v>
      </c>
    </row>
    <row r="47" spans="1:7" ht="15.75" customHeight="1">
      <c r="A47" s="193">
        <v>46</v>
      </c>
      <c r="B47" s="200" t="s">
        <v>925</v>
      </c>
      <c r="C47" s="196" t="s">
        <v>924</v>
      </c>
      <c r="D47" s="318">
        <v>7195.34</v>
      </c>
      <c r="E47" s="248">
        <f>6672*1.19</f>
        <v>7939.6799999999994</v>
      </c>
      <c r="F47" s="68">
        <v>8436</v>
      </c>
      <c r="G47" s="68">
        <f t="shared" si="0"/>
        <v>7857.0066666666671</v>
      </c>
    </row>
    <row r="48" spans="1:7" ht="15.75" customHeight="1">
      <c r="A48" s="410" t="s">
        <v>197</v>
      </c>
      <c r="B48" s="356"/>
      <c r="C48" s="368"/>
      <c r="D48" s="319">
        <f t="shared" ref="D48:F48" si="1">SUM(D2:D47)</f>
        <v>971700.91999999969</v>
      </c>
      <c r="E48" s="248">
        <f t="shared" si="1"/>
        <v>1052093.28</v>
      </c>
      <c r="F48" s="68">
        <f t="shared" si="1"/>
        <v>1080015</v>
      </c>
      <c r="G48" s="68"/>
    </row>
    <row r="49" spans="2:7" ht="15.75" customHeight="1">
      <c r="E49" s="69"/>
      <c r="F49" s="69"/>
      <c r="G49" s="69"/>
    </row>
    <row r="50" spans="2:7" ht="15.75" customHeight="1">
      <c r="D50" s="321" t="s">
        <v>129</v>
      </c>
      <c r="E50" s="201" t="s">
        <v>732</v>
      </c>
      <c r="F50" s="69"/>
      <c r="G50" s="69"/>
    </row>
    <row r="51" spans="2:7" ht="15.75" customHeight="1">
      <c r="D51" s="322" t="s">
        <v>721</v>
      </c>
      <c r="E51" s="202">
        <v>16000000</v>
      </c>
      <c r="F51" s="69"/>
      <c r="G51" s="69"/>
    </row>
    <row r="52" spans="2:7" ht="15.75" customHeight="1">
      <c r="E52" s="69"/>
      <c r="F52" s="69"/>
      <c r="G52" s="69"/>
    </row>
    <row r="53" spans="2:7" ht="15.75" customHeight="1">
      <c r="B53" s="79" t="s">
        <v>105</v>
      </c>
      <c r="E53" s="69"/>
      <c r="F53" s="69"/>
      <c r="G53" s="69"/>
    </row>
    <row r="54" spans="2:7" ht="15.75" customHeight="1">
      <c r="B54" s="44" t="s">
        <v>106</v>
      </c>
      <c r="D54" s="323">
        <v>45805</v>
      </c>
      <c r="E54" s="46">
        <v>45807</v>
      </c>
      <c r="F54" s="46">
        <v>45807</v>
      </c>
      <c r="G54" s="46"/>
    </row>
    <row r="55" spans="2:7" ht="15.75" customHeight="1">
      <c r="B55" s="47" t="s">
        <v>107</v>
      </c>
      <c r="D55" s="323" t="s">
        <v>108</v>
      </c>
      <c r="E55" s="48" t="s">
        <v>108</v>
      </c>
      <c r="F55" s="48" t="s">
        <v>108</v>
      </c>
      <c r="G55" s="48"/>
    </row>
    <row r="56" spans="2:7" ht="15.75" customHeight="1">
      <c r="B56" s="44" t="s">
        <v>109</v>
      </c>
      <c r="D56" s="324" t="s">
        <v>108</v>
      </c>
      <c r="E56" s="5" t="s">
        <v>108</v>
      </c>
      <c r="F56" s="5" t="s">
        <v>108</v>
      </c>
      <c r="G56" s="5"/>
    </row>
    <row r="57" spans="2:7" ht="15.75" customHeight="1">
      <c r="B57" s="44" t="s">
        <v>110</v>
      </c>
      <c r="D57" s="324" t="s">
        <v>111</v>
      </c>
      <c r="E57" s="5" t="s">
        <v>111</v>
      </c>
      <c r="F57" s="5" t="s">
        <v>111</v>
      </c>
      <c r="G57" s="5"/>
    </row>
    <row r="58" spans="2:7" ht="15.75" customHeight="1">
      <c r="B58" s="47"/>
    </row>
    <row r="59" spans="2:7" ht="33" customHeight="1">
      <c r="E59" s="69"/>
      <c r="F59" s="69"/>
      <c r="G59" s="69"/>
    </row>
    <row r="60" spans="2:7" ht="15.75" customHeight="1">
      <c r="E60" s="69"/>
      <c r="F60" s="69"/>
      <c r="G60" s="69"/>
    </row>
    <row r="61" spans="2:7" ht="15.75" customHeight="1">
      <c r="E61" s="69"/>
      <c r="F61" s="69"/>
      <c r="G61" s="69"/>
    </row>
    <row r="62" spans="2:7" ht="15.75" customHeight="1">
      <c r="E62" s="69"/>
      <c r="F62" s="69"/>
      <c r="G62" s="69"/>
    </row>
    <row r="63" spans="2:7" ht="15.75" customHeight="1">
      <c r="E63" s="69"/>
      <c r="F63" s="69"/>
      <c r="G63" s="69"/>
    </row>
    <row r="64" spans="2:7" ht="15.75" customHeight="1">
      <c r="E64" s="69"/>
      <c r="F64" s="69"/>
      <c r="G64" s="69"/>
    </row>
    <row r="65" spans="5:7" ht="15.75" customHeight="1">
      <c r="E65" s="69"/>
      <c r="F65" s="69"/>
      <c r="G65" s="69"/>
    </row>
    <row r="66" spans="5:7" ht="15.75" customHeight="1">
      <c r="E66" s="69"/>
      <c r="F66" s="69"/>
      <c r="G66" s="69"/>
    </row>
    <row r="67" spans="5:7" ht="15.75" customHeight="1">
      <c r="E67" s="69"/>
      <c r="F67" s="69"/>
      <c r="G67" s="69"/>
    </row>
    <row r="68" spans="5:7" ht="15.75" customHeight="1">
      <c r="E68" s="69"/>
      <c r="F68" s="69"/>
      <c r="G68" s="69"/>
    </row>
    <row r="69" spans="5:7" ht="15.75" customHeight="1">
      <c r="E69" s="69"/>
      <c r="F69" s="69"/>
      <c r="G69" s="69"/>
    </row>
    <row r="70" spans="5:7" ht="15.75" customHeight="1">
      <c r="E70" s="69"/>
      <c r="F70" s="69"/>
      <c r="G70" s="69"/>
    </row>
    <row r="71" spans="5:7" ht="15.75" customHeight="1">
      <c r="E71" s="69"/>
      <c r="F71" s="69"/>
      <c r="G71" s="69"/>
    </row>
    <row r="72" spans="5:7" ht="15.75" customHeight="1">
      <c r="E72" s="69"/>
      <c r="F72" s="69"/>
      <c r="G72" s="69"/>
    </row>
    <row r="73" spans="5:7" ht="15.75" customHeight="1">
      <c r="E73" s="69"/>
      <c r="F73" s="69"/>
      <c r="G73" s="69"/>
    </row>
    <row r="74" spans="5:7" ht="15.75" customHeight="1">
      <c r="E74" s="69"/>
      <c r="F74" s="69"/>
      <c r="G74" s="69"/>
    </row>
    <row r="75" spans="5:7" ht="15.75" customHeight="1">
      <c r="E75" s="69"/>
      <c r="F75" s="69"/>
      <c r="G75" s="69"/>
    </row>
    <row r="76" spans="5:7" ht="15.75" customHeight="1">
      <c r="E76" s="69"/>
      <c r="F76" s="69"/>
      <c r="G76" s="69"/>
    </row>
    <row r="77" spans="5:7" ht="15.75" customHeight="1">
      <c r="E77" s="69"/>
      <c r="F77" s="69"/>
      <c r="G77" s="69"/>
    </row>
    <row r="78" spans="5:7" ht="15.75" customHeight="1">
      <c r="E78" s="69"/>
      <c r="F78" s="69"/>
      <c r="G78" s="69"/>
    </row>
    <row r="79" spans="5:7" ht="15.75" customHeight="1">
      <c r="E79" s="69"/>
      <c r="F79" s="69"/>
      <c r="G79" s="69"/>
    </row>
    <row r="80" spans="5:7" ht="15.75" customHeight="1">
      <c r="E80" s="69"/>
      <c r="F80" s="69"/>
      <c r="G80" s="69"/>
    </row>
    <row r="81" spans="5:7" ht="15.75" customHeight="1">
      <c r="E81" s="69"/>
      <c r="F81" s="69"/>
      <c r="G81" s="69"/>
    </row>
    <row r="82" spans="5:7" ht="15.75" customHeight="1">
      <c r="E82" s="69"/>
      <c r="F82" s="69"/>
      <c r="G82" s="69"/>
    </row>
    <row r="83" spans="5:7" ht="15.75" customHeight="1">
      <c r="E83" s="69"/>
      <c r="F83" s="69"/>
      <c r="G83" s="69"/>
    </row>
    <row r="84" spans="5:7" ht="15.75" customHeight="1">
      <c r="E84" s="69"/>
      <c r="F84" s="69"/>
      <c r="G84" s="69"/>
    </row>
    <row r="85" spans="5:7" ht="15.75" customHeight="1">
      <c r="E85" s="69"/>
      <c r="F85" s="69"/>
      <c r="G85" s="69"/>
    </row>
    <row r="86" spans="5:7" ht="15.75" customHeight="1">
      <c r="E86" s="69"/>
      <c r="F86" s="69"/>
      <c r="G86" s="69"/>
    </row>
    <row r="87" spans="5:7" ht="15.75" customHeight="1">
      <c r="E87" s="69"/>
      <c r="F87" s="69"/>
      <c r="G87" s="69"/>
    </row>
    <row r="88" spans="5:7" ht="15.75" customHeight="1">
      <c r="E88" s="69"/>
      <c r="F88" s="69"/>
      <c r="G88" s="69"/>
    </row>
    <row r="89" spans="5:7" ht="15.75" customHeight="1">
      <c r="E89" s="69"/>
      <c r="F89" s="69"/>
      <c r="G89" s="69"/>
    </row>
    <row r="90" spans="5:7" ht="15.75" customHeight="1">
      <c r="E90" s="69"/>
      <c r="F90" s="69"/>
      <c r="G90" s="69"/>
    </row>
    <row r="91" spans="5:7" ht="15.75" customHeight="1">
      <c r="E91" s="69"/>
      <c r="F91" s="69"/>
      <c r="G91" s="69"/>
    </row>
    <row r="92" spans="5:7" ht="15.75" customHeight="1">
      <c r="E92" s="69"/>
      <c r="F92" s="69"/>
      <c r="G92" s="69"/>
    </row>
    <row r="93" spans="5:7" ht="15.75" customHeight="1">
      <c r="E93" s="69"/>
      <c r="F93" s="69"/>
      <c r="G93" s="69"/>
    </row>
    <row r="94" spans="5:7" ht="15.75" customHeight="1">
      <c r="E94" s="69"/>
      <c r="F94" s="69"/>
      <c r="G94" s="69"/>
    </row>
    <row r="95" spans="5:7" ht="15.75" customHeight="1">
      <c r="E95" s="69"/>
      <c r="F95" s="69"/>
      <c r="G95" s="69"/>
    </row>
    <row r="96" spans="5:7" ht="15.75" customHeight="1">
      <c r="E96" s="69"/>
      <c r="F96" s="69"/>
      <c r="G96" s="69"/>
    </row>
    <row r="97" spans="5:7" ht="15.75" customHeight="1">
      <c r="E97" s="69"/>
      <c r="F97" s="69"/>
      <c r="G97" s="69"/>
    </row>
    <row r="98" spans="5:7" ht="15.75" customHeight="1">
      <c r="E98" s="69"/>
      <c r="F98" s="69"/>
      <c r="G98" s="69"/>
    </row>
    <row r="99" spans="5:7" ht="15.75" customHeight="1">
      <c r="E99" s="69"/>
      <c r="F99" s="69"/>
      <c r="G99" s="69"/>
    </row>
    <row r="100" spans="5:7" ht="15.75" customHeight="1">
      <c r="E100" s="69"/>
      <c r="F100" s="69"/>
      <c r="G100" s="69"/>
    </row>
    <row r="101" spans="5:7" ht="15.75" customHeight="1">
      <c r="E101" s="69"/>
      <c r="F101" s="69"/>
      <c r="G101" s="69"/>
    </row>
    <row r="102" spans="5:7" ht="15.75" customHeight="1">
      <c r="E102" s="69"/>
      <c r="F102" s="69"/>
      <c r="G102" s="69"/>
    </row>
    <row r="103" spans="5:7" ht="15.75" customHeight="1">
      <c r="E103" s="69"/>
      <c r="F103" s="69"/>
      <c r="G103" s="69"/>
    </row>
    <row r="104" spans="5:7" ht="15.75" customHeight="1">
      <c r="E104" s="69"/>
      <c r="F104" s="69"/>
      <c r="G104" s="69"/>
    </row>
    <row r="105" spans="5:7" ht="15.75" customHeight="1">
      <c r="E105" s="69"/>
      <c r="F105" s="69"/>
      <c r="G105" s="69"/>
    </row>
    <row r="106" spans="5:7" ht="15.75" customHeight="1">
      <c r="E106" s="69"/>
      <c r="F106" s="69"/>
      <c r="G106" s="69"/>
    </row>
    <row r="107" spans="5:7" ht="15.75" customHeight="1">
      <c r="E107" s="69"/>
      <c r="F107" s="69"/>
      <c r="G107" s="69"/>
    </row>
    <row r="108" spans="5:7" ht="15.75" customHeight="1">
      <c r="E108" s="69"/>
      <c r="F108" s="69"/>
      <c r="G108" s="69"/>
    </row>
    <row r="109" spans="5:7" ht="15.75" customHeight="1">
      <c r="E109" s="69"/>
      <c r="F109" s="69"/>
      <c r="G109" s="69"/>
    </row>
    <row r="110" spans="5:7" ht="15.75" customHeight="1">
      <c r="E110" s="69"/>
      <c r="F110" s="69"/>
      <c r="G110" s="69"/>
    </row>
    <row r="111" spans="5:7" ht="15.75" customHeight="1">
      <c r="E111" s="69"/>
      <c r="F111" s="69"/>
      <c r="G111" s="69"/>
    </row>
    <row r="112" spans="5:7" ht="15.75" customHeight="1">
      <c r="E112" s="69"/>
      <c r="F112" s="69"/>
      <c r="G112" s="69"/>
    </row>
    <row r="113" spans="5:7" ht="15.75" customHeight="1">
      <c r="E113" s="69"/>
      <c r="F113" s="69"/>
      <c r="G113" s="69"/>
    </row>
    <row r="114" spans="5:7" ht="15.75" customHeight="1">
      <c r="E114" s="69"/>
      <c r="F114" s="69"/>
      <c r="G114" s="69"/>
    </row>
    <row r="115" spans="5:7" ht="15.75" customHeight="1">
      <c r="E115" s="69"/>
      <c r="F115" s="69"/>
      <c r="G115" s="69"/>
    </row>
    <row r="116" spans="5:7" ht="15.75" customHeight="1">
      <c r="E116" s="69"/>
      <c r="F116" s="69"/>
      <c r="G116" s="69"/>
    </row>
    <row r="117" spans="5:7" ht="15.75" customHeight="1">
      <c r="E117" s="69"/>
      <c r="F117" s="69"/>
      <c r="G117" s="69"/>
    </row>
    <row r="118" spans="5:7" ht="15.75" customHeight="1">
      <c r="E118" s="69"/>
      <c r="F118" s="69"/>
      <c r="G118" s="69"/>
    </row>
    <row r="119" spans="5:7" ht="15.75" customHeight="1">
      <c r="E119" s="69"/>
      <c r="F119" s="69"/>
      <c r="G119" s="69"/>
    </row>
    <row r="120" spans="5:7" ht="15.75" customHeight="1">
      <c r="E120" s="69"/>
      <c r="F120" s="69"/>
      <c r="G120" s="69"/>
    </row>
    <row r="121" spans="5:7" ht="15.75" customHeight="1">
      <c r="E121" s="69"/>
      <c r="F121" s="69"/>
      <c r="G121" s="69"/>
    </row>
    <row r="122" spans="5:7" ht="15.75" customHeight="1">
      <c r="E122" s="69"/>
      <c r="F122" s="69"/>
      <c r="G122" s="69"/>
    </row>
    <row r="123" spans="5:7" ht="15.75" customHeight="1">
      <c r="E123" s="69"/>
      <c r="F123" s="69"/>
      <c r="G123" s="69"/>
    </row>
    <row r="124" spans="5:7" ht="15.75" customHeight="1">
      <c r="E124" s="69"/>
      <c r="F124" s="69"/>
      <c r="G124" s="69"/>
    </row>
    <row r="125" spans="5:7" ht="15.75" customHeight="1">
      <c r="E125" s="69"/>
      <c r="F125" s="69"/>
      <c r="G125" s="69"/>
    </row>
    <row r="126" spans="5:7" ht="15.75" customHeight="1">
      <c r="E126" s="69"/>
      <c r="F126" s="69"/>
      <c r="G126" s="69"/>
    </row>
    <row r="127" spans="5:7" ht="15.75" customHeight="1">
      <c r="E127" s="69"/>
      <c r="F127" s="69"/>
      <c r="G127" s="69"/>
    </row>
    <row r="128" spans="5:7" ht="15.75" customHeight="1">
      <c r="E128" s="69"/>
      <c r="F128" s="69"/>
      <c r="G128" s="69"/>
    </row>
    <row r="129" spans="5:7" ht="15.75" customHeight="1">
      <c r="E129" s="69"/>
      <c r="F129" s="69"/>
      <c r="G129" s="69"/>
    </row>
    <row r="130" spans="5:7" ht="15.75" customHeight="1">
      <c r="E130" s="69"/>
      <c r="F130" s="69"/>
      <c r="G130" s="69"/>
    </row>
    <row r="131" spans="5:7" ht="15.75" customHeight="1">
      <c r="E131" s="69"/>
      <c r="F131" s="69"/>
      <c r="G131" s="69"/>
    </row>
    <row r="132" spans="5:7" ht="15.75" customHeight="1">
      <c r="E132" s="69"/>
      <c r="F132" s="69"/>
      <c r="G132" s="69"/>
    </row>
    <row r="133" spans="5:7" ht="15.75" customHeight="1">
      <c r="E133" s="69"/>
      <c r="F133" s="69"/>
      <c r="G133" s="69"/>
    </row>
    <row r="134" spans="5:7" ht="15.75" customHeight="1">
      <c r="E134" s="69"/>
      <c r="F134" s="69"/>
      <c r="G134" s="69"/>
    </row>
    <row r="135" spans="5:7" ht="15.75" customHeight="1">
      <c r="E135" s="69"/>
      <c r="F135" s="69"/>
      <c r="G135" s="69"/>
    </row>
    <row r="136" spans="5:7" ht="15.75" customHeight="1">
      <c r="E136" s="69"/>
      <c r="F136" s="69"/>
      <c r="G136" s="69"/>
    </row>
    <row r="137" spans="5:7" ht="15.75" customHeight="1">
      <c r="E137" s="69"/>
      <c r="F137" s="69"/>
      <c r="G137" s="69"/>
    </row>
    <row r="138" spans="5:7" ht="15.75" customHeight="1">
      <c r="E138" s="69"/>
      <c r="F138" s="69"/>
      <c r="G138" s="69"/>
    </row>
    <row r="139" spans="5:7" ht="15.75" customHeight="1">
      <c r="E139" s="69"/>
      <c r="F139" s="69"/>
      <c r="G139" s="69"/>
    </row>
    <row r="140" spans="5:7" ht="15.75" customHeight="1">
      <c r="E140" s="69"/>
      <c r="F140" s="69"/>
      <c r="G140" s="69"/>
    </row>
    <row r="141" spans="5:7" ht="15.75" customHeight="1">
      <c r="E141" s="69"/>
      <c r="F141" s="69"/>
      <c r="G141" s="69"/>
    </row>
    <row r="142" spans="5:7" ht="15.75" customHeight="1">
      <c r="E142" s="69"/>
      <c r="F142" s="69"/>
      <c r="G142" s="69"/>
    </row>
    <row r="143" spans="5:7" ht="15.75" customHeight="1">
      <c r="E143" s="69"/>
      <c r="F143" s="69"/>
      <c r="G143" s="69"/>
    </row>
    <row r="144" spans="5:7" ht="15.75" customHeight="1">
      <c r="E144" s="69"/>
      <c r="F144" s="69"/>
      <c r="G144" s="69"/>
    </row>
    <row r="145" spans="5:7" ht="15.75" customHeight="1">
      <c r="E145" s="69"/>
      <c r="F145" s="69"/>
      <c r="G145" s="69"/>
    </row>
    <row r="146" spans="5:7" ht="15.75" customHeight="1">
      <c r="E146" s="69"/>
      <c r="F146" s="69"/>
      <c r="G146" s="69"/>
    </row>
    <row r="147" spans="5:7" ht="15.75" customHeight="1">
      <c r="E147" s="69"/>
      <c r="F147" s="69"/>
      <c r="G147" s="69"/>
    </row>
    <row r="148" spans="5:7" ht="15.75" customHeight="1">
      <c r="E148" s="69"/>
      <c r="F148" s="69"/>
      <c r="G148" s="69"/>
    </row>
    <row r="149" spans="5:7" ht="15.75" customHeight="1">
      <c r="E149" s="69"/>
      <c r="F149" s="69"/>
      <c r="G149" s="69"/>
    </row>
    <row r="150" spans="5:7" ht="15.75" customHeight="1">
      <c r="E150" s="69"/>
      <c r="F150" s="69"/>
      <c r="G150" s="69"/>
    </row>
    <row r="151" spans="5:7" ht="15.75" customHeight="1">
      <c r="E151" s="69"/>
      <c r="F151" s="69"/>
      <c r="G151" s="69"/>
    </row>
    <row r="152" spans="5:7" ht="15.75" customHeight="1">
      <c r="E152" s="69"/>
      <c r="F152" s="69"/>
      <c r="G152" s="69"/>
    </row>
    <row r="153" spans="5:7" ht="15.75" customHeight="1">
      <c r="E153" s="69"/>
      <c r="F153" s="69"/>
      <c r="G153" s="69"/>
    </row>
    <row r="154" spans="5:7" ht="15.75" customHeight="1">
      <c r="E154" s="69"/>
      <c r="F154" s="69"/>
      <c r="G154" s="69"/>
    </row>
    <row r="155" spans="5:7" ht="15.75" customHeight="1">
      <c r="E155" s="69"/>
      <c r="F155" s="69"/>
      <c r="G155" s="69"/>
    </row>
    <row r="156" spans="5:7" ht="15.75" customHeight="1">
      <c r="E156" s="69"/>
      <c r="F156" s="69"/>
      <c r="G156" s="69"/>
    </row>
    <row r="157" spans="5:7" ht="15.75" customHeight="1">
      <c r="E157" s="69"/>
      <c r="F157" s="69"/>
      <c r="G157" s="69"/>
    </row>
    <row r="158" spans="5:7" ht="15.75" customHeight="1">
      <c r="E158" s="69"/>
      <c r="F158" s="69"/>
      <c r="G158" s="69"/>
    </row>
    <row r="159" spans="5:7" ht="15.75" customHeight="1">
      <c r="E159" s="69"/>
      <c r="F159" s="69"/>
      <c r="G159" s="69"/>
    </row>
    <row r="160" spans="5:7" ht="15.75" customHeight="1">
      <c r="E160" s="69"/>
      <c r="F160" s="69"/>
      <c r="G160" s="69"/>
    </row>
    <row r="161" spans="5:7" ht="15.75" customHeight="1">
      <c r="E161" s="69"/>
      <c r="F161" s="69"/>
      <c r="G161" s="69"/>
    </row>
    <row r="162" spans="5:7" ht="15.75" customHeight="1">
      <c r="E162" s="69"/>
      <c r="F162" s="69"/>
      <c r="G162" s="69"/>
    </row>
    <row r="163" spans="5:7" ht="15.75" customHeight="1">
      <c r="E163" s="69"/>
      <c r="F163" s="69"/>
      <c r="G163" s="69"/>
    </row>
    <row r="164" spans="5:7" ht="15.75" customHeight="1">
      <c r="E164" s="69"/>
      <c r="F164" s="69"/>
      <c r="G164" s="69"/>
    </row>
    <row r="165" spans="5:7" ht="15.75" customHeight="1">
      <c r="E165" s="69"/>
      <c r="F165" s="69"/>
      <c r="G165" s="69"/>
    </row>
    <row r="166" spans="5:7" ht="15.75" customHeight="1">
      <c r="E166" s="69"/>
      <c r="F166" s="69"/>
      <c r="G166" s="69"/>
    </row>
    <row r="167" spans="5:7" ht="15.75" customHeight="1">
      <c r="E167" s="69"/>
      <c r="F167" s="69"/>
      <c r="G167" s="69"/>
    </row>
    <row r="168" spans="5:7" ht="15.75" customHeight="1">
      <c r="E168" s="69"/>
      <c r="F168" s="69"/>
      <c r="G168" s="69"/>
    </row>
    <row r="169" spans="5:7" ht="15.75" customHeight="1">
      <c r="E169" s="69"/>
      <c r="F169" s="69"/>
      <c r="G169" s="69"/>
    </row>
    <row r="170" spans="5:7" ht="15.75" customHeight="1">
      <c r="E170" s="69"/>
      <c r="F170" s="69"/>
      <c r="G170" s="69"/>
    </row>
    <row r="171" spans="5:7" ht="15.75" customHeight="1">
      <c r="E171" s="69"/>
      <c r="F171" s="69"/>
      <c r="G171" s="69"/>
    </row>
    <row r="172" spans="5:7" ht="15.75" customHeight="1">
      <c r="E172" s="69"/>
      <c r="F172" s="69"/>
      <c r="G172" s="69"/>
    </row>
    <row r="173" spans="5:7" ht="15.75" customHeight="1">
      <c r="E173" s="69"/>
      <c r="F173" s="69"/>
      <c r="G173" s="69"/>
    </row>
    <row r="174" spans="5:7" ht="15.75" customHeight="1">
      <c r="E174" s="69"/>
      <c r="F174" s="69"/>
      <c r="G174" s="69"/>
    </row>
    <row r="175" spans="5:7" ht="15.75" customHeight="1">
      <c r="E175" s="69"/>
      <c r="F175" s="69"/>
      <c r="G175" s="69"/>
    </row>
    <row r="176" spans="5:7" ht="15.75" customHeight="1">
      <c r="E176" s="69"/>
      <c r="F176" s="69"/>
      <c r="G176" s="69"/>
    </row>
    <row r="177" spans="5:7" ht="15.75" customHeight="1">
      <c r="E177" s="69"/>
      <c r="F177" s="69"/>
      <c r="G177" s="69"/>
    </row>
    <row r="178" spans="5:7" ht="15.75" customHeight="1">
      <c r="E178" s="69"/>
      <c r="F178" s="69"/>
      <c r="G178" s="69"/>
    </row>
    <row r="179" spans="5:7" ht="15.75" customHeight="1">
      <c r="E179" s="69"/>
      <c r="F179" s="69"/>
      <c r="G179" s="69"/>
    </row>
    <row r="180" spans="5:7" ht="15.75" customHeight="1">
      <c r="E180" s="69"/>
      <c r="F180" s="69"/>
      <c r="G180" s="69"/>
    </row>
    <row r="181" spans="5:7" ht="15.75" customHeight="1">
      <c r="E181" s="69"/>
      <c r="F181" s="69"/>
      <c r="G181" s="69"/>
    </row>
    <row r="182" spans="5:7" ht="15.75" customHeight="1">
      <c r="E182" s="69"/>
      <c r="F182" s="69"/>
      <c r="G182" s="69"/>
    </row>
    <row r="183" spans="5:7" ht="15.75" customHeight="1">
      <c r="E183" s="69"/>
      <c r="F183" s="69"/>
      <c r="G183" s="69"/>
    </row>
    <row r="184" spans="5:7" ht="15.75" customHeight="1">
      <c r="E184" s="69"/>
      <c r="F184" s="69"/>
      <c r="G184" s="69"/>
    </row>
    <row r="185" spans="5:7" ht="15.75" customHeight="1">
      <c r="E185" s="69"/>
      <c r="F185" s="69"/>
      <c r="G185" s="69"/>
    </row>
    <row r="186" spans="5:7" ht="15.75" customHeight="1">
      <c r="E186" s="69"/>
      <c r="F186" s="69"/>
      <c r="G186" s="69"/>
    </row>
    <row r="187" spans="5:7" ht="15.75" customHeight="1">
      <c r="E187" s="69"/>
      <c r="F187" s="69"/>
      <c r="G187" s="69"/>
    </row>
    <row r="188" spans="5:7" ht="15.75" customHeight="1">
      <c r="E188" s="69"/>
      <c r="F188" s="69"/>
      <c r="G188" s="69"/>
    </row>
    <row r="189" spans="5:7" ht="15.75" customHeight="1">
      <c r="E189" s="69"/>
      <c r="F189" s="69"/>
      <c r="G189" s="69"/>
    </row>
    <row r="190" spans="5:7" ht="15.75" customHeight="1">
      <c r="E190" s="69"/>
      <c r="F190" s="69"/>
      <c r="G190" s="69"/>
    </row>
    <row r="191" spans="5:7" ht="15.75" customHeight="1">
      <c r="E191" s="69"/>
      <c r="F191" s="69"/>
      <c r="G191" s="69"/>
    </row>
    <row r="192" spans="5:7" ht="15.75" customHeight="1">
      <c r="E192" s="69"/>
      <c r="F192" s="69"/>
      <c r="G192" s="69"/>
    </row>
    <row r="193" spans="5:7" ht="15.75" customHeight="1">
      <c r="E193" s="69"/>
      <c r="F193" s="69"/>
      <c r="G193" s="69"/>
    </row>
    <row r="194" spans="5:7" ht="15.75" customHeight="1">
      <c r="E194" s="69"/>
      <c r="F194" s="69"/>
      <c r="G194" s="69"/>
    </row>
    <row r="195" spans="5:7" ht="15.75" customHeight="1">
      <c r="E195" s="69"/>
      <c r="F195" s="69"/>
      <c r="G195" s="69"/>
    </row>
    <row r="196" spans="5:7" ht="15.75" customHeight="1">
      <c r="E196" s="69"/>
      <c r="F196" s="69"/>
      <c r="G196" s="69"/>
    </row>
    <row r="197" spans="5:7" ht="15.75" customHeight="1">
      <c r="E197" s="69"/>
      <c r="F197" s="69"/>
      <c r="G197" s="69"/>
    </row>
    <row r="198" spans="5:7" ht="15.75" customHeight="1">
      <c r="E198" s="69"/>
      <c r="F198" s="69"/>
      <c r="G198" s="69"/>
    </row>
    <row r="199" spans="5:7" ht="15.75" customHeight="1">
      <c r="E199" s="69"/>
      <c r="F199" s="69"/>
      <c r="G199" s="69"/>
    </row>
    <row r="200" spans="5:7" ht="15.75" customHeight="1">
      <c r="E200" s="69"/>
      <c r="F200" s="69"/>
      <c r="G200" s="69"/>
    </row>
    <row r="201" spans="5:7" ht="15.75" customHeight="1">
      <c r="E201" s="69"/>
      <c r="F201" s="69"/>
      <c r="G201" s="69"/>
    </row>
    <row r="202" spans="5:7" ht="15.75" customHeight="1">
      <c r="E202" s="69"/>
      <c r="F202" s="69"/>
      <c r="G202" s="69"/>
    </row>
    <row r="203" spans="5:7" ht="15.75" customHeight="1">
      <c r="E203" s="69"/>
      <c r="F203" s="69"/>
      <c r="G203" s="69"/>
    </row>
    <row r="204" spans="5:7" ht="15.75" customHeight="1">
      <c r="E204" s="69"/>
      <c r="F204" s="69"/>
      <c r="G204" s="69"/>
    </row>
    <row r="205" spans="5:7" ht="15.75" customHeight="1">
      <c r="E205" s="69"/>
      <c r="F205" s="69"/>
      <c r="G205" s="69"/>
    </row>
    <row r="206" spans="5:7" ht="15.75" customHeight="1">
      <c r="E206" s="69"/>
      <c r="F206" s="69"/>
      <c r="G206" s="69"/>
    </row>
    <row r="207" spans="5:7" ht="15.75" customHeight="1">
      <c r="E207" s="69"/>
      <c r="F207" s="69"/>
      <c r="G207" s="69"/>
    </row>
    <row r="208" spans="5:7" ht="15.75" customHeight="1">
      <c r="E208" s="69"/>
      <c r="F208" s="69"/>
      <c r="G208" s="69"/>
    </row>
    <row r="209" spans="5:7" ht="15.75" customHeight="1">
      <c r="E209" s="69"/>
      <c r="F209" s="69"/>
      <c r="G209" s="69"/>
    </row>
    <row r="210" spans="5:7" ht="15.75" customHeight="1">
      <c r="E210" s="69"/>
      <c r="F210" s="69"/>
      <c r="G210" s="69"/>
    </row>
    <row r="211" spans="5:7" ht="15.75" customHeight="1">
      <c r="E211" s="69"/>
      <c r="F211" s="69"/>
      <c r="G211" s="69"/>
    </row>
    <row r="212" spans="5:7" ht="15.75" customHeight="1">
      <c r="E212" s="69"/>
      <c r="F212" s="69"/>
      <c r="G212" s="69"/>
    </row>
    <row r="213" spans="5:7" ht="15.75" customHeight="1">
      <c r="E213" s="69"/>
      <c r="F213" s="69"/>
      <c r="G213" s="69"/>
    </row>
    <row r="214" spans="5:7" ht="15.75" customHeight="1">
      <c r="E214" s="69"/>
      <c r="F214" s="69"/>
      <c r="G214" s="69"/>
    </row>
    <row r="215" spans="5:7" ht="15.75" customHeight="1">
      <c r="E215" s="69"/>
      <c r="F215" s="69"/>
      <c r="G215" s="69"/>
    </row>
    <row r="216" spans="5:7" ht="15.75" customHeight="1">
      <c r="E216" s="69"/>
      <c r="F216" s="69"/>
      <c r="G216" s="69"/>
    </row>
    <row r="217" spans="5:7" ht="15.75" customHeight="1">
      <c r="E217" s="69"/>
      <c r="F217" s="69"/>
      <c r="G217" s="69"/>
    </row>
    <row r="218" spans="5:7" ht="15.75" customHeight="1">
      <c r="E218" s="69"/>
      <c r="F218" s="69"/>
      <c r="G218" s="69"/>
    </row>
    <row r="219" spans="5:7" ht="15.75" customHeight="1">
      <c r="E219" s="69"/>
      <c r="F219" s="69"/>
      <c r="G219" s="69"/>
    </row>
    <row r="220" spans="5:7" ht="15.75" customHeight="1">
      <c r="E220" s="69"/>
      <c r="F220" s="69"/>
      <c r="G220" s="69"/>
    </row>
    <row r="221" spans="5:7" ht="15.75" customHeight="1">
      <c r="E221" s="69"/>
      <c r="F221" s="69"/>
      <c r="G221" s="69"/>
    </row>
    <row r="222" spans="5:7" ht="15.75" customHeight="1">
      <c r="E222" s="69"/>
      <c r="F222" s="69"/>
      <c r="G222" s="69"/>
    </row>
    <row r="223" spans="5:7" ht="15.75" customHeight="1">
      <c r="E223" s="69"/>
      <c r="F223" s="69"/>
      <c r="G223" s="69"/>
    </row>
    <row r="224" spans="5:7" ht="15.75" customHeight="1">
      <c r="E224" s="69"/>
      <c r="F224" s="69"/>
      <c r="G224" s="69"/>
    </row>
    <row r="225" spans="5:7" ht="15.75" customHeight="1">
      <c r="E225" s="69"/>
      <c r="F225" s="69"/>
      <c r="G225" s="69"/>
    </row>
    <row r="226" spans="5:7" ht="15.75" customHeight="1">
      <c r="E226" s="69"/>
      <c r="F226" s="69"/>
      <c r="G226" s="69"/>
    </row>
    <row r="227" spans="5:7" ht="15.75" customHeight="1">
      <c r="E227" s="69"/>
      <c r="F227" s="69"/>
      <c r="G227" s="69"/>
    </row>
    <row r="228" spans="5:7" ht="15.75" customHeight="1">
      <c r="E228" s="69"/>
      <c r="F228" s="69"/>
      <c r="G228" s="69"/>
    </row>
    <row r="229" spans="5:7" ht="15.75" customHeight="1">
      <c r="E229" s="69"/>
      <c r="F229" s="69"/>
      <c r="G229" s="69"/>
    </row>
    <row r="230" spans="5:7" ht="15.75" customHeight="1">
      <c r="E230" s="69"/>
      <c r="F230" s="69"/>
      <c r="G230" s="69"/>
    </row>
    <row r="231" spans="5:7" ht="15.75" customHeight="1">
      <c r="E231" s="69"/>
      <c r="F231" s="69"/>
      <c r="G231" s="69"/>
    </row>
    <row r="232" spans="5:7" ht="15.75" customHeight="1">
      <c r="E232" s="69"/>
      <c r="F232" s="69"/>
      <c r="G232" s="69"/>
    </row>
    <row r="233" spans="5:7" ht="15.75" customHeight="1">
      <c r="E233" s="69"/>
      <c r="F233" s="69"/>
      <c r="G233" s="69"/>
    </row>
    <row r="234" spans="5:7" ht="15.75" customHeight="1">
      <c r="E234" s="69"/>
      <c r="F234" s="69"/>
      <c r="G234" s="69"/>
    </row>
    <row r="235" spans="5:7" ht="15.75" customHeight="1">
      <c r="E235" s="69"/>
      <c r="F235" s="69"/>
      <c r="G235" s="69"/>
    </row>
    <row r="236" spans="5:7" ht="15.75" customHeight="1">
      <c r="E236" s="69"/>
      <c r="F236" s="69"/>
      <c r="G236" s="69"/>
    </row>
    <row r="237" spans="5:7" ht="15.75" customHeight="1">
      <c r="E237" s="69"/>
      <c r="F237" s="69"/>
      <c r="G237" s="69"/>
    </row>
    <row r="238" spans="5:7" ht="15.75" customHeight="1">
      <c r="E238" s="69"/>
      <c r="F238" s="69"/>
      <c r="G238" s="69"/>
    </row>
    <row r="239" spans="5:7" ht="15.75" customHeight="1">
      <c r="E239" s="69"/>
      <c r="F239" s="69"/>
      <c r="G239" s="69"/>
    </row>
    <row r="240" spans="5:7" ht="15.75" customHeight="1">
      <c r="E240" s="69"/>
      <c r="F240" s="69"/>
      <c r="G240" s="69"/>
    </row>
    <row r="241" spans="5:7" ht="15.75" customHeight="1">
      <c r="E241" s="69"/>
      <c r="F241" s="69"/>
      <c r="G241" s="69"/>
    </row>
    <row r="242" spans="5:7" ht="15.75" customHeight="1">
      <c r="E242" s="69"/>
      <c r="F242" s="69"/>
      <c r="G242" s="69"/>
    </row>
    <row r="243" spans="5:7" ht="15.75" customHeight="1">
      <c r="E243" s="69"/>
      <c r="F243" s="69"/>
      <c r="G243" s="69"/>
    </row>
    <row r="244" spans="5:7" ht="15.75" customHeight="1">
      <c r="E244" s="69"/>
      <c r="F244" s="69"/>
      <c r="G244" s="69"/>
    </row>
    <row r="245" spans="5:7" ht="15.75" customHeight="1">
      <c r="E245" s="69"/>
      <c r="F245" s="69"/>
      <c r="G245" s="69"/>
    </row>
    <row r="246" spans="5:7" ht="15.75" customHeight="1">
      <c r="E246" s="69"/>
      <c r="F246" s="69"/>
      <c r="G246" s="69"/>
    </row>
    <row r="247" spans="5:7" ht="15.75" customHeight="1">
      <c r="E247" s="69"/>
      <c r="F247" s="69"/>
      <c r="G247" s="69"/>
    </row>
    <row r="248" spans="5:7" ht="15.75" customHeight="1">
      <c r="E248" s="69"/>
      <c r="F248" s="69"/>
      <c r="G248" s="69"/>
    </row>
    <row r="249" spans="5:7" ht="15.75" customHeight="1"/>
    <row r="250" spans="5:7" ht="15.75" customHeight="1"/>
    <row r="251" spans="5:7" ht="15.75" customHeight="1"/>
    <row r="252" spans="5:7" ht="15.75" customHeight="1"/>
    <row r="253" spans="5:7" ht="15.75" customHeight="1"/>
    <row r="254" spans="5:7" ht="15.75" customHeight="1"/>
    <row r="255" spans="5:7" ht="15.75" customHeight="1"/>
    <row r="256" spans="5:7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">
    <mergeCell ref="A48:C48"/>
  </mergeCell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B3E5A1"/>
  </sheetPr>
  <dimension ref="B3:Z999"/>
  <sheetViews>
    <sheetView topLeftCell="A85" zoomScale="89" workbookViewId="0">
      <selection activeCell="D48" sqref="D48"/>
    </sheetView>
  </sheetViews>
  <sheetFormatPr baseColWidth="10" defaultColWidth="12.5" defaultRowHeight="15" customHeight="1"/>
  <cols>
    <col min="1" max="1" width="10.5" customWidth="1"/>
    <col min="2" max="2" width="8.125" customWidth="1"/>
    <col min="3" max="3" width="22.125" customWidth="1"/>
    <col min="4" max="4" width="15.25" customWidth="1"/>
    <col min="5" max="5" width="22.5" customWidth="1"/>
    <col min="6" max="6" width="23.125" customWidth="1"/>
    <col min="7" max="7" width="13.5" customWidth="1"/>
    <col min="8" max="9" width="10.5" customWidth="1"/>
  </cols>
  <sheetData>
    <row r="3" spans="2:26">
      <c r="B3" s="203"/>
    </row>
    <row r="4" spans="2:26" ht="14.25">
      <c r="B4" s="51"/>
      <c r="C4" s="378" t="s">
        <v>112</v>
      </c>
      <c r="D4" s="368"/>
      <c r="E4" s="51" t="s">
        <v>926</v>
      </c>
      <c r="F4" s="51" t="s">
        <v>130</v>
      </c>
    </row>
    <row r="5" spans="2:26" ht="14.25">
      <c r="B5" s="51">
        <v>1</v>
      </c>
      <c r="C5" s="411" t="s">
        <v>927</v>
      </c>
      <c r="D5" s="368"/>
      <c r="E5" s="68">
        <v>8940176</v>
      </c>
      <c r="F5" s="119">
        <f t="shared" ref="F5:F11" si="0">E5*3</f>
        <v>26820528</v>
      </c>
      <c r="G5" s="412" t="s">
        <v>928</v>
      </c>
      <c r="H5" s="368"/>
      <c r="I5" s="204"/>
    </row>
    <row r="6" spans="2:26" ht="14.25">
      <c r="B6" s="51">
        <v>2</v>
      </c>
      <c r="C6" s="411" t="s">
        <v>929</v>
      </c>
      <c r="D6" s="368"/>
      <c r="E6" s="68">
        <v>28215866</v>
      </c>
      <c r="F6" s="119">
        <f t="shared" si="0"/>
        <v>84647598</v>
      </c>
    </row>
    <row r="7" spans="2:26" ht="45" customHeight="1">
      <c r="B7" s="51">
        <v>3</v>
      </c>
      <c r="C7" s="411" t="s">
        <v>930</v>
      </c>
      <c r="D7" s="368"/>
      <c r="E7" s="68">
        <f>1358940*1.056</f>
        <v>1435040.6400000001</v>
      </c>
      <c r="F7" s="119">
        <f t="shared" si="0"/>
        <v>4305121.92</v>
      </c>
      <c r="G7" s="413" t="s">
        <v>931</v>
      </c>
      <c r="H7" s="368"/>
      <c r="Z7" s="129" t="s">
        <v>932</v>
      </c>
    </row>
    <row r="8" spans="2:26" ht="45" customHeight="1">
      <c r="B8" s="51">
        <v>4</v>
      </c>
      <c r="C8" s="411" t="s">
        <v>933</v>
      </c>
      <c r="D8" s="368"/>
      <c r="E8" s="68">
        <f>300000*1.056</f>
        <v>316800</v>
      </c>
      <c r="F8" s="119">
        <f t="shared" si="0"/>
        <v>950400</v>
      </c>
      <c r="G8" s="44"/>
      <c r="H8" s="44"/>
    </row>
    <row r="9" spans="2:26" ht="14.25">
      <c r="B9" s="51">
        <v>5</v>
      </c>
      <c r="C9" s="411" t="s">
        <v>934</v>
      </c>
      <c r="D9" s="368"/>
      <c r="E9" s="298">
        <f>'3.4 Control de Plagas'!F5</f>
        <v>2214200</v>
      </c>
      <c r="F9" s="299">
        <f t="shared" si="0"/>
        <v>6642600</v>
      </c>
      <c r="K9" s="229" t="s">
        <v>969</v>
      </c>
      <c r="Q9" s="229" t="s">
        <v>969</v>
      </c>
    </row>
    <row r="10" spans="2:26" ht="14.25">
      <c r="B10" s="51">
        <v>6</v>
      </c>
      <c r="C10" s="411" t="s">
        <v>935</v>
      </c>
      <c r="D10" s="368"/>
      <c r="E10" s="174">
        <v>4000000</v>
      </c>
      <c r="F10" s="301">
        <f t="shared" si="0"/>
        <v>12000000</v>
      </c>
      <c r="G10" s="415"/>
      <c r="H10" s="416"/>
      <c r="I10" s="416"/>
      <c r="K10" s="229" t="s">
        <v>1037</v>
      </c>
      <c r="Q10" s="229" t="s">
        <v>1040</v>
      </c>
    </row>
    <row r="11" spans="2:26" ht="14.25">
      <c r="B11" s="51"/>
      <c r="C11" s="378" t="s">
        <v>936</v>
      </c>
      <c r="D11" s="368"/>
      <c r="E11" s="68">
        <f>SUM(E5:E10)</f>
        <v>45122082.640000001</v>
      </c>
      <c r="F11" s="300">
        <f t="shared" si="0"/>
        <v>135366247.92000002</v>
      </c>
    </row>
    <row r="12" spans="2:26" ht="14.25">
      <c r="D12" s="204"/>
      <c r="F12" s="204"/>
      <c r="Q12" s="229" t="s">
        <v>969</v>
      </c>
    </row>
    <row r="13" spans="2:26" ht="14.25">
      <c r="F13" s="204"/>
      <c r="Q13" s="229" t="s">
        <v>1038</v>
      </c>
    </row>
    <row r="14" spans="2:26" ht="15" customHeight="1">
      <c r="Q14" s="229" t="s">
        <v>1039</v>
      </c>
    </row>
    <row r="15" spans="2:26" ht="14.25">
      <c r="B15" s="120"/>
      <c r="C15" s="289"/>
      <c r="D15" s="289"/>
      <c r="E15" s="289"/>
    </row>
    <row r="16" spans="2:26" ht="14.25">
      <c r="C16" s="289"/>
      <c r="D16" s="290"/>
      <c r="E16" s="290"/>
    </row>
    <row r="17" spans="2:7" ht="14.25">
      <c r="C17" s="289"/>
      <c r="D17" s="290"/>
      <c r="E17" s="290"/>
    </row>
    <row r="19" spans="2:7" ht="14.25">
      <c r="C19" s="120" t="s">
        <v>937</v>
      </c>
    </row>
    <row r="20" spans="2:7" ht="15.75" customHeight="1">
      <c r="C20" s="120"/>
    </row>
    <row r="21" spans="2:7" ht="15.75" customHeight="1">
      <c r="B21" s="414" t="s">
        <v>1100</v>
      </c>
      <c r="C21" s="414"/>
      <c r="D21" s="414"/>
      <c r="E21" s="414"/>
      <c r="F21" s="414"/>
      <c r="G21" s="414"/>
    </row>
    <row r="22" spans="2:7" ht="36" customHeight="1">
      <c r="B22" s="332" t="s">
        <v>95</v>
      </c>
      <c r="C22" s="333" t="s">
        <v>1072</v>
      </c>
      <c r="D22" s="334" t="s">
        <v>1073</v>
      </c>
      <c r="E22" s="334" t="s">
        <v>1074</v>
      </c>
      <c r="F22" s="334" t="s">
        <v>1075</v>
      </c>
      <c r="G22" s="335" t="s">
        <v>100</v>
      </c>
    </row>
    <row r="23" spans="2:7" ht="15.75" customHeight="1">
      <c r="B23" s="325">
        <v>1</v>
      </c>
      <c r="C23" s="326" t="s">
        <v>1076</v>
      </c>
      <c r="D23" s="327">
        <v>80000</v>
      </c>
      <c r="E23" s="327">
        <v>60000</v>
      </c>
      <c r="F23" s="327">
        <v>72000</v>
      </c>
      <c r="G23" s="328">
        <f>AVERAGE(D23:F23)</f>
        <v>70666.666666666672</v>
      </c>
    </row>
    <row r="24" spans="2:7" ht="15.75" customHeight="1">
      <c r="B24" s="325">
        <v>2</v>
      </c>
      <c r="C24" s="326" t="s">
        <v>1077</v>
      </c>
      <c r="D24" s="327">
        <v>201000</v>
      </c>
      <c r="E24" s="327">
        <v>172000</v>
      </c>
      <c r="F24" s="327">
        <v>198000</v>
      </c>
      <c r="G24" s="328">
        <f t="shared" ref="G24:G46" si="1">AVERAGE(D24:F24)</f>
        <v>190333.33333333334</v>
      </c>
    </row>
    <row r="25" spans="2:7" ht="15.75" customHeight="1">
      <c r="B25" s="325">
        <v>3</v>
      </c>
      <c r="C25" s="326" t="s">
        <v>1078</v>
      </c>
      <c r="D25" s="327">
        <v>55000</v>
      </c>
      <c r="E25" s="327">
        <v>33000</v>
      </c>
      <c r="F25" s="327">
        <v>48000</v>
      </c>
      <c r="G25" s="328">
        <f t="shared" si="1"/>
        <v>45333.333333333336</v>
      </c>
    </row>
    <row r="26" spans="2:7" ht="15.75" customHeight="1">
      <c r="B26" s="325">
        <v>4</v>
      </c>
      <c r="C26" s="326" t="s">
        <v>1079</v>
      </c>
      <c r="D26" s="327">
        <v>101000</v>
      </c>
      <c r="E26" s="327">
        <v>80000</v>
      </c>
      <c r="F26" s="327">
        <v>100000</v>
      </c>
      <c r="G26" s="328">
        <f t="shared" si="1"/>
        <v>93666.666666666672</v>
      </c>
    </row>
    <row r="27" spans="2:7" ht="15.75" customHeight="1">
      <c r="B27" s="325">
        <v>5</v>
      </c>
      <c r="C27" s="326" t="s">
        <v>1080</v>
      </c>
      <c r="D27" s="327">
        <v>82000</v>
      </c>
      <c r="E27" s="327">
        <v>65000</v>
      </c>
      <c r="F27" s="327">
        <v>80000</v>
      </c>
      <c r="G27" s="328">
        <f t="shared" si="1"/>
        <v>75666.666666666672</v>
      </c>
    </row>
    <row r="28" spans="2:7" ht="15.75" customHeight="1">
      <c r="B28" s="325">
        <v>6</v>
      </c>
      <c r="C28" s="326" t="s">
        <v>1081</v>
      </c>
      <c r="D28" s="327">
        <v>55000</v>
      </c>
      <c r="E28" s="327">
        <v>42000</v>
      </c>
      <c r="F28" s="327">
        <v>50000</v>
      </c>
      <c r="G28" s="328">
        <f t="shared" si="1"/>
        <v>49000</v>
      </c>
    </row>
    <row r="29" spans="2:7" ht="15.75" customHeight="1">
      <c r="B29" s="325">
        <v>7</v>
      </c>
      <c r="C29" s="326" t="s">
        <v>1082</v>
      </c>
      <c r="D29" s="327">
        <v>36000</v>
      </c>
      <c r="E29" s="327">
        <v>20000</v>
      </c>
      <c r="F29" s="327">
        <v>32000</v>
      </c>
      <c r="G29" s="328">
        <f t="shared" si="1"/>
        <v>29333.333333333332</v>
      </c>
    </row>
    <row r="30" spans="2:7" ht="15.75" customHeight="1">
      <c r="B30" s="325">
        <v>8</v>
      </c>
      <c r="C30" s="326" t="s">
        <v>1083</v>
      </c>
      <c r="D30" s="327">
        <v>55000</v>
      </c>
      <c r="E30" s="327">
        <v>42000</v>
      </c>
      <c r="F30" s="327">
        <v>50000</v>
      </c>
      <c r="G30" s="328">
        <f t="shared" si="1"/>
        <v>49000</v>
      </c>
    </row>
    <row r="31" spans="2:7" ht="15.75" customHeight="1">
      <c r="B31" s="325">
        <v>9</v>
      </c>
      <c r="C31" s="326" t="s">
        <v>1084</v>
      </c>
      <c r="D31" s="327">
        <v>120000</v>
      </c>
      <c r="E31" s="327">
        <v>100000</v>
      </c>
      <c r="F31" s="327">
        <v>110000</v>
      </c>
      <c r="G31" s="328">
        <f t="shared" si="1"/>
        <v>110000</v>
      </c>
    </row>
    <row r="32" spans="2:7" ht="15.75" customHeight="1">
      <c r="B32" s="325">
        <v>10</v>
      </c>
      <c r="C32" s="326" t="s">
        <v>1085</v>
      </c>
      <c r="D32" s="327">
        <v>39000</v>
      </c>
      <c r="E32" s="327">
        <v>40000</v>
      </c>
      <c r="F32" s="327">
        <v>37000</v>
      </c>
      <c r="G32" s="328">
        <f t="shared" si="1"/>
        <v>38666.666666666664</v>
      </c>
    </row>
    <row r="33" spans="2:7" ht="15.75" customHeight="1">
      <c r="B33" s="325">
        <v>11</v>
      </c>
      <c r="C33" s="326" t="s">
        <v>1086</v>
      </c>
      <c r="D33" s="327">
        <v>35000</v>
      </c>
      <c r="E33" s="327">
        <v>35000</v>
      </c>
      <c r="F33" s="327">
        <v>32000</v>
      </c>
      <c r="G33" s="328">
        <f t="shared" si="1"/>
        <v>34000</v>
      </c>
    </row>
    <row r="34" spans="2:7" ht="15.75" customHeight="1">
      <c r="B34" s="325">
        <v>12</v>
      </c>
      <c r="C34" s="326" t="s">
        <v>1087</v>
      </c>
      <c r="D34" s="327">
        <v>42000</v>
      </c>
      <c r="E34" s="327">
        <v>50000</v>
      </c>
      <c r="F34" s="327">
        <v>40000</v>
      </c>
      <c r="G34" s="328">
        <f t="shared" si="1"/>
        <v>44000</v>
      </c>
    </row>
    <row r="35" spans="2:7" ht="15.75" customHeight="1">
      <c r="B35" s="325">
        <v>13</v>
      </c>
      <c r="C35" s="326" t="s">
        <v>1088</v>
      </c>
      <c r="D35" s="327">
        <v>32000</v>
      </c>
      <c r="E35" s="327">
        <v>30000</v>
      </c>
      <c r="F35" s="327">
        <v>30000</v>
      </c>
      <c r="G35" s="328">
        <f t="shared" si="1"/>
        <v>30666.666666666668</v>
      </c>
    </row>
    <row r="36" spans="2:7" ht="15.75" customHeight="1">
      <c r="B36" s="325">
        <v>14</v>
      </c>
      <c r="C36" s="326" t="s">
        <v>1089</v>
      </c>
      <c r="D36" s="327">
        <v>80000</v>
      </c>
      <c r="E36" s="327">
        <v>72000</v>
      </c>
      <c r="F36" s="327">
        <v>78000</v>
      </c>
      <c r="G36" s="328">
        <f t="shared" si="1"/>
        <v>76666.666666666672</v>
      </c>
    </row>
    <row r="37" spans="2:7" ht="15.75" customHeight="1">
      <c r="B37" s="325">
        <v>16</v>
      </c>
      <c r="C37" s="326" t="s">
        <v>1090</v>
      </c>
      <c r="D37" s="327">
        <v>100000</v>
      </c>
      <c r="E37" s="327">
        <v>80000</v>
      </c>
      <c r="F37" s="327">
        <v>98000</v>
      </c>
      <c r="G37" s="328">
        <f t="shared" si="1"/>
        <v>92666.666666666672</v>
      </c>
    </row>
    <row r="38" spans="2:7" ht="15.75" customHeight="1">
      <c r="B38" s="325">
        <v>17</v>
      </c>
      <c r="C38" s="326" t="s">
        <v>1091</v>
      </c>
      <c r="D38" s="327">
        <v>260000</v>
      </c>
      <c r="E38" s="327">
        <v>200000</v>
      </c>
      <c r="F38" s="327">
        <v>215000</v>
      </c>
      <c r="G38" s="328">
        <f t="shared" si="1"/>
        <v>225000</v>
      </c>
    </row>
    <row r="39" spans="2:7" ht="15.75" customHeight="1">
      <c r="B39" s="325">
        <v>18</v>
      </c>
      <c r="C39" s="326" t="s">
        <v>1092</v>
      </c>
      <c r="D39" s="327">
        <v>1400000</v>
      </c>
      <c r="E39" s="327">
        <v>1250000</v>
      </c>
      <c r="F39" s="327">
        <v>1350000</v>
      </c>
      <c r="G39" s="328">
        <f t="shared" si="1"/>
        <v>1333333.3333333333</v>
      </c>
    </row>
    <row r="40" spans="2:7" ht="15.75" customHeight="1">
      <c r="B40" s="325">
        <v>21</v>
      </c>
      <c r="C40" s="326" t="s">
        <v>1093</v>
      </c>
      <c r="D40" s="327">
        <v>170000</v>
      </c>
      <c r="E40" s="327">
        <v>130000</v>
      </c>
      <c r="F40" s="327">
        <v>165000</v>
      </c>
      <c r="G40" s="328">
        <f t="shared" si="1"/>
        <v>155000</v>
      </c>
    </row>
    <row r="41" spans="2:7" ht="15.75" customHeight="1">
      <c r="B41" s="325">
        <v>22</v>
      </c>
      <c r="C41" s="326" t="s">
        <v>1094</v>
      </c>
      <c r="D41" s="327">
        <v>45000</v>
      </c>
      <c r="E41" s="327">
        <v>32000</v>
      </c>
      <c r="F41" s="327">
        <v>40000</v>
      </c>
      <c r="G41" s="328">
        <f t="shared" si="1"/>
        <v>39000</v>
      </c>
    </row>
    <row r="42" spans="2:7" ht="15.75" customHeight="1">
      <c r="B42" s="325">
        <v>24</v>
      </c>
      <c r="C42" s="326" t="s">
        <v>1095</v>
      </c>
      <c r="D42" s="327">
        <v>28000</v>
      </c>
      <c r="E42" s="327">
        <v>20000</v>
      </c>
      <c r="F42" s="327">
        <v>25000</v>
      </c>
      <c r="G42" s="328">
        <f t="shared" si="1"/>
        <v>24333.333333333332</v>
      </c>
    </row>
    <row r="43" spans="2:7" ht="15.75" customHeight="1">
      <c r="B43" s="325">
        <v>25</v>
      </c>
      <c r="C43" s="326" t="s">
        <v>1096</v>
      </c>
      <c r="D43" s="327">
        <v>73000</v>
      </c>
      <c r="E43" s="327">
        <v>63000</v>
      </c>
      <c r="F43" s="327">
        <v>70000</v>
      </c>
      <c r="G43" s="328">
        <f t="shared" si="1"/>
        <v>68666.666666666672</v>
      </c>
    </row>
    <row r="44" spans="2:7" ht="15.75" customHeight="1">
      <c r="B44" s="325">
        <v>26</v>
      </c>
      <c r="C44" s="326" t="s">
        <v>1097</v>
      </c>
      <c r="D44" s="327">
        <v>26000</v>
      </c>
      <c r="E44" s="327">
        <v>18500</v>
      </c>
      <c r="F44" s="327">
        <v>22000</v>
      </c>
      <c r="G44" s="328">
        <f t="shared" si="1"/>
        <v>22166.666666666668</v>
      </c>
    </row>
    <row r="45" spans="2:7" ht="15.75" customHeight="1">
      <c r="B45" s="325">
        <v>27</v>
      </c>
      <c r="C45" s="326" t="s">
        <v>1098</v>
      </c>
      <c r="D45" s="327">
        <v>100000</v>
      </c>
      <c r="E45" s="327">
        <v>81000</v>
      </c>
      <c r="F45" s="327">
        <v>98000</v>
      </c>
      <c r="G45" s="328">
        <f t="shared" si="1"/>
        <v>93000</v>
      </c>
    </row>
    <row r="46" spans="2:7" ht="15.75" customHeight="1">
      <c r="B46" s="325">
        <v>28</v>
      </c>
      <c r="C46" s="326" t="s">
        <v>1099</v>
      </c>
      <c r="D46" s="327">
        <v>100000</v>
      </c>
      <c r="E46" s="327">
        <v>82000</v>
      </c>
      <c r="F46" s="327">
        <v>98000</v>
      </c>
      <c r="G46" s="328">
        <f t="shared" si="1"/>
        <v>93333.333333333328</v>
      </c>
    </row>
    <row r="47" spans="2:7" ht="15.75" customHeight="1">
      <c r="B47" s="329"/>
      <c r="C47" s="293"/>
      <c r="D47" s="330">
        <f>SUM(D23:D46)</f>
        <v>3315000</v>
      </c>
      <c r="E47" s="330">
        <f>SUM(E23:E46)</f>
        <v>2797500</v>
      </c>
      <c r="F47" s="330">
        <f>SUM(F23:F46)</f>
        <v>3138000</v>
      </c>
      <c r="G47" s="331"/>
    </row>
    <row r="48" spans="2: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2">
    <mergeCell ref="B21:G21"/>
    <mergeCell ref="C9:D9"/>
    <mergeCell ref="C10:D10"/>
    <mergeCell ref="G10:I10"/>
    <mergeCell ref="C11:D11"/>
    <mergeCell ref="C8:D8"/>
    <mergeCell ref="C4:D4"/>
    <mergeCell ref="C5:D5"/>
    <mergeCell ref="G5:H5"/>
    <mergeCell ref="C6:D6"/>
    <mergeCell ref="C7:D7"/>
    <mergeCell ref="G7:H7"/>
  </mergeCells>
  <pageMargins left="0.7" right="0.7" top="0.75" bottom="0.75" header="0" footer="0"/>
  <pageSetup orientation="landscape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B3E5A1"/>
  </sheetPr>
  <dimension ref="A1:H1000"/>
  <sheetViews>
    <sheetView workbookViewId="0">
      <selection activeCell="X1" sqref="X1"/>
    </sheetView>
  </sheetViews>
  <sheetFormatPr baseColWidth="10" defaultColWidth="12.5" defaultRowHeight="15" customHeight="1"/>
  <cols>
    <col min="1" max="1" width="5.5" customWidth="1"/>
    <col min="2" max="2" width="25.125" customWidth="1"/>
    <col min="3" max="3" width="14.875" customWidth="1"/>
    <col min="4" max="4" width="10.5" customWidth="1"/>
    <col min="5" max="5" width="15.5" customWidth="1"/>
    <col min="6" max="6" width="13.5" customWidth="1"/>
    <col min="7" max="7" width="16.5" customWidth="1"/>
  </cols>
  <sheetData>
    <row r="1" spans="1:8" ht="28.5">
      <c r="A1" s="205" t="s">
        <v>95</v>
      </c>
      <c r="B1" s="205" t="s">
        <v>737</v>
      </c>
      <c r="C1" s="205" t="s">
        <v>938</v>
      </c>
      <c r="D1" s="205" t="s">
        <v>723</v>
      </c>
      <c r="E1" s="205" t="s">
        <v>939</v>
      </c>
      <c r="F1" s="205" t="s">
        <v>940</v>
      </c>
      <c r="G1" s="302" t="s">
        <v>941</v>
      </c>
      <c r="H1" s="304" t="s">
        <v>100</v>
      </c>
    </row>
    <row r="2" spans="1:8" ht="14.25">
      <c r="A2" s="67">
        <v>1</v>
      </c>
      <c r="B2" s="67" t="s">
        <v>942</v>
      </c>
      <c r="C2" s="51" t="s">
        <v>943</v>
      </c>
      <c r="D2" s="51">
        <v>1</v>
      </c>
      <c r="E2" s="68">
        <v>139440</v>
      </c>
      <c r="F2" s="68">
        <v>179529</v>
      </c>
      <c r="G2" s="174">
        <v>174300</v>
      </c>
      <c r="H2" s="245">
        <f>AVERAGE(E2:G2)</f>
        <v>164423</v>
      </c>
    </row>
    <row r="3" spans="1:8" ht="14.25">
      <c r="A3" s="67">
        <v>2</v>
      </c>
      <c r="B3" s="67" t="s">
        <v>944</v>
      </c>
      <c r="C3" s="51" t="s">
        <v>945</v>
      </c>
      <c r="D3" s="51">
        <v>1</v>
      </c>
      <c r="E3" s="68">
        <v>72647</v>
      </c>
      <c r="F3" s="68">
        <v>93533</v>
      </c>
      <c r="G3" s="174">
        <v>90809</v>
      </c>
      <c r="H3" s="245">
        <f t="shared" ref="H3:H13" si="0">AVERAGE(E3:G3)</f>
        <v>85663</v>
      </c>
    </row>
    <row r="4" spans="1:8" ht="14.25">
      <c r="A4" s="67">
        <v>3</v>
      </c>
      <c r="B4" s="67" t="s">
        <v>946</v>
      </c>
      <c r="C4" s="51" t="s">
        <v>947</v>
      </c>
      <c r="D4" s="51">
        <v>1</v>
      </c>
      <c r="E4" s="68">
        <v>85781</v>
      </c>
      <c r="F4" s="68">
        <v>110443</v>
      </c>
      <c r="G4" s="174">
        <v>107226</v>
      </c>
      <c r="H4" s="245">
        <f t="shared" si="0"/>
        <v>101150</v>
      </c>
    </row>
    <row r="5" spans="1:8" ht="14.25">
      <c r="A5" s="67">
        <v>4</v>
      </c>
      <c r="B5" s="67" t="s">
        <v>948</v>
      </c>
      <c r="C5" s="51" t="s">
        <v>949</v>
      </c>
      <c r="D5" s="51">
        <v>1</v>
      </c>
      <c r="E5" s="68">
        <v>215880</v>
      </c>
      <c r="F5" s="68">
        <v>277946</v>
      </c>
      <c r="G5" s="303">
        <v>269850</v>
      </c>
      <c r="H5" s="245">
        <f t="shared" si="0"/>
        <v>254558.66666666666</v>
      </c>
    </row>
    <row r="6" spans="1:8" ht="14.25">
      <c r="A6" s="67">
        <v>5</v>
      </c>
      <c r="B6" s="67" t="s">
        <v>950</v>
      </c>
      <c r="C6" s="51" t="s">
        <v>951</v>
      </c>
      <c r="D6" s="51">
        <v>1</v>
      </c>
      <c r="E6" s="68">
        <v>222840</v>
      </c>
      <c r="F6" s="68">
        <v>286907</v>
      </c>
      <c r="G6" s="174">
        <v>278550</v>
      </c>
      <c r="H6" s="245">
        <f t="shared" si="0"/>
        <v>262765.66666666669</v>
      </c>
    </row>
    <row r="7" spans="1:8" ht="28.5">
      <c r="A7" s="67">
        <v>6</v>
      </c>
      <c r="B7" s="67" t="s">
        <v>952</v>
      </c>
      <c r="C7" s="51" t="s">
        <v>953</v>
      </c>
      <c r="D7" s="51">
        <v>1</v>
      </c>
      <c r="E7" s="68">
        <v>149880</v>
      </c>
      <c r="F7" s="68">
        <v>192971</v>
      </c>
      <c r="G7" s="174">
        <v>187350</v>
      </c>
      <c r="H7" s="245">
        <f t="shared" si="0"/>
        <v>176733.66666666666</v>
      </c>
    </row>
    <row r="8" spans="1:8" ht="28.5">
      <c r="A8" s="67"/>
      <c r="B8" s="67" t="s">
        <v>954</v>
      </c>
      <c r="C8" s="51"/>
      <c r="D8" s="51"/>
      <c r="E8" s="68">
        <v>179880</v>
      </c>
      <c r="F8" s="68">
        <v>231596</v>
      </c>
      <c r="G8" s="174">
        <v>224850</v>
      </c>
      <c r="H8" s="245">
        <f t="shared" si="0"/>
        <v>212108.66666666666</v>
      </c>
    </row>
    <row r="9" spans="1:8" ht="14.25">
      <c r="A9" s="67">
        <v>8</v>
      </c>
      <c r="B9" s="67" t="s">
        <v>955</v>
      </c>
      <c r="C9" s="51" t="s">
        <v>848</v>
      </c>
      <c r="D9" s="51">
        <v>1</v>
      </c>
      <c r="E9" s="68">
        <v>26400</v>
      </c>
      <c r="F9" s="68">
        <v>33990</v>
      </c>
      <c r="G9" s="174">
        <v>33000</v>
      </c>
      <c r="H9" s="245">
        <f t="shared" si="0"/>
        <v>31130</v>
      </c>
    </row>
    <row r="10" spans="1:8" ht="14.25">
      <c r="A10" s="67">
        <v>9</v>
      </c>
      <c r="B10" s="67" t="s">
        <v>956</v>
      </c>
      <c r="C10" s="51" t="s">
        <v>957</v>
      </c>
      <c r="D10" s="51">
        <v>1</v>
      </c>
      <c r="E10" s="68">
        <v>37625</v>
      </c>
      <c r="F10" s="68">
        <v>37900</v>
      </c>
      <c r="G10" s="174">
        <v>37950</v>
      </c>
      <c r="H10" s="245">
        <f t="shared" si="0"/>
        <v>37825</v>
      </c>
    </row>
    <row r="11" spans="1:8" ht="14.25">
      <c r="A11" s="67">
        <v>10</v>
      </c>
      <c r="B11" s="67" t="s">
        <v>958</v>
      </c>
      <c r="C11" s="51" t="s">
        <v>762</v>
      </c>
      <c r="D11" s="51">
        <v>1</v>
      </c>
      <c r="E11" s="68">
        <v>602</v>
      </c>
      <c r="F11" s="68">
        <v>650</v>
      </c>
      <c r="G11" s="174">
        <v>700</v>
      </c>
      <c r="H11" s="245">
        <f t="shared" si="0"/>
        <v>650.66666666666663</v>
      </c>
    </row>
    <row r="12" spans="1:8" ht="14.25">
      <c r="A12" s="67">
        <v>11</v>
      </c>
      <c r="B12" s="67" t="s">
        <v>959</v>
      </c>
      <c r="C12" s="51" t="s">
        <v>848</v>
      </c>
      <c r="D12" s="51">
        <v>1</v>
      </c>
      <c r="E12" s="68">
        <v>19000</v>
      </c>
      <c r="F12" s="68">
        <v>19500</v>
      </c>
      <c r="G12" s="174">
        <v>19800</v>
      </c>
      <c r="H12" s="245">
        <f t="shared" si="0"/>
        <v>19433.333333333332</v>
      </c>
    </row>
    <row r="13" spans="1:8" ht="14.25">
      <c r="A13" s="67">
        <v>12</v>
      </c>
      <c r="B13" s="67" t="s">
        <v>960</v>
      </c>
      <c r="C13" s="51" t="s">
        <v>961</v>
      </c>
      <c r="D13" s="51">
        <v>1</v>
      </c>
      <c r="E13" s="68">
        <v>16500</v>
      </c>
      <c r="F13" s="68">
        <v>17100</v>
      </c>
      <c r="G13" s="174">
        <v>17500</v>
      </c>
      <c r="H13" s="245">
        <f t="shared" si="0"/>
        <v>17033.333333333332</v>
      </c>
    </row>
    <row r="14" spans="1:8" ht="14.25">
      <c r="G14" s="69"/>
    </row>
    <row r="15" spans="1:8" ht="14.25">
      <c r="F15" s="206" t="s">
        <v>129</v>
      </c>
      <c r="G15" s="207" t="s">
        <v>202</v>
      </c>
    </row>
    <row r="16" spans="1:8" ht="28.5">
      <c r="F16" s="93" t="s">
        <v>962</v>
      </c>
      <c r="G16" s="208">
        <v>240000000</v>
      </c>
    </row>
    <row r="17" spans="2:7" ht="14.25">
      <c r="F17" s="209" t="s">
        <v>117</v>
      </c>
      <c r="G17" s="210">
        <f>G16/3</f>
        <v>80000000</v>
      </c>
    </row>
    <row r="18" spans="2:7" ht="14.25">
      <c r="G18" s="69"/>
    </row>
    <row r="19" spans="2:7" ht="14.25">
      <c r="G19" s="69"/>
    </row>
    <row r="20" spans="2:7">
      <c r="B20" s="79"/>
      <c r="G20" s="69"/>
    </row>
    <row r="21" spans="2:7" ht="15.75" customHeight="1">
      <c r="B21" s="44"/>
      <c r="E21" s="46"/>
      <c r="F21" s="46"/>
      <c r="G21" s="46"/>
    </row>
    <row r="22" spans="2:7" ht="15.75" customHeight="1">
      <c r="B22" s="47"/>
      <c r="E22" s="48"/>
      <c r="F22" s="48"/>
      <c r="G22" s="48"/>
    </row>
    <row r="23" spans="2:7" ht="15.75" customHeight="1">
      <c r="B23" s="44"/>
      <c r="E23" s="5"/>
      <c r="F23" s="5"/>
      <c r="G23" s="5"/>
    </row>
    <row r="24" spans="2:7" ht="15.75" customHeight="1">
      <c r="B24" s="44"/>
      <c r="E24" s="48"/>
      <c r="F24" s="48"/>
      <c r="G24" s="48"/>
    </row>
    <row r="25" spans="2:7" ht="15.75" customHeight="1">
      <c r="B25" s="47"/>
      <c r="G25" s="69"/>
    </row>
    <row r="26" spans="2:7" ht="15.75" customHeight="1">
      <c r="G26" s="69"/>
    </row>
    <row r="27" spans="2:7" ht="15.75" customHeight="1">
      <c r="B27" s="256"/>
      <c r="C27" s="256"/>
      <c r="D27" s="256"/>
      <c r="E27" s="256"/>
      <c r="F27" s="256"/>
      <c r="G27" s="69"/>
    </row>
    <row r="28" spans="2:7" ht="15.75" customHeight="1">
      <c r="B28" s="258"/>
      <c r="C28" s="259"/>
      <c r="D28" s="256"/>
      <c r="E28" s="256"/>
      <c r="F28" s="256"/>
      <c r="G28" s="69"/>
    </row>
    <row r="29" spans="2:7" ht="15.75" customHeight="1">
      <c r="B29" s="256"/>
      <c r="C29" s="259"/>
      <c r="D29" s="256"/>
      <c r="E29" s="256"/>
      <c r="F29" s="256"/>
      <c r="G29" s="69"/>
    </row>
    <row r="30" spans="2:7" ht="15.75" customHeight="1">
      <c r="G30" s="69"/>
    </row>
    <row r="31" spans="2:7" ht="15.75" customHeight="1">
      <c r="G31" s="69"/>
    </row>
    <row r="32" spans="2:7" ht="15.75" customHeight="1">
      <c r="G32" s="69"/>
    </row>
    <row r="33" spans="7:7" ht="15.75" customHeight="1">
      <c r="G33" s="69"/>
    </row>
    <row r="34" spans="7:7" ht="15.75" customHeight="1">
      <c r="G34" s="69"/>
    </row>
    <row r="35" spans="7:7" ht="15.75" customHeight="1">
      <c r="G35" s="69"/>
    </row>
    <row r="36" spans="7:7" ht="15.75" customHeight="1">
      <c r="G36" s="69"/>
    </row>
    <row r="37" spans="7:7" ht="15.75" customHeight="1">
      <c r="G37" s="69"/>
    </row>
    <row r="38" spans="7:7" ht="15.75" customHeight="1">
      <c r="G38" s="69"/>
    </row>
    <row r="39" spans="7:7" ht="15.75" customHeight="1">
      <c r="G39" s="69"/>
    </row>
    <row r="40" spans="7:7" ht="15.75" customHeight="1">
      <c r="G40" s="69"/>
    </row>
    <row r="41" spans="7:7" ht="15.75" customHeight="1">
      <c r="G41" s="69"/>
    </row>
    <row r="42" spans="7:7" ht="15.75" customHeight="1">
      <c r="G42" s="69"/>
    </row>
    <row r="43" spans="7:7" ht="15.75" customHeight="1">
      <c r="G43" s="69"/>
    </row>
    <row r="44" spans="7:7" ht="15.75" customHeight="1">
      <c r="G44" s="69"/>
    </row>
    <row r="45" spans="7:7" ht="15.75" customHeight="1">
      <c r="G45" s="69"/>
    </row>
    <row r="46" spans="7:7" ht="15.75" customHeight="1">
      <c r="G46" s="69"/>
    </row>
    <row r="47" spans="7:7" ht="15.75" customHeight="1">
      <c r="G47" s="69"/>
    </row>
    <row r="48" spans="7:7" ht="15.75" customHeight="1">
      <c r="G48" s="69"/>
    </row>
    <row r="49" spans="7:7" ht="15.75" customHeight="1">
      <c r="G49" s="69"/>
    </row>
    <row r="50" spans="7:7" ht="15.75" customHeight="1">
      <c r="G50" s="69"/>
    </row>
    <row r="51" spans="7:7" ht="15.75" customHeight="1">
      <c r="G51" s="69"/>
    </row>
    <row r="52" spans="7:7" ht="15.75" customHeight="1">
      <c r="G52" s="69"/>
    </row>
    <row r="53" spans="7:7" ht="15.75" customHeight="1">
      <c r="G53" s="69"/>
    </row>
    <row r="54" spans="7:7" ht="15.75" customHeight="1">
      <c r="G54" s="69"/>
    </row>
    <row r="55" spans="7:7" ht="15.75" customHeight="1">
      <c r="G55" s="69"/>
    </row>
    <row r="56" spans="7:7" ht="15.75" customHeight="1">
      <c r="G56" s="69"/>
    </row>
    <row r="57" spans="7:7" ht="15.75" customHeight="1">
      <c r="G57" s="69"/>
    </row>
    <row r="58" spans="7:7" ht="15.75" customHeight="1">
      <c r="G58" s="69"/>
    </row>
    <row r="59" spans="7:7" ht="15.75" customHeight="1">
      <c r="G59" s="69"/>
    </row>
    <row r="60" spans="7:7" ht="15.75" customHeight="1">
      <c r="G60" s="69"/>
    </row>
    <row r="61" spans="7:7" ht="15.75" customHeight="1">
      <c r="G61" s="69"/>
    </row>
    <row r="62" spans="7:7" ht="15.75" customHeight="1">
      <c r="G62" s="69"/>
    </row>
    <row r="63" spans="7:7" ht="15.75" customHeight="1">
      <c r="G63" s="69"/>
    </row>
    <row r="64" spans="7:7" ht="15.75" customHeight="1">
      <c r="G64" s="69"/>
    </row>
    <row r="65" spans="7:7" ht="15.75" customHeight="1">
      <c r="G65" s="69"/>
    </row>
    <row r="66" spans="7:7" ht="15.75" customHeight="1">
      <c r="G66" s="69"/>
    </row>
    <row r="67" spans="7:7" ht="15.75" customHeight="1">
      <c r="G67" s="69"/>
    </row>
    <row r="68" spans="7:7" ht="15.75" customHeight="1">
      <c r="G68" s="69"/>
    </row>
    <row r="69" spans="7:7" ht="15.75" customHeight="1">
      <c r="G69" s="69"/>
    </row>
    <row r="70" spans="7:7" ht="15.75" customHeight="1">
      <c r="G70" s="69"/>
    </row>
    <row r="71" spans="7:7" ht="15.75" customHeight="1">
      <c r="G71" s="69"/>
    </row>
    <row r="72" spans="7:7" ht="15.75" customHeight="1">
      <c r="G72" s="69"/>
    </row>
    <row r="73" spans="7:7" ht="15.75" customHeight="1">
      <c r="G73" s="69"/>
    </row>
    <row r="74" spans="7:7" ht="15.75" customHeight="1">
      <c r="G74" s="69"/>
    </row>
    <row r="75" spans="7:7" ht="15.75" customHeight="1">
      <c r="G75" s="69"/>
    </row>
    <row r="76" spans="7:7" ht="15.75" customHeight="1">
      <c r="G76" s="69"/>
    </row>
    <row r="77" spans="7:7" ht="15.75" customHeight="1">
      <c r="G77" s="69"/>
    </row>
    <row r="78" spans="7:7" ht="15.75" customHeight="1">
      <c r="G78" s="69"/>
    </row>
    <row r="79" spans="7:7" ht="15.75" customHeight="1">
      <c r="G79" s="69"/>
    </row>
    <row r="80" spans="7:7" ht="15.75" customHeight="1">
      <c r="G80" s="69"/>
    </row>
    <row r="81" spans="7:7" ht="15.75" customHeight="1">
      <c r="G81" s="69"/>
    </row>
    <row r="82" spans="7:7" ht="15.75" customHeight="1">
      <c r="G82" s="69"/>
    </row>
    <row r="83" spans="7:7" ht="15.75" customHeight="1">
      <c r="G83" s="69"/>
    </row>
    <row r="84" spans="7:7" ht="15.75" customHeight="1">
      <c r="G84" s="69"/>
    </row>
    <row r="85" spans="7:7" ht="15.75" customHeight="1">
      <c r="G85" s="69"/>
    </row>
    <row r="86" spans="7:7" ht="15.75" customHeight="1">
      <c r="G86" s="69"/>
    </row>
    <row r="87" spans="7:7" ht="15.75" customHeight="1">
      <c r="G87" s="69"/>
    </row>
    <row r="88" spans="7:7" ht="15.75" customHeight="1">
      <c r="G88" s="69"/>
    </row>
    <row r="89" spans="7:7" ht="15.75" customHeight="1">
      <c r="G89" s="69"/>
    </row>
    <row r="90" spans="7:7" ht="15.75" customHeight="1">
      <c r="G90" s="69"/>
    </row>
    <row r="91" spans="7:7" ht="15.75" customHeight="1">
      <c r="G91" s="69"/>
    </row>
    <row r="92" spans="7:7" ht="15.75" customHeight="1">
      <c r="G92" s="69"/>
    </row>
    <row r="93" spans="7:7" ht="15.75" customHeight="1">
      <c r="G93" s="69"/>
    </row>
    <row r="94" spans="7:7" ht="15.75" customHeight="1">
      <c r="G94" s="69"/>
    </row>
    <row r="95" spans="7:7" ht="15.75" customHeight="1">
      <c r="G95" s="69"/>
    </row>
    <row r="96" spans="7:7" ht="15.75" customHeight="1">
      <c r="G96" s="69"/>
    </row>
    <row r="97" spans="7:7" ht="15.75" customHeight="1">
      <c r="G97" s="69"/>
    </row>
    <row r="98" spans="7:7" ht="15.75" customHeight="1">
      <c r="G98" s="69"/>
    </row>
    <row r="99" spans="7:7" ht="15.75" customHeight="1">
      <c r="G99" s="69"/>
    </row>
    <row r="100" spans="7:7" ht="15.75" customHeight="1">
      <c r="G100" s="69"/>
    </row>
    <row r="101" spans="7:7" ht="15.75" customHeight="1">
      <c r="G101" s="69"/>
    </row>
    <row r="102" spans="7:7" ht="15.75" customHeight="1">
      <c r="G102" s="69"/>
    </row>
    <row r="103" spans="7:7" ht="15.75" customHeight="1">
      <c r="G103" s="69"/>
    </row>
    <row r="104" spans="7:7" ht="15.75" customHeight="1">
      <c r="G104" s="69"/>
    </row>
    <row r="105" spans="7:7" ht="15.75" customHeight="1">
      <c r="G105" s="69"/>
    </row>
    <row r="106" spans="7:7" ht="15.75" customHeight="1">
      <c r="G106" s="69"/>
    </row>
    <row r="107" spans="7:7" ht="15.75" customHeight="1">
      <c r="G107" s="69"/>
    </row>
    <row r="108" spans="7:7" ht="15.75" customHeight="1">
      <c r="G108" s="69"/>
    </row>
    <row r="109" spans="7:7" ht="15.75" customHeight="1">
      <c r="G109" s="69"/>
    </row>
    <row r="110" spans="7:7" ht="15.75" customHeight="1">
      <c r="G110" s="69"/>
    </row>
    <row r="111" spans="7:7" ht="15.75" customHeight="1">
      <c r="G111" s="69"/>
    </row>
    <row r="112" spans="7:7" ht="15.75" customHeight="1">
      <c r="G112" s="69"/>
    </row>
    <row r="113" spans="7:7" ht="15.75" customHeight="1">
      <c r="G113" s="69"/>
    </row>
    <row r="114" spans="7:7" ht="15.75" customHeight="1">
      <c r="G114" s="69"/>
    </row>
    <row r="115" spans="7:7" ht="15.75" customHeight="1">
      <c r="G115" s="69"/>
    </row>
    <row r="116" spans="7:7" ht="15.75" customHeight="1">
      <c r="G116" s="69"/>
    </row>
    <row r="117" spans="7:7" ht="15.75" customHeight="1">
      <c r="G117" s="69"/>
    </row>
    <row r="118" spans="7:7" ht="15.75" customHeight="1">
      <c r="G118" s="69"/>
    </row>
    <row r="119" spans="7:7" ht="15.75" customHeight="1">
      <c r="G119" s="69"/>
    </row>
    <row r="120" spans="7:7" ht="15.75" customHeight="1">
      <c r="G120" s="69"/>
    </row>
    <row r="121" spans="7:7" ht="15.75" customHeight="1">
      <c r="G121" s="69"/>
    </row>
    <row r="122" spans="7:7" ht="15.75" customHeight="1">
      <c r="G122" s="69"/>
    </row>
    <row r="123" spans="7:7" ht="15.75" customHeight="1">
      <c r="G123" s="69"/>
    </row>
    <row r="124" spans="7:7" ht="15.75" customHeight="1">
      <c r="G124" s="69"/>
    </row>
    <row r="125" spans="7:7" ht="15.75" customHeight="1">
      <c r="G125" s="69"/>
    </row>
    <row r="126" spans="7:7" ht="15.75" customHeight="1">
      <c r="G126" s="69"/>
    </row>
    <row r="127" spans="7:7" ht="15.75" customHeight="1">
      <c r="G127" s="69"/>
    </row>
    <row r="128" spans="7:7" ht="15.75" customHeight="1">
      <c r="G128" s="69"/>
    </row>
    <row r="129" spans="7:7" ht="15.75" customHeight="1">
      <c r="G129" s="69"/>
    </row>
    <row r="130" spans="7:7" ht="15.75" customHeight="1">
      <c r="G130" s="69"/>
    </row>
    <row r="131" spans="7:7" ht="15.75" customHeight="1">
      <c r="G131" s="69"/>
    </row>
    <row r="132" spans="7:7" ht="15.75" customHeight="1">
      <c r="G132" s="69"/>
    </row>
    <row r="133" spans="7:7" ht="15.75" customHeight="1">
      <c r="G133" s="69"/>
    </row>
    <row r="134" spans="7:7" ht="15.75" customHeight="1">
      <c r="G134" s="69"/>
    </row>
    <row r="135" spans="7:7" ht="15.75" customHeight="1">
      <c r="G135" s="69"/>
    </row>
    <row r="136" spans="7:7" ht="15.75" customHeight="1">
      <c r="G136" s="69"/>
    </row>
    <row r="137" spans="7:7" ht="15.75" customHeight="1">
      <c r="G137" s="69"/>
    </row>
    <row r="138" spans="7:7" ht="15.75" customHeight="1">
      <c r="G138" s="69"/>
    </row>
    <row r="139" spans="7:7" ht="15.75" customHeight="1">
      <c r="G139" s="69"/>
    </row>
    <row r="140" spans="7:7" ht="15.75" customHeight="1">
      <c r="G140" s="69"/>
    </row>
    <row r="141" spans="7:7" ht="15.75" customHeight="1">
      <c r="G141" s="69"/>
    </row>
    <row r="142" spans="7:7" ht="15.75" customHeight="1">
      <c r="G142" s="69"/>
    </row>
    <row r="143" spans="7:7" ht="15.75" customHeight="1">
      <c r="G143" s="69"/>
    </row>
    <row r="144" spans="7:7" ht="15.75" customHeight="1">
      <c r="G144" s="69"/>
    </row>
    <row r="145" spans="7:7" ht="15.75" customHeight="1">
      <c r="G145" s="69"/>
    </row>
    <row r="146" spans="7:7" ht="15.75" customHeight="1">
      <c r="G146" s="69"/>
    </row>
    <row r="147" spans="7:7" ht="15.75" customHeight="1">
      <c r="G147" s="69"/>
    </row>
    <row r="148" spans="7:7" ht="15.75" customHeight="1">
      <c r="G148" s="69"/>
    </row>
    <row r="149" spans="7:7" ht="15.75" customHeight="1">
      <c r="G149" s="69"/>
    </row>
    <row r="150" spans="7:7" ht="15.75" customHeight="1">
      <c r="G150" s="69"/>
    </row>
    <row r="151" spans="7:7" ht="15.75" customHeight="1">
      <c r="G151" s="69"/>
    </row>
    <row r="152" spans="7:7" ht="15.75" customHeight="1">
      <c r="G152" s="69"/>
    </row>
    <row r="153" spans="7:7" ht="15.75" customHeight="1">
      <c r="G153" s="69"/>
    </row>
    <row r="154" spans="7:7" ht="15.75" customHeight="1">
      <c r="G154" s="69"/>
    </row>
    <row r="155" spans="7:7" ht="15.75" customHeight="1">
      <c r="G155" s="69"/>
    </row>
    <row r="156" spans="7:7" ht="15.75" customHeight="1">
      <c r="G156" s="69"/>
    </row>
    <row r="157" spans="7:7" ht="15.75" customHeight="1">
      <c r="G157" s="69"/>
    </row>
    <row r="158" spans="7:7" ht="15.75" customHeight="1">
      <c r="G158" s="69"/>
    </row>
    <row r="159" spans="7:7" ht="15.75" customHeight="1">
      <c r="G159" s="69"/>
    </row>
    <row r="160" spans="7:7" ht="15.75" customHeight="1">
      <c r="G160" s="69"/>
    </row>
    <row r="161" spans="7:7" ht="15.75" customHeight="1">
      <c r="G161" s="69"/>
    </row>
    <row r="162" spans="7:7" ht="15.75" customHeight="1">
      <c r="G162" s="69"/>
    </row>
    <row r="163" spans="7:7" ht="15.75" customHeight="1">
      <c r="G163" s="69"/>
    </row>
    <row r="164" spans="7:7" ht="15.75" customHeight="1">
      <c r="G164" s="69"/>
    </row>
    <row r="165" spans="7:7" ht="15.75" customHeight="1">
      <c r="G165" s="69"/>
    </row>
    <row r="166" spans="7:7" ht="15.75" customHeight="1">
      <c r="G166" s="69"/>
    </row>
    <row r="167" spans="7:7" ht="15.75" customHeight="1">
      <c r="G167" s="69"/>
    </row>
    <row r="168" spans="7:7" ht="15.75" customHeight="1">
      <c r="G168" s="69"/>
    </row>
    <row r="169" spans="7:7" ht="15.75" customHeight="1">
      <c r="G169" s="69"/>
    </row>
    <row r="170" spans="7:7" ht="15.75" customHeight="1">
      <c r="G170" s="69"/>
    </row>
    <row r="171" spans="7:7" ht="15.75" customHeight="1">
      <c r="G171" s="69"/>
    </row>
    <row r="172" spans="7:7" ht="15.75" customHeight="1">
      <c r="G172" s="69"/>
    </row>
    <row r="173" spans="7:7" ht="15.75" customHeight="1">
      <c r="G173" s="69"/>
    </row>
    <row r="174" spans="7:7" ht="15.75" customHeight="1">
      <c r="G174" s="69"/>
    </row>
    <row r="175" spans="7:7" ht="15.75" customHeight="1">
      <c r="G175" s="69"/>
    </row>
    <row r="176" spans="7:7" ht="15.75" customHeight="1">
      <c r="G176" s="69"/>
    </row>
    <row r="177" spans="7:7" ht="15.75" customHeight="1">
      <c r="G177" s="69"/>
    </row>
    <row r="178" spans="7:7" ht="15.75" customHeight="1">
      <c r="G178" s="69"/>
    </row>
    <row r="179" spans="7:7" ht="15.75" customHeight="1">
      <c r="G179" s="69"/>
    </row>
    <row r="180" spans="7:7" ht="15.75" customHeight="1">
      <c r="G180" s="69"/>
    </row>
    <row r="181" spans="7:7" ht="15.75" customHeight="1">
      <c r="G181" s="69"/>
    </row>
    <row r="182" spans="7:7" ht="15.75" customHeight="1">
      <c r="G182" s="69"/>
    </row>
    <row r="183" spans="7:7" ht="15.75" customHeight="1">
      <c r="G183" s="69"/>
    </row>
    <row r="184" spans="7:7" ht="15.75" customHeight="1">
      <c r="G184" s="69"/>
    </row>
    <row r="185" spans="7:7" ht="15.75" customHeight="1">
      <c r="G185" s="69"/>
    </row>
    <row r="186" spans="7:7" ht="15.75" customHeight="1">
      <c r="G186" s="69"/>
    </row>
    <row r="187" spans="7:7" ht="15.75" customHeight="1">
      <c r="G187" s="69"/>
    </row>
    <row r="188" spans="7:7" ht="15.75" customHeight="1">
      <c r="G188" s="69"/>
    </row>
    <row r="189" spans="7:7" ht="15.75" customHeight="1">
      <c r="G189" s="69"/>
    </row>
    <row r="190" spans="7:7" ht="15.75" customHeight="1">
      <c r="G190" s="69"/>
    </row>
    <row r="191" spans="7:7" ht="15.75" customHeight="1">
      <c r="G191" s="69"/>
    </row>
    <row r="192" spans="7:7" ht="15.75" customHeight="1">
      <c r="G192" s="69"/>
    </row>
    <row r="193" spans="7:7" ht="15.75" customHeight="1">
      <c r="G193" s="69"/>
    </row>
    <row r="194" spans="7:7" ht="15.75" customHeight="1">
      <c r="G194" s="69"/>
    </row>
    <row r="195" spans="7:7" ht="15.75" customHeight="1">
      <c r="G195" s="69"/>
    </row>
    <row r="196" spans="7:7" ht="15.75" customHeight="1">
      <c r="G196" s="69"/>
    </row>
    <row r="197" spans="7:7" ht="15.75" customHeight="1">
      <c r="G197" s="69"/>
    </row>
    <row r="198" spans="7:7" ht="15.75" customHeight="1">
      <c r="G198" s="69"/>
    </row>
    <row r="199" spans="7:7" ht="15.75" customHeight="1">
      <c r="G199" s="69"/>
    </row>
    <row r="200" spans="7:7" ht="15.75" customHeight="1">
      <c r="G200" s="69"/>
    </row>
    <row r="201" spans="7:7" ht="15.75" customHeight="1">
      <c r="G201" s="69"/>
    </row>
    <row r="202" spans="7:7" ht="15.75" customHeight="1">
      <c r="G202" s="69"/>
    </row>
    <row r="203" spans="7:7" ht="15.75" customHeight="1">
      <c r="G203" s="69"/>
    </row>
    <row r="204" spans="7:7" ht="15.75" customHeight="1">
      <c r="G204" s="69"/>
    </row>
    <row r="205" spans="7:7" ht="15.75" customHeight="1">
      <c r="G205" s="69"/>
    </row>
    <row r="206" spans="7:7" ht="15.75" customHeight="1">
      <c r="G206" s="69"/>
    </row>
    <row r="207" spans="7:7" ht="15.75" customHeight="1">
      <c r="G207" s="69"/>
    </row>
    <row r="208" spans="7:7" ht="15.75" customHeight="1">
      <c r="G208" s="69"/>
    </row>
    <row r="209" spans="7:7" ht="15.75" customHeight="1">
      <c r="G209" s="69"/>
    </row>
    <row r="210" spans="7:7" ht="15.75" customHeight="1">
      <c r="G210" s="69"/>
    </row>
    <row r="211" spans="7:7" ht="15.75" customHeight="1">
      <c r="G211" s="69"/>
    </row>
    <row r="212" spans="7:7" ht="15.75" customHeight="1">
      <c r="G212" s="69"/>
    </row>
    <row r="213" spans="7:7" ht="15.75" customHeight="1">
      <c r="G213" s="69"/>
    </row>
    <row r="214" spans="7:7" ht="15.75" customHeight="1">
      <c r="G214" s="69"/>
    </row>
    <row r="215" spans="7:7" ht="15.75" customHeight="1">
      <c r="G215" s="69"/>
    </row>
    <row r="216" spans="7:7" ht="15.75" customHeight="1">
      <c r="G216" s="69"/>
    </row>
    <row r="217" spans="7:7" ht="15.75" customHeight="1">
      <c r="G217" s="69"/>
    </row>
    <row r="218" spans="7:7" ht="15.75" customHeight="1">
      <c r="G218" s="69"/>
    </row>
    <row r="219" spans="7:7" ht="15.75" customHeight="1">
      <c r="G219" s="69"/>
    </row>
    <row r="220" spans="7:7" ht="15.75" customHeight="1">
      <c r="G220" s="69"/>
    </row>
    <row r="221" spans="7:7" ht="15.75" customHeight="1"/>
    <row r="222" spans="7:7" ht="15.75" customHeight="1"/>
    <row r="223" spans="7:7" ht="15.75" customHeight="1"/>
    <row r="224" spans="7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B3E5A1"/>
  </sheetPr>
  <dimension ref="A2:M1000"/>
  <sheetViews>
    <sheetView workbookViewId="0">
      <selection activeCell="A2" sqref="A2"/>
    </sheetView>
  </sheetViews>
  <sheetFormatPr baseColWidth="10" defaultColWidth="12.5" defaultRowHeight="15" customHeight="1"/>
  <cols>
    <col min="1" max="2" width="21.125" customWidth="1"/>
    <col min="3" max="3" width="13" customWidth="1"/>
    <col min="4" max="5" width="14" customWidth="1"/>
    <col min="6" max="7" width="13" customWidth="1"/>
  </cols>
  <sheetData>
    <row r="2" spans="1:7" ht="42.75">
      <c r="A2" s="306" t="s">
        <v>963</v>
      </c>
      <c r="B2" s="305" t="s">
        <v>1041</v>
      </c>
      <c r="C2" s="307" t="s">
        <v>1042</v>
      </c>
      <c r="D2" s="306" t="s">
        <v>130</v>
      </c>
    </row>
    <row r="3" spans="1:7" ht="14.25">
      <c r="A3" s="67" t="s">
        <v>964</v>
      </c>
      <c r="B3" s="68">
        <v>10950000</v>
      </c>
      <c r="C3" s="68">
        <f t="shared" ref="C3:C4" si="0">B3*2</f>
        <v>21900000</v>
      </c>
      <c r="D3" s="68">
        <f t="shared" ref="D3:D4" si="1">C3*3</f>
        <v>65700000</v>
      </c>
    </row>
    <row r="4" spans="1:7" ht="28.5">
      <c r="A4" s="67" t="s">
        <v>965</v>
      </c>
      <c r="B4" s="68">
        <v>10700000</v>
      </c>
      <c r="C4" s="68">
        <f t="shared" si="0"/>
        <v>21400000</v>
      </c>
      <c r="D4" s="68">
        <f t="shared" si="1"/>
        <v>64200000</v>
      </c>
      <c r="G4" s="69"/>
    </row>
    <row r="5" spans="1:7" ht="14.25">
      <c r="B5" s="69"/>
    </row>
    <row r="7" spans="1:7" ht="42.75">
      <c r="B7" s="206" t="s">
        <v>966</v>
      </c>
      <c r="C7" s="234" t="s">
        <v>1043</v>
      </c>
    </row>
    <row r="8" spans="1:7" ht="14.25">
      <c r="B8" s="211">
        <f>(D3+D4)/2</f>
        <v>64950000</v>
      </c>
      <c r="C8" s="210">
        <f>B8/2</f>
        <v>32475000</v>
      </c>
    </row>
    <row r="10" spans="1:7">
      <c r="A10" s="79"/>
    </row>
    <row r="11" spans="1:7" ht="14.25">
      <c r="A11" s="44"/>
      <c r="B11" s="46"/>
      <c r="C11" s="46"/>
      <c r="D11" s="46"/>
    </row>
    <row r="12" spans="1:7" ht="14.25">
      <c r="A12" s="47"/>
      <c r="B12" s="48"/>
      <c r="C12" s="48"/>
      <c r="D12" s="48"/>
    </row>
    <row r="13" spans="1:7" ht="14.25">
      <c r="A13" s="44"/>
      <c r="B13" s="5"/>
      <c r="C13" s="5"/>
      <c r="D13" s="5"/>
    </row>
    <row r="14" spans="1:7" ht="14.25">
      <c r="A14" s="44"/>
      <c r="B14" s="48"/>
      <c r="C14" s="48"/>
      <c r="D14" s="48"/>
    </row>
    <row r="15" spans="1:7" ht="14.25">
      <c r="A15" s="47"/>
      <c r="F15" s="69"/>
    </row>
    <row r="17" spans="1:13" ht="14.25">
      <c r="A17" s="258"/>
      <c r="B17" s="129"/>
      <c r="M17" s="291"/>
    </row>
    <row r="21" spans="1:13" ht="15.75" customHeight="1"/>
    <row r="22" spans="1:13" ht="15.75" customHeight="1"/>
    <row r="23" spans="1:13" ht="15.75" customHeight="1"/>
    <row r="24" spans="1:13" ht="15.75" customHeight="1"/>
    <row r="25" spans="1:13" ht="15.75" customHeight="1"/>
    <row r="26" spans="1:13" ht="15.75" customHeight="1"/>
    <row r="27" spans="1:13" ht="15.75" customHeight="1"/>
    <row r="28" spans="1:13" ht="15.75" customHeight="1"/>
    <row r="29" spans="1:13" ht="15.75" customHeight="1"/>
    <row r="30" spans="1:13" ht="15.75" customHeight="1"/>
    <row r="31" spans="1:13" ht="15.75" customHeight="1"/>
    <row r="32" spans="1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B3E5A1"/>
  </sheetPr>
  <dimension ref="A2:H1000"/>
  <sheetViews>
    <sheetView workbookViewId="0">
      <selection activeCell="C17" sqref="C17"/>
    </sheetView>
  </sheetViews>
  <sheetFormatPr baseColWidth="10" defaultColWidth="12.5" defaultRowHeight="15" customHeight="1"/>
  <cols>
    <col min="1" max="1" width="7.5" customWidth="1"/>
    <col min="2" max="2" width="26.75" customWidth="1"/>
    <col min="3" max="3" width="17.5" customWidth="1"/>
    <col min="4" max="5" width="11.5" customWidth="1"/>
    <col min="6" max="6" width="14" customWidth="1"/>
    <col min="7" max="7" width="13.5" customWidth="1"/>
  </cols>
  <sheetData>
    <row r="2" spans="1:8" ht="28.5">
      <c r="A2" s="80" t="s">
        <v>95</v>
      </c>
      <c r="B2" s="80" t="s">
        <v>737</v>
      </c>
      <c r="C2" s="80" t="s">
        <v>938</v>
      </c>
      <c r="D2" s="80" t="s">
        <v>723</v>
      </c>
      <c r="E2" s="80" t="s">
        <v>939</v>
      </c>
      <c r="F2" s="80" t="s">
        <v>940</v>
      </c>
      <c r="G2" s="242" t="s">
        <v>941</v>
      </c>
      <c r="H2" s="243" t="s">
        <v>1054</v>
      </c>
    </row>
    <row r="3" spans="1:8" ht="14.25">
      <c r="A3" s="67">
        <v>1</v>
      </c>
      <c r="B3" s="67" t="s">
        <v>942</v>
      </c>
      <c r="C3" s="67" t="s">
        <v>943</v>
      </c>
      <c r="D3" s="67">
        <v>1</v>
      </c>
      <c r="E3" s="78">
        <v>139440</v>
      </c>
      <c r="F3" s="78">
        <v>179529</v>
      </c>
      <c r="G3" s="244">
        <v>174300</v>
      </c>
      <c r="H3" s="245">
        <f>AVERAGE(E3:G3)</f>
        <v>164423</v>
      </c>
    </row>
    <row r="4" spans="1:8" ht="14.25">
      <c r="A4" s="67">
        <v>2</v>
      </c>
      <c r="B4" s="67" t="s">
        <v>944</v>
      </c>
      <c r="C4" s="67" t="s">
        <v>945</v>
      </c>
      <c r="D4" s="67">
        <v>1</v>
      </c>
      <c r="E4" s="78">
        <v>72647</v>
      </c>
      <c r="F4" s="78">
        <v>93533</v>
      </c>
      <c r="G4" s="244">
        <v>90809</v>
      </c>
      <c r="H4" s="245">
        <f t="shared" ref="H4:H14" si="0">AVERAGE(E4:G4)</f>
        <v>85663</v>
      </c>
    </row>
    <row r="5" spans="1:8" ht="14.25">
      <c r="A5" s="67">
        <v>3</v>
      </c>
      <c r="B5" s="67" t="s">
        <v>946</v>
      </c>
      <c r="C5" s="67" t="s">
        <v>947</v>
      </c>
      <c r="D5" s="67">
        <v>1</v>
      </c>
      <c r="E5" s="78">
        <v>85781</v>
      </c>
      <c r="F5" s="78">
        <v>110443</v>
      </c>
      <c r="G5" s="244">
        <v>107226</v>
      </c>
      <c r="H5" s="245">
        <f t="shared" si="0"/>
        <v>101150</v>
      </c>
    </row>
    <row r="6" spans="1:8" ht="14.25">
      <c r="A6" s="67">
        <v>4</v>
      </c>
      <c r="B6" s="67" t="s">
        <v>948</v>
      </c>
      <c r="C6" s="67" t="s">
        <v>949</v>
      </c>
      <c r="D6" s="67">
        <v>1</v>
      </c>
      <c r="E6" s="78">
        <v>215880</v>
      </c>
      <c r="F6" s="78">
        <v>277946</v>
      </c>
      <c r="G6" s="244">
        <v>269850</v>
      </c>
      <c r="H6" s="245">
        <f t="shared" si="0"/>
        <v>254558.66666666666</v>
      </c>
    </row>
    <row r="7" spans="1:8" ht="14.25">
      <c r="A7" s="67">
        <v>5</v>
      </c>
      <c r="B7" s="67" t="s">
        <v>950</v>
      </c>
      <c r="C7" s="67" t="s">
        <v>951</v>
      </c>
      <c r="D7" s="67">
        <v>1</v>
      </c>
      <c r="E7" s="78">
        <v>222840</v>
      </c>
      <c r="F7" s="78">
        <v>286907</v>
      </c>
      <c r="G7" s="244">
        <v>278550</v>
      </c>
      <c r="H7" s="245">
        <f t="shared" si="0"/>
        <v>262765.66666666669</v>
      </c>
    </row>
    <row r="8" spans="1:8" ht="28.5">
      <c r="A8" s="67">
        <v>6</v>
      </c>
      <c r="B8" s="67" t="s">
        <v>952</v>
      </c>
      <c r="C8" s="67" t="s">
        <v>953</v>
      </c>
      <c r="D8" s="67">
        <v>1</v>
      </c>
      <c r="E8" s="78">
        <v>149880</v>
      </c>
      <c r="F8" s="78">
        <v>192971</v>
      </c>
      <c r="G8" s="244">
        <v>187350</v>
      </c>
      <c r="H8" s="245">
        <f t="shared" si="0"/>
        <v>176733.66666666666</v>
      </c>
    </row>
    <row r="9" spans="1:8" ht="28.5">
      <c r="A9" s="67"/>
      <c r="B9" s="67" t="s">
        <v>954</v>
      </c>
      <c r="C9" s="67"/>
      <c r="D9" s="67"/>
      <c r="E9" s="78">
        <v>179880</v>
      </c>
      <c r="F9" s="78">
        <v>231596</v>
      </c>
      <c r="G9" s="244">
        <v>224850</v>
      </c>
      <c r="H9" s="245">
        <f t="shared" si="0"/>
        <v>212108.66666666666</v>
      </c>
    </row>
    <row r="10" spans="1:8" ht="14.25">
      <c r="A10" s="67">
        <v>8</v>
      </c>
      <c r="B10" s="67" t="s">
        <v>955</v>
      </c>
      <c r="C10" s="67" t="s">
        <v>848</v>
      </c>
      <c r="D10" s="67">
        <v>1</v>
      </c>
      <c r="E10" s="78">
        <v>26400</v>
      </c>
      <c r="F10" s="78">
        <v>33990</v>
      </c>
      <c r="G10" s="244">
        <v>33000</v>
      </c>
      <c r="H10" s="245">
        <f t="shared" si="0"/>
        <v>31130</v>
      </c>
    </row>
    <row r="11" spans="1:8" ht="14.25">
      <c r="A11" s="67">
        <v>9</v>
      </c>
      <c r="B11" s="67" t="s">
        <v>956</v>
      </c>
      <c r="C11" s="67" t="s">
        <v>957</v>
      </c>
      <c r="D11" s="67">
        <v>1</v>
      </c>
      <c r="E11" s="78">
        <v>37625</v>
      </c>
      <c r="F11" s="78">
        <v>37900</v>
      </c>
      <c r="G11" s="244">
        <v>37950</v>
      </c>
      <c r="H11" s="245">
        <f t="shared" si="0"/>
        <v>37825</v>
      </c>
    </row>
    <row r="12" spans="1:8" ht="14.25">
      <c r="A12" s="67">
        <v>10</v>
      </c>
      <c r="B12" s="67" t="s">
        <v>958</v>
      </c>
      <c r="C12" s="67" t="s">
        <v>762</v>
      </c>
      <c r="D12" s="67">
        <v>1</v>
      </c>
      <c r="E12" s="78">
        <v>602</v>
      </c>
      <c r="F12" s="78">
        <v>650</v>
      </c>
      <c r="G12" s="244">
        <v>700</v>
      </c>
      <c r="H12" s="245">
        <f t="shared" si="0"/>
        <v>650.66666666666663</v>
      </c>
    </row>
    <row r="13" spans="1:8" ht="14.25">
      <c r="A13" s="67">
        <v>11</v>
      </c>
      <c r="B13" s="67" t="s">
        <v>959</v>
      </c>
      <c r="C13" s="67" t="s">
        <v>848</v>
      </c>
      <c r="D13" s="67">
        <v>1</v>
      </c>
      <c r="E13" s="78">
        <v>19000</v>
      </c>
      <c r="F13" s="78">
        <v>19500</v>
      </c>
      <c r="G13" s="244">
        <v>19800</v>
      </c>
      <c r="H13" s="245">
        <f t="shared" si="0"/>
        <v>19433.333333333332</v>
      </c>
    </row>
    <row r="14" spans="1:8" ht="14.25">
      <c r="A14" s="67">
        <v>12</v>
      </c>
      <c r="B14" s="67" t="s">
        <v>960</v>
      </c>
      <c r="C14" s="67" t="s">
        <v>961</v>
      </c>
      <c r="D14" s="67">
        <v>1</v>
      </c>
      <c r="E14" s="78">
        <v>16500</v>
      </c>
      <c r="F14" s="78">
        <v>17100</v>
      </c>
      <c r="G14" s="244">
        <v>17500</v>
      </c>
      <c r="H14" s="245">
        <f t="shared" si="0"/>
        <v>17033.333333333332</v>
      </c>
    </row>
    <row r="16" spans="1:8" ht="14.25">
      <c r="F16" s="206" t="s">
        <v>112</v>
      </c>
      <c r="G16" s="212" t="s">
        <v>202</v>
      </c>
    </row>
    <row r="17" spans="2:7" ht="14.25">
      <c r="F17" s="173" t="s">
        <v>721</v>
      </c>
      <c r="G17" s="111">
        <f>G18*3</f>
        <v>45000000</v>
      </c>
    </row>
    <row r="18" spans="2:7" ht="14.25">
      <c r="F18" s="209" t="s">
        <v>117</v>
      </c>
      <c r="G18" s="210">
        <v>15000000</v>
      </c>
    </row>
    <row r="21" spans="2:7" ht="15.75" customHeight="1">
      <c r="B21" s="79"/>
    </row>
    <row r="22" spans="2:7" ht="15.75" customHeight="1">
      <c r="B22" s="129"/>
    </row>
    <row r="23" spans="2:7" ht="15.75" customHeight="1"/>
    <row r="24" spans="2:7" ht="15.75" customHeight="1">
      <c r="B24" s="229" t="s">
        <v>969</v>
      </c>
    </row>
    <row r="25" spans="2:7" ht="15.75" customHeight="1">
      <c r="B25" s="240" t="s">
        <v>1044</v>
      </c>
    </row>
    <row r="26" spans="2:7" ht="15.75" customHeight="1"/>
    <row r="27" spans="2:7" ht="15.75" customHeight="1"/>
    <row r="28" spans="2:7" ht="15.75" customHeight="1"/>
    <row r="29" spans="2:7" ht="15.75" customHeight="1"/>
    <row r="30" spans="2:7" ht="15.75" customHeight="1"/>
    <row r="31" spans="2:7" ht="15.75" customHeight="1"/>
    <row r="32" spans="2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Cronograma</vt:lpstr>
      <vt:lpstr>Cuadro Resumen</vt:lpstr>
      <vt:lpstr>2.1 Mobiliario de Servicios</vt:lpstr>
      <vt:lpstr>3.1 Arrendamientos</vt:lpstr>
      <vt:lpstr>3.2 Servicios Públicos </vt:lpstr>
      <vt:lpstr>3.3 Internet</vt:lpstr>
      <vt:lpstr>3.4 Control de Plagas</vt:lpstr>
      <vt:lpstr>3.5, 3.6 Personal</vt:lpstr>
      <vt:lpstr>3.7 Unidad Movil Veterinaria</vt:lpstr>
      <vt:lpstr>4.4 Insumos de Laboratorio</vt:lpstr>
      <vt:lpstr>4.1 4.2 INSUMOS - Medicamentos</vt:lpstr>
      <vt:lpstr>4.3 Instrumental</vt:lpstr>
      <vt:lpstr>4.5 Equipos Biomedicos </vt:lpstr>
      <vt:lpstr>4.6 Tercer Nivel</vt:lpstr>
      <vt:lpstr>5.6 Aseo y Cafeteria</vt:lpstr>
      <vt:lpstr>5.7 Papeleria</vt:lpstr>
      <vt:lpstr>5.1 Operacion y Mantenimi CBA</vt:lpstr>
      <vt:lpstr>5.2 Alimentacion </vt:lpstr>
      <vt:lpstr>6.1 - 7.1 Vehiculos </vt:lpstr>
      <vt:lpstr>8.1 Alimento Fundaciones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r</dc:creator>
  <cp:lastModifiedBy>Ana Maria Alonso</cp:lastModifiedBy>
  <dcterms:created xsi:type="dcterms:W3CDTF">2025-04-04T18:44:00Z</dcterms:created>
  <dcterms:modified xsi:type="dcterms:W3CDTF">2025-07-15T02:28:28Z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1FAF3B2AAB6E482383C659CF2E7009C5_13</vt:lpwstr>
  </property>
  <property fmtid="{D5CDD505-2E9C-101B-9397-08002B2CF9AE}" pid="3" name="KSOProductBuildVer">
    <vt:lpwstr>2058-12.2.0.21931</vt:lpwstr>
  </property>
</Properties>
</file>