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4"/>
  <workbookPr/>
  <mc:AlternateContent xmlns:mc="http://schemas.openxmlformats.org/markup-compatibility/2006">
    <mc:Choice Requires="x15">
      <x15ac:absPath xmlns:x15ac="http://schemas.microsoft.com/office/spreadsheetml/2010/11/ac" url="/Users/ljohnson/Desktop/RISARALDA CALDAS/VIGENCIA 2025/Seleccion abreviada Menor Cuantia Nro 009 placas huellas conv comite de cafeteros/"/>
    </mc:Choice>
  </mc:AlternateContent>
  <xr:revisionPtr revIDLastSave="0" documentId="13_ncr:1_{8E0BD214-808C-9847-AF39-6C9D7EE0F296}" xr6:coauthVersionLast="47" xr6:coauthVersionMax="47" xr10:uidLastSave="{00000000-0000-0000-0000-000000000000}"/>
  <bookViews>
    <workbookView xWindow="0" yWindow="500" windowWidth="28800" windowHeight="16300" tabRatio="928" activeTab="5" xr2:uid="{00000000-000D-0000-FFFF-FFFF00000000}"/>
  </bookViews>
  <sheets>
    <sheet name="DATOS" sheetId="1" r:id="rId1"/>
    <sheet name="A.I.U." sheetId="13" r:id="rId2"/>
    <sheet name="PROGRAMACION" sheetId="14" r:id="rId3"/>
    <sheet name="PRESUPUESTO" sheetId="12" r:id="rId4"/>
    <sheet name="PRESUPUESTO OFICIAL (Entidad)" sheetId="15" r:id="rId5"/>
    <sheet name="PROPUESTA ECONOMICA(Proponente)" sheetId="16" r:id="rId6"/>
    <sheet name="INDICAR CÓDIGO DEL ITEM DE PAGO" sheetId="17" r:id="rId7"/>
    <sheet name="MATERIALES" sheetId="2" r:id="rId8"/>
    <sheet name="EQUIPO" sheetId="3" r:id="rId9"/>
    <sheet name="ANALISIS FACTOR PRESTACIONAL" sheetId="37" r:id="rId10"/>
    <sheet name="APU 1" sheetId="4" r:id="rId11"/>
    <sheet name="APU 2" sheetId="5" r:id="rId12"/>
    <sheet name="APU 3" sheetId="6" r:id="rId13"/>
    <sheet name="APU 4" sheetId="7" r:id="rId14"/>
    <sheet name="APU 5" sheetId="8" r:id="rId15"/>
    <sheet name="APU 6" sheetId="10" r:id="rId16"/>
    <sheet name="APU 7" sheetId="9" r:id="rId17"/>
    <sheet name="APU 8" sheetId="11" r:id="rId18"/>
    <sheet name="APU 9" sheetId="38" r:id="rId19"/>
    <sheet name="APU 10" sheetId="36" r:id="rId20"/>
    <sheet name="1 CANT MC-AM 01" sheetId="18" r:id="rId21"/>
    <sheet name="2 CANT MC-AM 01" sheetId="19" r:id="rId22"/>
    <sheet name="3 CANT MC-AM 01" sheetId="20" r:id="rId23"/>
    <sheet name="4 CANT MC-AM 01" sheetId="21" r:id="rId24"/>
    <sheet name="5 CANT MC-AM 01" sheetId="22" r:id="rId25"/>
    <sheet name="6 CANT MC-AM 01" sheetId="23" r:id="rId26"/>
    <sheet name="7 CANT MC-AM 01" sheetId="24" r:id="rId27"/>
    <sheet name="8 CANT MC-AM 01" sheetId="25" r:id="rId28"/>
    <sheet name="9 CANT MC-AM 01" sheetId="39" r:id="rId29"/>
    <sheet name="10 CANT MC-AM 01" sheetId="35" r:id="rId30"/>
  </sheets>
  <definedNames>
    <definedName name="_xlnm.Print_Area" localSheetId="20">'1 CANT MC-AM 01'!$A$1:$M$36</definedName>
    <definedName name="_xlnm.Print_Area" localSheetId="29">'10 CANT MC-AM 01'!$B$1:$N$25</definedName>
    <definedName name="_xlnm.Print_Area" localSheetId="21">'2 CANT MC-AM 01'!$B$1:$M$22</definedName>
    <definedName name="_xlnm.Print_Area" localSheetId="22">'3 CANT MC-AM 01'!$B$2:$M$37</definedName>
    <definedName name="_xlnm.Print_Area" localSheetId="23">'4 CANT MC-AM 01'!$B$2:$M$25</definedName>
    <definedName name="_xlnm.Print_Area" localSheetId="24">'5 CANT MC-AM 01'!$B$2:$M$23</definedName>
    <definedName name="_xlnm.Print_Area" localSheetId="25">'6 CANT MC-AM 01'!$B$2:$M$30</definedName>
    <definedName name="_xlnm.Print_Area" localSheetId="26">'7 CANT MC-AM 01'!$A$1:$M$36</definedName>
    <definedName name="_xlnm.Print_Area" localSheetId="27">'8 CANT MC-AM 01'!$B$2:$N$27</definedName>
    <definedName name="_xlnm.Print_Area" localSheetId="28">'9 CANT MC-AM 01'!$B$1:$M$22</definedName>
    <definedName name="_xlnm.Print_Area" localSheetId="1">'A.I.U.'!$A$1:$J$29</definedName>
    <definedName name="_xlnm.Print_Area" localSheetId="9">'ANALISIS FACTOR PRESTACIONAL'!$A$1:$E$32</definedName>
    <definedName name="_xlnm.Print_Area" localSheetId="10">'APU 1'!$A$1:$H$37</definedName>
    <definedName name="_xlnm.Print_Area" localSheetId="19">'APU 10'!$A$1:$H$36</definedName>
    <definedName name="_xlnm.Print_Area" localSheetId="11">'APU 2'!$A$1:$H$40</definedName>
    <definedName name="_xlnm.Print_Area" localSheetId="12">'APU 3'!$A$1:$H$42</definedName>
    <definedName name="_xlnm.Print_Area" localSheetId="13">'APU 4'!$A$1:$H$41</definedName>
    <definedName name="_xlnm.Print_Area" localSheetId="14">'APU 5'!$A$1:$H$39</definedName>
    <definedName name="_xlnm.Print_Area" localSheetId="15">'APU 6'!$A$1:$H$37</definedName>
    <definedName name="_xlnm.Print_Area" localSheetId="16">'APU 7'!$A$1:$H$37</definedName>
    <definedName name="_xlnm.Print_Area" localSheetId="17">'APU 8'!$A$1:$H$40</definedName>
    <definedName name="_xlnm.Print_Area" localSheetId="18">'APU 9'!$A$1:$H$37</definedName>
    <definedName name="_xlnm.Print_Area" localSheetId="6">'INDICAR CÓDIGO DEL ITEM DE PAGO'!$A$1:$Q$92</definedName>
    <definedName name="_xlnm.Print_Area" localSheetId="3">PRESUPUESTO!$A$1:$H$17</definedName>
    <definedName name="_xlnm.Print_Area" localSheetId="4">'PRESUPUESTO OFICIAL (Entidad)'!$A$1:$M$41</definedName>
    <definedName name="_xlnm.Print_Area" localSheetId="5">'PROPUESTA ECONOMICA(Proponente)'!$A$1:$M$45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38" roundtripDataChecksum="mQ4w8+JltUmaS9t+mXll8D5CBRoeX5u6zXCWsLip2yo="/>
    </ext>
  </extLst>
</workbook>
</file>

<file path=xl/calcChain.xml><?xml version="1.0" encoding="utf-8"?>
<calcChain xmlns="http://schemas.openxmlformats.org/spreadsheetml/2006/main">
  <c r="H21" i="13" l="1"/>
  <c r="J21" i="13" s="1"/>
  <c r="F21" i="13"/>
  <c r="K23" i="13"/>
  <c r="K24" i="13" s="1"/>
  <c r="O25" i="14"/>
  <c r="C2" i="3"/>
  <c r="G36" i="38"/>
  <c r="G40" i="11"/>
  <c r="G37" i="9"/>
  <c r="G37" i="10"/>
  <c r="G39" i="8"/>
  <c r="G41" i="7"/>
  <c r="G42" i="6"/>
  <c r="G40" i="5"/>
  <c r="C23" i="14"/>
  <c r="B23" i="14"/>
  <c r="N12" i="35"/>
  <c r="N13" i="35"/>
  <c r="N11" i="35"/>
  <c r="F14" i="12"/>
  <c r="H35" i="36"/>
  <c r="L12" i="35"/>
  <c r="L13" i="35"/>
  <c r="L11" i="35"/>
  <c r="M32" i="18"/>
  <c r="J14" i="18"/>
  <c r="C29" i="38"/>
  <c r="C30" i="5"/>
  <c r="C29" i="4"/>
  <c r="F23" i="38"/>
  <c r="C7" i="3"/>
  <c r="C6" i="3"/>
  <c r="E11" i="38" s="1"/>
  <c r="G11" i="38" s="1"/>
  <c r="K20" i="16"/>
  <c r="K21" i="16"/>
  <c r="G20" i="16"/>
  <c r="H20" i="16"/>
  <c r="I20" i="16"/>
  <c r="G21" i="16"/>
  <c r="H21" i="16"/>
  <c r="I21" i="16"/>
  <c r="G22" i="16"/>
  <c r="H22" i="16"/>
  <c r="G23" i="16"/>
  <c r="H23" i="16"/>
  <c r="D21" i="16"/>
  <c r="D22" i="16"/>
  <c r="D23" i="16"/>
  <c r="I17" i="15"/>
  <c r="I19" i="15"/>
  <c r="I20" i="15"/>
  <c r="I21" i="15"/>
  <c r="H16" i="15"/>
  <c r="H17" i="15"/>
  <c r="H18" i="15"/>
  <c r="H19" i="15"/>
  <c r="H20" i="15"/>
  <c r="H21" i="15"/>
  <c r="H22" i="15"/>
  <c r="H23" i="15"/>
  <c r="G16" i="15"/>
  <c r="G17" i="15"/>
  <c r="G18" i="15"/>
  <c r="G19" i="15"/>
  <c r="G20" i="15"/>
  <c r="G21" i="15"/>
  <c r="G22" i="15"/>
  <c r="G23" i="15"/>
  <c r="D22" i="15"/>
  <c r="D23" i="15"/>
  <c r="E23" i="38"/>
  <c r="M11" i="39"/>
  <c r="H11" i="39"/>
  <c r="L7" i="39"/>
  <c r="D7" i="39"/>
  <c r="C7" i="39"/>
  <c r="D4" i="39"/>
  <c r="B4" i="39"/>
  <c r="D29" i="38"/>
  <c r="H20" i="38"/>
  <c r="H6" i="38"/>
  <c r="B6" i="38"/>
  <c r="C2" i="38"/>
  <c r="G1" i="38"/>
  <c r="L17" i="18"/>
  <c r="L19" i="18"/>
  <c r="L18" i="18"/>
  <c r="E17" i="5"/>
  <c r="D29" i="4"/>
  <c r="C8" i="37"/>
  <c r="C23" i="37" s="1"/>
  <c r="D8" i="37"/>
  <c r="D9" i="37"/>
  <c r="D10" i="37"/>
  <c r="D11" i="37"/>
  <c r="D12" i="37"/>
  <c r="D13" i="37"/>
  <c r="D14" i="37"/>
  <c r="D15" i="37"/>
  <c r="D16" i="37"/>
  <c r="D17" i="37"/>
  <c r="D18" i="37"/>
  <c r="D19" i="37"/>
  <c r="D20" i="37"/>
  <c r="D21" i="37"/>
  <c r="G23" i="38" l="1"/>
  <c r="H26" i="38" s="1"/>
  <c r="M21" i="39"/>
  <c r="E29" i="38"/>
  <c r="G29" i="38" s="1"/>
  <c r="H32" i="38" s="1"/>
  <c r="E10" i="38" s="1"/>
  <c r="G10" i="38" s="1"/>
  <c r="H13" i="38" s="1"/>
  <c r="K18" i="23"/>
  <c r="K19" i="23"/>
  <c r="K17" i="23"/>
  <c r="C10" i="2"/>
  <c r="F20" i="8"/>
  <c r="C5" i="3"/>
  <c r="C4" i="3"/>
  <c r="C3" i="3"/>
  <c r="E10" i="5" s="1"/>
  <c r="F26" i="11"/>
  <c r="C7" i="2"/>
  <c r="E17" i="9" s="1"/>
  <c r="C4" i="2"/>
  <c r="E18" i="10"/>
  <c r="C2" i="2"/>
  <c r="E17" i="10" s="1"/>
  <c r="E20" i="8"/>
  <c r="G20" i="8" s="1"/>
  <c r="F20" i="7"/>
  <c r="E20" i="7"/>
  <c r="E22" i="6"/>
  <c r="G22" i="6" s="1"/>
  <c r="C9" i="2"/>
  <c r="E19" i="7" s="1"/>
  <c r="C6" i="2"/>
  <c r="E21" i="6" s="1"/>
  <c r="E20" i="6"/>
  <c r="E12" i="12" l="1"/>
  <c r="E23" i="14" s="1"/>
  <c r="J17" i="25"/>
  <c r="N17" i="25" s="1"/>
  <c r="H34" i="38"/>
  <c r="H36" i="38" s="1"/>
  <c r="F12" i="12" s="1"/>
  <c r="G20" i="7"/>
  <c r="C5" i="2"/>
  <c r="E19" i="6" s="1"/>
  <c r="G17" i="5"/>
  <c r="H21" i="5" s="1"/>
  <c r="D29" i="36"/>
  <c r="D29" i="9"/>
  <c r="D29" i="10"/>
  <c r="D32" i="8"/>
  <c r="D34" i="7"/>
  <c r="D34" i="6"/>
  <c r="D30" i="5"/>
  <c r="K12" i="23"/>
  <c r="K13" i="23" s="1"/>
  <c r="K14" i="23" s="1"/>
  <c r="J22" i="20"/>
  <c r="E19" i="8"/>
  <c r="G19" i="8" s="1"/>
  <c r="E18" i="9"/>
  <c r="G18" i="9" s="1"/>
  <c r="H6" i="36"/>
  <c r="B6" i="36"/>
  <c r="K28" i="36"/>
  <c r="C29" i="36" s="1"/>
  <c r="H26" i="36"/>
  <c r="H20" i="36"/>
  <c r="C2" i="36"/>
  <c r="G1" i="36"/>
  <c r="N25" i="35"/>
  <c r="E14" i="12" s="1"/>
  <c r="B2" i="12"/>
  <c r="D7" i="35"/>
  <c r="C7" i="35"/>
  <c r="D4" i="35"/>
  <c r="K16" i="25"/>
  <c r="I14" i="25"/>
  <c r="M11" i="25"/>
  <c r="D7" i="25"/>
  <c r="C7" i="25"/>
  <c r="B7" i="25"/>
  <c r="D4" i="25"/>
  <c r="K26" i="24"/>
  <c r="M26" i="24" s="1"/>
  <c r="K25" i="24"/>
  <c r="M25" i="24" s="1"/>
  <c r="K24" i="24"/>
  <c r="M24" i="24" s="1"/>
  <c r="K20" i="24"/>
  <c r="M20" i="24" s="1"/>
  <c r="K19" i="24"/>
  <c r="M19" i="24" s="1"/>
  <c r="K18" i="24"/>
  <c r="M18" i="24" s="1"/>
  <c r="H14" i="24"/>
  <c r="H26" i="24" s="1"/>
  <c r="H13" i="24"/>
  <c r="H19" i="24" s="1"/>
  <c r="H12" i="24"/>
  <c r="L7" i="24"/>
  <c r="M7" i="35" s="1"/>
  <c r="D7" i="24"/>
  <c r="C7" i="24"/>
  <c r="B7" i="24"/>
  <c r="D4" i="24"/>
  <c r="H14" i="23"/>
  <c r="H13" i="35" s="1"/>
  <c r="H13" i="23"/>
  <c r="H18" i="23" s="1"/>
  <c r="H12" i="23"/>
  <c r="H17" i="23" s="1"/>
  <c r="L7" i="23"/>
  <c r="D7" i="23"/>
  <c r="C7" i="23"/>
  <c r="B7" i="23"/>
  <c r="D4" i="23"/>
  <c r="K13" i="22"/>
  <c r="M13" i="22" s="1"/>
  <c r="H13" i="22"/>
  <c r="K12" i="22"/>
  <c r="M12" i="22" s="1"/>
  <c r="H12" i="22"/>
  <c r="K11" i="22"/>
  <c r="M11" i="22" s="1"/>
  <c r="H11" i="22"/>
  <c r="L7" i="22"/>
  <c r="D7" i="22"/>
  <c r="C7" i="22"/>
  <c r="B7" i="22"/>
  <c r="D4" i="22"/>
  <c r="K16" i="21"/>
  <c r="J16" i="21"/>
  <c r="H16" i="21"/>
  <c r="J13" i="21"/>
  <c r="H13" i="21"/>
  <c r="J12" i="21"/>
  <c r="H12" i="21"/>
  <c r="J11" i="21"/>
  <c r="H11" i="21"/>
  <c r="L7" i="21"/>
  <c r="D7" i="21"/>
  <c r="C7" i="21"/>
  <c r="B7" i="21"/>
  <c r="D4" i="21"/>
  <c r="M28" i="20"/>
  <c r="M27" i="20"/>
  <c r="M26" i="20"/>
  <c r="L23" i="20"/>
  <c r="K23" i="20"/>
  <c r="L22" i="20"/>
  <c r="K22" i="20"/>
  <c r="L21" i="20"/>
  <c r="K21" i="20"/>
  <c r="M21" i="20" s="1"/>
  <c r="J13" i="20"/>
  <c r="H13" i="20"/>
  <c r="H28" i="20" s="1"/>
  <c r="J12" i="20"/>
  <c r="H12" i="20"/>
  <c r="H27" i="20" s="1"/>
  <c r="J11" i="20"/>
  <c r="H11" i="20"/>
  <c r="H16" i="20" s="1"/>
  <c r="L7" i="20"/>
  <c r="D7" i="20"/>
  <c r="C7" i="20"/>
  <c r="B7" i="20"/>
  <c r="D4" i="20"/>
  <c r="L16" i="19"/>
  <c r="K16" i="19"/>
  <c r="H16" i="19"/>
  <c r="L13" i="19"/>
  <c r="K13" i="19"/>
  <c r="I13" i="19"/>
  <c r="H13" i="19"/>
  <c r="L12" i="19"/>
  <c r="K12" i="19"/>
  <c r="I12" i="19"/>
  <c r="H12" i="19"/>
  <c r="L11" i="19"/>
  <c r="K11" i="19"/>
  <c r="I11" i="19"/>
  <c r="H11" i="19"/>
  <c r="L7" i="19"/>
  <c r="D7" i="19"/>
  <c r="C7" i="19"/>
  <c r="B7" i="19"/>
  <c r="D4" i="19"/>
  <c r="B4" i="19"/>
  <c r="B4" i="20" s="1"/>
  <c r="B4" i="21" s="1"/>
  <c r="B4" i="35" s="1"/>
  <c r="H29" i="18"/>
  <c r="I29" i="18"/>
  <c r="H28" i="18"/>
  <c r="M27" i="18"/>
  <c r="H27" i="18"/>
  <c r="K24" i="18"/>
  <c r="J24" i="18"/>
  <c r="M24" i="18" s="1"/>
  <c r="K23" i="18"/>
  <c r="J23" i="18"/>
  <c r="K22" i="18"/>
  <c r="J22" i="18"/>
  <c r="L14" i="23"/>
  <c r="K19" i="18"/>
  <c r="J19" i="18"/>
  <c r="H19" i="18"/>
  <c r="H24" i="18" s="1"/>
  <c r="L13" i="23"/>
  <c r="L18" i="23" s="1"/>
  <c r="K18" i="18"/>
  <c r="J18" i="18"/>
  <c r="H18" i="18"/>
  <c r="H23" i="18" s="1"/>
  <c r="L12" i="23"/>
  <c r="L17" i="23" s="1"/>
  <c r="K17" i="18"/>
  <c r="J17" i="18"/>
  <c r="H17" i="18"/>
  <c r="H22" i="18" s="1"/>
  <c r="I14" i="18"/>
  <c r="M14" i="18" s="1"/>
  <c r="I13" i="18"/>
  <c r="M13" i="18" s="1"/>
  <c r="I12" i="18"/>
  <c r="M12" i="18" s="1"/>
  <c r="O11" i="18"/>
  <c r="L7" i="18"/>
  <c r="D7" i="18"/>
  <c r="C7" i="18"/>
  <c r="B7" i="18"/>
  <c r="D4" i="18"/>
  <c r="K38" i="16"/>
  <c r="D20" i="16"/>
  <c r="H19" i="16"/>
  <c r="G19" i="16"/>
  <c r="D19" i="16"/>
  <c r="H18" i="16"/>
  <c r="G18" i="16"/>
  <c r="D18" i="16"/>
  <c r="H17" i="16"/>
  <c r="G17" i="16"/>
  <c r="D17" i="16"/>
  <c r="H16" i="16"/>
  <c r="G16" i="16"/>
  <c r="D16" i="16"/>
  <c r="H15" i="16"/>
  <c r="G15" i="16"/>
  <c r="D15" i="16"/>
  <c r="K38" i="15"/>
  <c r="D21" i="15"/>
  <c r="D20" i="15"/>
  <c r="D19" i="15"/>
  <c r="D18" i="15"/>
  <c r="D17" i="15"/>
  <c r="D16" i="15"/>
  <c r="H15" i="15"/>
  <c r="G15" i="15"/>
  <c r="D15" i="15"/>
  <c r="B15" i="14"/>
  <c r="A11" i="14"/>
  <c r="A13" i="14" s="1"/>
  <c r="B7" i="14"/>
  <c r="G23" i="13"/>
  <c r="G22" i="13"/>
  <c r="G20" i="13"/>
  <c r="H20" i="13" s="1"/>
  <c r="G19" i="13"/>
  <c r="G18" i="13"/>
  <c r="G17" i="13"/>
  <c r="H11" i="13"/>
  <c r="H36" i="11"/>
  <c r="G26" i="11"/>
  <c r="H30" i="11" s="1"/>
  <c r="H38" i="11" s="1"/>
  <c r="E26" i="11"/>
  <c r="H23" i="11"/>
  <c r="H14" i="11"/>
  <c r="E10" i="11"/>
  <c r="G10" i="11" s="1"/>
  <c r="B6" i="11"/>
  <c r="C2" i="11"/>
  <c r="G1" i="11"/>
  <c r="H26" i="10"/>
  <c r="G18" i="10"/>
  <c r="G17" i="10"/>
  <c r="H6" i="10"/>
  <c r="B6" i="10"/>
  <c r="B5" i="10"/>
  <c r="C2" i="10"/>
  <c r="G1" i="10"/>
  <c r="H26" i="9"/>
  <c r="G17" i="9"/>
  <c r="H6" i="9"/>
  <c r="B6" i="9"/>
  <c r="C2" i="9"/>
  <c r="G1" i="9"/>
  <c r="H29" i="8"/>
  <c r="F18" i="8"/>
  <c r="F17" i="8"/>
  <c r="F11" i="8"/>
  <c r="E10" i="8"/>
  <c r="G10" i="8" s="1"/>
  <c r="H6" i="8"/>
  <c r="B6" i="8"/>
  <c r="B5" i="8"/>
  <c r="H31" i="7"/>
  <c r="F19" i="7"/>
  <c r="G19" i="7" s="1"/>
  <c r="F18" i="7"/>
  <c r="F17" i="7"/>
  <c r="F11" i="7"/>
  <c r="E10" i="7"/>
  <c r="G10" i="7" s="1"/>
  <c r="H6" i="7"/>
  <c r="B6" i="7"/>
  <c r="B5" i="7"/>
  <c r="C2" i="7"/>
  <c r="G1" i="7"/>
  <c r="G1" i="8" s="1"/>
  <c r="H31" i="6"/>
  <c r="G21" i="6"/>
  <c r="F20" i="6"/>
  <c r="F19" i="6"/>
  <c r="F11" i="6"/>
  <c r="E10" i="6"/>
  <c r="G10" i="6" s="1"/>
  <c r="H6" i="6"/>
  <c r="B6" i="6"/>
  <c r="B5" i="6"/>
  <c r="H27" i="5"/>
  <c r="G10" i="5"/>
  <c r="H14" i="5" s="1"/>
  <c r="H6" i="5"/>
  <c r="B6" i="5"/>
  <c r="B5" i="5"/>
  <c r="C2" i="5"/>
  <c r="C2" i="6" s="1"/>
  <c r="C2" i="8" s="1"/>
  <c r="G1" i="5"/>
  <c r="G1" i="6" s="1"/>
  <c r="K28" i="4"/>
  <c r="C32" i="8" s="1"/>
  <c r="H26" i="4"/>
  <c r="H20" i="4"/>
  <c r="H6" i="4"/>
  <c r="B6" i="4"/>
  <c r="C2" i="4"/>
  <c r="G1" i="4"/>
  <c r="E11" i="7"/>
  <c r="I23" i="16" l="1"/>
  <c r="K23" i="16" s="1"/>
  <c r="I23" i="15"/>
  <c r="J23" i="15"/>
  <c r="D23" i="14"/>
  <c r="F23" i="14" s="1"/>
  <c r="G23" i="14" s="1"/>
  <c r="G12" i="12"/>
  <c r="D5" i="24"/>
  <c r="D5" i="39"/>
  <c r="M22" i="18"/>
  <c r="M16" i="19"/>
  <c r="M28" i="18"/>
  <c r="M16" i="21"/>
  <c r="M11" i="19"/>
  <c r="L19" i="23"/>
  <c r="M19" i="23" s="1"/>
  <c r="M14" i="23"/>
  <c r="M29" i="18"/>
  <c r="M22" i="20"/>
  <c r="L18" i="20"/>
  <c r="M23" i="18"/>
  <c r="E11" i="6"/>
  <c r="G11" i="6" s="1"/>
  <c r="E11" i="8"/>
  <c r="G11" i="8" s="1"/>
  <c r="H20" i="9"/>
  <c r="E32" i="8"/>
  <c r="G32" i="8" s="1"/>
  <c r="H35" i="8" s="1"/>
  <c r="E12" i="8" s="1"/>
  <c r="G12" i="8" s="1"/>
  <c r="H14" i="8" s="1"/>
  <c r="G11" i="7"/>
  <c r="G19" i="6"/>
  <c r="E17" i="8"/>
  <c r="E17" i="7"/>
  <c r="G17" i="7" s="1"/>
  <c r="C9" i="14"/>
  <c r="C17" i="14"/>
  <c r="B19" i="14"/>
  <c r="B11" i="14"/>
  <c r="C19" i="14"/>
  <c r="C11" i="14"/>
  <c r="B21" i="14"/>
  <c r="D5" i="20"/>
  <c r="A2" i="14"/>
  <c r="C21" i="14"/>
  <c r="C7" i="14"/>
  <c r="C15" i="14"/>
  <c r="B2" i="13"/>
  <c r="B9" i="14"/>
  <c r="B17" i="14"/>
  <c r="J23" i="20"/>
  <c r="H11" i="35"/>
  <c r="H21" i="20"/>
  <c r="H23" i="20"/>
  <c r="H20" i="24"/>
  <c r="H19" i="23"/>
  <c r="H18" i="20"/>
  <c r="H17" i="20"/>
  <c r="H22" i="20"/>
  <c r="H25" i="24"/>
  <c r="H12" i="35"/>
  <c r="H26" i="20"/>
  <c r="H20" i="10"/>
  <c r="E29" i="4"/>
  <c r="G29" i="4" s="1"/>
  <c r="H32" i="4" s="1"/>
  <c r="E10" i="4" s="1"/>
  <c r="G10" i="4" s="1"/>
  <c r="H13" i="4" s="1"/>
  <c r="H34" i="4" s="1"/>
  <c r="H36" i="4" s="1"/>
  <c r="F4" i="12" s="1"/>
  <c r="M7" i="25"/>
  <c r="D5" i="25"/>
  <c r="D5" i="21"/>
  <c r="D5" i="18"/>
  <c r="C11" i="16" s="1"/>
  <c r="D5" i="23"/>
  <c r="D5" i="19"/>
  <c r="D5" i="22"/>
  <c r="D5" i="35"/>
  <c r="E29" i="36"/>
  <c r="E18" i="8"/>
  <c r="G18" i="8" s="1"/>
  <c r="E18" i="7"/>
  <c r="G18" i="7" s="1"/>
  <c r="H24" i="7" s="1"/>
  <c r="G20" i="6"/>
  <c r="L16" i="20"/>
  <c r="K11" i="20" s="1"/>
  <c r="M17" i="23"/>
  <c r="M12" i="23"/>
  <c r="H40" i="11"/>
  <c r="L17" i="20"/>
  <c r="K12" i="20" s="1"/>
  <c r="K12" i="21" s="1"/>
  <c r="M12" i="21" s="1"/>
  <c r="E30" i="5"/>
  <c r="G30" i="5" s="1"/>
  <c r="H36" i="5" s="1"/>
  <c r="H38" i="5" s="1"/>
  <c r="H40" i="5" s="1"/>
  <c r="F5" i="12" s="1"/>
  <c r="J16" i="15" s="1"/>
  <c r="C34" i="7"/>
  <c r="E34" i="7" s="1"/>
  <c r="G34" i="7" s="1"/>
  <c r="H37" i="7" s="1"/>
  <c r="E12" i="7" s="1"/>
  <c r="G12" i="7" s="1"/>
  <c r="H14" i="7" s="1"/>
  <c r="G17" i="8"/>
  <c r="B4" i="25"/>
  <c r="B4" i="22"/>
  <c r="M23" i="22"/>
  <c r="C13" i="14"/>
  <c r="B13" i="14"/>
  <c r="M17" i="18"/>
  <c r="C34" i="6"/>
  <c r="E34" i="6" s="1"/>
  <c r="G34" i="6" s="1"/>
  <c r="H38" i="6" s="1"/>
  <c r="E12" i="6" s="1"/>
  <c r="G12" i="6" s="1"/>
  <c r="H16" i="6" s="1"/>
  <c r="C29" i="9"/>
  <c r="E29" i="9" s="1"/>
  <c r="G29" i="9" s="1"/>
  <c r="H33" i="9" s="1"/>
  <c r="E10" i="9" s="1"/>
  <c r="G10" i="9" s="1"/>
  <c r="H14" i="9" s="1"/>
  <c r="C29" i="10"/>
  <c r="E29" i="10" s="1"/>
  <c r="G29" i="10" s="1"/>
  <c r="H33" i="10" s="1"/>
  <c r="E10" i="10" s="1"/>
  <c r="G10" i="10" s="1"/>
  <c r="H14" i="10" s="1"/>
  <c r="M18" i="23"/>
  <c r="M13" i="23"/>
  <c r="H12" i="13"/>
  <c r="I10" i="13" s="1"/>
  <c r="M18" i="18"/>
  <c r="M19" i="18"/>
  <c r="M12" i="19"/>
  <c r="M13" i="19"/>
  <c r="H18" i="24"/>
  <c r="H24" i="24"/>
  <c r="K23" i="15" l="1"/>
  <c r="H23" i="14"/>
  <c r="I23" i="14" s="1"/>
  <c r="J23" i="14" s="1"/>
  <c r="K23" i="14" s="1"/>
  <c r="L23" i="14" s="1"/>
  <c r="M23" i="14" s="1"/>
  <c r="N23" i="14" s="1"/>
  <c r="O23" i="14" s="1"/>
  <c r="K11" i="21"/>
  <c r="M11" i="21" s="1"/>
  <c r="K12" i="24"/>
  <c r="M21" i="19"/>
  <c r="J11" i="25" s="1"/>
  <c r="N11" i="25" s="1"/>
  <c r="M36" i="18"/>
  <c r="E4" i="12" s="1"/>
  <c r="M18" i="20"/>
  <c r="K13" i="20"/>
  <c r="H35" i="9"/>
  <c r="H37" i="9" s="1"/>
  <c r="F10" i="12" s="1"/>
  <c r="J21" i="15" s="1"/>
  <c r="K21" i="15" s="1"/>
  <c r="H35" i="10"/>
  <c r="H37" i="10" s="1"/>
  <c r="F9" i="12" s="1"/>
  <c r="J20" i="15" s="1"/>
  <c r="K20" i="15" s="1"/>
  <c r="J15" i="15"/>
  <c r="C11" i="15"/>
  <c r="M23" i="20"/>
  <c r="H39" i="7"/>
  <c r="H41" i="7" s="1"/>
  <c r="D7" i="14"/>
  <c r="G29" i="36"/>
  <c r="H32" i="36" s="1"/>
  <c r="H13" i="36" s="1"/>
  <c r="H34" i="36" s="1"/>
  <c r="G14" i="12" s="1"/>
  <c r="G15" i="12" s="1"/>
  <c r="D9" i="14"/>
  <c r="B4" i="24"/>
  <c r="B4" i="23"/>
  <c r="M16" i="20"/>
  <c r="M29" i="23"/>
  <c r="M17" i="20"/>
  <c r="E8" i="12"/>
  <c r="L14" i="25"/>
  <c r="N14" i="25" s="1"/>
  <c r="H23" i="8"/>
  <c r="H37" i="8" s="1"/>
  <c r="H39" i="8" s="1"/>
  <c r="F8" i="12" s="1"/>
  <c r="J19" i="15" s="1"/>
  <c r="K19" i="15" s="1"/>
  <c r="F11" i="12"/>
  <c r="J22" i="15" s="1"/>
  <c r="H25" i="6"/>
  <c r="H40" i="6" s="1"/>
  <c r="D19" i="14" l="1"/>
  <c r="E7" i="14"/>
  <c r="F7" i="14" s="1"/>
  <c r="I15" i="16"/>
  <c r="K15" i="16" s="1"/>
  <c r="I15" i="15"/>
  <c r="K15" i="15" s="1"/>
  <c r="G4" i="12"/>
  <c r="E5" i="12"/>
  <c r="K13" i="21"/>
  <c r="M13" i="21" s="1"/>
  <c r="K14" i="24"/>
  <c r="M14" i="24" s="1"/>
  <c r="M13" i="20"/>
  <c r="D17" i="14"/>
  <c r="F7" i="12"/>
  <c r="D15" i="14"/>
  <c r="H42" i="6"/>
  <c r="F6" i="12" s="1"/>
  <c r="J17" i="15" s="1"/>
  <c r="K17" i="15" s="1"/>
  <c r="D21" i="14"/>
  <c r="K15" i="25"/>
  <c r="N15" i="25" s="1"/>
  <c r="E9" i="12"/>
  <c r="I19" i="16"/>
  <c r="K19" i="16" s="1"/>
  <c r="E15" i="14"/>
  <c r="G8" i="12"/>
  <c r="M11" i="20"/>
  <c r="M12" i="24"/>
  <c r="K13" i="24"/>
  <c r="M13" i="24" s="1"/>
  <c r="M12" i="20"/>
  <c r="G7" i="14" l="1"/>
  <c r="H7" i="14" s="1"/>
  <c r="I7" i="14" s="1"/>
  <c r="O7" i="14" s="1"/>
  <c r="G5" i="12"/>
  <c r="I16" i="15"/>
  <c r="K16" i="15" s="1"/>
  <c r="D13" i="14"/>
  <c r="J18" i="15"/>
  <c r="I16" i="16"/>
  <c r="K16" i="16" s="1"/>
  <c r="E9" i="14"/>
  <c r="F9" i="14" s="1"/>
  <c r="G9" i="14" s="1"/>
  <c r="H9" i="14" s="1"/>
  <c r="I9" i="14" s="1"/>
  <c r="J9" i="14" s="1"/>
  <c r="M25" i="21"/>
  <c r="J13" i="25" s="1"/>
  <c r="N13" i="25" s="1"/>
  <c r="M37" i="20"/>
  <c r="E6" i="12" s="1"/>
  <c r="D11" i="14"/>
  <c r="F15" i="14"/>
  <c r="J15" i="14" s="1"/>
  <c r="M36" i="24"/>
  <c r="G9" i="12"/>
  <c r="E17" i="14"/>
  <c r="F17" i="14" s="1"/>
  <c r="H17" i="14" s="1"/>
  <c r="O9" i="14" l="1"/>
  <c r="E7" i="12"/>
  <c r="E13" i="14"/>
  <c r="F13" i="14" s="1"/>
  <c r="H13" i="14" s="1"/>
  <c r="I13" i="14" s="1"/>
  <c r="J13" i="14" s="1"/>
  <c r="K13" i="14" s="1"/>
  <c r="L13" i="14" s="1"/>
  <c r="M13" i="14" s="1"/>
  <c r="N13" i="14" s="1"/>
  <c r="K15" i="14"/>
  <c r="L15" i="14" s="1"/>
  <c r="M15" i="14" s="1"/>
  <c r="N15" i="14" s="1"/>
  <c r="I17" i="14"/>
  <c r="J17" i="14" s="1"/>
  <c r="K17" i="14" s="1"/>
  <c r="L17" i="14" s="1"/>
  <c r="M17" i="14" s="1"/>
  <c r="N17" i="14" s="1"/>
  <c r="J12" i="25"/>
  <c r="N12" i="25" s="1"/>
  <c r="I16" i="25"/>
  <c r="N16" i="25" s="1"/>
  <c r="N27" i="25" s="1"/>
  <c r="E11" i="12" s="1"/>
  <c r="E10" i="12"/>
  <c r="G6" i="12"/>
  <c r="I17" i="16"/>
  <c r="K17" i="16" s="1"/>
  <c r="E11" i="14"/>
  <c r="F11" i="14" s="1"/>
  <c r="H11" i="14" s="1"/>
  <c r="I22" i="16" l="1"/>
  <c r="K22" i="16" s="1"/>
  <c r="I22" i="15"/>
  <c r="K22" i="15" s="1"/>
  <c r="G7" i="12"/>
  <c r="I18" i="15"/>
  <c r="K18" i="15" s="1"/>
  <c r="I18" i="16"/>
  <c r="K18" i="16" s="1"/>
  <c r="O17" i="14"/>
  <c r="O15" i="14"/>
  <c r="I11" i="14"/>
  <c r="O13" i="14"/>
  <c r="E21" i="14"/>
  <c r="G11" i="12"/>
  <c r="E19" i="14"/>
  <c r="F19" i="14" s="1"/>
  <c r="H19" i="14" s="1"/>
  <c r="G10" i="12"/>
  <c r="G13" i="12" l="1"/>
  <c r="I19" i="14"/>
  <c r="J19" i="14" s="1"/>
  <c r="K19" i="14" s="1"/>
  <c r="L19" i="14" s="1"/>
  <c r="M19" i="14" s="1"/>
  <c r="N19" i="14" s="1"/>
  <c r="J11" i="14"/>
  <c r="K11" i="14" s="1"/>
  <c r="L11" i="14" s="1"/>
  <c r="M11" i="14" s="1"/>
  <c r="N11" i="14" s="1"/>
  <c r="O11" i="14" s="1"/>
  <c r="F21" i="14"/>
  <c r="G21" i="14" s="1"/>
  <c r="H21" i="14" s="1"/>
  <c r="I21" i="14" s="1"/>
  <c r="J21" i="14" s="1"/>
  <c r="K21" i="14" s="1"/>
  <c r="L21" i="14" s="1"/>
  <c r="M21" i="14" s="1"/>
  <c r="N21" i="14" s="1"/>
  <c r="K25" i="16"/>
  <c r="K28" i="16" s="1"/>
  <c r="K31" i="16" s="1"/>
  <c r="K25" i="15"/>
  <c r="K28" i="15" s="1"/>
  <c r="K31" i="15" s="1"/>
  <c r="F25" i="14" l="1"/>
  <c r="G16" i="12"/>
  <c r="H26" i="14"/>
  <c r="H27" i="14" s="1"/>
  <c r="G26" i="14"/>
  <c r="G27" i="14" s="1"/>
  <c r="I26" i="14"/>
  <c r="O19" i="14"/>
  <c r="F4" i="13"/>
  <c r="F16" i="13" s="1"/>
  <c r="L27" i="13"/>
  <c r="K26" i="14"/>
  <c r="J26" i="14"/>
  <c r="J27" i="14" s="1"/>
  <c r="O21" i="14"/>
  <c r="M26" i="14"/>
  <c r="L26" i="14"/>
  <c r="L27" i="14" l="1"/>
  <c r="M27" i="14" s="1"/>
  <c r="K26" i="13"/>
  <c r="I27" i="14"/>
  <c r="K27" i="14"/>
  <c r="J9" i="13"/>
  <c r="J11" i="13"/>
  <c r="J12" i="13"/>
  <c r="N26" i="14"/>
  <c r="F18" i="13"/>
  <c r="F17" i="13"/>
  <c r="H16" i="13"/>
  <c r="K27" i="13" l="1"/>
  <c r="J10" i="13"/>
  <c r="N27" i="14"/>
  <c r="J16" i="13"/>
  <c r="F22" i="13"/>
  <c r="H22" i="13" s="1"/>
  <c r="J22" i="13" s="1"/>
  <c r="F20" i="13"/>
  <c r="J20" i="13" s="1"/>
  <c r="F19" i="13"/>
  <c r="H19" i="13" s="1"/>
  <c r="J19" i="13" s="1"/>
  <c r="H17" i="13"/>
  <c r="J17" i="13" s="1"/>
  <c r="F23" i="13"/>
  <c r="H23" i="13" s="1"/>
  <c r="H18" i="13"/>
  <c r="J18" i="13" s="1"/>
  <c r="J23" i="13" l="1"/>
  <c r="I15" i="13"/>
  <c r="I24" i="13" s="1"/>
  <c r="J24" i="13" s="1"/>
  <c r="J27" i="13" s="1"/>
  <c r="J15" i="13"/>
  <c r="J14" i="13" s="1"/>
</calcChain>
</file>

<file path=xl/sharedStrings.xml><?xml version="1.0" encoding="utf-8"?>
<sst xmlns="http://schemas.openxmlformats.org/spreadsheetml/2006/main" count="962" uniqueCount="337">
  <si>
    <t>OBJETO</t>
  </si>
  <si>
    <t>NOMBRE ACTA</t>
  </si>
  <si>
    <t>PLACAS HUELLAS TIPO COMITÉ DE CAFETEROS</t>
  </si>
  <si>
    <t>CONTRATANTE</t>
  </si>
  <si>
    <t>MUNICIPIO DE RISARALDA</t>
  </si>
  <si>
    <t>FECHA</t>
  </si>
  <si>
    <t>RESPONSABLE</t>
  </si>
  <si>
    <t>KAREN SANCHEZ CORTES</t>
  </si>
  <si>
    <t>DEPENDENCIA</t>
  </si>
  <si>
    <t>OFICINA DE PLANEACION Y OBRAS PUBLICAS</t>
  </si>
  <si>
    <t>MATERIALES</t>
  </si>
  <si>
    <t>UNIDAD</t>
  </si>
  <si>
    <t>COSTO</t>
  </si>
  <si>
    <t>KG</t>
  </si>
  <si>
    <t>M³</t>
  </si>
  <si>
    <t>Agua</t>
  </si>
  <si>
    <t>LT</t>
  </si>
  <si>
    <t>Alambre negro para amarre</t>
  </si>
  <si>
    <t>ML</t>
  </si>
  <si>
    <t>Malla Electrosoldada 15x15cm x 5mm</t>
  </si>
  <si>
    <t>M2</t>
  </si>
  <si>
    <t>Material de afirmado</t>
  </si>
  <si>
    <t>KG: KILOGRAMO</t>
  </si>
  <si>
    <t>LB: LIBRA</t>
  </si>
  <si>
    <t>M²: METRO CUADRADO</t>
  </si>
  <si>
    <t>M³: METRO CUBICO</t>
  </si>
  <si>
    <t>ML: METRO LINEAL</t>
  </si>
  <si>
    <t>LT: LITRO</t>
  </si>
  <si>
    <t>U: UNIDAD</t>
  </si>
  <si>
    <t>EQUIPO</t>
  </si>
  <si>
    <t>TARIFA</t>
  </si>
  <si>
    <t>$/HORA</t>
  </si>
  <si>
    <t>Compactador manual (RANA)</t>
  </si>
  <si>
    <t>Mezcladora de concreto (1bulto)</t>
  </si>
  <si>
    <t>Vibrador de concreto</t>
  </si>
  <si>
    <t>$/DIA</t>
  </si>
  <si>
    <t>$/HORA: PESOS M/C POR CADA HORA DE TRABAJO</t>
  </si>
  <si>
    <t>M³-KM: COSTO DE TRANSPORTE DE CADA METRO CUBICO POR CADA KM</t>
  </si>
  <si>
    <t>KG-KM: COSTO DE TRANSPORTE DE CADA KILOGRAMO POR CADA KILOMETRO</t>
  </si>
  <si>
    <t xml:space="preserve">ANALISIS DE PRECIOS UNITARIOS </t>
  </si>
  <si>
    <t xml:space="preserve">ITEM:   </t>
  </si>
  <si>
    <t>UNIDAD  :</t>
  </si>
  <si>
    <t>I. EQUIPO</t>
  </si>
  <si>
    <t>Descripción</t>
  </si>
  <si>
    <t>Tipo</t>
  </si>
  <si>
    <t>Tarifa/Hora</t>
  </si>
  <si>
    <t>Rendimiento</t>
  </si>
  <si>
    <t>Valor-Unit.</t>
  </si>
  <si>
    <t>HERRAMIENTA MENOR (8%)</t>
  </si>
  <si>
    <t>Sub-Total</t>
  </si>
  <si>
    <t>II. MATERIALES EN OBRA</t>
  </si>
  <si>
    <t>Unidad</t>
  </si>
  <si>
    <t>Precio-Unit.</t>
  </si>
  <si>
    <t>Cantidad</t>
  </si>
  <si>
    <t>III. TRANSPORTES</t>
  </si>
  <si>
    <t>Material</t>
  </si>
  <si>
    <t>Vol. Peso ó Cant.</t>
  </si>
  <si>
    <t>Distancia</t>
  </si>
  <si>
    <t>M3-Km</t>
  </si>
  <si>
    <t>Tarifa</t>
  </si>
  <si>
    <t>MO</t>
  </si>
  <si>
    <t>IV. MANO DE OBRA</t>
  </si>
  <si>
    <t>Trabajador</t>
  </si>
  <si>
    <t>Jornal</t>
  </si>
  <si>
    <t>Prestaciones</t>
  </si>
  <si>
    <t>Jornal Total</t>
  </si>
  <si>
    <t>1 OFICIAL</t>
  </si>
  <si>
    <t>Total Costo Directo</t>
  </si>
  <si>
    <t>Total Costo con AU=</t>
  </si>
  <si>
    <t xml:space="preserve">ITEM:             </t>
  </si>
  <si>
    <t>Tarifa/día</t>
  </si>
  <si>
    <t>COMPACTADOR VIBRATORIO TIPO RANA</t>
  </si>
  <si>
    <t>M3</t>
  </si>
  <si>
    <t>AFIRMADO</t>
  </si>
  <si>
    <t>MEZCLADORA DE CONCRETO (1 BULTO)</t>
  </si>
  <si>
    <t>VIBRADOR DE CONCRETO</t>
  </si>
  <si>
    <t>HERRAMIENTA MENOR (8%MO)</t>
  </si>
  <si>
    <t>ARENA DE RIO</t>
  </si>
  <si>
    <t>TRITURADO 3/4"</t>
  </si>
  <si>
    <t>FORMALETA EN MADERA</t>
  </si>
  <si>
    <t xml:space="preserve">1 OFICIALES </t>
  </si>
  <si>
    <t xml:space="preserve">PIEDRA </t>
  </si>
  <si>
    <t>Vol-peso ó Cant.</t>
  </si>
  <si>
    <t>Total Costo</t>
  </si>
  <si>
    <t>Malla electrosoldada de 15x15 cm x 5mm</t>
  </si>
  <si>
    <t>Alambre de amarre</t>
  </si>
  <si>
    <t>Kg</t>
  </si>
  <si>
    <t>Acero de refuerzo Fy=60000 PSI</t>
  </si>
  <si>
    <t>TON</t>
  </si>
  <si>
    <t>CAMIONETA</t>
  </si>
  <si>
    <t>ITEM</t>
  </si>
  <si>
    <t>DESCRIPCION</t>
  </si>
  <si>
    <t>CANTIDAD</t>
  </si>
  <si>
    <t>VALOR PARCIAL</t>
  </si>
  <si>
    <t>Excavaciones varias en material común. No incluye mano de obra no calificada.</t>
  </si>
  <si>
    <t>Suministro, transporte e instalacion de afirmado compactado. No incluye mano de obra no calificada.</t>
  </si>
  <si>
    <t>Suministro, transporte e instalacion de acero de refuerzo Fy=60000 PSI. No incluye mano de obra no calificada.</t>
  </si>
  <si>
    <t>Suministro, transporte e instalacion de malla electrosoldada de 15x15 cm x 5mm. No incluye mano de obra no calificada.</t>
  </si>
  <si>
    <t>DISCRIMINACION  DEL A.I.U.</t>
  </si>
  <si>
    <t>PROYECTO:</t>
  </si>
  <si>
    <t>Valor estimado de la Obra (Costo Directo).</t>
  </si>
  <si>
    <t>Valor</t>
  </si>
  <si>
    <t xml:space="preserve">Plazo estimado de ejecución </t>
  </si>
  <si>
    <t>Meses</t>
  </si>
  <si>
    <t>CAPITULO</t>
  </si>
  <si>
    <t>TIPO DE GASTO</t>
  </si>
  <si>
    <t>UN</t>
  </si>
  <si>
    <t>CANT</t>
  </si>
  <si>
    <t>DISPONIBILIDAD</t>
  </si>
  <si>
    <t>VALOR UNIT (mes)</t>
  </si>
  <si>
    <t>FACTOR</t>
  </si>
  <si>
    <t>VALOR TOTAL</t>
  </si>
  <si>
    <t>SUMA</t>
  </si>
  <si>
    <t>%</t>
  </si>
  <si>
    <t>GASTOS GENERALES.</t>
  </si>
  <si>
    <t>MANO DE OBRA Y GASTOS DE OFICINA</t>
  </si>
  <si>
    <t>Ingeniero Residente de Obra</t>
  </si>
  <si>
    <t>Un</t>
  </si>
  <si>
    <t>Maestro de obra</t>
  </si>
  <si>
    <t>GASTOS INDIRECTOS.</t>
  </si>
  <si>
    <t>IMPUESTOS Y VALORES AGREGADOS</t>
  </si>
  <si>
    <t xml:space="preserve">Contribución Especial </t>
  </si>
  <si>
    <t>Estampilla Procultura</t>
  </si>
  <si>
    <t>Estampilla Projusticia familiar</t>
  </si>
  <si>
    <t>Estampilla Prodeporte y recreación</t>
  </si>
  <si>
    <t>Estampilla Proanciano</t>
  </si>
  <si>
    <t>Reteica</t>
  </si>
  <si>
    <t>Polizas</t>
  </si>
  <si>
    <t>TOTAL GASTOS ADMINISTRACION</t>
  </si>
  <si>
    <t>IMPREVISTOS</t>
  </si>
  <si>
    <t>UTILIDAD</t>
  </si>
  <si>
    <t>TOTAL A.I.U.</t>
  </si>
  <si>
    <t>PROGRAMACION DE OBRA Y FLUJO DE INVERSION</t>
  </si>
  <si>
    <t>Item</t>
  </si>
  <si>
    <t>v. Unitario</t>
  </si>
  <si>
    <t>Total</t>
  </si>
  <si>
    <t xml:space="preserve">SEMANA </t>
  </si>
  <si>
    <t>TOTAL</t>
  </si>
  <si>
    <t>SUBTOTAL COSTO DE LAS OBRAS CIVILES</t>
  </si>
  <si>
    <t>FLUJO POR SEMANA</t>
  </si>
  <si>
    <t>ACUMULADO POR SEMANA</t>
  </si>
  <si>
    <t xml:space="preserve"> </t>
  </si>
  <si>
    <t>Formulario 1 - Propuesta económica  - Documento tipo de selección abreviada de menor cuantía - versión 2</t>
  </si>
  <si>
    <t>Código</t>
  </si>
  <si>
    <t>CCE-EICP-FM-25</t>
  </si>
  <si>
    <t>Versión</t>
  </si>
  <si>
    <t>FORMULARIO 1</t>
  </si>
  <si>
    <t>PRESUPUESTO OFICIAL</t>
  </si>
  <si>
    <r>
      <rPr>
        <sz val="12"/>
        <color theme="1"/>
        <rFont val="Arial Narrow"/>
        <family val="2"/>
      </rPr>
      <t xml:space="preserve">[La entidad puede utilizar este formulario de detalle del </t>
    </r>
    <r>
      <rPr>
        <b/>
        <u/>
        <sz val="12"/>
        <color theme="1"/>
        <rFont val="Arial Narrow"/>
        <family val="2"/>
      </rPr>
      <t>presupuesto oficial</t>
    </r>
    <r>
      <rPr>
        <sz val="12"/>
        <color theme="1"/>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</si>
  <si>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</si>
  <si>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</si>
  <si>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</si>
  <si>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</si>
  <si>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UND.</t>
  </si>
  <si>
    <t>VALOR UNITARIO</t>
  </si>
  <si>
    <t xml:space="preserve">VALOR TOTAL                                </t>
  </si>
  <si>
    <t>GENERAL</t>
  </si>
  <si>
    <t>PARTICULAR</t>
  </si>
  <si>
    <t>PRELIMINARES</t>
  </si>
  <si>
    <t>SUBTOTAL PROYECTO</t>
  </si>
  <si>
    <t>TOTAL OBRAS CIVILES (INCLUYE AIU=34.5%)</t>
  </si>
  <si>
    <r>
      <rPr>
        <b/>
        <sz val="12"/>
        <color theme="1"/>
        <rFont val="Arial Narrow"/>
        <family val="2"/>
      </rPr>
      <t xml:space="preserve">NOTA 1: </t>
    </r>
    <r>
      <rPr>
        <sz val="12"/>
        <color theme="1"/>
        <rFont val="Arial Narrow"/>
        <family val="2"/>
      </rPr>
      <t xml:space="preserve"> Se debe tener en cuenta que el PRECIO UNITARIO incluye el valor de A.I.U. </t>
    </r>
  </si>
  <si>
    <t>PORCENTAJE</t>
  </si>
  <si>
    <r>
      <rPr>
        <b/>
        <sz val="12"/>
        <color theme="1"/>
        <rFont val="Arial Narrow"/>
        <family val="2"/>
      </rPr>
      <t>NOTA 2:</t>
    </r>
    <r>
      <rPr>
        <sz val="12"/>
        <color theme="1"/>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</si>
  <si>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</si>
  <si>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</si>
  <si>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color theme="1"/>
        <rFont val="Arial Narrow"/>
        <family val="2"/>
      </rPr>
      <t>NOTA 3:</t>
    </r>
    <r>
      <rPr>
        <sz val="12"/>
        <color theme="1"/>
        <rFont val="Arial Narrow"/>
        <family val="2"/>
      </rPr>
      <t xml:space="preserve"> El A.I.U y su discriminación deben estar en porcentaje (%). </t>
    </r>
  </si>
  <si>
    <t>IMPREVISTO</t>
  </si>
  <si>
    <t>I=</t>
  </si>
  <si>
    <t>U=</t>
  </si>
  <si>
    <t>TOTAL A.I.U</t>
  </si>
  <si>
    <t>A.I.U.=</t>
  </si>
  <si>
    <t>PROPUESTA ECONOMICA</t>
  </si>
  <si>
    <r>
      <rPr>
        <sz val="13"/>
        <color theme="1"/>
        <rFont val="Arial Narrow"/>
        <family val="2"/>
      </rPr>
      <t xml:space="preserve">[La entidad puede utilizar este formulario de presentación de </t>
    </r>
    <r>
      <rPr>
        <b/>
        <u/>
        <sz val="13"/>
        <color theme="1"/>
        <rFont val="Arial Narrow"/>
        <family val="2"/>
      </rPr>
      <t>propuesta económica</t>
    </r>
    <r>
      <rPr>
        <sz val="13"/>
        <color theme="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</si>
  <si>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</si>
  <si>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2"/>
        <color theme="1"/>
        <rFont val="Arial Narrow"/>
        <family val="2"/>
      </rPr>
      <t xml:space="preserve">NOTA 1: </t>
    </r>
    <r>
      <rPr>
        <sz val="12"/>
        <color theme="1"/>
        <rFont val="Arial Narrow"/>
        <family val="2"/>
      </rPr>
      <t xml:space="preserve"> Se debe tener en cuenta que el PRECIO UNITARIO incluye el valor de A.I.U. </t>
    </r>
  </si>
  <si>
    <r>
      <rPr>
        <b/>
        <sz val="12"/>
        <color theme="1"/>
        <rFont val="Arial Narrow"/>
        <family val="2"/>
      </rPr>
      <t>NOTA 2:</t>
    </r>
    <r>
      <rPr>
        <sz val="12"/>
        <color theme="1"/>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</si>
  <si>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color theme="1"/>
        <rFont val="Arial Narrow"/>
        <family val="2"/>
      </rPr>
      <t>NOTA 3:</t>
    </r>
    <r>
      <rPr>
        <sz val="12"/>
        <color theme="1"/>
        <rFont val="Arial Narrow"/>
        <family val="2"/>
      </rPr>
      <t xml:space="preserve"> El A.I.U y su discriminación deben estar en porcentaje (%). </t>
    </r>
  </si>
  <si>
    <t>_________________________________________________</t>
  </si>
  <si>
    <t>Firma del Proponente o de su Representante Legal</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</si>
  <si>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</si>
  <si>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</si>
  <si>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</si>
  <si>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</si>
  <si>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</si>
  <si>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</si>
  <si>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DD</t>
  </si>
  <si>
    <t>MM</t>
  </si>
  <si>
    <t>AA</t>
  </si>
  <si>
    <t>ITEMS DE LA PROPUESTA ECONÓMICA</t>
  </si>
  <si>
    <t>ITEMS NO PREVISTOS</t>
  </si>
  <si>
    <t>DATOS ESPECÍFICOS</t>
  </si>
  <si>
    <t>DESCRIPCIÓN</t>
  </si>
  <si>
    <t>MARCA</t>
  </si>
  <si>
    <t>TIPO</t>
  </si>
  <si>
    <t>TARIFA/HORA</t>
  </si>
  <si>
    <t>RENDIMIENTO</t>
  </si>
  <si>
    <t>Vr. UNITARIO</t>
  </si>
  <si>
    <t>SUBTOTAL $</t>
  </si>
  <si>
    <t>II. MATERIALES</t>
  </si>
  <si>
    <t>PRECIO UNIT.</t>
  </si>
  <si>
    <t>MATERIAL</t>
  </si>
  <si>
    <t>VOL. o PESO</t>
  </si>
  <si>
    <t>DISTANCIA</t>
  </si>
  <si>
    <r>
      <rPr>
        <b/>
        <sz val="8"/>
        <color theme="1"/>
        <rFont val="Arial Narrow"/>
        <family val="2"/>
      </rPr>
      <t>M</t>
    </r>
    <r>
      <rPr>
        <b/>
        <vertAlign val="superscript"/>
        <sz val="8"/>
        <color theme="1"/>
        <rFont val="Arial Narrow"/>
        <family val="2"/>
      </rPr>
      <t>3</t>
    </r>
    <r>
      <rPr>
        <b/>
        <sz val="8"/>
        <color theme="1"/>
        <rFont val="Arial Narrow"/>
        <family val="2"/>
      </rPr>
      <t xml:space="preserve"> o Ton/Km</t>
    </r>
  </si>
  <si>
    <t>TRABAJADOR</t>
  </si>
  <si>
    <t>JORNAL</t>
  </si>
  <si>
    <t>PRESTACIONES</t>
  </si>
  <si>
    <t>JORNAL TOTAL</t>
  </si>
  <si>
    <t>TOTAL COSTO DIRECTO $</t>
  </si>
  <si>
    <t>V. COSTOS INDIRECTOS</t>
  </si>
  <si>
    <t>Porcentaje</t>
  </si>
  <si>
    <t>Valor Total</t>
  </si>
  <si>
    <t xml:space="preserve">IMPREVISTOS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</si>
  <si>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</si>
  <si>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</si>
  <si>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</si>
  <si>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</si>
  <si>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</si>
  <si>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</si>
  <si>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</si>
  <si>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</si>
  <si>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</si>
  <si>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</si>
  <si>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rPr>
        <b/>
        <sz val="10"/>
        <color theme="1"/>
        <rFont val="Arial"/>
        <family val="2"/>
      </rPr>
      <t xml:space="preserve"> Contratante:</t>
    </r>
    <r>
      <rPr>
        <sz val="10"/>
        <color theme="1"/>
        <rFont val="Arial"/>
        <family val="2"/>
      </rPr>
      <t xml:space="preserve"> </t>
    </r>
  </si>
  <si>
    <t xml:space="preserve"> Objeto:  </t>
  </si>
  <si>
    <t xml:space="preserve">Item </t>
  </si>
  <si>
    <t>Acta</t>
  </si>
  <si>
    <t xml:space="preserve"> Fecha</t>
  </si>
  <si>
    <t>PRESUPUESTO DE OBRA</t>
  </si>
  <si>
    <t>Area para Dibujo o Imagen</t>
  </si>
  <si>
    <t>Localización</t>
  </si>
  <si>
    <t>Dimensiones promedio</t>
  </si>
  <si>
    <t>Nº Elementos</t>
  </si>
  <si>
    <t xml:space="preserve"> Medida Total</t>
  </si>
  <si>
    <t xml:space="preserve"> Ancho (m)</t>
  </si>
  <si>
    <t>Espesor / Altura (m)</t>
  </si>
  <si>
    <t>Longitud (m)</t>
  </si>
  <si>
    <t>Placas Huellas</t>
  </si>
  <si>
    <t>Long Huellas</t>
  </si>
  <si>
    <t>Nivelación área placa huella</t>
  </si>
  <si>
    <t>Tramos</t>
  </si>
  <si>
    <t>Excavacion Riostra</t>
  </si>
  <si>
    <t>Ancho</t>
  </si>
  <si>
    <t>Excavacion Cunetas</t>
  </si>
  <si>
    <t>Espesor Concreto</t>
  </si>
  <si>
    <t>Excavacion talud para mejorar calzada</t>
  </si>
  <si>
    <t>Espesor Afirmado</t>
  </si>
  <si>
    <t>0,15</t>
  </si>
  <si>
    <t>Excavacion Sobre Ancho</t>
  </si>
  <si>
    <t>Todos los tramos</t>
  </si>
  <si>
    <t>Dentellones</t>
  </si>
  <si>
    <t>Total Item Acumulado</t>
  </si>
  <si>
    <t>Afirmado Placas Huellas</t>
  </si>
  <si>
    <t>Afirmado Sobre Ancho</t>
  </si>
  <si>
    <t>Placa Huella</t>
  </si>
  <si>
    <t>Viga Riostra</t>
  </si>
  <si>
    <t>Cuneta</t>
  </si>
  <si>
    <t>Dentellon</t>
  </si>
  <si>
    <t>Huella central</t>
  </si>
  <si>
    <t>Sobre Ancho</t>
  </si>
  <si>
    <t>Sardinel Placa huella</t>
  </si>
  <si>
    <t xml:space="preserve"> Diametro mm ó pulg</t>
  </si>
  <si>
    <t>Peso Kg/m2 ó kg/ml</t>
  </si>
  <si>
    <t>Área (m2) ó Longitud (ml)</t>
  </si>
  <si>
    <t>Acero Riostras</t>
  </si>
  <si>
    <t>Acero Longitudinal</t>
  </si>
  <si>
    <t>Flejes</t>
  </si>
  <si>
    <t>Refuezo Placas Huellas</t>
  </si>
  <si>
    <t>Malla electrosoldada</t>
  </si>
  <si>
    <t>5mm</t>
  </si>
  <si>
    <t>Refuezo Cunetas y sardineles</t>
  </si>
  <si>
    <t>Refuezo Dentellones</t>
  </si>
  <si>
    <t>Área
(m2)</t>
  </si>
  <si>
    <t>Volumen
(m3)</t>
  </si>
  <si>
    <t>Peso 
(Ton)</t>
  </si>
  <si>
    <t>ÍTEM 2 AFIRMADO</t>
  </si>
  <si>
    <t>ÍTEM 3 CONCRETO CLASE D</t>
  </si>
  <si>
    <t>ÍTEM 4 CONCRETO CLASE G</t>
  </si>
  <si>
    <t>ÍTEM 5 CONCRETO CLASE D BORDILLOS</t>
  </si>
  <si>
    <t>ÍTEM 6 ACERO DE REFUERZO</t>
  </si>
  <si>
    <t>ÍTEM 7 MALLA 5MM</t>
  </si>
  <si>
    <t>COSTO TOTAL OBRAS INCLUIDO AIU</t>
  </si>
  <si>
    <t>MEMORIAS DE CANTIDADES DE OBRA - PRESUPUESTO DE OBRA</t>
  </si>
  <si>
    <t>Aporte de mano de obra no calificada por la comunidad del tramo a intervenir</t>
  </si>
  <si>
    <t>6 AYUDANTES</t>
  </si>
  <si>
    <t>COSTO TOTAL APORTE COMUNIDADES</t>
  </si>
  <si>
    <t>COSTO TOTAL PROYECTO</t>
  </si>
  <si>
    <t>Longitud
(ml)</t>
  </si>
  <si>
    <t>Arena de rio</t>
  </si>
  <si>
    <t>Triturado de 3/4"</t>
  </si>
  <si>
    <t>Formaleta madera</t>
  </si>
  <si>
    <t>Piedra para concreto ciclópeo</t>
  </si>
  <si>
    <t>AGUA</t>
  </si>
  <si>
    <t>Camioneta</t>
  </si>
  <si>
    <t>TONELADA</t>
  </si>
  <si>
    <t>Caja de compensacion</t>
  </si>
  <si>
    <t>ICBF</t>
  </si>
  <si>
    <t>FIC</t>
  </si>
  <si>
    <t>Sena</t>
  </si>
  <si>
    <t>Parafiscales</t>
  </si>
  <si>
    <t>ARL</t>
  </si>
  <si>
    <t>Pensión</t>
  </si>
  <si>
    <t>Salud</t>
  </si>
  <si>
    <t>Salud. Pension y ARL</t>
  </si>
  <si>
    <t>Examenes de ingreso y egreso</t>
  </si>
  <si>
    <t>Examenes medicos</t>
  </si>
  <si>
    <t>Dotaciones</t>
  </si>
  <si>
    <t>Vacaciones</t>
  </si>
  <si>
    <t>Prima</t>
  </si>
  <si>
    <t>Intereses cesantías</t>
  </si>
  <si>
    <t>Cesantías</t>
  </si>
  <si>
    <t>Subsidio de Transporte</t>
  </si>
  <si>
    <t>Prestaciones Sociales</t>
  </si>
  <si>
    <t>Valor en $</t>
  </si>
  <si>
    <t>Días del año</t>
  </si>
  <si>
    <t>ANÁLISIS FACTOR PRESTACIONAL</t>
  </si>
  <si>
    <t>Salario Minimo 2025</t>
  </si>
  <si>
    <t>Subsidio Transporte 2025</t>
  </si>
  <si>
    <t>Concreto clase D: Concreto de 3000 PSI. Incluye preparación e instalación de concreto en placas, vigas y cunetas. Incluye formaleta. Incluye agregados. No incluye suministro de cemento. No incluye mano de obra no calificada.</t>
  </si>
  <si>
    <t>Concreto clase G: 60% concreto clase D y 40% Piedra. Incluye preparación e instalación de concreto en enrocados. Incluye agregados. No incluye suministro de cemento. No incluye mano de obra no calificada.</t>
  </si>
  <si>
    <t>Sardinel en concreto clase D. Incluye preparación e instalación de concreto. Incluye formaleta. Incluye agregados. No incluye suministro de cemento. No incluye mano de obra no calificada.</t>
  </si>
  <si>
    <t>Sobreacarreo de materiales en vehiculo automotor de tracción 4x4. No incluye mano de obra no calificada para cargue y descargue.</t>
  </si>
  <si>
    <t>Quiebra de Santa Barbara</t>
  </si>
  <si>
    <t>Guacaica Baja</t>
  </si>
  <si>
    <t>La Esmeralda</t>
  </si>
  <si>
    <t>CONSTRUCCIÓN DE PLACA HUELLAS CON APOYO DE LA COMUNIDAD Y EL COMITÉ DE CAFETEROS EN ZONA RURAL DEL MUNICIPIO DE RISARALDA</t>
  </si>
  <si>
    <t>Demolición de concreto hidraulico. Incluye retiro y disposición final.</t>
  </si>
  <si>
    <t>MARTILLO DEMOLEDOR</t>
  </si>
  <si>
    <t>VOLQUETA</t>
  </si>
  <si>
    <t>Martillo demoledor</t>
  </si>
  <si>
    <t>Volqueta 7m3</t>
  </si>
  <si>
    <t>m3/km</t>
  </si>
  <si>
    <t>Total Costo Directo x ml</t>
  </si>
  <si>
    <t>ITEM 9 DEMOLICION</t>
  </si>
  <si>
    <t>VALOR UNITARIO INCLUIDO AU=(34,5%)</t>
  </si>
  <si>
    <t>Retencion en la fuente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</si>
</sst>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 #,##0.00_-;\-&quot;$&quot;\ * #,##0.00_-;_-&quot;$&quot;\ * &quot;-&quot;??_-;_-@_-"/>
    <numFmt numFmtId="165" formatCode="d/m/yyyy"/>
    <numFmt numFmtId="166" formatCode="_ * #,##0_ ;_ * \-#,##0_ ;_ * &quot;-&quot;??_ ;_ @_ "/>
    <numFmt numFmtId="167" formatCode="_(&quot;$&quot;\ * #,##0_);_(&quot;$&quot;\ * \(#,##0\);_(&quot;$&quot;\ * &quot;-&quot;??_);_(@_)"/>
    <numFmt numFmtId="168" formatCode="_-&quot;$&quot;\ * #,##0.00_-;\-&quot;$&quot;\ * #,##0.00_-;_-&quot;$&quot;\ * &quot;-&quot;_-;_-@"/>
    <numFmt numFmtId="169" formatCode="#,##0.000"/>
    <numFmt numFmtId="170" formatCode="#,##0.0"/>
    <numFmt numFmtId="171" formatCode="_(&quot;$&quot;\ * #,##0_);_(&quot;$&quot;\ * \(#,##0\);_(&quot;$&quot;\ * &quot;-&quot;_);_(@_)"/>
    <numFmt numFmtId="172" formatCode="&quot;$&quot;\ #,##0.00"/>
    <numFmt numFmtId="173" formatCode="0.0%"/>
    <numFmt numFmtId="174" formatCode="_-&quot;$&quot;\ * #,##0.00_-;\-&quot;$&quot;\ * #,##0.00_-;_-&quot;$&quot;\ * &quot;-&quot;??_-;_-@"/>
    <numFmt numFmtId="175" formatCode="_(&quot;$&quot;\ * #,##0.00_);_(&quot;$&quot;\ * \(#,##0.00\);_(&quot;$&quot;\ * &quot;-&quot;_);_(@_)"/>
    <numFmt numFmtId="176" formatCode="_-[$$-240A]\ * #,##0.00_ ;_-[$$-240A]\ * \-#,##0.00\ ;_-[$$-240A]\ * &quot;-&quot;??_ ;_-@_ "/>
    <numFmt numFmtId="177" formatCode="_-&quot;$&quot;* #,##0.00_-;\-&quot;$&quot;* #,##0.00_-;_-&quot;$&quot;* &quot;-&quot;??_-;_-@"/>
    <numFmt numFmtId="178" formatCode="0.0000"/>
    <numFmt numFmtId="179" formatCode="_-&quot;$&quot;\ * #,##0_-;\-&quot;$&quot;\ * #,##0_-;_-&quot;$&quot;\ * &quot;-&quot;??_-;_-@"/>
    <numFmt numFmtId="180" formatCode="\$#,##0.00"/>
    <numFmt numFmtId="181" formatCode="#,##0.0000"/>
    <numFmt numFmtId="182" formatCode="_-* #,##0.00_-;\-* #,##0.00_-;_-* &quot;-&quot;??_-;_-@"/>
    <numFmt numFmtId="183" formatCode="0.0000%"/>
    <numFmt numFmtId="184" formatCode="#,##0.00000"/>
    <numFmt numFmtId="185" formatCode="&quot;$&quot;\ #,##0"/>
    <numFmt numFmtId="186" formatCode="0.000%"/>
    <numFmt numFmtId="187" formatCode="0.0"/>
    <numFmt numFmtId="188" formatCode="&quot;$&quot;\ #,##0.0"/>
    <numFmt numFmtId="189" formatCode="[$$-240A]\ #,##0.00"/>
    <numFmt numFmtId="190" formatCode="&quot;$&quot;\ #,##0.0_);\(&quot;$&quot;\ #,##0.0\)"/>
    <numFmt numFmtId="191" formatCode="_-[$$-240A]* #,##0.0_-;\-[$$-240A]* #,##0.0_-;_-[$$-240A]* &quot;-&quot;??_-;_-@"/>
    <numFmt numFmtId="192" formatCode="_([$$-240A]\ * #,##0.00_);_([$$-240A]\ * \(#,##0.00\);_([$$-240A]\ * &quot;-&quot;??_);_(@_)"/>
    <numFmt numFmtId="193" formatCode="_([$$-240A]\ * #,##0_);_([$$-240A]\ * \(#,##0\);_([$$-240A]\ * &quot;-&quot;??_);_(@_)"/>
    <numFmt numFmtId="194" formatCode="_ [$$-240A]\ * #,##0.00_ ;_ [$$-240A]\ * \-#,##0.00_ ;_ [$$-240A]\ * &quot;-&quot;??_ ;_ @_ "/>
    <numFmt numFmtId="195" formatCode="_ * #,##0.00_ ;_ * \-#,##0.00_ ;_ * &quot;-&quot;??_ ;_ @_ "/>
    <numFmt numFmtId="196" formatCode="_-* #,##0.00\ _€_-;\-* #,##0.00\ _€_-;_-* &quot;-&quot;??\ _€_-;_-@"/>
    <numFmt numFmtId="197" formatCode="_-* #,##0.000_-;\-* #,##0.000_-;_-* &quot;-&quot;??_-;_-@"/>
    <numFmt numFmtId="198" formatCode="_(* #,##0.00_);_(* \(#,##0.00\);_(* &quot;-&quot;??_);_(@_)"/>
    <numFmt numFmtId="199" formatCode="_-* #,##0.0000_-;\-* #,##0.0000_-;_-* &quot;-&quot;??_-;_-@"/>
    <numFmt numFmtId="200" formatCode="_-[$$-240A]\ * #,##0.0000_-;\-[$$-240A]\ * #,##0.0000_-;_-[$$-240A]\ * &quot;-&quot;?_-;_-@_-"/>
    <numFmt numFmtId="201" formatCode="_-&quot;$&quot;\ * #,##0_-;\-&quot;$&quot;\ * #,##0_-;_-&quot;$&quot;\ * &quot;-&quot;??_-;_-@_-"/>
    <numFmt numFmtId="202" formatCode="[$$-240A]\ #,##0"/>
    <numFmt numFmtId="203" formatCode="0.000"/>
  </numFmts>
  <fonts count="59">
    <font>
      <sz val="11"/>
      <color theme="1"/>
      <name val="Calibri"/>
      <scheme val="minor"/>
    </font>
    <font>
      <sz val="11"/>
      <color theme="1"/>
      <name val="Calibri"/>
      <family val="2"/>
      <scheme val="minor"/>
    </font>
    <font>
      <sz val="11"/>
      <color theme="1"/>
      <name val="Calibri"/>
      <family val="2"/>
    </font>
    <font>
      <b/>
      <sz val="11"/>
      <color theme="1"/>
      <name val="Calibri"/>
      <family val="2"/>
    </font>
    <font>
      <sz val="11"/>
      <color rgb="FFFF0000"/>
      <name val="Calibri"/>
      <family val="2"/>
    </font>
    <font>
      <sz val="11"/>
      <name val="Calibri"/>
      <family val="2"/>
    </font>
    <font>
      <b/>
      <sz val="10"/>
      <color theme="1"/>
      <name val="Arial"/>
      <family val="2"/>
    </font>
    <font>
      <sz val="10"/>
      <color theme="1"/>
      <name val="Arial"/>
      <family val="2"/>
    </font>
    <font>
      <sz val="10"/>
      <color theme="1"/>
      <name val="Times New Roman"/>
      <family val="1"/>
    </font>
    <font>
      <b/>
      <sz val="12"/>
      <color theme="1"/>
      <name val="Arial"/>
      <family val="2"/>
    </font>
    <font>
      <sz val="11"/>
      <color rgb="FF000000"/>
      <name val="Calibri"/>
      <family val="2"/>
    </font>
    <font>
      <sz val="12"/>
      <color theme="1"/>
      <name val="Arial"/>
      <family val="2"/>
    </font>
    <font>
      <sz val="12"/>
      <color rgb="FF0000FF"/>
      <name val="Arial"/>
      <family val="2"/>
    </font>
    <font>
      <sz val="12"/>
      <color theme="1"/>
      <name val="Times New Roman"/>
      <family val="1"/>
    </font>
    <font>
      <sz val="8"/>
      <color theme="1"/>
      <name val="Arial"/>
      <family val="2"/>
    </font>
    <font>
      <b/>
      <sz val="9"/>
      <color theme="1"/>
      <name val="Arial Narrow"/>
      <family val="2"/>
    </font>
    <font>
      <b/>
      <sz val="9"/>
      <color rgb="FF000000"/>
      <name val="Arial Narrow"/>
      <family val="2"/>
    </font>
    <font>
      <sz val="9"/>
      <color rgb="FF000000"/>
      <name val="Arial Narrow"/>
      <family val="2"/>
    </font>
    <font>
      <sz val="9"/>
      <color theme="1"/>
      <name val="Arial Narrow"/>
      <family val="2"/>
    </font>
    <font>
      <b/>
      <sz val="10"/>
      <color theme="1"/>
      <name val="Arial Narrow"/>
      <family val="2"/>
    </font>
    <font>
      <sz val="10"/>
      <color theme="1"/>
      <name val="Arial Narrow"/>
      <family val="2"/>
    </font>
    <font>
      <sz val="10"/>
      <color rgb="FF000000"/>
      <name val="Arial Narrow"/>
      <family val="2"/>
    </font>
    <font>
      <b/>
      <sz val="10"/>
      <color rgb="FF000000"/>
      <name val="Arial Narrow"/>
      <family val="2"/>
    </font>
    <font>
      <sz val="10"/>
      <color rgb="FF000000"/>
      <name val="Arial"/>
      <family val="2"/>
    </font>
    <font>
      <b/>
      <i/>
      <sz val="10"/>
      <color theme="1"/>
      <name val="Arial"/>
      <family val="2"/>
    </font>
    <font>
      <sz val="11"/>
      <color theme="1"/>
      <name val="Arial"/>
      <family val="2"/>
    </font>
    <font>
      <b/>
      <sz val="14"/>
      <color theme="1"/>
      <name val="Arial Narrow"/>
      <family val="2"/>
    </font>
    <font>
      <sz val="14"/>
      <color theme="1"/>
      <name val="Arial Narrow"/>
      <family val="2"/>
    </font>
    <font>
      <b/>
      <sz val="16"/>
      <color theme="1"/>
      <name val="Arial"/>
      <family val="2"/>
    </font>
    <font>
      <b/>
      <sz val="14"/>
      <color theme="1"/>
      <name val="Arial"/>
      <family val="2"/>
    </font>
    <font>
      <b/>
      <sz val="11"/>
      <color theme="1"/>
      <name val="Arial"/>
      <family val="2"/>
    </font>
    <font>
      <sz val="12"/>
      <color theme="1"/>
      <name val="Arial Narrow"/>
      <family val="2"/>
    </font>
    <font>
      <b/>
      <sz val="8"/>
      <color rgb="FF595959"/>
      <name val="Arial"/>
      <family val="2"/>
    </font>
    <font>
      <sz val="8"/>
      <color rgb="FF595959"/>
      <name val="Arial"/>
      <family val="2"/>
    </font>
    <font>
      <sz val="11"/>
      <color theme="1"/>
      <name val="Arial Narrow"/>
      <family val="2"/>
    </font>
    <font>
      <b/>
      <sz val="12"/>
      <color theme="1"/>
      <name val="Arial Narrow"/>
      <family val="2"/>
    </font>
    <font>
      <b/>
      <sz val="16"/>
      <color theme="1"/>
      <name val="Arial Narrow"/>
      <family val="2"/>
    </font>
    <font>
      <sz val="8"/>
      <color theme="1"/>
      <name val="Arial Narrow"/>
      <family val="2"/>
    </font>
    <font>
      <sz val="16"/>
      <color theme="1"/>
      <name val="Arial Narrow"/>
      <family val="2"/>
    </font>
    <font>
      <b/>
      <sz val="13"/>
      <color theme="1"/>
      <name val="Arial Narrow"/>
      <family val="2"/>
    </font>
    <font>
      <sz val="13"/>
      <color theme="1"/>
      <name val="Arial Narrow"/>
      <family val="2"/>
    </font>
    <font>
      <b/>
      <sz val="11"/>
      <color theme="1"/>
      <name val="Arial Narrow"/>
      <family val="2"/>
    </font>
    <font>
      <b/>
      <sz val="8"/>
      <color theme="1"/>
      <name val="Arial"/>
      <family val="2"/>
    </font>
    <font>
      <u/>
      <sz val="10"/>
      <color theme="1"/>
      <name val="Arial Narrow"/>
      <family val="2"/>
    </font>
    <font>
      <b/>
      <sz val="7"/>
      <color theme="1"/>
      <name val="Arial Narrow"/>
      <family val="2"/>
    </font>
    <font>
      <b/>
      <sz val="8"/>
      <color theme="1"/>
      <name val="Arial Narrow"/>
      <family val="2"/>
    </font>
    <font>
      <sz val="5"/>
      <color theme="1"/>
      <name val="Arial Narrow"/>
      <family val="2"/>
    </font>
    <font>
      <sz val="10"/>
      <color rgb="FFFF0000"/>
      <name val="Arial"/>
      <family val="2"/>
    </font>
    <font>
      <vertAlign val="superscript"/>
      <sz val="10"/>
      <color theme="1"/>
      <name val="Arial"/>
      <family val="2"/>
    </font>
    <font>
      <vertAlign val="superscript"/>
      <sz val="10"/>
      <color theme="1"/>
      <name val="Arial"/>
      <family val="2"/>
    </font>
    <font>
      <vertAlign val="superscript"/>
      <sz val="10"/>
      <color theme="1"/>
      <name val="Arial"/>
      <family val="2"/>
    </font>
    <font>
      <vertAlign val="superscript"/>
      <sz val="10"/>
      <color theme="1"/>
      <name val="Arial"/>
      <family val="2"/>
    </font>
    <font>
      <vertAlign val="superscript"/>
      <sz val="10"/>
      <color theme="1"/>
      <name val="Arial"/>
      <family val="2"/>
    </font>
    <font>
      <b/>
      <u/>
      <sz val="12"/>
      <color theme="1"/>
      <name val="Arial Narrow"/>
      <family val="2"/>
    </font>
    <font>
      <b/>
      <u/>
      <sz val="13"/>
      <color theme="1"/>
      <name val="Arial Narrow"/>
      <family val="2"/>
    </font>
    <font>
      <b/>
      <vertAlign val="superscript"/>
      <sz val="8"/>
      <color theme="1"/>
      <name val="Arial Narrow"/>
      <family val="2"/>
    </font>
    <font>
      <sz val="11"/>
      <color theme="1"/>
      <name val="Calibri"/>
      <family val="2"/>
      <scheme val="minor"/>
    </font>
    <font>
      <sz val="11"/>
      <color theme="0"/>
      <name val="Arial Narrow"/>
      <family val="2"/>
    </font>
    <font>
      <b/>
      <sz val="18"/>
      <color theme="1"/>
      <name val="Arial Narrow"/>
      <family val="2"/>
    </font>
  </fonts>
  <fills count="15">
    <fill>
      <patternFill patternType="none"/>
    </fill>
    <fill>
      <patternFill patternType="gray125"/>
    </fill>
    <fill>
      <patternFill patternType="solid">
        <fgColor theme="0"/>
        <bgColor theme="0"/>
      </patternFill>
    </fill>
    <fill>
      <patternFill patternType="solid">
        <fgColor rgb="FFF7CAAC"/>
        <bgColor rgb="FFF7CAAC"/>
      </patternFill>
    </fill>
    <fill>
      <patternFill patternType="solid">
        <fgColor rgb="FFFFFFFF"/>
        <bgColor rgb="FFFFFFFF"/>
      </patternFill>
    </fill>
    <fill>
      <patternFill patternType="solid">
        <fgColor rgb="FFD8D8D8"/>
        <bgColor rgb="FFD8D8D8"/>
      </patternFill>
    </fill>
    <fill>
      <patternFill patternType="solid">
        <fgColor rgb="FFBFBFBF"/>
        <bgColor rgb="FFBFBFBF"/>
      </patternFill>
    </fill>
    <fill>
      <patternFill patternType="solid">
        <fgColor rgb="FFC0C0C0"/>
        <bgColor rgb="FFC0C0C0"/>
      </patternFill>
    </fill>
    <fill>
      <patternFill patternType="solid">
        <fgColor rgb="FFFEF2CB"/>
        <bgColor rgb="FFFEF2CB"/>
      </patternFill>
    </fill>
    <fill>
      <patternFill patternType="solid">
        <fgColor rgb="FFFFFF00"/>
        <bgColor rgb="FFFFFF00"/>
      </patternFill>
    </fill>
    <fill>
      <patternFill patternType="solid">
        <fgColor rgb="FF7F7F7F"/>
        <bgColor rgb="FF7F7F7F"/>
      </patternFill>
    </fill>
    <fill>
      <patternFill patternType="solid">
        <fgColor rgb="FFA5A5A5"/>
        <bgColor rgb="FFA5A5A5"/>
      </patternFill>
    </fill>
    <fill>
      <patternFill patternType="solid">
        <fgColor theme="0" tint="-0.14999847407452621"/>
        <bgColor theme="0"/>
      </patternFill>
    </fill>
    <fill>
      <patternFill patternType="solid">
        <fgColor theme="9" tint="0.59999389629810485"/>
        <bgColor indexed="64"/>
      </patternFill>
    </fill>
    <fill>
      <patternFill patternType="solid">
        <fgColor theme="9" tint="0.59999389629810485"/>
        <bgColor theme="0"/>
      </patternFill>
    </fill>
  </fills>
  <borders count="211">
    <border>
      <left/>
      <right/>
      <top/>
      <bottom/>
      <diagonal/>
    </border>
    <border>
      <left/>
      <right/>
      <top/>
      <bottom/>
      <diagonal/>
    </border>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right/>
      <top style="medium">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medium">
        <color rgb="FF000000"/>
      </right>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style="thin">
        <color rgb="FF000000"/>
      </top>
      <bottom style="medium">
        <color rgb="FF000000"/>
      </bottom>
      <diagonal/>
    </border>
    <border>
      <left style="medium">
        <color rgb="FF000000"/>
      </left>
      <right/>
      <top/>
      <bottom/>
      <diagonal/>
    </border>
    <border>
      <left style="medium">
        <color rgb="FF000000"/>
      </left>
      <right/>
      <top/>
      <bottom style="medium">
        <color rgb="FF000000"/>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style="medium">
        <color rgb="FF000000"/>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medium">
        <color rgb="FF000000"/>
      </left>
      <right style="medium">
        <color rgb="FF000000"/>
      </right>
      <top style="medium">
        <color rgb="FF000000"/>
      </top>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medium">
        <color rgb="FF000000"/>
      </right>
      <top style="medium">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style="thin">
        <color rgb="FF000000"/>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double">
        <color rgb="FF000000"/>
      </right>
      <top/>
      <bottom/>
      <diagonal/>
    </border>
    <border>
      <left style="dotted">
        <color rgb="FF000000"/>
      </left>
      <right style="dotted">
        <color rgb="FF000000"/>
      </right>
      <top/>
      <bottom style="dotted">
        <color rgb="FF000000"/>
      </bottom>
      <diagonal/>
    </border>
    <border>
      <left style="double">
        <color rgb="FF000000"/>
      </left>
      <right style="medium">
        <color rgb="FF000000"/>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double">
        <color rgb="FF000000"/>
      </left>
      <right style="medium">
        <color rgb="FF000000"/>
      </right>
      <top/>
      <bottom/>
      <diagonal/>
    </border>
    <border>
      <left style="medium">
        <color rgb="FF000000"/>
      </left>
      <right/>
      <top style="thin">
        <color rgb="FF000000"/>
      </top>
      <bottom/>
      <diagonal/>
    </border>
    <border>
      <left/>
      <right style="medium">
        <color rgb="FF000000"/>
      </right>
      <top style="thin">
        <color rgb="FF000000"/>
      </top>
      <bottom/>
      <diagonal/>
    </border>
    <border>
      <left/>
      <right style="double">
        <color rgb="FF000000"/>
      </right>
      <top/>
      <bottom/>
      <diagonal/>
    </border>
    <border>
      <left/>
      <right style="medium">
        <color rgb="FF000000"/>
      </right>
      <top style="thin">
        <color rgb="FF000000"/>
      </top>
      <bottom style="thin">
        <color rgb="FF000000"/>
      </bottom>
      <diagonal/>
    </border>
    <border>
      <left/>
      <right style="medium">
        <color rgb="FF000000"/>
      </right>
      <top/>
      <bottom style="medium">
        <color rgb="FF000000"/>
      </bottom>
      <diagonal/>
    </border>
    <border>
      <left style="thin">
        <color rgb="FF000000"/>
      </left>
      <right/>
      <top style="medium">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bottom style="thin">
        <color rgb="FF000000"/>
      </bottom>
      <diagonal/>
    </border>
    <border>
      <left/>
      <right style="thin">
        <color rgb="FF000000"/>
      </right>
      <top/>
      <bottom style="medium">
        <color rgb="FF000000"/>
      </bottom>
      <diagonal/>
    </border>
    <border>
      <left style="thin">
        <color rgb="FF000000"/>
      </left>
      <right/>
      <top style="thin">
        <color rgb="FF000000"/>
      </top>
      <bottom style="medium">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hair">
        <color rgb="FF000000"/>
      </left>
      <right style="hair">
        <color rgb="FF000000"/>
      </right>
      <top style="hair">
        <color rgb="FF000000"/>
      </top>
      <bottom style="hair">
        <color rgb="FF000000"/>
      </bottom>
      <diagonal/>
    </border>
    <border>
      <left/>
      <right style="thin">
        <color rgb="FF000000"/>
      </right>
      <top style="medium">
        <color rgb="FF000000"/>
      </top>
      <bottom/>
      <diagonal/>
    </border>
    <border>
      <left/>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diagonal/>
    </border>
    <border>
      <left/>
      <right/>
      <top style="medium">
        <color rgb="FF000000"/>
      </top>
      <bottom/>
      <diagonal/>
    </border>
    <border>
      <left/>
      <right/>
      <top/>
      <bottom style="medium">
        <color rgb="FF000000"/>
      </bottom>
      <diagonal/>
    </border>
    <border>
      <left/>
      <right/>
      <top/>
      <bottom style="medium">
        <color rgb="FF000000"/>
      </bottom>
      <diagonal/>
    </border>
    <border>
      <left/>
      <right/>
      <top style="medium">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right style="medium">
        <color rgb="FF000000"/>
      </right>
      <top style="medium">
        <color rgb="FF000000"/>
      </top>
      <bottom/>
      <diagonal/>
    </border>
    <border>
      <left/>
      <right/>
      <top/>
      <bottom style="thin">
        <color rgb="FF000000"/>
      </bottom>
      <diagonal/>
    </border>
    <border>
      <left/>
      <right style="medium">
        <color rgb="FF000000"/>
      </right>
      <top/>
      <bottom style="medium">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right style="thin">
        <color rgb="FF000000"/>
      </right>
      <top/>
      <bottom style="thin">
        <color rgb="FF000000"/>
      </bottom>
      <diagonal/>
    </border>
    <border>
      <left/>
      <right style="medium">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medium">
        <color rgb="FF000000"/>
      </bottom>
      <diagonal/>
    </border>
    <border>
      <left style="thin">
        <color rgb="FF000000"/>
      </left>
      <right style="medium">
        <color indexed="64"/>
      </right>
      <top style="thin">
        <color rgb="FF000000"/>
      </top>
      <bottom style="medium">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style="thin">
        <color rgb="FF000000"/>
      </right>
      <top style="medium">
        <color rgb="FF000000"/>
      </top>
      <bottom/>
      <diagonal/>
    </border>
    <border>
      <left style="thin">
        <color rgb="FF000000"/>
      </left>
      <right style="medium">
        <color indexed="64"/>
      </right>
      <top style="medium">
        <color rgb="FF000000"/>
      </top>
      <bottom/>
      <diagonal/>
    </border>
    <border>
      <left style="medium">
        <color indexed="64"/>
      </left>
      <right style="thin">
        <color rgb="FF000000"/>
      </right>
      <top/>
      <bottom style="medium">
        <color rgb="FF000000"/>
      </bottom>
      <diagonal/>
    </border>
    <border>
      <left style="thin">
        <color rgb="FF000000"/>
      </left>
      <right style="medium">
        <color indexed="64"/>
      </right>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s>
  <cellStyleXfs count="3">
    <xf numFmtId="0" fontId="0" fillId="0" borderId="0"/>
    <xf numFmtId="164" fontId="56" fillId="0" borderId="0" applyFont="0" applyFill="0" applyBorder="0" applyAlignment="0" applyProtection="0"/>
    <xf numFmtId="0" fontId="1" fillId="0" borderId="22"/>
  </cellStyleXfs>
  <cellXfs count="927">
    <xf numFmtId="0" fontId="0" fillId="0" borderId="0" xfId="0"/>
    <xf numFmtId="0" fontId="2" fillId="2" borderId="1" xfId="0" applyFont="1" applyFill="1" applyBorder="1"/>
    <xf numFmtId="0" fontId="3" fillId="2" borderId="1" xfId="0" applyFont="1" applyFill="1" applyBorder="1" applyAlignment="1">
      <alignment vertical="center"/>
    </xf>
    <xf numFmtId="0" fontId="3" fillId="2" borderId="1" xfId="0" applyFont="1" applyFill="1" applyBorder="1"/>
    <xf numFmtId="165" fontId="4" fillId="2" borderId="1" xfId="0" applyNumberFormat="1" applyFont="1" applyFill="1" applyBorder="1" applyAlignment="1">
      <alignment horizontal="left"/>
    </xf>
    <xf numFmtId="0" fontId="6" fillId="3" borderId="5" xfId="0" applyFont="1" applyFill="1" applyBorder="1" applyAlignment="1">
      <alignment horizontal="center" vertical="center"/>
    </xf>
    <xf numFmtId="166" fontId="6" fillId="3" borderId="5" xfId="0" applyNumberFormat="1" applyFont="1" applyFill="1" applyBorder="1" applyAlignment="1">
      <alignment horizontal="center" vertical="center"/>
    </xf>
    <xf numFmtId="0" fontId="7" fillId="0" borderId="5" xfId="0" applyFont="1" applyBorder="1" applyAlignment="1">
      <alignment horizontal="left" vertical="center" wrapText="1"/>
    </xf>
    <xf numFmtId="0" fontId="7" fillId="0" borderId="5" xfId="0" applyFont="1" applyBorder="1" applyAlignment="1">
      <alignment horizontal="center" vertical="center"/>
    </xf>
    <xf numFmtId="0" fontId="7" fillId="0" borderId="0" xfId="0" applyFont="1" applyAlignment="1">
      <alignment vertical="center"/>
    </xf>
    <xf numFmtId="0" fontId="7" fillId="0" borderId="0" xfId="0" applyFont="1" applyAlignment="1">
      <alignment horizontal="left" vertical="center" wrapText="1"/>
    </xf>
    <xf numFmtId="0" fontId="7" fillId="0" borderId="0" xfId="0" applyFont="1" applyAlignment="1">
      <alignment horizontal="center" vertical="center"/>
    </xf>
    <xf numFmtId="2" fontId="7" fillId="0" borderId="0" xfId="0" applyNumberFormat="1" applyFont="1" applyAlignment="1">
      <alignment vertical="center"/>
    </xf>
    <xf numFmtId="0" fontId="8" fillId="0" borderId="0" xfId="0" applyFont="1" applyAlignment="1">
      <alignment horizontal="center" vertical="center"/>
    </xf>
    <xf numFmtId="0" fontId="9" fillId="3" borderId="5" xfId="0" applyFont="1" applyFill="1" applyBorder="1" applyAlignment="1">
      <alignment horizontal="center"/>
    </xf>
    <xf numFmtId="168" fontId="9" fillId="3" borderId="5" xfId="0" applyNumberFormat="1" applyFont="1" applyFill="1" applyBorder="1" applyAlignment="1">
      <alignment horizontal="right"/>
    </xf>
    <xf numFmtId="0" fontId="11" fillId="0" borderId="5" xfId="0" applyFont="1" applyBorder="1"/>
    <xf numFmtId="0" fontId="11" fillId="0" borderId="5" xfId="0" applyFont="1" applyBorder="1" applyAlignment="1">
      <alignment horizontal="center"/>
    </xf>
    <xf numFmtId="0" fontId="11" fillId="0" borderId="0" xfId="0" applyFont="1"/>
    <xf numFmtId="0" fontId="11" fillId="0" borderId="0" xfId="0" applyFont="1" applyAlignment="1">
      <alignment horizontal="center"/>
    </xf>
    <xf numFmtId="168" fontId="11" fillId="0" borderId="0" xfId="0" applyNumberFormat="1" applyFont="1" applyAlignment="1">
      <alignment horizontal="right"/>
    </xf>
    <xf numFmtId="0" fontId="12" fillId="0" borderId="0" xfId="0" applyFont="1"/>
    <xf numFmtId="0" fontId="13" fillId="0" borderId="0" xfId="0" applyFont="1" applyAlignment="1">
      <alignment horizontal="center"/>
    </xf>
    <xf numFmtId="168" fontId="13" fillId="0" borderId="0" xfId="0" applyNumberFormat="1" applyFont="1" applyAlignment="1">
      <alignment horizontal="right"/>
    </xf>
    <xf numFmtId="168" fontId="12" fillId="0" borderId="0" xfId="0" applyNumberFormat="1" applyFont="1" applyAlignment="1">
      <alignment horizontal="right"/>
    </xf>
    <xf numFmtId="168" fontId="10" fillId="0" borderId="0" xfId="0" applyNumberFormat="1" applyFont="1" applyAlignment="1">
      <alignment horizontal="right"/>
    </xf>
    <xf numFmtId="0" fontId="17" fillId="2" borderId="1" xfId="0" applyFont="1" applyFill="1" applyBorder="1" applyAlignment="1">
      <alignment vertical="center" wrapText="1"/>
    </xf>
    <xf numFmtId="0" fontId="15" fillId="2" borderId="1" xfId="0" applyFont="1" applyFill="1" applyBorder="1" applyAlignment="1">
      <alignment horizontal="left" vertical="center" wrapText="1"/>
    </xf>
    <xf numFmtId="0" fontId="18" fillId="2" borderId="1" xfId="0" applyFont="1" applyFill="1" applyBorder="1" applyAlignment="1">
      <alignment vertical="center" wrapText="1"/>
    </xf>
    <xf numFmtId="0" fontId="15" fillId="2" borderId="1" xfId="0" quotePrefix="1" applyFont="1" applyFill="1" applyBorder="1" applyAlignment="1">
      <alignment horizontal="left" vertical="center" wrapText="1"/>
    </xf>
    <xf numFmtId="0" fontId="15" fillId="2" borderId="1" xfId="0" applyFont="1" applyFill="1" applyBorder="1" applyAlignment="1">
      <alignment vertical="center" wrapText="1"/>
    </xf>
    <xf numFmtId="0" fontId="15" fillId="2" borderId="1" xfId="0" applyFont="1" applyFill="1" applyBorder="1" applyAlignment="1">
      <alignment horizontal="right" vertical="center" wrapText="1"/>
    </xf>
    <xf numFmtId="0" fontId="18" fillId="2" borderId="26" xfId="0" applyFont="1" applyFill="1" applyBorder="1" applyAlignment="1">
      <alignment horizontal="center" vertical="center" wrapText="1"/>
    </xf>
    <xf numFmtId="0" fontId="18" fillId="2" borderId="26" xfId="0" quotePrefix="1" applyFont="1" applyFill="1" applyBorder="1" applyAlignment="1">
      <alignment horizontal="center" vertical="center" wrapText="1"/>
    </xf>
    <xf numFmtId="0" fontId="18" fillId="2" borderId="27" xfId="0" applyFont="1" applyFill="1" applyBorder="1" applyAlignment="1">
      <alignment horizontal="center" vertical="center" wrapText="1"/>
    </xf>
    <xf numFmtId="0" fontId="18" fillId="2" borderId="28" xfId="0" applyFont="1" applyFill="1" applyBorder="1" applyAlignment="1">
      <alignment vertical="center" wrapText="1"/>
    </xf>
    <xf numFmtId="3" fontId="18" fillId="2" borderId="32" xfId="0" applyNumberFormat="1" applyFont="1" applyFill="1" applyBorder="1" applyAlignment="1">
      <alignment horizontal="center" vertical="center" wrapText="1"/>
    </xf>
    <xf numFmtId="3" fontId="18" fillId="2" borderId="32" xfId="0" applyNumberFormat="1" applyFont="1" applyFill="1" applyBorder="1" applyAlignment="1">
      <alignment vertical="center" wrapText="1"/>
    </xf>
    <xf numFmtId="4" fontId="18" fillId="2" borderId="5" xfId="0" applyNumberFormat="1" applyFont="1" applyFill="1" applyBorder="1" applyAlignment="1">
      <alignment vertical="center" wrapText="1"/>
    </xf>
    <xf numFmtId="4" fontId="18" fillId="2" borderId="33" xfId="0" applyNumberFormat="1" applyFont="1" applyFill="1" applyBorder="1" applyAlignment="1">
      <alignment vertical="center" wrapText="1"/>
    </xf>
    <xf numFmtId="0" fontId="18" fillId="2" borderId="34" xfId="0" applyFont="1" applyFill="1" applyBorder="1" applyAlignment="1">
      <alignment vertical="center" wrapText="1"/>
    </xf>
    <xf numFmtId="3" fontId="18" fillId="2" borderId="38" xfId="0" applyNumberFormat="1" applyFont="1" applyFill="1" applyBorder="1" applyAlignment="1">
      <alignment horizontal="center" vertical="center" wrapText="1"/>
    </xf>
    <xf numFmtId="3" fontId="18" fillId="2" borderId="38" xfId="0" applyNumberFormat="1" applyFont="1" applyFill="1" applyBorder="1" applyAlignment="1">
      <alignment vertical="center" wrapText="1"/>
    </xf>
    <xf numFmtId="4" fontId="18" fillId="2" borderId="38" xfId="0" applyNumberFormat="1" applyFont="1" applyFill="1" applyBorder="1" applyAlignment="1">
      <alignment vertical="center" wrapText="1"/>
    </xf>
    <xf numFmtId="4" fontId="18" fillId="2" borderId="39" xfId="0" applyNumberFormat="1" applyFont="1" applyFill="1" applyBorder="1" applyAlignment="1">
      <alignment vertical="center" wrapText="1"/>
    </xf>
    <xf numFmtId="0" fontId="18" fillId="2" borderId="40" xfId="0" applyFont="1" applyFill="1" applyBorder="1" applyAlignment="1">
      <alignment vertical="center" wrapText="1"/>
    </xf>
    <xf numFmtId="0" fontId="15" fillId="2" borderId="1" xfId="0" applyFont="1" applyFill="1" applyBorder="1" applyAlignment="1">
      <alignment horizontal="center" vertical="center" wrapText="1"/>
    </xf>
    <xf numFmtId="4" fontId="18" fillId="2" borderId="41" xfId="0" applyNumberFormat="1" applyFont="1" applyFill="1" applyBorder="1" applyAlignment="1">
      <alignment vertical="center" wrapText="1"/>
    </xf>
    <xf numFmtId="0" fontId="18" fillId="2" borderId="42" xfId="0" applyFont="1" applyFill="1" applyBorder="1" applyAlignment="1">
      <alignment vertical="center" wrapText="1"/>
    </xf>
    <xf numFmtId="0" fontId="18" fillId="2" borderId="43" xfId="0" applyFont="1" applyFill="1" applyBorder="1" applyAlignment="1">
      <alignment vertical="center" wrapText="1"/>
    </xf>
    <xf numFmtId="0" fontId="18" fillId="2" borderId="44" xfId="0" applyFont="1" applyFill="1" applyBorder="1" applyAlignment="1">
      <alignment vertical="center" wrapText="1"/>
    </xf>
    <xf numFmtId="3" fontId="18" fillId="2" borderId="5" xfId="0" applyNumberFormat="1" applyFont="1" applyFill="1" applyBorder="1" applyAlignment="1">
      <alignment horizontal="center" vertical="center" wrapText="1"/>
    </xf>
    <xf numFmtId="3" fontId="18" fillId="2" borderId="5" xfId="0" applyNumberFormat="1" applyFont="1" applyFill="1" applyBorder="1" applyAlignment="1">
      <alignment vertical="center" wrapText="1"/>
    </xf>
    <xf numFmtId="169" fontId="18" fillId="2" borderId="5" xfId="0" applyNumberFormat="1" applyFont="1" applyFill="1" applyBorder="1" applyAlignment="1">
      <alignment vertical="center" wrapText="1"/>
    </xf>
    <xf numFmtId="169" fontId="18" fillId="2" borderId="32" xfId="0" applyNumberFormat="1" applyFont="1" applyFill="1" applyBorder="1" applyAlignment="1">
      <alignment vertical="center" wrapText="1"/>
    </xf>
    <xf numFmtId="4" fontId="18" fillId="2" borderId="45" xfId="0" applyNumberFormat="1" applyFont="1" applyFill="1" applyBorder="1" applyAlignment="1">
      <alignment vertical="center" wrapText="1"/>
    </xf>
    <xf numFmtId="0" fontId="18" fillId="2" borderId="46" xfId="0" applyFont="1" applyFill="1" applyBorder="1" applyAlignment="1">
      <alignment vertical="center" wrapText="1"/>
    </xf>
    <xf numFmtId="0" fontId="18" fillId="2" borderId="47" xfId="0" applyFont="1" applyFill="1" applyBorder="1" applyAlignment="1">
      <alignment vertical="center" wrapText="1"/>
    </xf>
    <xf numFmtId="0" fontId="18" fillId="2" borderId="48" xfId="0" applyFont="1" applyFill="1" applyBorder="1" applyAlignment="1">
      <alignment vertical="center" wrapText="1"/>
    </xf>
    <xf numFmtId="0" fontId="18" fillId="2" borderId="52" xfId="0" applyFont="1" applyFill="1" applyBorder="1" applyAlignment="1">
      <alignment vertical="center" wrapText="1"/>
    </xf>
    <xf numFmtId="0" fontId="18" fillId="2" borderId="53" xfId="0" applyFont="1" applyFill="1" applyBorder="1" applyAlignment="1">
      <alignment vertical="center" wrapText="1"/>
    </xf>
    <xf numFmtId="0" fontId="18" fillId="2" borderId="54" xfId="0" applyFont="1" applyFill="1" applyBorder="1" applyAlignment="1">
      <alignment vertical="center" wrapText="1"/>
    </xf>
    <xf numFmtId="0" fontId="18" fillId="2" borderId="55" xfId="0" applyFont="1" applyFill="1" applyBorder="1" applyAlignment="1">
      <alignment horizontal="center" vertical="center" wrapText="1"/>
    </xf>
    <xf numFmtId="170" fontId="18" fillId="2" borderId="5" xfId="0" applyNumberFormat="1" applyFont="1" applyFill="1" applyBorder="1" applyAlignment="1">
      <alignment horizontal="center" vertical="center" wrapText="1"/>
    </xf>
    <xf numFmtId="4" fontId="18" fillId="2" borderId="5" xfId="0" applyNumberFormat="1" applyFont="1" applyFill="1" applyBorder="1" applyAlignment="1">
      <alignment horizontal="center" vertical="center" wrapText="1"/>
    </xf>
    <xf numFmtId="0" fontId="18" fillId="2" borderId="5" xfId="0" applyFont="1" applyFill="1" applyBorder="1" applyAlignment="1">
      <alignment vertical="center" wrapText="1"/>
    </xf>
    <xf numFmtId="170" fontId="18" fillId="2" borderId="5" xfId="0" applyNumberFormat="1" applyFont="1" applyFill="1" applyBorder="1" applyAlignment="1">
      <alignment vertical="center" wrapText="1"/>
    </xf>
    <xf numFmtId="0" fontId="18" fillId="2" borderId="58" xfId="0" applyFont="1" applyFill="1" applyBorder="1" applyAlignment="1">
      <alignment vertical="center" wrapText="1"/>
    </xf>
    <xf numFmtId="0" fontId="18" fillId="2" borderId="59" xfId="0" applyFont="1" applyFill="1" applyBorder="1" applyAlignment="1">
      <alignment vertical="center" wrapText="1"/>
    </xf>
    <xf numFmtId="0" fontId="17" fillId="2" borderId="41" xfId="0" applyFont="1" applyFill="1" applyBorder="1" applyAlignment="1">
      <alignment horizontal="center" vertical="center" wrapText="1"/>
    </xf>
    <xf numFmtId="171" fontId="17" fillId="2" borderId="34" xfId="0" applyNumberFormat="1" applyFont="1" applyFill="1" applyBorder="1" applyAlignment="1">
      <alignment vertical="center" wrapText="1"/>
    </xf>
    <xf numFmtId="0" fontId="18" fillId="2" borderId="60" xfId="0" applyFont="1" applyFill="1" applyBorder="1" applyAlignment="1">
      <alignment horizontal="center" vertical="center" wrapText="1"/>
    </xf>
    <xf numFmtId="171" fontId="17" fillId="2" borderId="40" xfId="0" applyNumberFormat="1" applyFont="1" applyFill="1" applyBorder="1" applyAlignment="1">
      <alignment vertical="center" wrapText="1"/>
    </xf>
    <xf numFmtId="172" fontId="18" fillId="2" borderId="5" xfId="0" applyNumberFormat="1" applyFont="1" applyFill="1" applyBorder="1" applyAlignment="1">
      <alignment vertical="center" wrapText="1"/>
    </xf>
    <xf numFmtId="9" fontId="18" fillId="2" borderId="5" xfId="0" applyNumberFormat="1" applyFont="1" applyFill="1" applyBorder="1" applyAlignment="1">
      <alignment horizontal="center" vertical="center" wrapText="1"/>
    </xf>
    <xf numFmtId="4" fontId="18" fillId="2" borderId="61" xfId="0" applyNumberFormat="1" applyFont="1" applyFill="1" applyBorder="1" applyAlignment="1">
      <alignment vertical="center" wrapText="1"/>
    </xf>
    <xf numFmtId="0" fontId="18" fillId="2" borderId="62" xfId="0" applyFont="1" applyFill="1" applyBorder="1" applyAlignment="1">
      <alignment vertical="center" wrapText="1"/>
    </xf>
    <xf numFmtId="4" fontId="18" fillId="2" borderId="48" xfId="0" applyNumberFormat="1" applyFont="1" applyFill="1" applyBorder="1" applyAlignment="1">
      <alignment vertical="center" wrapText="1"/>
    </xf>
    <xf numFmtId="0" fontId="18" fillId="2" borderId="1" xfId="0" applyFont="1" applyFill="1" applyBorder="1" applyAlignment="1">
      <alignment horizontal="center" vertical="center" wrapText="1"/>
    </xf>
    <xf numFmtId="4" fontId="15" fillId="2" borderId="41" xfId="0" applyNumberFormat="1" applyFont="1" applyFill="1" applyBorder="1" applyAlignment="1">
      <alignment vertical="center" wrapText="1"/>
    </xf>
    <xf numFmtId="4" fontId="18" fillId="2" borderId="1" xfId="0" applyNumberFormat="1" applyFont="1" applyFill="1" applyBorder="1" applyAlignment="1">
      <alignment vertical="center" wrapText="1"/>
    </xf>
    <xf numFmtId="173" fontId="15" fillId="2" borderId="1" xfId="0" applyNumberFormat="1" applyFont="1" applyFill="1" applyBorder="1" applyAlignment="1">
      <alignment horizontal="center" vertical="center" wrapText="1"/>
    </xf>
    <xf numFmtId="0" fontId="19" fillId="2" borderId="1" xfId="0" applyFont="1" applyFill="1" applyBorder="1" applyAlignment="1">
      <alignment vertical="center" wrapText="1"/>
    </xf>
    <xf numFmtId="0" fontId="20" fillId="2" borderId="1" xfId="0" applyFont="1" applyFill="1" applyBorder="1" applyAlignment="1">
      <alignment vertical="center" wrapText="1"/>
    </xf>
    <xf numFmtId="0" fontId="21" fillId="2" borderId="1" xfId="0" applyFont="1" applyFill="1" applyBorder="1" applyAlignment="1">
      <alignment vertical="center" wrapText="1"/>
    </xf>
    <xf numFmtId="0" fontId="19" fillId="2" borderId="1" xfId="0" applyFont="1" applyFill="1" applyBorder="1" applyAlignment="1">
      <alignment horizontal="left" vertical="center" wrapText="1"/>
    </xf>
    <xf numFmtId="0" fontId="19" fillId="2" borderId="1" xfId="0" quotePrefix="1" applyFont="1" applyFill="1" applyBorder="1" applyAlignment="1">
      <alignment horizontal="left" vertical="center" wrapText="1"/>
    </xf>
    <xf numFmtId="0" fontId="20" fillId="2" borderId="26" xfId="0" applyFont="1" applyFill="1" applyBorder="1" applyAlignment="1">
      <alignment horizontal="center" vertical="center" wrapText="1"/>
    </xf>
    <xf numFmtId="0" fontId="20" fillId="2" borderId="26" xfId="0" quotePrefix="1" applyFont="1" applyFill="1" applyBorder="1" applyAlignment="1">
      <alignment horizontal="center" vertical="center" wrapText="1"/>
    </xf>
    <xf numFmtId="0" fontId="20" fillId="2" borderId="27" xfId="0" applyFont="1" applyFill="1" applyBorder="1" applyAlignment="1">
      <alignment horizontal="center" vertical="center" wrapText="1"/>
    </xf>
    <xf numFmtId="0" fontId="20" fillId="2" borderId="28" xfId="0" applyFont="1" applyFill="1" applyBorder="1" applyAlignment="1">
      <alignment vertical="center" wrapText="1"/>
    </xf>
    <xf numFmtId="3" fontId="20" fillId="2" borderId="5" xfId="0" applyNumberFormat="1" applyFont="1" applyFill="1" applyBorder="1" applyAlignment="1">
      <alignment horizontal="center" vertical="center" wrapText="1"/>
    </xf>
    <xf numFmtId="3" fontId="20" fillId="2" borderId="5" xfId="0" applyNumberFormat="1" applyFont="1" applyFill="1" applyBorder="1" applyAlignment="1">
      <alignment vertical="center" wrapText="1"/>
    </xf>
    <xf numFmtId="4" fontId="20" fillId="2" borderId="33" xfId="0" applyNumberFormat="1" applyFont="1" applyFill="1" applyBorder="1" applyAlignment="1">
      <alignment vertical="center" wrapText="1"/>
    </xf>
    <xf numFmtId="0" fontId="20" fillId="2" borderId="34" xfId="0" applyFont="1" applyFill="1" applyBorder="1" applyAlignment="1">
      <alignment vertical="center" wrapText="1"/>
    </xf>
    <xf numFmtId="3" fontId="20" fillId="2" borderId="32" xfId="0" applyNumberFormat="1" applyFont="1" applyFill="1" applyBorder="1" applyAlignment="1">
      <alignment horizontal="center" vertical="center" wrapText="1"/>
    </xf>
    <xf numFmtId="3" fontId="20" fillId="2" borderId="32" xfId="0" applyNumberFormat="1" applyFont="1" applyFill="1" applyBorder="1" applyAlignment="1">
      <alignment vertical="center" wrapText="1"/>
    </xf>
    <xf numFmtId="4" fontId="20" fillId="2" borderId="5" xfId="0" applyNumberFormat="1" applyFont="1" applyFill="1" applyBorder="1" applyAlignment="1">
      <alignment vertical="center" wrapText="1"/>
    </xf>
    <xf numFmtId="3" fontId="20" fillId="2" borderId="38" xfId="0" applyNumberFormat="1" applyFont="1" applyFill="1" applyBorder="1" applyAlignment="1">
      <alignment horizontal="center" vertical="center" wrapText="1"/>
    </xf>
    <xf numFmtId="3" fontId="20" fillId="2" borderId="38" xfId="0" applyNumberFormat="1" applyFont="1" applyFill="1" applyBorder="1" applyAlignment="1">
      <alignment vertical="center" wrapText="1"/>
    </xf>
    <xf numFmtId="4" fontId="20" fillId="2" borderId="38" xfId="0" applyNumberFormat="1" applyFont="1" applyFill="1" applyBorder="1" applyAlignment="1">
      <alignment vertical="center" wrapText="1"/>
    </xf>
    <xf numFmtId="4" fontId="20" fillId="2" borderId="39" xfId="0" applyNumberFormat="1" applyFont="1" applyFill="1" applyBorder="1" applyAlignment="1">
      <alignment vertical="center" wrapText="1"/>
    </xf>
    <xf numFmtId="0" fontId="20" fillId="2" borderId="40" xfId="0" applyFont="1" applyFill="1" applyBorder="1" applyAlignment="1">
      <alignment vertical="center" wrapText="1"/>
    </xf>
    <xf numFmtId="0" fontId="19" fillId="2" borderId="1" xfId="0" applyFont="1" applyFill="1" applyBorder="1" applyAlignment="1">
      <alignment horizontal="center" vertical="center" wrapText="1"/>
    </xf>
    <xf numFmtId="4" fontId="20" fillId="2" borderId="41" xfId="0" applyNumberFormat="1" applyFont="1" applyFill="1" applyBorder="1" applyAlignment="1">
      <alignment vertical="center" wrapText="1"/>
    </xf>
    <xf numFmtId="4" fontId="20" fillId="2" borderId="1" xfId="0" applyNumberFormat="1" applyFont="1" applyFill="1" applyBorder="1" applyAlignment="1">
      <alignment vertical="center" wrapText="1"/>
    </xf>
    <xf numFmtId="0" fontId="20" fillId="2" borderId="42" xfId="0" applyFont="1" applyFill="1" applyBorder="1" applyAlignment="1">
      <alignment vertical="center" wrapText="1"/>
    </xf>
    <xf numFmtId="0" fontId="20" fillId="2" borderId="43" xfId="0" applyFont="1" applyFill="1" applyBorder="1" applyAlignment="1">
      <alignment vertical="center" wrapText="1"/>
    </xf>
    <xf numFmtId="0" fontId="20" fillId="2" borderId="44" xfId="0" applyFont="1" applyFill="1" applyBorder="1" applyAlignment="1">
      <alignment vertical="center" wrapText="1"/>
    </xf>
    <xf numFmtId="169" fontId="20" fillId="2" borderId="5" xfId="0" applyNumberFormat="1" applyFont="1" applyFill="1" applyBorder="1" applyAlignment="1">
      <alignment vertical="center" wrapText="1"/>
    </xf>
    <xf numFmtId="0" fontId="20" fillId="2" borderId="46" xfId="0" applyFont="1" applyFill="1" applyBorder="1" applyAlignment="1">
      <alignment vertical="center" wrapText="1"/>
    </xf>
    <xf numFmtId="0" fontId="20" fillId="2" borderId="47" xfId="0" applyFont="1" applyFill="1" applyBorder="1" applyAlignment="1">
      <alignment vertical="center" wrapText="1"/>
    </xf>
    <xf numFmtId="0" fontId="20" fillId="2" borderId="48" xfId="0" applyFont="1" applyFill="1" applyBorder="1" applyAlignment="1">
      <alignment vertical="center" wrapText="1"/>
    </xf>
    <xf numFmtId="0" fontId="20" fillId="2" borderId="52" xfId="0" applyFont="1" applyFill="1" applyBorder="1" applyAlignment="1">
      <alignment vertical="center" wrapText="1"/>
    </xf>
    <xf numFmtId="0" fontId="20" fillId="2" borderId="53" xfId="0" applyFont="1" applyFill="1" applyBorder="1" applyAlignment="1">
      <alignment vertical="center" wrapText="1"/>
    </xf>
    <xf numFmtId="0" fontId="20" fillId="2" borderId="54" xfId="0" applyFont="1" applyFill="1" applyBorder="1" applyAlignment="1">
      <alignment vertical="center" wrapText="1"/>
    </xf>
    <xf numFmtId="0" fontId="20" fillId="2" borderId="55" xfId="0" applyFont="1" applyFill="1" applyBorder="1" applyAlignment="1">
      <alignment horizontal="center" vertical="center" wrapText="1"/>
    </xf>
    <xf numFmtId="170" fontId="20" fillId="2" borderId="5" xfId="0" applyNumberFormat="1" applyFont="1" applyFill="1" applyBorder="1" applyAlignment="1">
      <alignment horizontal="center" vertical="center" wrapText="1"/>
    </xf>
    <xf numFmtId="4" fontId="20" fillId="2" borderId="5" xfId="0" applyNumberFormat="1" applyFont="1" applyFill="1" applyBorder="1" applyAlignment="1">
      <alignment horizontal="center" vertical="center" wrapText="1"/>
    </xf>
    <xf numFmtId="0" fontId="20" fillId="2" borderId="5" xfId="0" applyFont="1" applyFill="1" applyBorder="1" applyAlignment="1">
      <alignment vertical="center" wrapText="1"/>
    </xf>
    <xf numFmtId="170" fontId="20" fillId="2" borderId="5" xfId="0" applyNumberFormat="1" applyFont="1" applyFill="1" applyBorder="1" applyAlignment="1">
      <alignment vertical="center" wrapText="1"/>
    </xf>
    <xf numFmtId="0" fontId="20" fillId="2" borderId="58" xfId="0" applyFont="1" applyFill="1" applyBorder="1" applyAlignment="1">
      <alignment vertical="center" wrapText="1"/>
    </xf>
    <xf numFmtId="0" fontId="20" fillId="2" borderId="59" xfId="0" applyFont="1" applyFill="1" applyBorder="1" applyAlignment="1">
      <alignment vertical="center" wrapText="1"/>
    </xf>
    <xf numFmtId="0" fontId="20" fillId="2" borderId="60" xfId="0" applyFont="1" applyFill="1" applyBorder="1" applyAlignment="1">
      <alignment horizontal="center" vertical="center" wrapText="1"/>
    </xf>
    <xf numFmtId="172" fontId="20" fillId="2" borderId="5" xfId="0" applyNumberFormat="1" applyFont="1" applyFill="1" applyBorder="1" applyAlignment="1">
      <alignment vertical="center" wrapText="1"/>
    </xf>
    <xf numFmtId="9" fontId="20" fillId="2" borderId="5" xfId="0" applyNumberFormat="1" applyFont="1" applyFill="1" applyBorder="1" applyAlignment="1">
      <alignment horizontal="center" vertical="center" wrapText="1"/>
    </xf>
    <xf numFmtId="4" fontId="20" fillId="2" borderId="61" xfId="0" applyNumberFormat="1" applyFont="1" applyFill="1" applyBorder="1" applyAlignment="1">
      <alignment vertical="center" wrapText="1"/>
    </xf>
    <xf numFmtId="0" fontId="20" fillId="2" borderId="62" xfId="0" applyFont="1" applyFill="1" applyBorder="1" applyAlignment="1">
      <alignment vertical="center" wrapText="1"/>
    </xf>
    <xf numFmtId="0" fontId="20" fillId="2" borderId="1" xfId="0" applyFont="1" applyFill="1" applyBorder="1" applyAlignment="1">
      <alignment horizontal="center" vertical="center" wrapText="1"/>
    </xf>
    <xf numFmtId="3" fontId="20" fillId="2" borderId="41" xfId="0" applyNumberFormat="1" applyFont="1" applyFill="1" applyBorder="1" applyAlignment="1">
      <alignment vertical="center" wrapText="1"/>
    </xf>
    <xf numFmtId="0" fontId="19" fillId="2" borderId="1" xfId="0" applyFont="1" applyFill="1" applyBorder="1" applyAlignment="1">
      <alignment horizontal="right" vertical="center" wrapText="1"/>
    </xf>
    <xf numFmtId="0" fontId="20" fillId="2" borderId="42" xfId="0" applyFont="1" applyFill="1" applyBorder="1" applyAlignment="1">
      <alignment vertical="center"/>
    </xf>
    <xf numFmtId="0" fontId="20" fillId="2" borderId="43" xfId="0" applyFont="1" applyFill="1" applyBorder="1" applyAlignment="1">
      <alignment vertical="center"/>
    </xf>
    <xf numFmtId="0" fontId="20" fillId="2" borderId="44" xfId="0" applyFont="1" applyFill="1" applyBorder="1" applyAlignment="1">
      <alignment vertical="center"/>
    </xf>
    <xf numFmtId="174" fontId="20" fillId="2" borderId="1" xfId="0" applyNumberFormat="1" applyFont="1" applyFill="1" applyBorder="1" applyAlignment="1">
      <alignment vertical="center" wrapText="1"/>
    </xf>
    <xf numFmtId="169" fontId="20" fillId="2" borderId="32" xfId="0" applyNumberFormat="1" applyFont="1" applyFill="1" applyBorder="1" applyAlignment="1">
      <alignment vertical="center" wrapText="1"/>
    </xf>
    <xf numFmtId="0" fontId="20" fillId="2" borderId="46" xfId="0" applyFont="1" applyFill="1" applyBorder="1" applyAlignment="1">
      <alignment vertical="center"/>
    </xf>
    <xf numFmtId="0" fontId="20" fillId="2" borderId="47" xfId="0" applyFont="1" applyFill="1" applyBorder="1" applyAlignment="1">
      <alignment vertical="center"/>
    </xf>
    <xf numFmtId="0" fontId="20" fillId="2" borderId="48" xfId="0" applyFont="1" applyFill="1" applyBorder="1" applyAlignment="1">
      <alignment vertical="center"/>
    </xf>
    <xf numFmtId="0" fontId="20" fillId="2" borderId="52" xfId="0" applyFont="1" applyFill="1" applyBorder="1" applyAlignment="1">
      <alignment horizontal="center" vertical="center" wrapText="1"/>
    </xf>
    <xf numFmtId="0" fontId="19" fillId="2" borderId="47" xfId="0" applyFont="1" applyFill="1" applyBorder="1" applyAlignment="1">
      <alignment horizontal="left" vertical="center"/>
    </xf>
    <xf numFmtId="0" fontId="20" fillId="2" borderId="1" xfId="0" applyFont="1" applyFill="1" applyBorder="1" applyAlignment="1">
      <alignment horizontal="left" vertical="center" wrapText="1"/>
    </xf>
    <xf numFmtId="175" fontId="20" fillId="2" borderId="1" xfId="0" applyNumberFormat="1" applyFont="1" applyFill="1" applyBorder="1" applyAlignment="1">
      <alignment vertical="center" wrapText="1"/>
    </xf>
    <xf numFmtId="169" fontId="21" fillId="2" borderId="1" xfId="0" applyNumberFormat="1" applyFont="1" applyFill="1" applyBorder="1" applyAlignment="1">
      <alignment vertical="center" wrapText="1"/>
    </xf>
    <xf numFmtId="171" fontId="21" fillId="2" borderId="1" xfId="0" applyNumberFormat="1" applyFont="1" applyFill="1" applyBorder="1" applyAlignment="1">
      <alignment vertical="center" wrapText="1"/>
    </xf>
    <xf numFmtId="0" fontId="20" fillId="0" borderId="0" xfId="0" applyFont="1" applyAlignment="1">
      <alignment vertical="center" wrapText="1"/>
    </xf>
    <xf numFmtId="0" fontId="21" fillId="0" borderId="0" xfId="0" applyFont="1" applyAlignment="1">
      <alignment vertical="center" wrapText="1"/>
    </xf>
    <xf numFmtId="0" fontId="20" fillId="2" borderId="42" xfId="0" applyFont="1" applyFill="1" applyBorder="1" applyAlignment="1">
      <alignment horizontal="left" vertical="center" wrapText="1"/>
    </xf>
    <xf numFmtId="0" fontId="20" fillId="2" borderId="43" xfId="0" applyFont="1" applyFill="1" applyBorder="1" applyAlignment="1">
      <alignment horizontal="left" vertical="center" wrapText="1"/>
    </xf>
    <xf numFmtId="0" fontId="20" fillId="2" borderId="44" xfId="0" applyFont="1" applyFill="1" applyBorder="1" applyAlignment="1">
      <alignment horizontal="left" vertical="center" wrapText="1"/>
    </xf>
    <xf numFmtId="0" fontId="20" fillId="2" borderId="63" xfId="0" applyFont="1" applyFill="1" applyBorder="1" applyAlignment="1">
      <alignment vertical="center" wrapText="1"/>
    </xf>
    <xf numFmtId="0" fontId="20" fillId="2" borderId="65" xfId="0" applyFont="1" applyFill="1" applyBorder="1" applyAlignment="1">
      <alignment vertical="center" wrapText="1"/>
    </xf>
    <xf numFmtId="0" fontId="20" fillId="2" borderId="66" xfId="0" applyFont="1" applyFill="1" applyBorder="1" applyAlignment="1">
      <alignment horizontal="center" vertical="center" wrapText="1"/>
    </xf>
    <xf numFmtId="0" fontId="20" fillId="2" borderId="67" xfId="0" applyFont="1" applyFill="1" applyBorder="1" applyAlignment="1">
      <alignment horizontal="center" vertical="center" wrapText="1"/>
    </xf>
    <xf numFmtId="0" fontId="20" fillId="2" borderId="68" xfId="0" applyFont="1" applyFill="1" applyBorder="1" applyAlignment="1">
      <alignment vertical="center" wrapText="1"/>
    </xf>
    <xf numFmtId="0" fontId="19" fillId="2" borderId="1" xfId="0" quotePrefix="1" applyFont="1" applyFill="1" applyBorder="1" applyAlignment="1">
      <alignment horizontal="center" vertical="center" wrapText="1"/>
    </xf>
    <xf numFmtId="3" fontId="20" fillId="2" borderId="5" xfId="0" applyNumberFormat="1" applyFont="1" applyFill="1" applyBorder="1" applyAlignment="1">
      <alignment horizontal="center" vertical="center"/>
    </xf>
    <xf numFmtId="176" fontId="20" fillId="2" borderId="33" xfId="0" applyNumberFormat="1" applyFont="1" applyFill="1" applyBorder="1" applyAlignment="1">
      <alignment vertical="center"/>
    </xf>
    <xf numFmtId="169" fontId="20" fillId="2" borderId="5" xfId="0" applyNumberFormat="1" applyFont="1" applyFill="1" applyBorder="1" applyAlignment="1">
      <alignment vertical="center"/>
    </xf>
    <xf numFmtId="0" fontId="20" fillId="2" borderId="34" xfId="0" applyFont="1" applyFill="1" applyBorder="1" applyAlignment="1">
      <alignment vertical="center"/>
    </xf>
    <xf numFmtId="3" fontId="20" fillId="2" borderId="5" xfId="0" applyNumberFormat="1" applyFont="1" applyFill="1" applyBorder="1" applyAlignment="1">
      <alignment vertical="center"/>
    </xf>
    <xf numFmtId="3" fontId="20" fillId="2" borderId="38" xfId="0" applyNumberFormat="1" applyFont="1" applyFill="1" applyBorder="1" applyAlignment="1">
      <alignment horizontal="center" vertical="center"/>
    </xf>
    <xf numFmtId="3" fontId="20" fillId="2" borderId="38" xfId="0" applyNumberFormat="1" applyFont="1" applyFill="1" applyBorder="1" applyAlignment="1">
      <alignment vertical="center"/>
    </xf>
    <xf numFmtId="4" fontId="20" fillId="2" borderId="38" xfId="0" applyNumberFormat="1" applyFont="1" applyFill="1" applyBorder="1" applyAlignment="1">
      <alignment vertical="center"/>
    </xf>
    <xf numFmtId="4" fontId="20" fillId="2" borderId="39" xfId="0" applyNumberFormat="1" applyFont="1" applyFill="1" applyBorder="1" applyAlignment="1">
      <alignment vertical="center"/>
    </xf>
    <xf numFmtId="0" fontId="20" fillId="2" borderId="40" xfId="0" applyFont="1" applyFill="1" applyBorder="1" applyAlignment="1">
      <alignment vertical="center"/>
    </xf>
    <xf numFmtId="4" fontId="20" fillId="2" borderId="5" xfId="0" applyNumberFormat="1" applyFont="1" applyFill="1" applyBorder="1" applyAlignment="1">
      <alignment vertical="center"/>
    </xf>
    <xf numFmtId="0" fontId="20" fillId="2" borderId="42" xfId="0" applyFont="1" applyFill="1" applyBorder="1" applyAlignment="1">
      <alignment horizontal="left" vertical="center"/>
    </xf>
    <xf numFmtId="174" fontId="17" fillId="2" borderId="1" xfId="0" applyNumberFormat="1" applyFont="1" applyFill="1" applyBorder="1" applyAlignment="1">
      <alignment vertical="center" wrapText="1"/>
    </xf>
    <xf numFmtId="0" fontId="7" fillId="0" borderId="0" xfId="0" applyFont="1" applyAlignment="1">
      <alignment horizontal="right" vertical="center"/>
    </xf>
    <xf numFmtId="168" fontId="7" fillId="0" borderId="0" xfId="0" applyNumberFormat="1" applyFont="1" applyAlignment="1">
      <alignment horizontal="right" vertical="center"/>
    </xf>
    <xf numFmtId="0" fontId="6" fillId="2" borderId="1" xfId="0" applyFont="1" applyFill="1" applyBorder="1" applyAlignment="1">
      <alignment horizontal="center" vertical="center"/>
    </xf>
    <xf numFmtId="0" fontId="7" fillId="2" borderId="1" xfId="0" applyFont="1" applyFill="1" applyBorder="1" applyAlignment="1">
      <alignment horizontal="right" vertical="center"/>
    </xf>
    <xf numFmtId="39" fontId="23" fillId="2" borderId="5" xfId="0" applyNumberFormat="1" applyFont="1" applyFill="1" applyBorder="1" applyAlignment="1">
      <alignment horizontal="left" vertical="center" wrapText="1"/>
    </xf>
    <xf numFmtId="0" fontId="7" fillId="2" borderId="5" xfId="0" applyFont="1" applyFill="1" applyBorder="1" applyAlignment="1">
      <alignment horizontal="center" vertical="center" wrapText="1"/>
    </xf>
    <xf numFmtId="4" fontId="7" fillId="2" borderId="5" xfId="0" applyNumberFormat="1" applyFont="1" applyFill="1" applyBorder="1" applyAlignment="1">
      <alignment horizontal="right" vertical="center" wrapText="1"/>
    </xf>
    <xf numFmtId="168" fontId="7" fillId="0" borderId="5" xfId="0" applyNumberFormat="1" applyFont="1" applyBorder="1" applyAlignment="1">
      <alignment horizontal="right" vertical="center" wrapText="1"/>
    </xf>
    <xf numFmtId="177" fontId="7" fillId="2" borderId="1" xfId="0" applyNumberFormat="1" applyFont="1" applyFill="1" applyBorder="1" applyAlignment="1">
      <alignment horizontal="right" vertical="center"/>
    </xf>
    <xf numFmtId="4" fontId="7" fillId="2" borderId="5" xfId="0" applyNumberFormat="1" applyFont="1" applyFill="1" applyBorder="1" applyAlignment="1">
      <alignment vertical="center" wrapText="1"/>
    </xf>
    <xf numFmtId="39" fontId="23" fillId="2" borderId="5" xfId="0" applyNumberFormat="1" applyFont="1" applyFill="1" applyBorder="1" applyAlignment="1">
      <alignment vertical="center" wrapText="1"/>
    </xf>
    <xf numFmtId="178" fontId="7" fillId="2" borderId="1" xfId="0" applyNumberFormat="1" applyFont="1" applyFill="1" applyBorder="1" applyAlignment="1">
      <alignment horizontal="right" vertical="center"/>
    </xf>
    <xf numFmtId="0" fontId="7" fillId="2" borderId="5" xfId="0" applyFont="1" applyFill="1" applyBorder="1" applyAlignment="1">
      <alignment horizontal="left" vertical="center" wrapText="1"/>
    </xf>
    <xf numFmtId="0" fontId="7" fillId="0" borderId="5" xfId="0" applyFont="1" applyBorder="1" applyAlignment="1">
      <alignment horizontal="center" vertical="center" wrapText="1"/>
    </xf>
    <xf numFmtId="4" fontId="7" fillId="0" borderId="5" xfId="0" applyNumberFormat="1" applyFont="1" applyBorder="1" applyAlignment="1">
      <alignment horizontal="right" vertical="center" wrapText="1"/>
    </xf>
    <xf numFmtId="0" fontId="20" fillId="0" borderId="0" xfId="0" applyFont="1" applyAlignment="1">
      <alignment vertical="center"/>
    </xf>
    <xf numFmtId="4" fontId="6" fillId="6" borderId="76" xfId="0" applyNumberFormat="1" applyFont="1" applyFill="1" applyBorder="1" applyAlignment="1">
      <alignment horizontal="center" vertical="center" wrapText="1"/>
    </xf>
    <xf numFmtId="0" fontId="7" fillId="0" borderId="80" xfId="0" applyFont="1" applyBorder="1" applyAlignment="1">
      <alignment vertical="center"/>
    </xf>
    <xf numFmtId="0" fontId="7" fillId="0" borderId="81" xfId="0" applyFont="1" applyBorder="1" applyAlignment="1">
      <alignment vertical="center"/>
    </xf>
    <xf numFmtId="4" fontId="7" fillId="0" borderId="24" xfId="0" applyNumberFormat="1" applyFont="1" applyBorder="1" applyAlignment="1">
      <alignment vertical="center" wrapText="1"/>
    </xf>
    <xf numFmtId="180" fontId="6" fillId="0" borderId="83" xfId="0" applyNumberFormat="1" applyFont="1" applyBorder="1" applyAlignment="1">
      <alignment vertical="center" wrapText="1"/>
    </xf>
    <xf numFmtId="4" fontId="7" fillId="0" borderId="36" xfId="0" applyNumberFormat="1" applyFont="1" applyBorder="1" applyAlignment="1">
      <alignment vertical="center" wrapText="1"/>
    </xf>
    <xf numFmtId="4" fontId="6" fillId="0" borderId="85" xfId="0" applyNumberFormat="1" applyFont="1" applyBorder="1" applyAlignment="1">
      <alignment vertical="center" wrapText="1"/>
    </xf>
    <xf numFmtId="4" fontId="6" fillId="6" borderId="41" xfId="0" applyNumberFormat="1" applyFont="1" applyFill="1" applyBorder="1" applyAlignment="1">
      <alignment horizontal="center" vertical="center" wrapText="1"/>
    </xf>
    <xf numFmtId="0" fontId="6" fillId="6" borderId="41" xfId="0" applyFont="1" applyFill="1" applyBorder="1" applyAlignment="1">
      <alignment horizontal="center" vertical="center" wrapText="1"/>
    </xf>
    <xf numFmtId="3" fontId="6" fillId="6" borderId="41" xfId="0" applyNumberFormat="1" applyFont="1" applyFill="1" applyBorder="1" applyAlignment="1">
      <alignment horizontal="center" vertical="center" wrapText="1"/>
    </xf>
    <xf numFmtId="10" fontId="6" fillId="6" borderId="41" xfId="0" applyNumberFormat="1" applyFont="1" applyFill="1" applyBorder="1" applyAlignment="1">
      <alignment horizontal="center" vertical="center" wrapText="1"/>
    </xf>
    <xf numFmtId="4" fontId="6" fillId="0" borderId="72" xfId="0" applyNumberFormat="1" applyFont="1" applyBorder="1" applyAlignment="1">
      <alignment horizontal="center" vertical="center"/>
    </xf>
    <xf numFmtId="0" fontId="24" fillId="0" borderId="60" xfId="0" applyFont="1" applyBorder="1" applyAlignment="1">
      <alignment horizontal="center" vertical="center" wrapText="1"/>
    </xf>
    <xf numFmtId="0" fontId="7" fillId="0" borderId="60" xfId="0" applyFont="1" applyBorder="1" applyAlignment="1">
      <alignment horizontal="center" vertical="center" wrapText="1"/>
    </xf>
    <xf numFmtId="4" fontId="7" fillId="0" borderId="60" xfId="0" applyNumberFormat="1" applyFont="1" applyBorder="1" applyAlignment="1">
      <alignment vertical="center" wrapText="1"/>
    </xf>
    <xf numFmtId="3" fontId="7" fillId="0" borderId="60" xfId="0" applyNumberFormat="1" applyFont="1" applyBorder="1" applyAlignment="1">
      <alignment vertical="center" wrapText="1"/>
    </xf>
    <xf numFmtId="0" fontId="7" fillId="0" borderId="60" xfId="0" applyFont="1" applyBorder="1" applyAlignment="1">
      <alignment vertical="center" wrapText="1"/>
    </xf>
    <xf numFmtId="10" fontId="6" fillId="0" borderId="73" xfId="0" applyNumberFormat="1" applyFont="1" applyBorder="1" applyAlignment="1">
      <alignment vertical="center" wrapText="1"/>
    </xf>
    <xf numFmtId="4" fontId="7" fillId="0" borderId="74" xfId="0" applyNumberFormat="1" applyFont="1" applyBorder="1" applyAlignment="1">
      <alignment horizontal="center" vertical="center"/>
    </xf>
    <xf numFmtId="0" fontId="24" fillId="0" borderId="5" xfId="0" applyFont="1" applyBorder="1" applyAlignment="1">
      <alignment horizontal="center" vertical="center" wrapText="1"/>
    </xf>
    <xf numFmtId="4" fontId="7" fillId="0" borderId="5" xfId="0" applyNumberFormat="1" applyFont="1" applyBorder="1" applyAlignment="1">
      <alignment vertical="center" wrapText="1"/>
    </xf>
    <xf numFmtId="3" fontId="7" fillId="0" borderId="5" xfId="0" applyNumberFormat="1" applyFont="1" applyBorder="1" applyAlignment="1">
      <alignment vertical="center" wrapText="1"/>
    </xf>
    <xf numFmtId="0" fontId="7" fillId="0" borderId="5" xfId="0" applyFont="1" applyBorder="1" applyAlignment="1">
      <alignment vertical="center" wrapText="1"/>
    </xf>
    <xf numFmtId="174" fontId="6" fillId="0" borderId="5" xfId="0" applyNumberFormat="1" applyFont="1" applyBorder="1" applyAlignment="1">
      <alignment vertical="center" wrapText="1"/>
    </xf>
    <xf numFmtId="10" fontId="6" fillId="0" borderId="61" xfId="0" applyNumberFormat="1" applyFont="1" applyBorder="1" applyAlignment="1">
      <alignment vertical="center" wrapText="1"/>
    </xf>
    <xf numFmtId="174" fontId="7" fillId="0" borderId="5" xfId="0" applyNumberFormat="1" applyFont="1" applyBorder="1" applyAlignment="1">
      <alignment vertical="center" wrapText="1"/>
    </xf>
    <xf numFmtId="10" fontId="7" fillId="0" borderId="5" xfId="0" applyNumberFormat="1" applyFont="1" applyBorder="1" applyAlignment="1">
      <alignment vertical="center" wrapText="1"/>
    </xf>
    <xf numFmtId="10" fontId="7" fillId="0" borderId="61" xfId="0" applyNumberFormat="1" applyFont="1" applyBorder="1" applyAlignment="1">
      <alignment vertical="center" wrapText="1"/>
    </xf>
    <xf numFmtId="4" fontId="7" fillId="0" borderId="5" xfId="0" applyNumberFormat="1" applyFont="1" applyBorder="1" applyAlignment="1">
      <alignment horizontal="center" vertical="center" wrapText="1"/>
    </xf>
    <xf numFmtId="4" fontId="6" fillId="0" borderId="74" xfId="0" applyNumberFormat="1" applyFont="1" applyBorder="1" applyAlignment="1">
      <alignment horizontal="center" vertical="center"/>
    </xf>
    <xf numFmtId="0" fontId="6" fillId="0" borderId="5" xfId="0" applyFont="1" applyBorder="1" applyAlignment="1">
      <alignment horizontal="center" vertical="center" wrapText="1"/>
    </xf>
    <xf numFmtId="179" fontId="20" fillId="0" borderId="0" xfId="0" applyNumberFormat="1" applyFont="1" applyAlignment="1">
      <alignment vertical="center"/>
    </xf>
    <xf numFmtId="4" fontId="7" fillId="0" borderId="86" xfId="0" applyNumberFormat="1" applyFont="1" applyBorder="1" applyAlignment="1">
      <alignment horizontal="center" vertical="center"/>
    </xf>
    <xf numFmtId="0" fontId="7" fillId="0" borderId="87" xfId="0" applyFont="1" applyBorder="1" applyAlignment="1">
      <alignment vertical="center" wrapText="1"/>
    </xf>
    <xf numFmtId="4" fontId="7" fillId="0" borderId="87" xfId="0" applyNumberFormat="1" applyFont="1" applyBorder="1" applyAlignment="1">
      <alignment vertical="center" wrapText="1"/>
    </xf>
    <xf numFmtId="4" fontId="7" fillId="0" borderId="5" xfId="0" applyNumberFormat="1" applyFont="1" applyBorder="1" applyAlignment="1">
      <alignment horizontal="center" vertical="center"/>
    </xf>
    <xf numFmtId="4" fontId="7" fillId="0" borderId="88" xfId="0" applyNumberFormat="1" applyFont="1" applyBorder="1" applyAlignment="1">
      <alignment horizontal="center" vertical="center"/>
    </xf>
    <xf numFmtId="0" fontId="7" fillId="0" borderId="89" xfId="0" applyFont="1" applyBorder="1" applyAlignment="1">
      <alignment vertical="center" wrapText="1"/>
    </xf>
    <xf numFmtId="0" fontId="7" fillId="0" borderId="89" xfId="0" applyFont="1" applyBorder="1" applyAlignment="1">
      <alignment horizontal="center" vertical="center" wrapText="1"/>
    </xf>
    <xf numFmtId="10" fontId="7" fillId="0" borderId="89" xfId="0" applyNumberFormat="1" applyFont="1" applyBorder="1" applyAlignment="1">
      <alignment vertical="center" wrapText="1"/>
    </xf>
    <xf numFmtId="4" fontId="7" fillId="0" borderId="89" xfId="0" applyNumberFormat="1" applyFont="1" applyBorder="1" applyAlignment="1">
      <alignment vertical="center" wrapText="1"/>
    </xf>
    <xf numFmtId="174" fontId="7" fillId="0" borderId="89" xfId="0" applyNumberFormat="1" applyFont="1" applyBorder="1" applyAlignment="1">
      <alignment vertical="center" wrapText="1"/>
    </xf>
    <xf numFmtId="3" fontId="7" fillId="0" borderId="89" xfId="0" applyNumberFormat="1" applyFont="1" applyBorder="1" applyAlignment="1">
      <alignment vertical="center" wrapText="1"/>
    </xf>
    <xf numFmtId="10" fontId="7" fillId="0" borderId="90" xfId="0" applyNumberFormat="1" applyFont="1" applyBorder="1" applyAlignment="1">
      <alignment vertical="center" wrapText="1"/>
    </xf>
    <xf numFmtId="174" fontId="20" fillId="0" borderId="0" xfId="0" applyNumberFormat="1" applyFont="1" applyAlignment="1">
      <alignment vertical="center"/>
    </xf>
    <xf numFmtId="4" fontId="7" fillId="0" borderId="91" xfId="0" applyNumberFormat="1" applyFont="1" applyBorder="1" applyAlignment="1">
      <alignment horizontal="center" vertical="center"/>
    </xf>
    <xf numFmtId="0" fontId="24" fillId="0" borderId="92" xfId="0" applyFont="1" applyBorder="1" applyAlignment="1">
      <alignment vertical="center" wrapText="1"/>
    </xf>
    <xf numFmtId="0" fontId="7" fillId="0" borderId="92" xfId="0" applyFont="1" applyBorder="1" applyAlignment="1">
      <alignment horizontal="center" vertical="center" wrapText="1"/>
    </xf>
    <xf numFmtId="181" fontId="7" fillId="0" borderId="92" xfId="0" applyNumberFormat="1" applyFont="1" applyBorder="1" applyAlignment="1">
      <alignment vertical="center" wrapText="1"/>
    </xf>
    <xf numFmtId="4" fontId="7" fillId="0" borderId="92" xfId="0" applyNumberFormat="1" applyFont="1" applyBorder="1" applyAlignment="1">
      <alignment vertical="center" wrapText="1"/>
    </xf>
    <xf numFmtId="3" fontId="7" fillId="0" borderId="92" xfId="0" applyNumberFormat="1" applyFont="1" applyBorder="1" applyAlignment="1">
      <alignment vertical="center" wrapText="1"/>
    </xf>
    <xf numFmtId="0" fontId="7" fillId="0" borderId="92" xfId="0" applyFont="1" applyBorder="1" applyAlignment="1">
      <alignment vertical="center" wrapText="1"/>
    </xf>
    <xf numFmtId="3" fontId="7" fillId="0" borderId="93" xfId="0" applyNumberFormat="1" applyFont="1" applyBorder="1" applyAlignment="1">
      <alignment vertical="center" wrapText="1"/>
    </xf>
    <xf numFmtId="174" fontId="6" fillId="0" borderId="94" xfId="0" applyNumberFormat="1" applyFont="1" applyBorder="1" applyAlignment="1">
      <alignment vertical="center" wrapText="1"/>
    </xf>
    <xf numFmtId="10" fontId="6" fillId="0" borderId="94" xfId="0" applyNumberFormat="1" applyFont="1" applyBorder="1" applyAlignment="1">
      <alignment vertical="center" wrapText="1"/>
    </xf>
    <xf numFmtId="4" fontId="7" fillId="0" borderId="76" xfId="0" applyNumberFormat="1" applyFont="1" applyBorder="1" applyAlignment="1">
      <alignment horizontal="center" vertical="center"/>
    </xf>
    <xf numFmtId="0" fontId="6" fillId="0" borderId="95" xfId="0" applyFont="1" applyBorder="1" applyAlignment="1">
      <alignment vertical="center" wrapText="1"/>
    </xf>
    <xf numFmtId="0" fontId="7" fillId="0" borderId="95" xfId="0" applyFont="1" applyBorder="1" applyAlignment="1">
      <alignment horizontal="center" vertical="center" wrapText="1"/>
    </xf>
    <xf numFmtId="4" fontId="7" fillId="0" borderId="95" xfId="0" applyNumberFormat="1" applyFont="1" applyBorder="1" applyAlignment="1">
      <alignment vertical="center" wrapText="1"/>
    </xf>
    <xf numFmtId="3" fontId="7" fillId="0" borderId="95" xfId="0" applyNumberFormat="1" applyFont="1" applyBorder="1" applyAlignment="1">
      <alignment vertical="center" wrapText="1"/>
    </xf>
    <xf numFmtId="0" fontId="7" fillId="0" borderId="95" xfId="0" applyFont="1" applyBorder="1" applyAlignment="1">
      <alignment vertical="center" wrapText="1"/>
    </xf>
    <xf numFmtId="10" fontId="6" fillId="0" borderId="77" xfId="0" applyNumberFormat="1" applyFont="1" applyBorder="1" applyAlignment="1">
      <alignment vertical="center" wrapText="1"/>
    </xf>
    <xf numFmtId="10" fontId="6" fillId="0" borderId="41" xfId="0" applyNumberFormat="1" applyFont="1" applyBorder="1" applyAlignment="1">
      <alignment vertical="center" wrapText="1"/>
    </xf>
    <xf numFmtId="4" fontId="7" fillId="5" borderId="96" xfId="0" applyNumberFormat="1" applyFont="1" applyFill="1" applyBorder="1" applyAlignment="1">
      <alignment horizontal="center" vertical="center"/>
    </xf>
    <xf numFmtId="0" fontId="6" fillId="5" borderId="97" xfId="0" applyFont="1" applyFill="1" applyBorder="1" applyAlignment="1">
      <alignment vertical="center" wrapText="1"/>
    </xf>
    <xf numFmtId="0" fontId="7" fillId="5" borderId="97" xfId="0" applyFont="1" applyFill="1" applyBorder="1" applyAlignment="1">
      <alignment horizontal="center" vertical="center" wrapText="1"/>
    </xf>
    <xf numFmtId="4" fontId="7" fillId="5" borderId="97" xfId="0" applyNumberFormat="1" applyFont="1" applyFill="1" applyBorder="1" applyAlignment="1">
      <alignment vertical="center" wrapText="1"/>
    </xf>
    <xf numFmtId="3" fontId="7" fillId="5" borderId="97" xfId="0" applyNumberFormat="1" applyFont="1" applyFill="1" applyBorder="1" applyAlignment="1">
      <alignment vertical="center" wrapText="1"/>
    </xf>
    <xf numFmtId="0" fontId="7" fillId="5" borderId="97" xfId="0" applyFont="1" applyFill="1" applyBorder="1" applyAlignment="1">
      <alignment vertical="center" wrapText="1"/>
    </xf>
    <xf numFmtId="3" fontId="7" fillId="5" borderId="98" xfId="0" applyNumberFormat="1" applyFont="1" applyFill="1" applyBorder="1" applyAlignment="1">
      <alignment vertical="center" wrapText="1"/>
    </xf>
    <xf numFmtId="10" fontId="6" fillId="5" borderId="40" xfId="0" applyNumberFormat="1" applyFont="1" applyFill="1" applyBorder="1" applyAlignment="1">
      <alignment vertical="center" wrapText="1"/>
    </xf>
    <xf numFmtId="0" fontId="20" fillId="0" borderId="0" xfId="0" applyFont="1" applyAlignment="1">
      <alignment horizontal="center" vertical="center"/>
    </xf>
    <xf numFmtId="0" fontId="20" fillId="0" borderId="0" xfId="0" applyFont="1" applyAlignment="1">
      <alignment horizontal="left" vertical="center" wrapText="1"/>
    </xf>
    <xf numFmtId="0" fontId="20" fillId="0" borderId="0" xfId="0" applyFont="1" applyAlignment="1">
      <alignment horizontal="right" vertical="center"/>
    </xf>
    <xf numFmtId="183" fontId="20" fillId="0" borderId="0" xfId="0" applyNumberFormat="1" applyFont="1" applyAlignment="1">
      <alignment vertical="center"/>
    </xf>
    <xf numFmtId="184" fontId="20" fillId="0" borderId="0" xfId="0" applyNumberFormat="1" applyFont="1" applyAlignment="1">
      <alignment vertical="center"/>
    </xf>
    <xf numFmtId="0" fontId="25" fillId="0" borderId="0" xfId="0" applyFont="1" applyAlignment="1">
      <alignment horizontal="center" vertical="center"/>
    </xf>
    <xf numFmtId="0" fontId="25" fillId="0" borderId="0" xfId="0" applyFont="1" applyAlignment="1">
      <alignment vertical="center"/>
    </xf>
    <xf numFmtId="174" fontId="20" fillId="0" borderId="0" xfId="0" applyNumberFormat="1" applyFont="1" applyAlignment="1">
      <alignment horizontal="center" vertical="center"/>
    </xf>
    <xf numFmtId="186" fontId="20" fillId="0" borderId="0" xfId="0" applyNumberFormat="1" applyFont="1" applyAlignment="1">
      <alignment vertical="center"/>
    </xf>
    <xf numFmtId="0" fontId="30" fillId="0" borderId="0" xfId="0" applyFont="1" applyAlignment="1">
      <alignment horizontal="center" vertical="center" wrapText="1"/>
    </xf>
    <xf numFmtId="0" fontId="30" fillId="0" borderId="0" xfId="0" applyFont="1" applyAlignment="1">
      <alignment vertical="center" wrapText="1"/>
    </xf>
    <xf numFmtId="0" fontId="30" fillId="0" borderId="0" xfId="0" applyFont="1" applyAlignment="1">
      <alignment horizontal="right" vertical="center" wrapText="1"/>
    </xf>
    <xf numFmtId="0" fontId="25" fillId="0" borderId="0" xfId="0" applyFont="1" applyAlignment="1">
      <alignment horizontal="right" vertical="center"/>
    </xf>
    <xf numFmtId="0" fontId="25" fillId="0" borderId="0" xfId="0" applyFont="1" applyAlignment="1">
      <alignment horizontal="left" vertical="center" wrapText="1"/>
    </xf>
    <xf numFmtId="0" fontId="30" fillId="0" borderId="60" xfId="0" applyFont="1" applyBorder="1" applyAlignment="1">
      <alignment horizontal="center" vertical="center"/>
    </xf>
    <xf numFmtId="0" fontId="30" fillId="7" borderId="5" xfId="0" applyFont="1" applyFill="1" applyBorder="1" applyAlignment="1">
      <alignment horizontal="center" vertical="center" wrapText="1"/>
    </xf>
    <xf numFmtId="189" fontId="25" fillId="0" borderId="5" xfId="0" applyNumberFormat="1" applyFont="1" applyBorder="1" applyAlignment="1">
      <alignment vertical="center"/>
    </xf>
    <xf numFmtId="10" fontId="25" fillId="8" borderId="5" xfId="0" applyNumberFormat="1" applyFont="1" applyFill="1" applyBorder="1" applyAlignment="1">
      <alignment vertical="center"/>
    </xf>
    <xf numFmtId="10" fontId="25" fillId="0" borderId="5" xfId="0" applyNumberFormat="1" applyFont="1" applyBorder="1" applyAlignment="1">
      <alignment vertical="center"/>
    </xf>
    <xf numFmtId="10" fontId="25" fillId="0" borderId="87" xfId="0" applyNumberFormat="1" applyFont="1" applyBorder="1" applyAlignment="1">
      <alignment vertical="center"/>
    </xf>
    <xf numFmtId="189" fontId="25" fillId="0" borderId="89" xfId="0" applyNumberFormat="1" applyFont="1" applyBorder="1" applyAlignment="1">
      <alignment vertical="center"/>
    </xf>
    <xf numFmtId="185" fontId="25" fillId="0" borderId="107" xfId="0" applyNumberFormat="1" applyFont="1" applyBorder="1" applyAlignment="1">
      <alignment vertical="center"/>
    </xf>
    <xf numFmtId="10" fontId="25" fillId="8" borderId="33" xfId="0" applyNumberFormat="1" applyFont="1" applyFill="1" applyBorder="1" applyAlignment="1">
      <alignment vertical="center"/>
    </xf>
    <xf numFmtId="185" fontId="25" fillId="0" borderId="5" xfId="0" applyNumberFormat="1" applyFont="1" applyBorder="1" applyAlignment="1">
      <alignment vertical="center"/>
    </xf>
    <xf numFmtId="174" fontId="25" fillId="0" borderId="5" xfId="0" applyNumberFormat="1" applyFont="1" applyBorder="1" applyAlignment="1">
      <alignment vertical="center"/>
    </xf>
    <xf numFmtId="185" fontId="30" fillId="6" borderId="5" xfId="0" applyNumberFormat="1" applyFont="1" applyFill="1" applyBorder="1" applyAlignment="1">
      <alignment horizontal="right" vertical="center" wrapText="1"/>
    </xf>
    <xf numFmtId="0" fontId="25" fillId="0" borderId="61" xfId="0" applyFont="1" applyBorder="1" applyAlignment="1">
      <alignment horizontal="right" vertical="center"/>
    </xf>
    <xf numFmtId="189" fontId="25" fillId="0" borderId="38" xfId="0" applyNumberFormat="1" applyFont="1" applyBorder="1" applyAlignment="1">
      <alignment vertical="center"/>
    </xf>
    <xf numFmtId="172" fontId="30" fillId="0" borderId="75" xfId="0" applyNumberFormat="1" applyFont="1" applyBorder="1" applyAlignment="1">
      <alignment horizontal="center" vertical="center"/>
    </xf>
    <xf numFmtId="0" fontId="31" fillId="0" borderId="0" xfId="0" applyFont="1" applyAlignment="1">
      <alignment vertical="center"/>
    </xf>
    <xf numFmtId="0" fontId="32" fillId="0" borderId="0" xfId="0" applyFont="1" applyAlignment="1">
      <alignment horizontal="left" vertical="center"/>
    </xf>
    <xf numFmtId="0" fontId="33" fillId="0" borderId="0" xfId="0" applyFont="1" applyAlignment="1">
      <alignment horizontal="left" vertical="center"/>
    </xf>
    <xf numFmtId="0" fontId="31" fillId="0" borderId="0" xfId="0" applyFont="1" applyAlignment="1">
      <alignment vertical="center" wrapText="1"/>
    </xf>
    <xf numFmtId="0" fontId="34" fillId="0" borderId="0" xfId="0" applyFont="1" applyAlignment="1">
      <alignment vertical="center"/>
    </xf>
    <xf numFmtId="0" fontId="31" fillId="0" borderId="111" xfId="0" applyFont="1" applyBorder="1" applyAlignment="1">
      <alignment vertical="center"/>
    </xf>
    <xf numFmtId="0" fontId="31" fillId="0" borderId="115" xfId="0" applyFont="1" applyBorder="1" applyAlignment="1">
      <alignment vertical="center"/>
    </xf>
    <xf numFmtId="0" fontId="32" fillId="0" borderId="116" xfId="0" applyFont="1" applyBorder="1" applyAlignment="1">
      <alignment horizontal="left" vertical="center"/>
    </xf>
    <xf numFmtId="0" fontId="14" fillId="0" borderId="116" xfId="0" applyFont="1" applyBorder="1" applyAlignment="1">
      <alignment horizontal="left" vertical="center"/>
    </xf>
    <xf numFmtId="0" fontId="31" fillId="0" borderId="117" xfId="0" applyFont="1" applyBorder="1" applyAlignment="1">
      <alignment vertical="center"/>
    </xf>
    <xf numFmtId="0" fontId="31" fillId="2" borderId="1" xfId="0" applyFont="1" applyFill="1" applyBorder="1" applyAlignment="1">
      <alignment vertical="center"/>
    </xf>
    <xf numFmtId="0" fontId="31" fillId="2" borderId="120" xfId="0" applyFont="1" applyFill="1" applyBorder="1" applyAlignment="1">
      <alignment vertical="center"/>
    </xf>
    <xf numFmtId="0" fontId="31" fillId="2" borderId="123" xfId="0" applyFont="1" applyFill="1" applyBorder="1" applyAlignment="1">
      <alignment vertical="center"/>
    </xf>
    <xf numFmtId="0" fontId="35" fillId="0" borderId="38" xfId="0" applyFont="1" applyBorder="1" applyAlignment="1">
      <alignment horizontal="center" vertical="center" wrapText="1"/>
    </xf>
    <xf numFmtId="0" fontId="26" fillId="6" borderId="130" xfId="0" applyFont="1" applyFill="1" applyBorder="1" applyAlignment="1">
      <alignment vertical="center"/>
    </xf>
    <xf numFmtId="0" fontId="26" fillId="6" borderId="131" xfId="0" applyFont="1" applyFill="1" applyBorder="1" applyAlignment="1">
      <alignment vertical="center"/>
    </xf>
    <xf numFmtId="0" fontId="26" fillId="6" borderId="131" xfId="0" applyFont="1" applyFill="1" applyBorder="1" applyAlignment="1">
      <alignment vertical="center" wrapText="1"/>
    </xf>
    <xf numFmtId="0" fontId="26" fillId="6" borderId="132" xfId="0" applyFont="1" applyFill="1" applyBorder="1" applyAlignment="1">
      <alignment vertical="center"/>
    </xf>
    <xf numFmtId="0" fontId="27" fillId="0" borderId="88" xfId="0" applyFont="1" applyBorder="1" applyAlignment="1">
      <alignment horizontal="center" vertical="center"/>
    </xf>
    <xf numFmtId="0" fontId="27" fillId="0" borderId="5" xfId="0" applyFont="1" applyBorder="1" applyAlignment="1">
      <alignment horizontal="center" vertical="center"/>
    </xf>
    <xf numFmtId="39" fontId="27" fillId="0" borderId="5" xfId="0" applyNumberFormat="1" applyFont="1" applyBorder="1" applyAlignment="1">
      <alignment horizontal="left" vertical="center" wrapText="1"/>
    </xf>
    <xf numFmtId="4" fontId="27" fillId="0" borderId="5" xfId="0" applyNumberFormat="1" applyFont="1" applyBorder="1" applyAlignment="1">
      <alignment vertical="center" wrapText="1"/>
    </xf>
    <xf numFmtId="190" fontId="27" fillId="0" borderId="5" xfId="0" applyNumberFormat="1" applyFont="1" applyBorder="1" applyAlignment="1">
      <alignment horizontal="right" vertical="center" wrapText="1"/>
    </xf>
    <xf numFmtId="191" fontId="27" fillId="0" borderId="90" xfId="0" applyNumberFormat="1" applyFont="1" applyBorder="1" applyAlignment="1">
      <alignment horizontal="right" vertical="center" wrapText="1"/>
    </xf>
    <xf numFmtId="4" fontId="27" fillId="0" borderId="5" xfId="0" applyNumberFormat="1" applyFont="1" applyBorder="1" applyAlignment="1">
      <alignment horizontal="left" vertical="center" wrapText="1"/>
    </xf>
    <xf numFmtId="49" fontId="35" fillId="0" borderId="0" xfId="0" applyNumberFormat="1" applyFont="1" applyAlignment="1">
      <alignment horizontal="right" vertical="center"/>
    </xf>
    <xf numFmtId="49" fontId="35" fillId="0" borderId="0" xfId="0" applyNumberFormat="1" applyFont="1" applyAlignment="1">
      <alignment horizontal="right" vertical="center" wrapText="1"/>
    </xf>
    <xf numFmtId="191" fontId="35" fillId="0" borderId="0" xfId="0" applyNumberFormat="1" applyFont="1" applyAlignment="1">
      <alignment vertical="center"/>
    </xf>
    <xf numFmtId="0" fontId="31" fillId="0" borderId="0" xfId="0" applyFont="1" applyAlignment="1">
      <alignment horizontal="center" vertical="center"/>
    </xf>
    <xf numFmtId="191" fontId="26" fillId="0" borderId="73" xfId="0" applyNumberFormat="1" applyFont="1" applyBorder="1" applyAlignment="1">
      <alignment vertical="center"/>
    </xf>
    <xf numFmtId="0" fontId="27" fillId="0" borderId="29" xfId="0" applyFont="1" applyBorder="1" applyAlignment="1">
      <alignment horizontal="left" vertical="center" wrapText="1"/>
    </xf>
    <xf numFmtId="173" fontId="27" fillId="0" borderId="30" xfId="0" applyNumberFormat="1" applyFont="1" applyBorder="1" applyAlignment="1">
      <alignment horizontal="center" vertical="center"/>
    </xf>
    <xf numFmtId="0" fontId="26" fillId="0" borderId="30" xfId="0" applyFont="1" applyBorder="1" applyAlignment="1">
      <alignment vertical="center"/>
    </xf>
    <xf numFmtId="0" fontId="26" fillId="0" borderId="31" xfId="0" applyFont="1" applyBorder="1" applyAlignment="1">
      <alignment horizontal="right" vertical="center"/>
    </xf>
    <xf numFmtId="191" fontId="27" fillId="0" borderId="61" xfId="0" applyNumberFormat="1" applyFont="1" applyBorder="1" applyAlignment="1">
      <alignment vertical="center"/>
    </xf>
    <xf numFmtId="9" fontId="27" fillId="0" borderId="30" xfId="0" applyNumberFormat="1" applyFont="1" applyBorder="1" applyAlignment="1">
      <alignment horizontal="center" vertical="center"/>
    </xf>
    <xf numFmtId="192" fontId="27" fillId="0" borderId="30" xfId="0" applyNumberFormat="1" applyFont="1" applyBorder="1" applyAlignment="1">
      <alignment vertical="center"/>
    </xf>
    <xf numFmtId="0" fontId="27" fillId="0" borderId="31" xfId="0" applyFont="1" applyBorder="1" applyAlignment="1">
      <alignment vertical="center"/>
    </xf>
    <xf numFmtId="0" fontId="26" fillId="0" borderId="29" xfId="0" applyFont="1" applyBorder="1" applyAlignment="1">
      <alignment horizontal="left" vertical="center" wrapText="1"/>
    </xf>
    <xf numFmtId="191" fontId="26" fillId="0" borderId="61" xfId="0" applyNumberFormat="1" applyFont="1" applyBorder="1" applyAlignment="1">
      <alignment vertical="center"/>
    </xf>
    <xf numFmtId="0" fontId="31" fillId="0" borderId="29" xfId="0" applyFont="1" applyBorder="1" applyAlignment="1">
      <alignment horizontal="left" vertical="center" wrapText="1"/>
    </xf>
    <xf numFmtId="9" fontId="31" fillId="0" borderId="30" xfId="0" applyNumberFormat="1" applyFont="1" applyBorder="1" applyAlignment="1">
      <alignment horizontal="center" vertical="center"/>
    </xf>
    <xf numFmtId="192" fontId="31" fillId="0" borderId="30" xfId="0" applyNumberFormat="1" applyFont="1" applyBorder="1" applyAlignment="1">
      <alignment vertical="center"/>
    </xf>
    <xf numFmtId="0" fontId="31" fillId="0" borderId="31" xfId="0" applyFont="1" applyBorder="1" applyAlignment="1">
      <alignment horizontal="right" vertical="center"/>
    </xf>
    <xf numFmtId="191" fontId="31" fillId="0" borderId="61" xfId="0" applyNumberFormat="1" applyFont="1" applyBorder="1" applyAlignment="1">
      <alignment vertical="center"/>
    </xf>
    <xf numFmtId="0" fontId="35" fillId="0" borderId="121" xfId="0" applyFont="1" applyBorder="1" applyAlignment="1">
      <alignment horizontal="left" vertical="center" wrapText="1"/>
    </xf>
    <xf numFmtId="9" fontId="31" fillId="0" borderId="13" xfId="0" applyNumberFormat="1" applyFont="1" applyBorder="1" applyAlignment="1">
      <alignment horizontal="center" vertical="center"/>
    </xf>
    <xf numFmtId="192" fontId="31" fillId="0" borderId="13" xfId="0" applyNumberFormat="1" applyFont="1" applyBorder="1" applyAlignment="1">
      <alignment vertical="center"/>
    </xf>
    <xf numFmtId="0" fontId="31" fillId="0" borderId="7" xfId="0" applyFont="1" applyBorder="1" applyAlignment="1">
      <alignment vertical="center"/>
    </xf>
    <xf numFmtId="191" fontId="35" fillId="0" borderId="106" xfId="0" applyNumberFormat="1" applyFont="1" applyBorder="1" applyAlignment="1">
      <alignment vertical="center"/>
    </xf>
    <xf numFmtId="0" fontId="36" fillId="0" borderId="133" xfId="0" applyFont="1" applyBorder="1" applyAlignment="1">
      <alignment horizontal="left" vertical="center" wrapText="1"/>
    </xf>
    <xf numFmtId="9" fontId="38" fillId="0" borderId="78" xfId="0" applyNumberFormat="1" applyFont="1" applyBorder="1" applyAlignment="1">
      <alignment horizontal="center" vertical="center"/>
    </xf>
    <xf numFmtId="192" fontId="36" fillId="0" borderId="78" xfId="0" applyNumberFormat="1" applyFont="1" applyBorder="1" applyAlignment="1">
      <alignment vertical="center"/>
    </xf>
    <xf numFmtId="0" fontId="38" fillId="0" borderId="134" xfId="0" applyFont="1" applyBorder="1" applyAlignment="1">
      <alignment vertical="center"/>
    </xf>
    <xf numFmtId="191" fontId="36" fillId="11" borderId="132" xfId="0" applyNumberFormat="1" applyFont="1" applyFill="1" applyBorder="1" applyAlignment="1">
      <alignment vertical="center"/>
    </xf>
    <xf numFmtId="2" fontId="31" fillId="0" borderId="0" xfId="0" applyNumberFormat="1" applyFont="1" applyAlignment="1">
      <alignment vertical="center"/>
    </xf>
    <xf numFmtId="192" fontId="31" fillId="0" borderId="0" xfId="0" applyNumberFormat="1" applyFont="1" applyAlignment="1">
      <alignment vertical="center"/>
    </xf>
    <xf numFmtId="39" fontId="35" fillId="0" borderId="0" xfId="0" applyNumberFormat="1" applyFont="1" applyAlignment="1">
      <alignment vertical="center"/>
    </xf>
    <xf numFmtId="0" fontId="35" fillId="0" borderId="23" xfId="0" applyFont="1" applyBorder="1" applyAlignment="1">
      <alignment vertical="center"/>
    </xf>
    <xf numFmtId="193" fontId="31" fillId="0" borderId="115" xfId="0" applyNumberFormat="1" applyFont="1" applyBorder="1" applyAlignment="1">
      <alignment vertical="center"/>
    </xf>
    <xf numFmtId="176" fontId="35" fillId="9" borderId="135" xfId="0" applyNumberFormat="1" applyFont="1" applyFill="1" applyBorder="1" applyAlignment="1">
      <alignment horizontal="center" vertical="center"/>
    </xf>
    <xf numFmtId="194" fontId="31" fillId="0" borderId="115" xfId="0" applyNumberFormat="1" applyFont="1" applyBorder="1" applyAlignment="1">
      <alignment vertical="center"/>
    </xf>
    <xf numFmtId="176" fontId="35" fillId="9" borderId="5" xfId="0" applyNumberFormat="1" applyFont="1" applyFill="1" applyBorder="1" applyAlignment="1">
      <alignment horizontal="center" vertical="center"/>
    </xf>
    <xf numFmtId="9" fontId="27" fillId="6" borderId="61" xfId="0" applyNumberFormat="1" applyFont="1" applyFill="1" applyBorder="1" applyAlignment="1">
      <alignment horizontal="center" vertical="center"/>
    </xf>
    <xf numFmtId="173" fontId="26" fillId="6" borderId="61" xfId="0" applyNumberFormat="1" applyFont="1" applyFill="1" applyBorder="1" applyAlignment="1">
      <alignment horizontal="center" vertical="center"/>
    </xf>
    <xf numFmtId="0" fontId="31" fillId="0" borderId="138" xfId="0" applyFont="1" applyBorder="1" applyAlignment="1">
      <alignment vertical="center"/>
    </xf>
    <xf numFmtId="0" fontId="31" fillId="0" borderId="139" xfId="0" applyFont="1" applyBorder="1" applyAlignment="1">
      <alignment vertical="center"/>
    </xf>
    <xf numFmtId="0" fontId="31" fillId="0" borderId="139" xfId="0" applyFont="1" applyBorder="1" applyAlignment="1">
      <alignment horizontal="center" vertical="center"/>
    </xf>
    <xf numFmtId="166" fontId="31" fillId="0" borderId="139" xfId="0" applyNumberFormat="1" applyFont="1" applyBorder="1" applyAlignment="1">
      <alignment vertical="center" wrapText="1"/>
    </xf>
    <xf numFmtId="0" fontId="31" fillId="0" borderId="140" xfId="0" applyFont="1" applyBorder="1" applyAlignment="1">
      <alignment vertical="center"/>
    </xf>
    <xf numFmtId="0" fontId="18" fillId="0" borderId="13" xfId="0" applyFont="1" applyBorder="1" applyAlignment="1">
      <alignment vertical="center"/>
    </xf>
    <xf numFmtId="0" fontId="18" fillId="0" borderId="122" xfId="0" applyFont="1" applyBorder="1" applyAlignment="1">
      <alignment vertical="center"/>
    </xf>
    <xf numFmtId="0" fontId="18" fillId="0" borderId="60" xfId="0" applyFont="1" applyBorder="1" applyAlignment="1">
      <alignment horizontal="center" vertical="center"/>
    </xf>
    <xf numFmtId="0" fontId="18" fillId="0" borderId="73" xfId="0" applyFont="1" applyBorder="1" applyAlignment="1">
      <alignment horizontal="center" vertical="center"/>
    </xf>
    <xf numFmtId="0" fontId="45" fillId="10" borderId="83" xfId="0" applyFont="1" applyFill="1" applyBorder="1" applyAlignment="1">
      <alignment horizontal="center" vertical="center"/>
    </xf>
    <xf numFmtId="0" fontId="20" fillId="10" borderId="85" xfId="0" applyFont="1" applyFill="1" applyBorder="1" applyAlignment="1">
      <alignment horizontal="center" vertical="center"/>
    </xf>
    <xf numFmtId="4" fontId="20" fillId="10" borderId="85" xfId="0" applyNumberFormat="1" applyFont="1" applyFill="1" applyBorder="1" applyAlignment="1">
      <alignment horizontal="center" vertical="center"/>
    </xf>
    <xf numFmtId="0" fontId="7" fillId="2" borderId="1" xfId="0" applyFont="1" applyFill="1" applyBorder="1" applyAlignment="1">
      <alignment vertical="center" wrapText="1"/>
    </xf>
    <xf numFmtId="0" fontId="6" fillId="2" borderId="152" xfId="0" applyFont="1" applyFill="1" applyBorder="1" applyAlignment="1">
      <alignment horizontal="left" vertical="center" wrapText="1"/>
    </xf>
    <xf numFmtId="0" fontId="6" fillId="2" borderId="54" xfId="0" applyFont="1" applyFill="1" applyBorder="1" applyAlignment="1">
      <alignment horizontal="center" vertical="center" wrapText="1"/>
    </xf>
    <xf numFmtId="187" fontId="7" fillId="2" borderId="154" xfId="0" applyNumberFormat="1" applyFont="1" applyFill="1" applyBorder="1" applyAlignment="1">
      <alignment horizontal="center" vertical="center" wrapText="1"/>
    </xf>
    <xf numFmtId="2" fontId="7" fillId="2" borderId="97" xfId="0" applyNumberFormat="1" applyFont="1" applyFill="1" applyBorder="1" applyAlignment="1">
      <alignment horizontal="center" vertical="center" wrapText="1"/>
    </xf>
    <xf numFmtId="0" fontId="6" fillId="2" borderId="38" xfId="0" applyFont="1" applyFill="1" applyBorder="1" applyAlignment="1">
      <alignment horizontal="center" vertical="center" wrapText="1"/>
    </xf>
    <xf numFmtId="0" fontId="7" fillId="2" borderId="66" xfId="0" applyFont="1" applyFill="1" applyBorder="1" applyAlignment="1">
      <alignment vertical="center" wrapText="1"/>
    </xf>
    <xf numFmtId="0" fontId="7" fillId="2" borderId="67" xfId="0" applyFont="1" applyFill="1" applyBorder="1" applyAlignment="1">
      <alignment vertical="center" wrapText="1"/>
    </xf>
    <xf numFmtId="0" fontId="7" fillId="2" borderId="160" xfId="0" applyFont="1" applyFill="1" applyBorder="1" applyAlignment="1">
      <alignment vertical="center" wrapText="1"/>
    </xf>
    <xf numFmtId="2" fontId="7" fillId="2" borderId="1" xfId="0" applyNumberFormat="1" applyFont="1" applyFill="1" applyBorder="1" applyAlignment="1">
      <alignment vertical="center" wrapText="1"/>
    </xf>
    <xf numFmtId="0" fontId="7" fillId="2" borderId="41" xfId="0" applyFont="1" applyFill="1" applyBorder="1" applyAlignment="1">
      <alignment horizontal="center" vertical="center" wrapText="1"/>
    </xf>
    <xf numFmtId="0" fontId="7" fillId="2" borderId="63" xfId="0" applyFont="1" applyFill="1" applyBorder="1" applyAlignment="1">
      <alignment vertical="center" wrapText="1"/>
    </xf>
    <xf numFmtId="0" fontId="7" fillId="2" borderId="65" xfId="0" applyFont="1" applyFill="1" applyBorder="1" applyAlignment="1">
      <alignment vertical="center" wrapText="1"/>
    </xf>
    <xf numFmtId="0" fontId="6" fillId="2" borderId="44" xfId="0" applyFont="1" applyFill="1" applyBorder="1" applyAlignment="1">
      <alignment vertical="center" wrapText="1"/>
    </xf>
    <xf numFmtId="182" fontId="7" fillId="2" borderId="5" xfId="0" applyNumberFormat="1" applyFont="1" applyFill="1" applyBorder="1" applyAlignment="1">
      <alignment horizontal="right" vertical="center" wrapText="1"/>
    </xf>
    <xf numFmtId="187" fontId="7" fillId="2" borderId="5" xfId="0" applyNumberFormat="1" applyFont="1" applyFill="1" applyBorder="1" applyAlignment="1">
      <alignment vertical="center" wrapText="1"/>
    </xf>
    <xf numFmtId="2" fontId="7" fillId="2" borderId="61" xfId="0" applyNumberFormat="1" applyFont="1" applyFill="1" applyBorder="1" applyAlignment="1">
      <alignment horizontal="right" vertical="center" wrapText="1"/>
    </xf>
    <xf numFmtId="0" fontId="7" fillId="2" borderId="44" xfId="0" applyFont="1" applyFill="1" applyBorder="1" applyAlignment="1">
      <alignment vertical="center" wrapText="1"/>
    </xf>
    <xf numFmtId="0" fontId="7" fillId="2" borderId="1" xfId="0" applyFont="1" applyFill="1" applyBorder="1" applyAlignment="1">
      <alignment horizontal="center" vertical="center" wrapText="1"/>
    </xf>
    <xf numFmtId="0" fontId="7" fillId="2" borderId="40" xfId="0" applyFont="1" applyFill="1" applyBorder="1" applyAlignment="1">
      <alignment horizontal="center" vertical="center" wrapText="1"/>
    </xf>
    <xf numFmtId="182" fontId="7" fillId="0" borderId="5" xfId="0" applyNumberFormat="1" applyFont="1" applyBorder="1" applyAlignment="1">
      <alignment horizontal="right" vertical="center" wrapText="1"/>
    </xf>
    <xf numFmtId="187" fontId="7" fillId="0" borderId="5" xfId="0" applyNumberFormat="1" applyFont="1" applyBorder="1" applyAlignment="1">
      <alignment vertical="center" wrapText="1"/>
    </xf>
    <xf numFmtId="197" fontId="7" fillId="0" borderId="5" xfId="0" applyNumberFormat="1" applyFont="1" applyBorder="1" applyAlignment="1">
      <alignment horizontal="right" vertical="center" wrapText="1"/>
    </xf>
    <xf numFmtId="0" fontId="6" fillId="2" borderId="1" xfId="0" applyFont="1" applyFill="1" applyBorder="1" applyAlignment="1">
      <alignment vertical="center" wrapText="1"/>
    </xf>
    <xf numFmtId="0" fontId="7" fillId="2" borderId="65" xfId="0" applyFont="1" applyFill="1" applyBorder="1" applyAlignment="1">
      <alignment horizontal="center" vertical="center" wrapText="1"/>
    </xf>
    <xf numFmtId="0" fontId="6" fillId="0" borderId="31" xfId="0" applyFont="1" applyBorder="1" applyAlignment="1">
      <alignment vertical="center" wrapText="1"/>
    </xf>
    <xf numFmtId="182" fontId="47" fillId="0" borderId="31" xfId="0" applyNumberFormat="1" applyFont="1" applyBorder="1" applyAlignment="1">
      <alignment horizontal="right" vertical="center" wrapText="1"/>
    </xf>
    <xf numFmtId="197" fontId="47" fillId="0" borderId="5" xfId="0" applyNumberFormat="1" applyFont="1" applyBorder="1" applyAlignment="1">
      <alignment horizontal="right" vertical="center" wrapText="1"/>
    </xf>
    <xf numFmtId="182" fontId="47" fillId="0" borderId="5" xfId="0" applyNumberFormat="1" applyFont="1" applyBorder="1" applyAlignment="1">
      <alignment horizontal="right" vertical="center" wrapText="1"/>
    </xf>
    <xf numFmtId="187" fontId="47" fillId="0" borderId="5" xfId="0" applyNumberFormat="1" applyFont="1" applyBorder="1" applyAlignment="1">
      <alignment vertical="center" wrapText="1"/>
    </xf>
    <xf numFmtId="2" fontId="47" fillId="0" borderId="61" xfId="0" applyNumberFormat="1" applyFont="1" applyBorder="1" applyAlignment="1">
      <alignment horizontal="right" vertical="center" wrapText="1"/>
    </xf>
    <xf numFmtId="0" fontId="7" fillId="2" borderId="46" xfId="0" applyFont="1" applyFill="1" applyBorder="1" applyAlignment="1">
      <alignment vertical="center" wrapText="1"/>
    </xf>
    <xf numFmtId="0" fontId="6" fillId="2" borderId="47" xfId="0" applyFont="1" applyFill="1" applyBorder="1" applyAlignment="1">
      <alignment vertical="center" wrapText="1"/>
    </xf>
    <xf numFmtId="0" fontId="7" fillId="2" borderId="47" xfId="0" applyFont="1" applyFill="1" applyBorder="1" applyAlignment="1">
      <alignment vertical="center" wrapText="1"/>
    </xf>
    <xf numFmtId="0" fontId="7" fillId="2" borderId="162" xfId="0" applyFont="1" applyFill="1" applyBorder="1" applyAlignment="1">
      <alignment vertical="center" wrapText="1"/>
    </xf>
    <xf numFmtId="182" fontId="7" fillId="0" borderId="31" xfId="0" applyNumberFormat="1" applyFont="1" applyBorder="1" applyAlignment="1">
      <alignment horizontal="right" vertical="center" wrapText="1"/>
    </xf>
    <xf numFmtId="187" fontId="7" fillId="2" borderId="1" xfId="0" applyNumberFormat="1" applyFont="1" applyFill="1" applyBorder="1" applyAlignment="1">
      <alignment vertical="center" wrapText="1"/>
    </xf>
    <xf numFmtId="0" fontId="7" fillId="2" borderId="5" xfId="0" applyFont="1" applyFill="1" applyBorder="1" applyAlignment="1">
      <alignment vertical="center" wrapText="1"/>
    </xf>
    <xf numFmtId="0" fontId="7" fillId="2" borderId="61" xfId="0" applyFont="1" applyFill="1" applyBorder="1" applyAlignment="1">
      <alignment vertical="center" wrapText="1"/>
    </xf>
    <xf numFmtId="0" fontId="6" fillId="2" borderId="65" xfId="0" applyFont="1" applyFill="1" applyBorder="1" applyAlignment="1">
      <alignment horizontal="right" vertical="center" wrapText="1"/>
    </xf>
    <xf numFmtId="0" fontId="6" fillId="2" borderId="61" xfId="0" applyFont="1" applyFill="1" applyBorder="1" applyAlignment="1">
      <alignment vertical="center" wrapText="1"/>
    </xf>
    <xf numFmtId="0" fontId="7" fillId="2" borderId="163" xfId="0" applyFont="1" applyFill="1" applyBorder="1" applyAlignment="1">
      <alignment vertical="center" wrapText="1"/>
    </xf>
    <xf numFmtId="0" fontId="7" fillId="2" borderId="32" xfId="0" applyFont="1" applyFill="1" applyBorder="1" applyAlignment="1">
      <alignment vertical="center" wrapText="1"/>
    </xf>
    <xf numFmtId="0" fontId="6" fillId="2" borderId="164" xfId="0" applyFont="1" applyFill="1" applyBorder="1" applyAlignment="1">
      <alignment vertical="center" wrapText="1"/>
    </xf>
    <xf numFmtId="0" fontId="6" fillId="2" borderId="162" xfId="0" applyFont="1" applyFill="1" applyBorder="1" applyAlignment="1">
      <alignment vertical="center" wrapText="1"/>
    </xf>
    <xf numFmtId="198" fontId="6" fillId="2" borderId="41" xfId="0" applyNumberFormat="1" applyFont="1" applyFill="1" applyBorder="1" applyAlignment="1">
      <alignment horizontal="center" vertical="center" wrapText="1"/>
    </xf>
    <xf numFmtId="2" fontId="7" fillId="2" borderId="61" xfId="0" applyNumberFormat="1" applyFont="1" applyFill="1" applyBorder="1" applyAlignment="1">
      <alignment vertical="center" wrapText="1"/>
    </xf>
    <xf numFmtId="0" fontId="6" fillId="2" borderId="67" xfId="0" applyFont="1" applyFill="1" applyBorder="1" applyAlignment="1">
      <alignment vertical="center" wrapText="1"/>
    </xf>
    <xf numFmtId="0" fontId="6" fillId="2" borderId="63" xfId="0" applyFont="1" applyFill="1" applyBorder="1" applyAlignment="1">
      <alignment vertical="center" wrapText="1"/>
    </xf>
    <xf numFmtId="0" fontId="6" fillId="2" borderId="74" xfId="0" applyFont="1" applyFill="1" applyBorder="1" applyAlignment="1">
      <alignment vertical="center" wrapText="1"/>
    </xf>
    <xf numFmtId="0" fontId="7" fillId="2" borderId="74" xfId="0" applyFont="1" applyFill="1" applyBorder="1" applyAlignment="1">
      <alignment vertical="center" wrapText="1"/>
    </xf>
    <xf numFmtId="0" fontId="6" fillId="2" borderId="66" xfId="0" applyFont="1" applyFill="1" applyBorder="1" applyAlignment="1">
      <alignment vertical="center" wrapText="1"/>
    </xf>
    <xf numFmtId="0" fontId="48" fillId="2" borderId="67" xfId="0" applyFont="1" applyFill="1" applyBorder="1" applyAlignment="1">
      <alignment vertical="center" wrapText="1"/>
    </xf>
    <xf numFmtId="0" fontId="6" fillId="2" borderId="160" xfId="0" applyFont="1" applyFill="1" applyBorder="1" applyAlignment="1">
      <alignment vertical="center" wrapText="1"/>
    </xf>
    <xf numFmtId="0" fontId="49" fillId="2" borderId="44" xfId="0" applyFont="1" applyFill="1" applyBorder="1" applyAlignment="1">
      <alignment horizontal="left" vertical="center" wrapText="1"/>
    </xf>
    <xf numFmtId="0" fontId="7" fillId="2" borderId="63" xfId="0" applyFont="1" applyFill="1" applyBorder="1" applyAlignment="1">
      <alignment horizontal="left" vertical="center" wrapText="1"/>
    </xf>
    <xf numFmtId="0" fontId="50" fillId="2" borderId="1" xfId="0" applyFont="1" applyFill="1" applyBorder="1" applyAlignment="1">
      <alignment horizontal="left" vertical="center" wrapText="1"/>
    </xf>
    <xf numFmtId="0" fontId="51" fillId="2" borderId="65" xfId="0" applyFont="1" applyFill="1" applyBorder="1" applyAlignment="1">
      <alignment horizontal="center" vertical="center" wrapText="1"/>
    </xf>
    <xf numFmtId="0" fontId="6" fillId="2" borderId="65" xfId="0" applyFont="1" applyFill="1" applyBorder="1" applyAlignment="1">
      <alignment vertical="center" wrapText="1"/>
    </xf>
    <xf numFmtId="182" fontId="7" fillId="2" borderId="44" xfId="0" applyNumberFormat="1" applyFont="1" applyFill="1" applyBorder="1" applyAlignment="1">
      <alignment horizontal="right" vertical="center" wrapText="1"/>
    </xf>
    <xf numFmtId="0" fontId="6" fillId="2" borderId="42" xfId="0" applyFont="1" applyFill="1" applyBorder="1" applyAlignment="1">
      <alignment horizontal="left" vertical="center" wrapText="1"/>
    </xf>
    <xf numFmtId="12" fontId="7" fillId="2" borderId="5" xfId="0" applyNumberFormat="1" applyFont="1" applyFill="1" applyBorder="1" applyAlignment="1">
      <alignment horizontal="center" vertical="center" wrapText="1"/>
    </xf>
    <xf numFmtId="197" fontId="7" fillId="2" borderId="5" xfId="0" applyNumberFormat="1" applyFont="1" applyFill="1" applyBorder="1" applyAlignment="1">
      <alignment horizontal="right" vertical="center" wrapText="1"/>
    </xf>
    <xf numFmtId="0" fontId="7" fillId="2" borderId="42" xfId="0" applyFont="1" applyFill="1" applyBorder="1" applyAlignment="1">
      <alignment horizontal="left" vertical="center" wrapText="1"/>
    </xf>
    <xf numFmtId="0" fontId="52" fillId="2" borderId="165" xfId="0" applyFont="1" applyFill="1" applyBorder="1" applyAlignment="1">
      <alignment horizontal="left" vertical="center" wrapText="1"/>
    </xf>
    <xf numFmtId="0" fontId="7" fillId="2" borderId="54" xfId="0" applyFont="1" applyFill="1" applyBorder="1" applyAlignment="1">
      <alignment vertical="center" wrapText="1"/>
    </xf>
    <xf numFmtId="0" fontId="7" fillId="2" borderId="135" xfId="0" applyFont="1" applyFill="1" applyBorder="1" applyAlignment="1">
      <alignment vertical="center" wrapText="1"/>
    </xf>
    <xf numFmtId="12" fontId="7" fillId="2" borderId="43" xfId="0" applyNumberFormat="1" applyFont="1" applyFill="1" applyBorder="1" applyAlignment="1">
      <alignment horizontal="center" vertical="center" wrapText="1"/>
    </xf>
    <xf numFmtId="197" fontId="7" fillId="2" borderId="43" xfId="0" applyNumberFormat="1" applyFont="1" applyFill="1" applyBorder="1" applyAlignment="1">
      <alignment horizontal="right" vertical="center" wrapText="1"/>
    </xf>
    <xf numFmtId="182" fontId="7" fillId="2" borderId="43" xfId="0" applyNumberFormat="1" applyFont="1" applyFill="1" applyBorder="1" applyAlignment="1">
      <alignment horizontal="right" vertical="center" wrapText="1"/>
    </xf>
    <xf numFmtId="187" fontId="7" fillId="2" borderId="43" xfId="0" applyNumberFormat="1" applyFont="1" applyFill="1" applyBorder="1" applyAlignment="1">
      <alignment vertical="center" wrapText="1"/>
    </xf>
    <xf numFmtId="2" fontId="7" fillId="2" borderId="166" xfId="0" applyNumberFormat="1" applyFont="1" applyFill="1" applyBorder="1" applyAlignment="1">
      <alignment horizontal="right" vertical="center" wrapText="1"/>
    </xf>
    <xf numFmtId="0" fontId="7" fillId="2" borderId="42" xfId="0" applyFont="1" applyFill="1" applyBorder="1" applyAlignment="1">
      <alignment vertical="center" wrapText="1"/>
    </xf>
    <xf numFmtId="2" fontId="7" fillId="2" borderId="5" xfId="0" applyNumberFormat="1" applyFont="1" applyFill="1" applyBorder="1" applyAlignment="1">
      <alignment vertical="center" wrapText="1"/>
    </xf>
    <xf numFmtId="199" fontId="7" fillId="2" borderId="5" xfId="0" applyNumberFormat="1" applyFont="1" applyFill="1" applyBorder="1" applyAlignment="1">
      <alignment horizontal="right" vertical="center" wrapText="1"/>
    </xf>
    <xf numFmtId="0" fontId="7" fillId="2" borderId="155" xfId="0" applyFont="1" applyFill="1" applyBorder="1" applyAlignment="1">
      <alignment vertical="center" wrapText="1"/>
    </xf>
    <xf numFmtId="0" fontId="6" fillId="2" borderId="22" xfId="0" applyFont="1" applyFill="1" applyBorder="1" applyAlignment="1">
      <alignment vertical="center" wrapText="1"/>
    </xf>
    <xf numFmtId="0" fontId="7" fillId="2" borderId="22" xfId="0" applyFont="1" applyFill="1" applyBorder="1" applyAlignment="1">
      <alignment vertical="center" wrapText="1"/>
    </xf>
    <xf numFmtId="0" fontId="7" fillId="2" borderId="156" xfId="0" applyFont="1" applyFill="1" applyBorder="1" applyAlignment="1">
      <alignment vertical="center" wrapText="1"/>
    </xf>
    <xf numFmtId="0" fontId="7" fillId="0" borderId="163" xfId="0" applyFont="1" applyBorder="1" applyAlignment="1">
      <alignment vertical="center" wrapText="1"/>
    </xf>
    <xf numFmtId="0" fontId="7" fillId="2" borderId="167" xfId="0" applyFont="1" applyFill="1" applyBorder="1" applyAlignment="1">
      <alignment vertical="center" wrapText="1"/>
    </xf>
    <xf numFmtId="0" fontId="7" fillId="2" borderId="168" xfId="0" applyFont="1" applyFill="1" applyBorder="1" applyAlignment="1">
      <alignment vertical="center" wrapText="1"/>
    </xf>
    <xf numFmtId="0" fontId="7" fillId="2" borderId="169" xfId="0" applyFont="1" applyFill="1" applyBorder="1" applyAlignment="1">
      <alignment vertical="center" wrapText="1"/>
    </xf>
    <xf numFmtId="0" fontId="7" fillId="2" borderId="170" xfId="0" applyFont="1" applyFill="1" applyBorder="1" applyAlignment="1">
      <alignment vertical="center" wrapText="1"/>
    </xf>
    <xf numFmtId="0" fontId="6" fillId="2" borderId="171" xfId="0" applyFont="1" applyFill="1" applyBorder="1" applyAlignment="1">
      <alignment horizontal="right" vertical="center" wrapText="1"/>
    </xf>
    <xf numFmtId="0" fontId="7" fillId="2" borderId="171" xfId="0" applyFont="1" applyFill="1" applyBorder="1" applyAlignment="1">
      <alignment vertical="center" wrapText="1"/>
    </xf>
    <xf numFmtId="0" fontId="7" fillId="2" borderId="172" xfId="0" applyFont="1" applyFill="1" applyBorder="1" applyAlignment="1">
      <alignment vertical="center" wrapText="1"/>
    </xf>
    <xf numFmtId="0" fontId="7" fillId="2" borderId="173" xfId="0" applyFont="1" applyFill="1" applyBorder="1" applyAlignment="1">
      <alignment vertical="center" wrapText="1"/>
    </xf>
    <xf numFmtId="0" fontId="6" fillId="2" borderId="174" xfId="0" applyFont="1" applyFill="1" applyBorder="1" applyAlignment="1">
      <alignment vertical="center" wrapText="1"/>
    </xf>
    <xf numFmtId="0" fontId="6" fillId="2" borderId="175" xfId="0" applyFont="1" applyFill="1" applyBorder="1" applyAlignment="1">
      <alignment horizontal="center" vertical="center" wrapText="1"/>
    </xf>
    <xf numFmtId="0" fontId="6" fillId="2" borderId="176" xfId="0" applyFont="1" applyFill="1" applyBorder="1" applyAlignment="1">
      <alignment horizontal="center" vertical="center" wrapText="1"/>
    </xf>
    <xf numFmtId="0" fontId="6" fillId="0" borderId="176" xfId="0" applyFont="1" applyBorder="1" applyAlignment="1">
      <alignment horizontal="center" vertical="center" wrapText="1"/>
    </xf>
    <xf numFmtId="168" fontId="6" fillId="2" borderId="177" xfId="0" applyNumberFormat="1" applyFont="1" applyFill="1" applyBorder="1" applyAlignment="1">
      <alignment horizontal="center" vertical="center" wrapText="1"/>
    </xf>
    <xf numFmtId="0" fontId="7" fillId="2" borderId="178" xfId="0" applyFont="1" applyFill="1" applyBorder="1" applyAlignment="1">
      <alignment horizontal="center" vertical="center" wrapText="1"/>
    </xf>
    <xf numFmtId="168" fontId="7" fillId="2" borderId="179" xfId="0" applyNumberFormat="1" applyFont="1" applyFill="1" applyBorder="1" applyAlignment="1">
      <alignment horizontal="right" vertical="center" wrapText="1"/>
    </xf>
    <xf numFmtId="0" fontId="7" fillId="0" borderId="178" xfId="0" applyFont="1" applyBorder="1" applyAlignment="1">
      <alignment horizontal="center" vertical="center" wrapText="1"/>
    </xf>
    <xf numFmtId="168" fontId="6" fillId="2" borderId="181" xfId="0" applyNumberFormat="1" applyFont="1" applyFill="1" applyBorder="1" applyAlignment="1">
      <alignment horizontal="right" vertical="center"/>
    </xf>
    <xf numFmtId="200" fontId="0" fillId="0" borderId="0" xfId="0" applyNumberFormat="1"/>
    <xf numFmtId="43" fontId="0" fillId="0" borderId="0" xfId="0" applyNumberFormat="1"/>
    <xf numFmtId="2" fontId="0" fillId="0" borderId="0" xfId="0" applyNumberFormat="1"/>
    <xf numFmtId="0" fontId="0" fillId="0" borderId="0" xfId="0" applyAlignment="1">
      <alignment vertical="center"/>
    </xf>
    <xf numFmtId="4" fontId="0" fillId="0" borderId="0" xfId="0" applyNumberFormat="1" applyAlignment="1">
      <alignment vertical="center"/>
    </xf>
    <xf numFmtId="164" fontId="0" fillId="0" borderId="0" xfId="0" applyNumberFormat="1" applyAlignment="1">
      <alignment vertical="center"/>
    </xf>
    <xf numFmtId="164" fontId="0" fillId="0" borderId="0" xfId="1" applyFont="1" applyAlignment="1">
      <alignment vertical="center"/>
    </xf>
    <xf numFmtId="201" fontId="34" fillId="0" borderId="0" xfId="1" applyNumberFormat="1" applyFont="1" applyAlignment="1">
      <alignment vertical="center"/>
    </xf>
    <xf numFmtId="201" fontId="1" fillId="0" borderId="0" xfId="1" applyNumberFormat="1" applyFont="1"/>
    <xf numFmtId="0" fontId="31" fillId="2" borderId="111" xfId="0" applyFont="1" applyFill="1" applyBorder="1" applyAlignment="1">
      <alignment vertical="center"/>
    </xf>
    <xf numFmtId="0" fontId="27" fillId="0" borderId="201" xfId="0" applyFont="1" applyBorder="1" applyAlignment="1">
      <alignment horizontal="center" vertical="center"/>
    </xf>
    <xf numFmtId="191" fontId="27" fillId="0" borderId="202" xfId="0" applyNumberFormat="1" applyFont="1" applyBorder="1" applyAlignment="1">
      <alignment horizontal="right" vertical="center" wrapText="1"/>
    </xf>
    <xf numFmtId="191" fontId="27" fillId="0" borderId="179" xfId="0" applyNumberFormat="1" applyFont="1" applyBorder="1" applyAlignment="1">
      <alignment horizontal="right" vertical="center" wrapText="1"/>
    </xf>
    <xf numFmtId="0" fontId="27" fillId="0" borderId="203" xfId="0" applyFont="1" applyBorder="1" applyAlignment="1">
      <alignment horizontal="center" vertical="center"/>
    </xf>
    <xf numFmtId="0" fontId="27" fillId="0" borderId="204" xfId="0" applyFont="1" applyBorder="1" applyAlignment="1">
      <alignment horizontal="center" vertical="center"/>
    </xf>
    <xf numFmtId="4" fontId="27" fillId="0" borderId="204" xfId="0" applyNumberFormat="1" applyFont="1" applyBorder="1" applyAlignment="1">
      <alignment vertical="center" wrapText="1"/>
    </xf>
    <xf numFmtId="190" fontId="27" fillId="0" borderId="204" xfId="0" applyNumberFormat="1" applyFont="1" applyBorder="1" applyAlignment="1">
      <alignment horizontal="right" vertical="center" wrapText="1"/>
    </xf>
    <xf numFmtId="0" fontId="35" fillId="0" borderId="0" xfId="0" applyFont="1" applyAlignment="1">
      <alignment horizontal="center" vertical="center"/>
    </xf>
    <xf numFmtId="0" fontId="18" fillId="0" borderId="146" xfId="0" applyFont="1" applyBorder="1" applyAlignment="1">
      <alignment horizontal="right" vertical="center"/>
    </xf>
    <xf numFmtId="0" fontId="18" fillId="0" borderId="22" xfId="0" applyFont="1" applyBorder="1" applyAlignment="1">
      <alignment horizontal="right" vertical="center"/>
    </xf>
    <xf numFmtId="1" fontId="18" fillId="0" borderId="156" xfId="0" applyNumberFormat="1" applyFont="1" applyBorder="1" applyAlignment="1">
      <alignment horizontal="center" vertical="center"/>
    </xf>
    <xf numFmtId="0" fontId="32" fillId="0" borderId="111" xfId="0" applyFont="1" applyBorder="1" applyAlignment="1">
      <alignment horizontal="left" vertical="center"/>
    </xf>
    <xf numFmtId="0" fontId="20" fillId="0" borderId="22" xfId="0" applyFont="1" applyBorder="1" applyAlignment="1">
      <alignment vertical="center"/>
    </xf>
    <xf numFmtId="0" fontId="20" fillId="0" borderId="123" xfId="0" applyFont="1" applyBorder="1" applyAlignment="1">
      <alignment vertical="center"/>
    </xf>
    <xf numFmtId="0" fontId="42" fillId="0" borderId="141" xfId="0" applyFont="1" applyBorder="1" applyAlignment="1">
      <alignment horizontal="left" vertical="center"/>
    </xf>
    <xf numFmtId="0" fontId="14" fillId="0" borderId="141" xfId="0" applyFont="1" applyBorder="1" applyAlignment="1">
      <alignment horizontal="left" vertical="center"/>
    </xf>
    <xf numFmtId="0" fontId="32" fillId="0" borderId="22" xfId="0" applyFont="1" applyBorder="1" applyAlignment="1">
      <alignment horizontal="left" vertical="center"/>
    </xf>
    <xf numFmtId="0" fontId="33" fillId="0" borderId="22" xfId="0" applyFont="1" applyBorder="1" applyAlignment="1">
      <alignment horizontal="left" vertical="center"/>
    </xf>
    <xf numFmtId="0" fontId="20" fillId="0" borderId="111" xfId="0" applyFont="1" applyBorder="1" applyAlignment="1">
      <alignment vertical="center"/>
    </xf>
    <xf numFmtId="0" fontId="0" fillId="0" borderId="22" xfId="0" applyBorder="1" applyAlignment="1">
      <alignment vertical="center"/>
    </xf>
    <xf numFmtId="0" fontId="20" fillId="0" borderId="121" xfId="0" applyFont="1" applyBorder="1" applyAlignment="1">
      <alignment horizontal="center" vertical="center"/>
    </xf>
    <xf numFmtId="0" fontId="19" fillId="0" borderId="13" xfId="0" applyFont="1" applyBorder="1" applyAlignment="1">
      <alignment horizontal="center" vertical="center"/>
    </xf>
    <xf numFmtId="0" fontId="20" fillId="0" borderId="99" xfId="0" applyFont="1" applyBorder="1" applyAlignment="1">
      <alignment horizontal="center" vertical="center"/>
    </xf>
    <xf numFmtId="0" fontId="19" fillId="0" borderId="146" xfId="0" applyFont="1" applyBorder="1" applyAlignment="1">
      <alignment horizontal="center" vertical="center"/>
    </xf>
    <xf numFmtId="0" fontId="0" fillId="0" borderId="111" xfId="0" applyBorder="1" applyAlignment="1">
      <alignment vertical="center"/>
    </xf>
    <xf numFmtId="0" fontId="19" fillId="0" borderId="22" xfId="0" applyFont="1" applyBorder="1" applyAlignment="1">
      <alignment horizontal="center" vertical="center"/>
    </xf>
    <xf numFmtId="0" fontId="0" fillId="0" borderId="123" xfId="0" applyBorder="1" applyAlignment="1">
      <alignment vertical="center"/>
    </xf>
    <xf numFmtId="0" fontId="18" fillId="0" borderId="118" xfId="0" applyFont="1" applyBorder="1" applyAlignment="1">
      <alignment horizontal="left" vertical="center"/>
    </xf>
    <xf numFmtId="0" fontId="18" fillId="0" borderId="161" xfId="0" applyFont="1" applyBorder="1" applyAlignment="1">
      <alignment horizontal="center" vertical="center"/>
    </xf>
    <xf numFmtId="0" fontId="18" fillId="0" borderId="153" xfId="0" applyFont="1" applyBorder="1" applyAlignment="1">
      <alignment horizontal="center" vertical="center"/>
    </xf>
    <xf numFmtId="0" fontId="20" fillId="0" borderId="58" xfId="0" applyFont="1" applyBorder="1" applyAlignment="1">
      <alignment vertical="center"/>
    </xf>
    <xf numFmtId="0" fontId="20" fillId="0" borderId="62" xfId="0" applyFont="1" applyBorder="1" applyAlignment="1">
      <alignment vertical="center"/>
    </xf>
    <xf numFmtId="0" fontId="20" fillId="0" borderId="84" xfId="0" applyFont="1" applyBorder="1" applyAlignment="1">
      <alignment vertical="center"/>
    </xf>
    <xf numFmtId="0" fontId="20" fillId="0" borderId="99" xfId="0" applyFont="1" applyBorder="1" applyAlignment="1">
      <alignment vertical="center"/>
    </xf>
    <xf numFmtId="0" fontId="20" fillId="0" borderId="146" xfId="0" applyFont="1" applyBorder="1" applyAlignment="1">
      <alignment vertical="center"/>
    </xf>
    <xf numFmtId="0" fontId="20" fillId="0" borderId="160" xfId="0" applyFont="1" applyBorder="1" applyAlignment="1">
      <alignment vertical="center"/>
    </xf>
    <xf numFmtId="0" fontId="20" fillId="0" borderId="155" xfId="0" applyFont="1" applyBorder="1" applyAlignment="1">
      <alignment vertical="center"/>
    </xf>
    <xf numFmtId="0" fontId="20" fillId="0" borderId="156" xfId="0" applyFont="1" applyBorder="1" applyAlignment="1">
      <alignment vertical="center"/>
    </xf>
    <xf numFmtId="0" fontId="45" fillId="10" borderId="144" xfId="0" applyFont="1" applyFill="1" applyBorder="1" applyAlignment="1">
      <alignment horizontal="center" vertical="center"/>
    </xf>
    <xf numFmtId="0" fontId="45" fillId="10" borderId="60" xfId="0" applyFont="1" applyFill="1" applyBorder="1" applyAlignment="1">
      <alignment horizontal="center" vertical="center"/>
    </xf>
    <xf numFmtId="0" fontId="45" fillId="10" borderId="73" xfId="0" applyFont="1" applyFill="1" applyBorder="1" applyAlignment="1">
      <alignment horizontal="center" vertical="center"/>
    </xf>
    <xf numFmtId="195" fontId="20" fillId="0" borderId="5" xfId="0" applyNumberFormat="1" applyFont="1" applyBorder="1" applyAlignment="1">
      <alignment vertical="center"/>
    </xf>
    <xf numFmtId="195" fontId="20" fillId="0" borderId="61" xfId="0" applyNumberFormat="1" applyFont="1" applyBorder="1" applyAlignment="1">
      <alignment vertical="center"/>
    </xf>
    <xf numFmtId="0" fontId="20" fillId="0" borderId="121" xfId="0" applyFont="1" applyBorder="1" applyAlignment="1">
      <alignment vertical="center"/>
    </xf>
    <xf numFmtId="0" fontId="20" fillId="0" borderId="13" xfId="0" applyFont="1" applyBorder="1" applyAlignment="1">
      <alignment vertical="center"/>
    </xf>
    <xf numFmtId="0" fontId="20" fillId="0" borderId="163" xfId="0" applyFont="1" applyBorder="1" applyAlignment="1">
      <alignment vertical="center"/>
    </xf>
    <xf numFmtId="0" fontId="20" fillId="0" borderId="45" xfId="0" applyFont="1" applyBorder="1" applyAlignment="1">
      <alignment vertical="center"/>
    </xf>
    <xf numFmtId="195" fontId="20" fillId="0" borderId="128" xfId="0" applyNumberFormat="1" applyFont="1" applyBorder="1" applyAlignment="1">
      <alignment vertical="center"/>
    </xf>
    <xf numFmtId="195" fontId="20" fillId="0" borderId="41" xfId="0" applyNumberFormat="1" applyFont="1" applyBorder="1" applyAlignment="1">
      <alignment vertical="center"/>
    </xf>
    <xf numFmtId="0" fontId="20" fillId="0" borderId="151" xfId="0" applyFont="1" applyBorder="1" applyAlignment="1">
      <alignment horizontal="center" vertical="center"/>
    </xf>
    <xf numFmtId="2" fontId="20" fillId="0" borderId="5" xfId="0" applyNumberFormat="1" applyFont="1" applyBorder="1" applyAlignment="1">
      <alignment vertical="center"/>
    </xf>
    <xf numFmtId="0" fontId="20" fillId="0" borderId="38" xfId="0" applyFont="1" applyBorder="1" applyAlignment="1">
      <alignment vertical="center"/>
    </xf>
    <xf numFmtId="195" fontId="20" fillId="0" borderId="75" xfId="0" applyNumberFormat="1" applyFont="1" applyBorder="1" applyAlignment="1">
      <alignment vertical="center"/>
    </xf>
    <xf numFmtId="0" fontId="45" fillId="10" borderId="149" xfId="0" applyFont="1" applyFill="1" applyBorder="1" applyAlignment="1">
      <alignment horizontal="center" vertical="center"/>
    </xf>
    <xf numFmtId="0" fontId="45" fillId="10" borderId="60" xfId="0" applyFont="1" applyFill="1" applyBorder="1" applyAlignment="1">
      <alignment vertical="center"/>
    </xf>
    <xf numFmtId="2" fontId="20" fillId="0" borderId="5" xfId="0" applyNumberFormat="1" applyFont="1" applyBorder="1" applyAlignment="1">
      <alignment horizontal="center" vertical="center"/>
    </xf>
    <xf numFmtId="2" fontId="20" fillId="0" borderId="151" xfId="0" applyNumberFormat="1" applyFont="1" applyBorder="1" applyAlignment="1">
      <alignment horizontal="center" vertical="center"/>
    </xf>
    <xf numFmtId="0" fontId="20" fillId="0" borderId="128" xfId="0" applyFont="1" applyBorder="1" applyAlignment="1">
      <alignment vertical="center"/>
    </xf>
    <xf numFmtId="0" fontId="20" fillId="0" borderId="148" xfId="0" applyFont="1" applyBorder="1" applyAlignment="1">
      <alignment vertical="center"/>
    </xf>
    <xf numFmtId="195" fontId="20" fillId="0" borderId="129" xfId="0" applyNumberFormat="1" applyFont="1" applyBorder="1" applyAlignment="1">
      <alignment vertical="center"/>
    </xf>
    <xf numFmtId="0" fontId="45" fillId="10" borderId="149" xfId="0" applyFont="1" applyFill="1" applyBorder="1" applyAlignment="1">
      <alignment horizontal="center" vertical="center" wrapText="1"/>
    </xf>
    <xf numFmtId="0" fontId="45" fillId="10" borderId="60" xfId="0" applyFont="1" applyFill="1" applyBorder="1" applyAlignment="1">
      <alignment horizontal="center" vertical="center" wrapText="1"/>
    </xf>
    <xf numFmtId="0" fontId="45" fillId="10" borderId="73" xfId="0" applyFont="1" applyFill="1" applyBorder="1" applyAlignment="1">
      <alignment horizontal="center" vertical="center" wrapText="1"/>
    </xf>
    <xf numFmtId="0" fontId="20" fillId="0" borderId="42" xfId="0" applyFont="1" applyBorder="1" applyAlignment="1">
      <alignment horizontal="left" vertical="center"/>
    </xf>
    <xf numFmtId="0" fontId="20" fillId="0" borderId="151" xfId="0" applyFont="1" applyBorder="1" applyAlignment="1">
      <alignment horizontal="left" vertical="center"/>
    </xf>
    <xf numFmtId="195" fontId="20" fillId="0" borderId="5" xfId="0" applyNumberFormat="1" applyFont="1" applyBorder="1" applyAlignment="1">
      <alignment horizontal="center" vertical="center"/>
    </xf>
    <xf numFmtId="196" fontId="20" fillId="0" borderId="89" xfId="0" applyNumberFormat="1" applyFont="1" applyBorder="1" applyAlignment="1">
      <alignment horizontal="center" vertical="center" wrapText="1"/>
    </xf>
    <xf numFmtId="195" fontId="20" fillId="0" borderId="135" xfId="0" applyNumberFormat="1" applyFont="1" applyBorder="1" applyAlignment="1">
      <alignment horizontal="center" vertical="center" wrapText="1"/>
    </xf>
    <xf numFmtId="196" fontId="20" fillId="10" borderId="41" xfId="0" applyNumberFormat="1" applyFont="1" applyFill="1" applyBorder="1" applyAlignment="1">
      <alignment vertical="center"/>
    </xf>
    <xf numFmtId="0" fontId="45" fillId="10" borderId="26" xfId="0" applyFont="1" applyFill="1" applyBorder="1" applyAlignment="1">
      <alignment horizontal="center" vertical="center" wrapText="1"/>
    </xf>
    <xf numFmtId="182" fontId="20" fillId="0" borderId="151" xfId="0" applyNumberFormat="1" applyFont="1" applyBorder="1" applyAlignment="1">
      <alignment vertical="center"/>
    </xf>
    <xf numFmtId="9" fontId="20" fillId="0" borderId="44" xfId="0" applyNumberFormat="1" applyFont="1" applyBorder="1" applyAlignment="1">
      <alignment vertical="center"/>
    </xf>
    <xf numFmtId="9" fontId="20" fillId="0" borderId="5" xfId="0" applyNumberFormat="1" applyFont="1" applyBorder="1" applyAlignment="1">
      <alignment horizontal="center" vertical="center"/>
    </xf>
    <xf numFmtId="182" fontId="20" fillId="0" borderId="61" xfId="0" applyNumberFormat="1" applyFont="1" applyBorder="1" applyAlignment="1">
      <alignment vertical="center"/>
    </xf>
    <xf numFmtId="182" fontId="20" fillId="0" borderId="62" xfId="0" applyNumberFormat="1" applyFont="1" applyBorder="1" applyAlignment="1">
      <alignment vertical="center"/>
    </xf>
    <xf numFmtId="9" fontId="20" fillId="0" borderId="59" xfId="0" applyNumberFormat="1" applyFont="1" applyBorder="1" applyAlignment="1">
      <alignment vertical="center"/>
    </xf>
    <xf numFmtId="182" fontId="20" fillId="0" borderId="41" xfId="0" applyNumberFormat="1" applyFont="1" applyBorder="1" applyAlignment="1">
      <alignment vertical="center"/>
    </xf>
    <xf numFmtId="0" fontId="20" fillId="0" borderId="161" xfId="0" applyFont="1" applyBorder="1" applyAlignment="1">
      <alignment vertical="center"/>
    </xf>
    <xf numFmtId="0" fontId="37" fillId="0" borderId="22" xfId="0" applyFont="1" applyBorder="1" applyAlignment="1">
      <alignment vertical="center"/>
    </xf>
    <xf numFmtId="0" fontId="20" fillId="0" borderId="22" xfId="0" applyFont="1" applyBorder="1" applyAlignment="1">
      <alignment horizontal="center" vertical="center"/>
    </xf>
    <xf numFmtId="0" fontId="20" fillId="0" borderId="151" xfId="0" applyFont="1" applyBorder="1" applyAlignment="1">
      <alignment vertical="center"/>
    </xf>
    <xf numFmtId="0" fontId="20" fillId="0" borderId="22" xfId="0" applyFont="1" applyBorder="1" applyAlignment="1">
      <alignment horizontal="left" vertical="center"/>
    </xf>
    <xf numFmtId="0" fontId="46" fillId="0" borderId="22" xfId="0" applyFont="1" applyBorder="1" applyAlignment="1">
      <alignment horizontal="left" vertical="center"/>
    </xf>
    <xf numFmtId="0" fontId="0" fillId="0" borderId="138" xfId="0" applyBorder="1" applyAlignment="1">
      <alignment vertical="center"/>
    </xf>
    <xf numFmtId="0" fontId="0" fillId="0" borderId="139" xfId="0" applyBorder="1" applyAlignment="1">
      <alignment vertical="center"/>
    </xf>
    <xf numFmtId="0" fontId="0" fillId="0" borderId="140" xfId="0" applyBorder="1" applyAlignment="1">
      <alignment vertical="center"/>
    </xf>
    <xf numFmtId="182" fontId="20" fillId="10" borderId="94" xfId="0" applyNumberFormat="1" applyFont="1" applyFill="1" applyBorder="1" applyAlignment="1">
      <alignment vertical="center"/>
    </xf>
    <xf numFmtId="0" fontId="20" fillId="0" borderId="167" xfId="0" applyFont="1" applyBorder="1" applyAlignment="1">
      <alignment vertical="center"/>
    </xf>
    <xf numFmtId="0" fontId="20" fillId="0" borderId="168" xfId="0" applyFont="1" applyBorder="1" applyAlignment="1">
      <alignment vertical="center"/>
    </xf>
    <xf numFmtId="0" fontId="20" fillId="0" borderId="169" xfId="0" applyFont="1" applyBorder="1" applyAlignment="1">
      <alignment vertical="center"/>
    </xf>
    <xf numFmtId="0" fontId="20" fillId="0" borderId="170" xfId="0" applyFont="1" applyBorder="1" applyAlignment="1">
      <alignment vertical="center"/>
    </xf>
    <xf numFmtId="0" fontId="20" fillId="0" borderId="171" xfId="0" applyFont="1" applyBorder="1" applyAlignment="1">
      <alignment vertical="center"/>
    </xf>
    <xf numFmtId="0" fontId="37" fillId="0" borderId="170" xfId="0" applyFont="1" applyBorder="1" applyAlignment="1">
      <alignment vertical="center"/>
    </xf>
    <xf numFmtId="0" fontId="37" fillId="0" borderId="171" xfId="0" applyFont="1" applyBorder="1" applyAlignment="1">
      <alignment vertical="center"/>
    </xf>
    <xf numFmtId="0" fontId="20" fillId="0" borderId="170" xfId="0" applyFont="1" applyBorder="1" applyAlignment="1">
      <alignment horizontal="center" vertical="center"/>
    </xf>
    <xf numFmtId="0" fontId="20" fillId="0" borderId="171" xfId="0" applyFont="1" applyBorder="1" applyAlignment="1">
      <alignment horizontal="center" vertical="center"/>
    </xf>
    <xf numFmtId="0" fontId="45" fillId="0" borderId="193" xfId="0" applyFont="1" applyBorder="1" applyAlignment="1">
      <alignment vertical="center"/>
    </xf>
    <xf numFmtId="0" fontId="20" fillId="0" borderId="194" xfId="0" applyFont="1" applyBorder="1" applyAlignment="1">
      <alignment vertical="center"/>
    </xf>
    <xf numFmtId="0" fontId="0" fillId="0" borderId="170" xfId="0" applyBorder="1" applyAlignment="1">
      <alignment vertical="center"/>
    </xf>
    <xf numFmtId="0" fontId="0" fillId="0" borderId="171" xfId="0" applyBorder="1" applyAlignment="1">
      <alignment vertical="center"/>
    </xf>
    <xf numFmtId="0" fontId="6" fillId="0" borderId="170" xfId="0" applyFont="1" applyBorder="1" applyAlignment="1">
      <alignment horizontal="left" vertical="center"/>
    </xf>
    <xf numFmtId="0" fontId="20" fillId="0" borderId="170" xfId="0" applyFont="1" applyBorder="1" applyAlignment="1">
      <alignment horizontal="left" vertical="center"/>
    </xf>
    <xf numFmtId="0" fontId="37" fillId="0" borderId="170" xfId="0" applyFont="1" applyBorder="1" applyAlignment="1">
      <alignment horizontal="left" vertical="center"/>
    </xf>
    <xf numFmtId="0" fontId="20" fillId="0" borderId="173" xfId="0" applyFont="1" applyBorder="1" applyAlignment="1">
      <alignment vertical="center"/>
    </xf>
    <xf numFmtId="0" fontId="20" fillId="2" borderId="151" xfId="0" applyFont="1" applyFill="1" applyBorder="1" applyAlignment="1">
      <alignment vertical="center"/>
    </xf>
    <xf numFmtId="3" fontId="20" fillId="2" borderId="87" xfId="0" applyNumberFormat="1" applyFont="1" applyFill="1" applyBorder="1" applyAlignment="1">
      <alignment horizontal="center" vertical="center" wrapText="1"/>
    </xf>
    <xf numFmtId="3" fontId="20" fillId="2" borderId="87" xfId="0" applyNumberFormat="1" applyFont="1" applyFill="1" applyBorder="1" applyAlignment="1">
      <alignment vertical="center" wrapText="1"/>
    </xf>
    <xf numFmtId="169" fontId="20" fillId="2" borderId="87" xfId="0" applyNumberFormat="1" applyFont="1" applyFill="1" applyBorder="1" applyAlignment="1">
      <alignment vertical="center" wrapText="1"/>
    </xf>
    <xf numFmtId="0" fontId="20" fillId="2" borderId="22" xfId="0" applyFont="1" applyFill="1" applyBorder="1" applyAlignment="1">
      <alignment vertical="center" wrapText="1"/>
    </xf>
    <xf numFmtId="168" fontId="11" fillId="0" borderId="5" xfId="0" applyNumberFormat="1" applyFont="1" applyBorder="1" applyAlignment="1">
      <alignment horizontal="right"/>
    </xf>
    <xf numFmtId="167" fontId="7" fillId="0" borderId="5" xfId="0" applyNumberFormat="1" applyFont="1" applyBorder="1" applyAlignment="1">
      <alignment vertical="center"/>
    </xf>
    <xf numFmtId="0" fontId="1" fillId="0" borderId="22" xfId="2"/>
    <xf numFmtId="0" fontId="31" fillId="0" borderId="22" xfId="2" applyFont="1" applyAlignment="1">
      <alignment vertical="center"/>
    </xf>
    <xf numFmtId="0" fontId="34" fillId="0" borderId="22" xfId="2" applyFont="1" applyAlignment="1">
      <alignment vertical="center"/>
    </xf>
    <xf numFmtId="0" fontId="7" fillId="0" borderId="22" xfId="2" applyFont="1" applyAlignment="1">
      <alignment vertical="center" wrapText="1"/>
    </xf>
    <xf numFmtId="185" fontId="34" fillId="0" borderId="22" xfId="2" applyNumberFormat="1" applyFont="1" applyAlignment="1">
      <alignment vertical="center"/>
    </xf>
    <xf numFmtId="0" fontId="31" fillId="4" borderId="22" xfId="2" applyFont="1" applyFill="1" applyAlignment="1">
      <alignment vertical="center"/>
    </xf>
    <xf numFmtId="10" fontId="35" fillId="0" borderId="41" xfId="2" applyNumberFormat="1" applyFont="1" applyBorder="1" applyAlignment="1">
      <alignment vertical="center"/>
    </xf>
    <xf numFmtId="0" fontId="31" fillId="4" borderId="131" xfId="2" applyFont="1" applyFill="1" applyBorder="1" applyAlignment="1">
      <alignment vertical="center"/>
    </xf>
    <xf numFmtId="0" fontId="35" fillId="4" borderId="133" xfId="2" applyFont="1" applyFill="1" applyBorder="1" applyAlignment="1">
      <alignment horizontal="left" vertical="center"/>
    </xf>
    <xf numFmtId="0" fontId="31" fillId="4" borderId="22" xfId="2" applyFont="1" applyFill="1" applyAlignment="1">
      <alignment horizontal="left" vertical="center" wrapText="1"/>
    </xf>
    <xf numFmtId="189" fontId="31" fillId="0" borderId="75" xfId="2" applyNumberFormat="1" applyFont="1" applyBorder="1" applyAlignment="1">
      <alignment vertical="center"/>
    </xf>
    <xf numFmtId="10" fontId="31" fillId="0" borderId="154" xfId="2" applyNumberFormat="1" applyFont="1" applyBorder="1" applyAlignment="1">
      <alignment vertical="center"/>
    </xf>
    <xf numFmtId="0" fontId="31" fillId="4" borderId="75" xfId="2" applyFont="1" applyFill="1" applyBorder="1" applyAlignment="1">
      <alignment horizontal="left" vertical="center"/>
    </xf>
    <xf numFmtId="189" fontId="31" fillId="0" borderId="61" xfId="2" applyNumberFormat="1" applyFont="1" applyBorder="1" applyAlignment="1">
      <alignment vertical="center"/>
    </xf>
    <xf numFmtId="10" fontId="31" fillId="0" borderId="74" xfId="2" applyNumberFormat="1" applyFont="1" applyBorder="1" applyAlignment="1">
      <alignment vertical="center"/>
    </xf>
    <xf numFmtId="0" fontId="31" fillId="4" borderId="61" xfId="2" applyFont="1" applyFill="1" applyBorder="1" applyAlignment="1">
      <alignment horizontal="left" vertical="center"/>
    </xf>
    <xf numFmtId="0" fontId="31" fillId="4" borderId="61" xfId="2" applyFont="1" applyFill="1" applyBorder="1" applyAlignment="1">
      <alignment vertical="center"/>
    </xf>
    <xf numFmtId="0" fontId="35" fillId="4" borderId="74" xfId="2" applyFont="1" applyFill="1" applyBorder="1" applyAlignment="1">
      <alignment horizontal="left" vertical="center" wrapText="1"/>
    </xf>
    <xf numFmtId="189" fontId="31" fillId="0" borderId="135" xfId="2" applyNumberFormat="1" applyFont="1" applyBorder="1" applyAlignment="1">
      <alignment vertical="center"/>
    </xf>
    <xf numFmtId="10" fontId="31" fillId="0" borderId="152" xfId="2" applyNumberFormat="1" applyFont="1" applyBorder="1" applyAlignment="1">
      <alignment vertical="center"/>
    </xf>
    <xf numFmtId="0" fontId="31" fillId="4" borderId="135" xfId="2" applyFont="1" applyFill="1" applyBorder="1" applyAlignment="1">
      <alignment horizontal="left" vertical="center"/>
    </xf>
    <xf numFmtId="0" fontId="35" fillId="0" borderId="208" xfId="2" applyFont="1" applyBorder="1" applyAlignment="1">
      <alignment horizontal="center" vertical="center"/>
    </xf>
    <xf numFmtId="0" fontId="35" fillId="0" borderId="76" xfId="2" applyFont="1" applyBorder="1" applyAlignment="1">
      <alignment horizontal="center" vertical="center"/>
    </xf>
    <xf numFmtId="0" fontId="31" fillId="4" borderId="137" xfId="2" applyFont="1" applyFill="1" applyBorder="1" applyAlignment="1">
      <alignment horizontal="left" vertical="center"/>
    </xf>
    <xf numFmtId="0" fontId="57" fillId="0" borderId="22" xfId="2" applyFont="1" applyAlignment="1">
      <alignment vertical="center"/>
    </xf>
    <xf numFmtId="0" fontId="31" fillId="4" borderId="14" xfId="2" applyFont="1" applyFill="1" applyBorder="1" applyAlignment="1">
      <alignment horizontal="left" vertical="center"/>
    </xf>
    <xf numFmtId="0" fontId="31" fillId="4" borderId="144" xfId="2" applyFont="1" applyFill="1" applyBorder="1" applyAlignment="1">
      <alignment horizontal="left" vertical="center"/>
    </xf>
    <xf numFmtId="0" fontId="26" fillId="6" borderId="209" xfId="0" applyFont="1" applyFill="1" applyBorder="1" applyAlignment="1">
      <alignment vertical="center"/>
    </xf>
    <xf numFmtId="0" fontId="26" fillId="6" borderId="146" xfId="0" applyFont="1" applyFill="1" applyBorder="1" applyAlignment="1">
      <alignment vertical="center"/>
    </xf>
    <xf numFmtId="0" fontId="26" fillId="6" borderId="146" xfId="0" applyFont="1" applyFill="1" applyBorder="1" applyAlignment="1">
      <alignment vertical="center" wrapText="1"/>
    </xf>
    <xf numFmtId="0" fontId="26" fillId="6" borderId="210" xfId="0" applyFont="1" applyFill="1" applyBorder="1" applyAlignment="1">
      <alignment vertical="center"/>
    </xf>
    <xf numFmtId="0" fontId="27" fillId="0" borderId="175" xfId="0" applyFont="1" applyBorder="1" applyAlignment="1">
      <alignment horizontal="center" vertical="center"/>
    </xf>
    <xf numFmtId="0" fontId="27" fillId="0" borderId="176" xfId="0" applyFont="1" applyBorder="1" applyAlignment="1">
      <alignment horizontal="center" vertical="center"/>
    </xf>
    <xf numFmtId="39" fontId="27" fillId="0" borderId="176" xfId="0" applyNumberFormat="1" applyFont="1" applyBorder="1" applyAlignment="1">
      <alignment horizontal="left" vertical="center" wrapText="1"/>
    </xf>
    <xf numFmtId="4" fontId="27" fillId="0" borderId="176" xfId="0" applyNumberFormat="1" applyFont="1" applyBorder="1" applyAlignment="1">
      <alignment vertical="center" wrapText="1"/>
    </xf>
    <xf numFmtId="190" fontId="27" fillId="0" borderId="176" xfId="0" applyNumberFormat="1" applyFont="1" applyBorder="1" applyAlignment="1">
      <alignment horizontal="right" vertical="center" wrapText="1"/>
    </xf>
    <xf numFmtId="191" fontId="27" fillId="0" borderId="177" xfId="0" applyNumberFormat="1" applyFont="1" applyBorder="1" applyAlignment="1">
      <alignment horizontal="right" vertical="center" wrapText="1"/>
    </xf>
    <xf numFmtId="39" fontId="27" fillId="0" borderId="204" xfId="0" applyNumberFormat="1" applyFont="1" applyBorder="1" applyAlignment="1">
      <alignment horizontal="left" vertical="center" wrapText="1"/>
    </xf>
    <xf numFmtId="173" fontId="27" fillId="6" borderId="61" xfId="0" applyNumberFormat="1" applyFont="1" applyFill="1" applyBorder="1" applyAlignment="1">
      <alignment horizontal="center" vertical="center"/>
    </xf>
    <xf numFmtId="203" fontId="7" fillId="0" borderId="5" xfId="0" applyNumberFormat="1" applyFont="1" applyBorder="1" applyAlignment="1">
      <alignment vertical="center" wrapText="1"/>
    </xf>
    <xf numFmtId="203" fontId="7" fillId="0" borderId="89" xfId="0" applyNumberFormat="1" applyFont="1" applyBorder="1" applyAlignment="1">
      <alignment vertical="center" wrapText="1"/>
    </xf>
    <xf numFmtId="168" fontId="6" fillId="12" borderId="181" xfId="0" applyNumberFormat="1" applyFont="1" applyFill="1" applyBorder="1" applyAlignment="1">
      <alignment horizontal="right" vertical="center"/>
    </xf>
    <xf numFmtId="168" fontId="6" fillId="12" borderId="185" xfId="0" applyNumberFormat="1" applyFont="1" applyFill="1" applyBorder="1" applyAlignment="1">
      <alignment horizontal="right" vertical="center"/>
    </xf>
    <xf numFmtId="0" fontId="7" fillId="13" borderId="178" xfId="0" applyFont="1" applyFill="1" applyBorder="1" applyAlignment="1">
      <alignment horizontal="center" vertical="center" wrapText="1"/>
    </xf>
    <xf numFmtId="0" fontId="7" fillId="13" borderId="5" xfId="0" applyFont="1" applyFill="1" applyBorder="1" applyAlignment="1">
      <alignment horizontal="left" vertical="center" wrapText="1"/>
    </xf>
    <xf numFmtId="0" fontId="7" fillId="13" borderId="5" xfId="0" applyFont="1" applyFill="1" applyBorder="1" applyAlignment="1">
      <alignment horizontal="center" vertical="center" wrapText="1"/>
    </xf>
    <xf numFmtId="4" fontId="7" fillId="13" borderId="5" xfId="0" applyNumberFormat="1" applyFont="1" applyFill="1" applyBorder="1" applyAlignment="1">
      <alignment horizontal="right" vertical="center" wrapText="1"/>
    </xf>
    <xf numFmtId="168" fontId="7" fillId="13" borderId="5" xfId="0" applyNumberFormat="1" applyFont="1" applyFill="1" applyBorder="1" applyAlignment="1">
      <alignment horizontal="right" vertical="center" wrapText="1"/>
    </xf>
    <xf numFmtId="168" fontId="7" fillId="14" borderId="171" xfId="0" applyNumberFormat="1" applyFont="1" applyFill="1" applyBorder="1" applyAlignment="1">
      <alignment horizontal="right" vertical="center"/>
    </xf>
    <xf numFmtId="4" fontId="7" fillId="0" borderId="163" xfId="0" applyNumberFormat="1" applyFont="1" applyBorder="1" applyAlignment="1">
      <alignment horizontal="center" vertical="center"/>
    </xf>
    <xf numFmtId="10" fontId="7" fillId="0" borderId="107" xfId="0" applyNumberFormat="1" applyFont="1" applyBorder="1" applyAlignment="1">
      <alignment vertical="center" wrapText="1"/>
    </xf>
    <xf numFmtId="0" fontId="4" fillId="2" borderId="2" xfId="0" applyFont="1" applyFill="1" applyBorder="1" applyAlignment="1">
      <alignment horizontal="left" vertical="center" wrapText="1"/>
    </xf>
    <xf numFmtId="0" fontId="5" fillId="0" borderId="3" xfId="0" applyFont="1" applyBorder="1"/>
    <xf numFmtId="0" fontId="5" fillId="0" borderId="4" xfId="0" applyFont="1" applyBorder="1"/>
    <xf numFmtId="4" fontId="9" fillId="0" borderId="0" xfId="0" applyNumberFormat="1" applyFont="1" applyAlignment="1">
      <alignment horizontal="center" vertical="center" wrapText="1"/>
    </xf>
    <xf numFmtId="0" fontId="0" fillId="0" borderId="0" xfId="0"/>
    <xf numFmtId="0" fontId="6" fillId="6" borderId="77" xfId="0" applyFont="1" applyFill="1" applyBorder="1" applyAlignment="1">
      <alignment horizontal="left" vertical="center" wrapText="1"/>
    </xf>
    <xf numFmtId="0" fontId="5" fillId="0" borderId="78" xfId="0" applyFont="1" applyBorder="1"/>
    <xf numFmtId="0" fontId="5" fillId="0" borderId="79" xfId="0" applyFont="1" applyBorder="1"/>
    <xf numFmtId="4" fontId="7" fillId="0" borderId="23" xfId="0" applyNumberFormat="1" applyFont="1" applyBorder="1" applyAlignment="1">
      <alignment horizontal="center" vertical="center"/>
    </xf>
    <xf numFmtId="0" fontId="5" fillId="0" borderId="24" xfId="0" applyFont="1" applyBorder="1"/>
    <xf numFmtId="0" fontId="5" fillId="0" borderId="82" xfId="0" applyFont="1" applyBorder="1"/>
    <xf numFmtId="4" fontId="7" fillId="0" borderId="35" xfId="0" applyNumberFormat="1" applyFont="1" applyBorder="1" applyAlignment="1">
      <alignment horizontal="center" vertical="center"/>
    </xf>
    <xf numFmtId="0" fontId="5" fillId="0" borderId="36" xfId="0" applyFont="1" applyBorder="1"/>
    <xf numFmtId="0" fontId="5" fillId="0" borderId="84" xfId="0" applyFont="1" applyBorder="1"/>
    <xf numFmtId="188" fontId="25" fillId="0" borderId="87" xfId="0" applyNumberFormat="1" applyFont="1" applyBorder="1" applyAlignment="1">
      <alignment horizontal="right" vertical="center"/>
    </xf>
    <xf numFmtId="0" fontId="5" fillId="0" borderId="89" xfId="0" applyFont="1" applyBorder="1"/>
    <xf numFmtId="185" fontId="25" fillId="0" borderId="106" xfId="0" applyNumberFormat="1" applyFont="1" applyBorder="1" applyAlignment="1">
      <alignment horizontal="right" vertical="center" wrapText="1"/>
    </xf>
    <xf numFmtId="0" fontId="5" fillId="0" borderId="90" xfId="0" applyFont="1" applyBorder="1"/>
    <xf numFmtId="187" fontId="25" fillId="0" borderId="86" xfId="0" applyNumberFormat="1" applyFont="1" applyBorder="1" applyAlignment="1">
      <alignment horizontal="center" vertical="center"/>
    </xf>
    <xf numFmtId="0" fontId="5" fillId="0" borderId="88" xfId="0" applyFont="1" applyBorder="1"/>
    <xf numFmtId="185" fontId="25" fillId="0" borderId="87" xfId="0" applyNumberFormat="1" applyFont="1" applyBorder="1" applyAlignment="1">
      <alignment horizontal="left" vertical="center" wrapText="1"/>
    </xf>
    <xf numFmtId="185" fontId="25" fillId="0" borderId="87" xfId="0" applyNumberFormat="1" applyFont="1" applyBorder="1" applyAlignment="1">
      <alignment horizontal="center" vertical="center"/>
    </xf>
    <xf numFmtId="185" fontId="25" fillId="0" borderId="87" xfId="0" applyNumberFormat="1" applyFont="1" applyBorder="1" applyAlignment="1">
      <alignment horizontal="right" vertical="center"/>
    </xf>
    <xf numFmtId="2" fontId="25" fillId="0" borderId="87" xfId="0" applyNumberFormat="1" applyFont="1" applyBorder="1" applyAlignment="1">
      <alignment horizontal="right" vertical="center"/>
    </xf>
    <xf numFmtId="187" fontId="25" fillId="0" borderId="152" xfId="0" applyNumberFormat="1" applyFont="1" applyBorder="1" applyAlignment="1">
      <alignment horizontal="center" vertical="center"/>
    </xf>
    <xf numFmtId="185" fontId="25" fillId="0" borderId="89" xfId="0" applyNumberFormat="1" applyFont="1" applyBorder="1" applyAlignment="1">
      <alignment horizontal="left" vertical="center" wrapText="1"/>
    </xf>
    <xf numFmtId="185" fontId="25" fillId="0" borderId="89" xfId="0" applyNumberFormat="1" applyFont="1" applyBorder="1" applyAlignment="1">
      <alignment horizontal="center" vertical="center"/>
    </xf>
    <xf numFmtId="185" fontId="25" fillId="0" borderId="89" xfId="0" applyNumberFormat="1" applyFont="1" applyBorder="1" applyAlignment="1">
      <alignment horizontal="right" vertical="center"/>
    </xf>
    <xf numFmtId="2" fontId="25" fillId="0" borderId="89" xfId="0" applyNumberFormat="1" applyFont="1" applyBorder="1" applyAlignment="1">
      <alignment horizontal="right" vertical="center"/>
    </xf>
    <xf numFmtId="188" fontId="25" fillId="0" borderId="89" xfId="0" applyNumberFormat="1" applyFont="1" applyBorder="1" applyAlignment="1">
      <alignment horizontal="right" vertical="center"/>
    </xf>
    <xf numFmtId="185" fontId="25" fillId="0" borderId="164" xfId="0" applyNumberFormat="1" applyFont="1" applyBorder="1" applyAlignment="1">
      <alignment horizontal="right" vertical="center" wrapText="1"/>
    </xf>
    <xf numFmtId="185" fontId="25" fillId="0" borderId="135" xfId="0" applyNumberFormat="1" applyFont="1" applyBorder="1" applyAlignment="1">
      <alignment horizontal="right" vertical="center" wrapText="1"/>
    </xf>
    <xf numFmtId="0" fontId="30" fillId="7" borderId="92" xfId="0" applyFont="1" applyFill="1" applyBorder="1" applyAlignment="1">
      <alignment horizontal="center" vertical="center" wrapText="1"/>
    </xf>
    <xf numFmtId="0" fontId="30" fillId="7" borderId="105" xfId="0" applyFont="1" applyFill="1" applyBorder="1" applyAlignment="1">
      <alignment horizontal="center" vertical="center" wrapText="1"/>
    </xf>
    <xf numFmtId="0" fontId="28" fillId="0" borderId="99" xfId="0" applyFont="1" applyBorder="1" applyAlignment="1">
      <alignment horizontal="center" vertical="center" wrapText="1"/>
    </xf>
    <xf numFmtId="0" fontId="5" fillId="0" borderId="100" xfId="0" applyFont="1" applyBorder="1"/>
    <xf numFmtId="0" fontId="5" fillId="0" borderId="146" xfId="0" applyFont="1" applyBorder="1"/>
    <xf numFmtId="0" fontId="5" fillId="0" borderId="101" xfId="0" applyFont="1" applyBorder="1"/>
    <xf numFmtId="0" fontId="29" fillId="0" borderId="102" xfId="0" applyFont="1" applyBorder="1" applyAlignment="1">
      <alignment horizontal="center" vertical="center" wrapText="1"/>
    </xf>
    <xf numFmtId="0" fontId="5" fillId="0" borderId="103" xfId="0" applyFont="1" applyBorder="1"/>
    <xf numFmtId="0" fontId="5" fillId="0" borderId="148" xfId="0" applyFont="1" applyBorder="1"/>
    <xf numFmtId="0" fontId="5" fillId="0" borderId="104" xfId="0" applyFont="1" applyBorder="1"/>
    <xf numFmtId="0" fontId="30" fillId="7" borderId="91" xfId="0" applyFont="1" applyFill="1" applyBorder="1" applyAlignment="1">
      <alignment horizontal="center" vertical="center" wrapText="1"/>
    </xf>
    <xf numFmtId="185" fontId="30" fillId="6" borderId="29" xfId="0" applyNumberFormat="1" applyFont="1" applyFill="1" applyBorder="1" applyAlignment="1">
      <alignment horizontal="center" vertical="center" wrapText="1"/>
    </xf>
    <xf numFmtId="0" fontId="5" fillId="0" borderId="30" xfId="0" applyFont="1" applyBorder="1"/>
    <xf numFmtId="0" fontId="5" fillId="0" borderId="31" xfId="0" applyFont="1" applyBorder="1"/>
    <xf numFmtId="0" fontId="30" fillId="0" borderId="29" xfId="0" applyFont="1" applyBorder="1" applyAlignment="1">
      <alignment horizontal="center" vertical="center"/>
    </xf>
    <xf numFmtId="0" fontId="30" fillId="0" borderId="35" xfId="0" applyFont="1" applyBorder="1" applyAlignment="1">
      <alignment horizontal="center" vertical="center"/>
    </xf>
    <xf numFmtId="0" fontId="5" fillId="0" borderId="37" xfId="0" applyFont="1" applyBorder="1"/>
    <xf numFmtId="0" fontId="6" fillId="5" borderId="69" xfId="0" applyFont="1" applyFill="1" applyBorder="1" applyAlignment="1">
      <alignment horizontal="center" vertical="center" wrapText="1"/>
    </xf>
    <xf numFmtId="0" fontId="5" fillId="0" borderId="70" xfId="0" applyFont="1" applyBorder="1"/>
    <xf numFmtId="0" fontId="5" fillId="0" borderId="71" xfId="0" applyFont="1" applyBorder="1"/>
    <xf numFmtId="0" fontId="6" fillId="12" borderId="180" xfId="0" applyFont="1" applyFill="1" applyBorder="1" applyAlignment="1">
      <alignment horizontal="center" vertical="center" wrapText="1"/>
    </xf>
    <xf numFmtId="0" fontId="6" fillId="12" borderId="62" xfId="0" applyFont="1" applyFill="1" applyBorder="1" applyAlignment="1">
      <alignment horizontal="center" vertical="center" wrapText="1"/>
    </xf>
    <xf numFmtId="0" fontId="6" fillId="12" borderId="59" xfId="0" applyFont="1" applyFill="1" applyBorder="1" applyAlignment="1">
      <alignment horizontal="center" vertical="center" wrapText="1"/>
    </xf>
    <xf numFmtId="0" fontId="6" fillId="2" borderId="180" xfId="0" applyFont="1" applyFill="1" applyBorder="1" applyAlignment="1">
      <alignment horizontal="center" vertical="center" wrapText="1"/>
    </xf>
    <xf numFmtId="0" fontId="6" fillId="2" borderId="62" xfId="0" applyFont="1" applyFill="1" applyBorder="1" applyAlignment="1">
      <alignment horizontal="center" vertical="center" wrapText="1"/>
    </xf>
    <xf numFmtId="0" fontId="6" fillId="2" borderId="59" xfId="0" applyFont="1" applyFill="1" applyBorder="1" applyAlignment="1">
      <alignment horizontal="center" vertical="center" wrapText="1"/>
    </xf>
    <xf numFmtId="0" fontId="6" fillId="12" borderId="182" xfId="0" applyFont="1" applyFill="1" applyBorder="1" applyAlignment="1">
      <alignment horizontal="center" vertical="center" wrapText="1"/>
    </xf>
    <xf numFmtId="0" fontId="6" fillId="12" borderId="183" xfId="0" applyFont="1" applyFill="1" applyBorder="1" applyAlignment="1">
      <alignment horizontal="center" vertical="center" wrapText="1"/>
    </xf>
    <xf numFmtId="0" fontId="6" fillId="12" borderId="184" xfId="0" applyFont="1" applyFill="1" applyBorder="1" applyAlignment="1">
      <alignment horizontal="center" vertical="center" wrapText="1"/>
    </xf>
    <xf numFmtId="0" fontId="31" fillId="0" borderId="108" xfId="0" applyFont="1" applyBorder="1" applyAlignment="1">
      <alignment horizontal="center" vertical="center"/>
    </xf>
    <xf numFmtId="0" fontId="5" fillId="0" borderId="109" xfId="0" applyFont="1" applyBorder="1"/>
    <xf numFmtId="0" fontId="5" fillId="0" borderId="110" xfId="0" applyFont="1" applyBorder="1"/>
    <xf numFmtId="0" fontId="32" fillId="0" borderId="112" xfId="0" applyFont="1" applyBorder="1" applyAlignment="1">
      <alignment horizontal="center" vertical="center" wrapText="1"/>
    </xf>
    <xf numFmtId="0" fontId="5" fillId="0" borderId="113" xfId="0" applyFont="1" applyBorder="1"/>
    <xf numFmtId="0" fontId="5" fillId="0" borderId="114" xfId="0" applyFont="1" applyBorder="1"/>
    <xf numFmtId="0" fontId="35" fillId="0" borderId="23" xfId="0" applyFont="1" applyBorder="1" applyAlignment="1">
      <alignment horizontal="center" vertical="center"/>
    </xf>
    <xf numFmtId="0" fontId="35" fillId="0" borderId="118" xfId="0" applyFont="1" applyBorder="1" applyAlignment="1">
      <alignment horizontal="center" vertical="center"/>
    </xf>
    <xf numFmtId="0" fontId="5" fillId="0" borderId="16" xfId="0" applyFont="1" applyBorder="1"/>
    <xf numFmtId="0" fontId="5" fillId="0" borderId="119" xfId="0" applyFont="1" applyBorder="1"/>
    <xf numFmtId="0" fontId="31" fillId="6" borderId="121" xfId="0" applyFont="1" applyFill="1" applyBorder="1" applyAlignment="1">
      <alignment horizontal="left" vertical="center" wrapText="1"/>
    </xf>
    <xf numFmtId="0" fontId="5" fillId="0" borderId="13" xfId="0" applyFont="1" applyBorder="1"/>
    <xf numFmtId="0" fontId="5" fillId="0" borderId="122" xfId="0" applyFont="1" applyBorder="1"/>
    <xf numFmtId="0" fontId="5" fillId="0" borderId="118" xfId="0" applyFont="1" applyBorder="1"/>
    <xf numFmtId="0" fontId="31" fillId="9" borderId="29" xfId="0" applyFont="1" applyFill="1" applyBorder="1" applyAlignment="1">
      <alignment horizontal="center" vertical="center" wrapText="1"/>
    </xf>
    <xf numFmtId="0" fontId="5" fillId="0" borderId="124" xfId="0" applyFont="1" applyBorder="1"/>
    <xf numFmtId="0" fontId="36" fillId="10" borderId="64" xfId="0" applyFont="1" applyFill="1" applyBorder="1" applyAlignment="1">
      <alignment horizontal="center" vertical="center" wrapText="1"/>
    </xf>
    <xf numFmtId="0" fontId="5" fillId="0" borderId="50" xfId="0" applyFont="1" applyBorder="1"/>
    <xf numFmtId="0" fontId="5" fillId="0" borderId="125" xfId="0" applyFont="1" applyBorder="1"/>
    <xf numFmtId="0" fontId="35" fillId="2" borderId="91" xfId="0" applyFont="1" applyFill="1" applyBorder="1" applyAlignment="1">
      <alignment horizontal="center" vertical="center" wrapText="1"/>
    </xf>
    <xf numFmtId="0" fontId="5" fillId="0" borderId="127" xfId="0" applyFont="1" applyBorder="1"/>
    <xf numFmtId="0" fontId="35" fillId="2" borderId="92" xfId="0" applyFont="1" applyFill="1" applyBorder="1" applyAlignment="1">
      <alignment horizontal="center" vertical="center" wrapText="1"/>
    </xf>
    <xf numFmtId="0" fontId="5" fillId="0" borderId="128" xfId="0" applyFont="1" applyBorder="1"/>
    <xf numFmtId="0" fontId="35" fillId="0" borderId="126" xfId="0" applyFont="1" applyBorder="1" applyAlignment="1">
      <alignment horizontal="center" vertical="center" wrapText="1"/>
    </xf>
    <xf numFmtId="0" fontId="5" fillId="0" borderId="25" xfId="0" applyFont="1" applyBorder="1"/>
    <xf numFmtId="4" fontId="35" fillId="2" borderId="105" xfId="0" applyNumberFormat="1" applyFont="1" applyFill="1" applyBorder="1" applyAlignment="1">
      <alignment horizontal="center" vertical="center" wrapText="1"/>
    </xf>
    <xf numFmtId="0" fontId="5" fillId="0" borderId="129" xfId="0" applyFont="1" applyBorder="1"/>
    <xf numFmtId="4" fontId="35" fillId="2" borderId="92" xfId="0" applyNumberFormat="1" applyFont="1" applyFill="1" applyBorder="1" applyAlignment="1">
      <alignment horizontal="center" vertical="center" wrapText="1"/>
    </xf>
    <xf numFmtId="0" fontId="31" fillId="9" borderId="29" xfId="0" applyFont="1" applyFill="1" applyBorder="1" applyAlignment="1">
      <alignment vertical="center" wrapText="1"/>
    </xf>
    <xf numFmtId="0" fontId="35" fillId="9" borderId="107" xfId="0" applyFont="1" applyFill="1" applyBorder="1" applyAlignment="1">
      <alignment horizontal="center" vertical="center" wrapText="1"/>
    </xf>
    <xf numFmtId="0" fontId="31" fillId="0" borderId="121" xfId="0" applyFont="1" applyBorder="1" applyAlignment="1">
      <alignment horizontal="center" vertical="center" wrapText="1"/>
    </xf>
    <xf numFmtId="0" fontId="5" fillId="0" borderId="7" xfId="0" applyFont="1" applyBorder="1"/>
    <xf numFmtId="0" fontId="5" fillId="0" borderId="80" xfId="0" applyFont="1" applyBorder="1"/>
    <xf numFmtId="0" fontId="5" fillId="0" borderId="12" xfId="0" applyFont="1" applyBorder="1"/>
    <xf numFmtId="0" fontId="5" fillId="0" borderId="102" xfId="0" applyFont="1" applyBorder="1"/>
    <xf numFmtId="0" fontId="5" fillId="0" borderId="136" xfId="0" applyFont="1" applyBorder="1"/>
    <xf numFmtId="3" fontId="35" fillId="9" borderId="107" xfId="0" applyNumberFormat="1" applyFont="1" applyFill="1" applyBorder="1" applyAlignment="1">
      <alignment horizontal="center" vertical="center" wrapText="1"/>
    </xf>
    <xf numFmtId="3" fontId="35" fillId="9" borderId="107" xfId="0" applyNumberFormat="1" applyFont="1" applyFill="1" applyBorder="1" applyAlignment="1">
      <alignment horizontal="center" vertical="center"/>
    </xf>
    <xf numFmtId="0" fontId="31" fillId="2" borderId="137" xfId="0" applyFont="1" applyFill="1" applyBorder="1" applyAlignment="1">
      <alignment horizontal="center" vertical="center" wrapText="1"/>
    </xf>
    <xf numFmtId="0" fontId="26" fillId="0" borderId="23" xfId="0" applyFont="1" applyBorder="1" applyAlignment="1">
      <alignment vertical="center" wrapText="1"/>
    </xf>
    <xf numFmtId="0" fontId="31" fillId="0" borderId="24" xfId="0" applyFont="1" applyBorder="1" applyAlignment="1">
      <alignment horizontal="center" vertical="center"/>
    </xf>
    <xf numFmtId="3" fontId="35" fillId="9" borderId="8" xfId="0" applyNumberFormat="1" applyFont="1" applyFill="1" applyBorder="1" applyAlignment="1">
      <alignment horizontal="center" vertical="center" wrapText="1"/>
    </xf>
    <xf numFmtId="0" fontId="5" fillId="0" borderId="9" xfId="0" applyFont="1" applyBorder="1"/>
    <xf numFmtId="0" fontId="5" fillId="0" borderId="10" xfId="0" applyFont="1" applyBorder="1"/>
    <xf numFmtId="0" fontId="35" fillId="0" borderId="186" xfId="0" applyFont="1" applyBorder="1" applyAlignment="1">
      <alignment horizontal="center" vertical="center"/>
    </xf>
    <xf numFmtId="0" fontId="5" fillId="0" borderId="187" xfId="0" applyFont="1" applyBorder="1"/>
    <xf numFmtId="0" fontId="5" fillId="0" borderId="188" xfId="0" applyFont="1" applyBorder="1"/>
    <xf numFmtId="0" fontId="39" fillId="0" borderId="189" xfId="0" applyFont="1" applyBorder="1" applyAlignment="1">
      <alignment horizontal="center" vertical="center"/>
    </xf>
    <xf numFmtId="0" fontId="5" fillId="0" borderId="161" xfId="0" applyFont="1" applyBorder="1"/>
    <xf numFmtId="0" fontId="5" fillId="0" borderId="190" xfId="0" applyFont="1" applyBorder="1"/>
    <xf numFmtId="0" fontId="40" fillId="6" borderId="191" xfId="0" applyFont="1" applyFill="1" applyBorder="1" applyAlignment="1">
      <alignment horizontal="center" vertical="center" wrapText="1"/>
    </xf>
    <xf numFmtId="0" fontId="5" fillId="0" borderId="192" xfId="0" applyFont="1" applyBorder="1"/>
    <xf numFmtId="0" fontId="5" fillId="0" borderId="189" xfId="0" applyFont="1" applyBorder="1"/>
    <xf numFmtId="0" fontId="40" fillId="9" borderId="193" xfId="0" applyFont="1" applyFill="1" applyBorder="1" applyAlignment="1">
      <alignment horizontal="center" vertical="center" wrapText="1"/>
    </xf>
    <xf numFmtId="0" fontId="5" fillId="0" borderId="151" xfId="0" applyFont="1" applyBorder="1"/>
    <xf numFmtId="0" fontId="5" fillId="0" borderId="194" xfId="0" applyFont="1" applyBorder="1"/>
    <xf numFmtId="0" fontId="36" fillId="10" borderId="195" xfId="0" applyFont="1" applyFill="1" applyBorder="1" applyAlignment="1">
      <alignment horizontal="center" vertical="center" wrapText="1"/>
    </xf>
    <xf numFmtId="0" fontId="5" fillId="0" borderId="196" xfId="0" applyFont="1" applyBorder="1"/>
    <xf numFmtId="0" fontId="35" fillId="2" borderId="197" xfId="0" applyFont="1" applyFill="1" applyBorder="1" applyAlignment="1">
      <alignment horizontal="center" vertical="center" wrapText="1"/>
    </xf>
    <xf numFmtId="0" fontId="5" fillId="0" borderId="199" xfId="0" applyFont="1" applyBorder="1"/>
    <xf numFmtId="0" fontId="35" fillId="0" borderId="144" xfId="0" applyFont="1" applyBorder="1" applyAlignment="1">
      <alignment horizontal="center" vertical="center" wrapText="1"/>
    </xf>
    <xf numFmtId="0" fontId="5" fillId="0" borderId="26" xfId="0" applyFont="1" applyBorder="1"/>
    <xf numFmtId="4" fontId="35" fillId="2" borderId="198" xfId="0" applyNumberFormat="1" applyFont="1" applyFill="1" applyBorder="1" applyAlignment="1">
      <alignment horizontal="center" vertical="center" wrapText="1"/>
    </xf>
    <xf numFmtId="0" fontId="5" fillId="0" borderId="200" xfId="0" applyFont="1" applyBorder="1"/>
    <xf numFmtId="2" fontId="20" fillId="0" borderId="107" xfId="0" applyNumberFormat="1" applyFont="1" applyBorder="1" applyAlignment="1">
      <alignment horizontal="center" vertical="center" wrapText="1"/>
    </xf>
    <xf numFmtId="0" fontId="5" fillId="0" borderId="44" xfId="0" applyFont="1" applyBorder="1" applyAlignment="1">
      <alignment vertical="center"/>
    </xf>
    <xf numFmtId="0" fontId="45" fillId="0" borderId="133" xfId="0" applyFont="1" applyBorder="1" applyAlignment="1">
      <alignment horizontal="right" vertical="center"/>
    </xf>
    <xf numFmtId="0" fontId="5" fillId="0" borderId="131" xfId="0" applyFont="1" applyBorder="1" applyAlignment="1">
      <alignment vertical="center"/>
    </xf>
    <xf numFmtId="0" fontId="5" fillId="0" borderId="132" xfId="0" applyFont="1" applyBorder="1" applyAlignment="1">
      <alignment vertical="center"/>
    </xf>
    <xf numFmtId="0" fontId="45" fillId="0" borderId="99" xfId="0" applyFont="1" applyBorder="1" applyAlignment="1">
      <alignment horizontal="left" vertical="center"/>
    </xf>
    <xf numFmtId="0" fontId="5" fillId="0" borderId="146" xfId="0" applyFont="1" applyBorder="1" applyAlignment="1">
      <alignment vertical="center"/>
    </xf>
    <xf numFmtId="0" fontId="5" fillId="0" borderId="160" xfId="0" applyFont="1" applyBorder="1" applyAlignment="1">
      <alignment vertical="center"/>
    </xf>
    <xf numFmtId="0" fontId="5" fillId="0" borderId="155" xfId="0" applyFont="1" applyBorder="1" applyAlignment="1">
      <alignment vertical="center"/>
    </xf>
    <xf numFmtId="0" fontId="0" fillId="0" borderId="22" xfId="0" applyBorder="1" applyAlignment="1">
      <alignment vertical="center"/>
    </xf>
    <xf numFmtId="0" fontId="5" fillId="0" borderId="156" xfId="0" applyFont="1" applyBorder="1" applyAlignment="1">
      <alignment vertical="center"/>
    </xf>
    <xf numFmtId="0" fontId="5" fillId="0" borderId="102" xfId="0" applyFont="1" applyBorder="1" applyAlignment="1">
      <alignment vertical="center"/>
    </xf>
    <xf numFmtId="0" fontId="5" fillId="0" borderId="148" xfId="0" applyFont="1" applyBorder="1" applyAlignment="1">
      <alignment vertical="center"/>
    </xf>
    <xf numFmtId="0" fontId="5" fillId="0" borderId="162" xfId="0" applyFont="1" applyBorder="1" applyAlignment="1">
      <alignment vertical="center"/>
    </xf>
    <xf numFmtId="0" fontId="45" fillId="10" borderId="23" xfId="0" applyFont="1" applyFill="1" applyBorder="1" applyAlignment="1">
      <alignment horizontal="center" vertical="center"/>
    </xf>
    <xf numFmtId="0" fontId="5" fillId="0" borderId="149" xfId="0" applyFont="1" applyBorder="1" applyAlignment="1">
      <alignment vertical="center"/>
    </xf>
    <xf numFmtId="0" fontId="5" fillId="0" borderId="26" xfId="0" applyFont="1" applyBorder="1" applyAlignment="1">
      <alignment vertical="center"/>
    </xf>
    <xf numFmtId="0" fontId="45" fillId="10" borderId="144" xfId="0" applyFont="1" applyFill="1" applyBorder="1" applyAlignment="1">
      <alignment horizontal="center" vertical="center"/>
    </xf>
    <xf numFmtId="0" fontId="20" fillId="0" borderId="42" xfId="0" applyFont="1" applyBorder="1" applyAlignment="1">
      <alignment vertical="center"/>
    </xf>
    <xf numFmtId="0" fontId="5" fillId="0" borderId="151" xfId="0" applyFont="1" applyBorder="1" applyAlignment="1">
      <alignment vertical="center"/>
    </xf>
    <xf numFmtId="195" fontId="20" fillId="0" borderId="107" xfId="0" applyNumberFormat="1" applyFont="1" applyBorder="1" applyAlignment="1">
      <alignment horizontal="center" vertical="center"/>
    </xf>
    <xf numFmtId="0" fontId="20" fillId="0" borderId="58" xfId="0" applyFont="1" applyBorder="1" applyAlignment="1">
      <alignment vertical="center"/>
    </xf>
    <xf numFmtId="0" fontId="5" fillId="0" borderId="62" xfId="0" applyFont="1" applyBorder="1" applyAlignment="1">
      <alignment vertical="center"/>
    </xf>
    <xf numFmtId="0" fontId="45" fillId="10" borderId="144" xfId="0" applyFont="1" applyFill="1" applyBorder="1" applyAlignment="1">
      <alignment horizontal="center" vertical="center" wrapText="1"/>
    </xf>
    <xf numFmtId="2" fontId="20" fillId="0" borderId="107" xfId="0" applyNumberFormat="1" applyFont="1" applyBorder="1" applyAlignment="1">
      <alignment horizontal="center" vertical="center"/>
    </xf>
    <xf numFmtId="0" fontId="20" fillId="0" borderId="137" xfId="0" applyFont="1" applyBorder="1" applyAlignment="1">
      <alignment horizontal="center" vertical="center"/>
    </xf>
    <xf numFmtId="0" fontId="5" fillId="0" borderId="59" xfId="0" applyFont="1" applyBorder="1" applyAlignment="1">
      <alignment vertical="center"/>
    </xf>
    <xf numFmtId="0" fontId="19" fillId="10" borderId="133" xfId="0" applyFont="1" applyFill="1" applyBorder="1" applyAlignment="1">
      <alignment horizontal="right" vertical="center"/>
    </xf>
    <xf numFmtId="0" fontId="18" fillId="0" borderId="164" xfId="0" applyFont="1" applyBorder="1" applyAlignment="1">
      <alignment horizontal="center" vertical="center"/>
    </xf>
    <xf numFmtId="0" fontId="5" fillId="0" borderId="159" xfId="0" applyFont="1" applyBorder="1" applyAlignment="1">
      <alignment vertical="center"/>
    </xf>
    <xf numFmtId="0" fontId="31" fillId="0" borderId="22" xfId="0" applyFont="1" applyBorder="1" applyAlignment="1">
      <alignment horizontal="right" vertical="center"/>
    </xf>
    <xf numFmtId="0" fontId="5" fillId="0" borderId="171" xfId="0" applyFont="1" applyBorder="1" applyAlignment="1">
      <alignment vertical="center"/>
    </xf>
    <xf numFmtId="0" fontId="5" fillId="0" borderId="173" xfId="0" applyFont="1" applyBorder="1" applyAlignment="1">
      <alignment vertical="center"/>
    </xf>
    <xf numFmtId="0" fontId="5" fillId="0" borderId="174" xfId="0" applyFont="1" applyBorder="1" applyAlignment="1">
      <alignment vertical="center"/>
    </xf>
    <xf numFmtId="0" fontId="46" fillId="0" borderId="172" xfId="0" applyFont="1" applyBorder="1" applyAlignment="1">
      <alignment horizontal="left" vertical="center"/>
    </xf>
    <xf numFmtId="182" fontId="20" fillId="0" borderId="137" xfId="0" applyNumberFormat="1" applyFont="1" applyBorder="1" applyAlignment="1">
      <alignment horizontal="center" vertical="center"/>
    </xf>
    <xf numFmtId="0" fontId="19" fillId="10" borderId="99" xfId="0" applyFont="1" applyFill="1" applyBorder="1" applyAlignment="1">
      <alignment horizontal="right" vertical="center"/>
    </xf>
    <xf numFmtId="0" fontId="20" fillId="0" borderId="193" xfId="0" applyFont="1" applyBorder="1" applyAlignment="1">
      <alignment horizontal="center" vertical="center"/>
    </xf>
    <xf numFmtId="0" fontId="5" fillId="0" borderId="194" xfId="0" applyFont="1" applyBorder="1" applyAlignment="1">
      <alignment vertical="center"/>
    </xf>
    <xf numFmtId="0" fontId="6" fillId="0" borderId="170" xfId="0" applyFont="1" applyBorder="1" applyAlignment="1">
      <alignment vertical="center" wrapText="1"/>
    </xf>
    <xf numFmtId="0" fontId="5" fillId="0" borderId="170" xfId="0" applyFont="1" applyBorder="1" applyAlignment="1">
      <alignment vertical="center"/>
    </xf>
    <xf numFmtId="182" fontId="20" fillId="0" borderId="107" xfId="0" applyNumberFormat="1" applyFont="1" applyBorder="1" applyAlignment="1">
      <alignment horizontal="center" vertical="center"/>
    </xf>
    <xf numFmtId="0" fontId="32" fillId="0" borderId="108" xfId="0" applyFont="1" applyBorder="1" applyAlignment="1">
      <alignment horizontal="center" vertical="center"/>
    </xf>
    <xf numFmtId="0" fontId="5" fillId="0" borderId="109" xfId="0" applyFont="1" applyBorder="1" applyAlignment="1">
      <alignment vertical="center"/>
    </xf>
    <xf numFmtId="0" fontId="5" fillId="0" borderId="110" xfId="0" applyFont="1" applyBorder="1" applyAlignment="1">
      <alignment vertical="center"/>
    </xf>
    <xf numFmtId="0" fontId="42" fillId="0" borderId="112" xfId="0" applyFont="1" applyBorder="1" applyAlignment="1">
      <alignment horizontal="center" vertical="center" wrapText="1"/>
    </xf>
    <xf numFmtId="0" fontId="5" fillId="0" borderId="113" xfId="0" applyFont="1" applyBorder="1" applyAlignment="1">
      <alignment vertical="center"/>
    </xf>
    <xf numFmtId="0" fontId="5" fillId="0" borderId="114" xfId="0" applyFont="1" applyBorder="1" applyAlignment="1">
      <alignment vertical="center"/>
    </xf>
    <xf numFmtId="0" fontId="31" fillId="6" borderId="205" xfId="0" applyFont="1" applyFill="1" applyBorder="1" applyAlignment="1">
      <alignment horizontal="center" vertical="center" wrapText="1"/>
    </xf>
    <xf numFmtId="0" fontId="5" fillId="0" borderId="206" xfId="0" applyFont="1" applyBorder="1" applyAlignment="1">
      <alignment vertical="center"/>
    </xf>
    <xf numFmtId="0" fontId="5" fillId="0" borderId="207" xfId="0" applyFont="1" applyBorder="1" applyAlignment="1">
      <alignment vertical="center"/>
    </xf>
    <xf numFmtId="0" fontId="43" fillId="0" borderId="91" xfId="0" applyFont="1" applyBorder="1" applyAlignment="1">
      <alignment horizontal="center" vertical="center"/>
    </xf>
    <xf numFmtId="0" fontId="5" fillId="0" borderId="157" xfId="0" applyFont="1" applyBorder="1" applyAlignment="1">
      <alignment vertical="center"/>
    </xf>
    <xf numFmtId="0" fontId="44" fillId="0" borderId="93" xfId="0" applyFont="1" applyBorder="1" applyAlignment="1">
      <alignment horizontal="center" vertical="center"/>
    </xf>
    <xf numFmtId="0" fontId="5" fillId="0" borderId="142" xfId="0" applyFont="1" applyBorder="1" applyAlignment="1">
      <alignment vertical="center"/>
    </xf>
    <xf numFmtId="0" fontId="19" fillId="0" borderId="11" xfId="0" applyFont="1" applyBorder="1" applyAlignment="1">
      <alignment horizontal="center" vertical="center"/>
    </xf>
    <xf numFmtId="0" fontId="5" fillId="0" borderId="12" xfId="0" applyFont="1" applyBorder="1" applyAlignment="1">
      <alignment vertical="center"/>
    </xf>
    <xf numFmtId="0" fontId="45" fillId="0" borderId="11" xfId="0" applyFont="1" applyBorder="1" applyAlignment="1">
      <alignment horizontal="center" vertical="center"/>
    </xf>
    <xf numFmtId="0" fontId="19" fillId="0" borderId="11" xfId="0" applyFont="1" applyBorder="1" applyAlignment="1">
      <alignment horizontal="center" vertical="center" wrapText="1"/>
    </xf>
    <xf numFmtId="0" fontId="5" fillId="0" borderId="11" xfId="0" applyFont="1" applyBorder="1" applyAlignment="1">
      <alignment vertical="center"/>
    </xf>
    <xf numFmtId="0" fontId="18" fillId="0" borderId="93" xfId="0" applyFont="1" applyBorder="1" applyAlignment="1">
      <alignment horizontal="center" vertical="center"/>
    </xf>
    <xf numFmtId="0" fontId="5" fillId="0" borderId="14" xfId="0" applyFont="1" applyBorder="1" applyAlignment="1">
      <alignment vertical="center"/>
    </xf>
    <xf numFmtId="0" fontId="5" fillId="0" borderId="161" xfId="0" applyFont="1" applyBorder="1" applyAlignment="1">
      <alignment vertical="center"/>
    </xf>
    <xf numFmtId="0" fontId="5" fillId="0" borderId="153" xfId="0" applyFont="1" applyBorder="1" applyAlignment="1">
      <alignment vertical="center"/>
    </xf>
    <xf numFmtId="0" fontId="18" fillId="0" borderId="87" xfId="0" applyFont="1" applyBorder="1" applyAlignment="1">
      <alignment horizontal="center" vertical="center"/>
    </xf>
    <xf numFmtId="0" fontId="5" fillId="0" borderId="89" xfId="0" applyFont="1" applyBorder="1" applyAlignment="1">
      <alignment vertical="center"/>
    </xf>
    <xf numFmtId="0" fontId="18" fillId="0" borderId="45" xfId="0" applyFont="1" applyBorder="1" applyAlignment="1">
      <alignment horizontal="center" vertical="center"/>
    </xf>
    <xf numFmtId="0" fontId="5" fillId="0" borderId="13" xfId="0" applyFont="1" applyBorder="1" applyAlignment="1">
      <alignment vertical="center"/>
    </xf>
    <xf numFmtId="0" fontId="5" fillId="0" borderId="122" xfId="0" applyFont="1" applyBorder="1" applyAlignment="1">
      <alignment vertical="center"/>
    </xf>
    <xf numFmtId="0" fontId="5" fillId="0" borderId="158" xfId="0" applyFont="1" applyBorder="1" applyAlignment="1">
      <alignment vertical="center"/>
    </xf>
    <xf numFmtId="0" fontId="6" fillId="0" borderId="155" xfId="0" applyFont="1" applyBorder="1" applyAlignment="1">
      <alignment horizontal="right" vertical="center"/>
    </xf>
    <xf numFmtId="0" fontId="45" fillId="0" borderId="99" xfId="0" applyFont="1" applyBorder="1" applyAlignment="1">
      <alignment horizontal="center" vertical="center"/>
    </xf>
    <xf numFmtId="0" fontId="45" fillId="10" borderId="23" xfId="0" applyFont="1" applyFill="1" applyBorder="1" applyAlignment="1">
      <alignment horizontal="center" vertical="center" wrapText="1"/>
    </xf>
    <xf numFmtId="0" fontId="5" fillId="0" borderId="82" xfId="0" applyFont="1" applyBorder="1" applyAlignment="1">
      <alignment vertical="center"/>
    </xf>
    <xf numFmtId="0" fontId="20" fillId="10" borderId="58" xfId="0" applyFont="1" applyFill="1" applyBorder="1" applyAlignment="1">
      <alignment horizontal="center" vertical="center"/>
    </xf>
    <xf numFmtId="0" fontId="5" fillId="0" borderId="84" xfId="0" applyFont="1" applyBorder="1" applyAlignment="1">
      <alignment vertical="center"/>
    </xf>
    <xf numFmtId="0" fontId="45" fillId="10" borderId="14" xfId="0" applyFont="1" applyFill="1" applyBorder="1" applyAlignment="1">
      <alignment horizontal="center" vertical="center"/>
    </xf>
    <xf numFmtId="0" fontId="5" fillId="0" borderId="165" xfId="0" applyFont="1" applyBorder="1" applyAlignment="1">
      <alignment vertical="center"/>
    </xf>
    <xf numFmtId="0" fontId="20" fillId="0" borderId="137" xfId="0" applyFont="1" applyBorder="1" applyAlignment="1">
      <alignment vertical="center"/>
    </xf>
    <xf numFmtId="2" fontId="20" fillId="0" borderId="137" xfId="0" applyNumberFormat="1" applyFont="1" applyBorder="1" applyAlignment="1">
      <alignment horizontal="center" vertical="center"/>
    </xf>
    <xf numFmtId="0" fontId="20" fillId="0" borderId="107" xfId="0" applyFont="1" applyBorder="1" applyAlignment="1">
      <alignment horizontal="center" vertical="center"/>
    </xf>
    <xf numFmtId="0" fontId="20" fillId="0" borderId="107" xfId="0" applyFont="1" applyBorder="1" applyAlignment="1">
      <alignment vertical="center"/>
    </xf>
    <xf numFmtId="0" fontId="12" fillId="0" borderId="0" xfId="0" applyFont="1"/>
    <xf numFmtId="0" fontId="34" fillId="0" borderId="22" xfId="2" applyFont="1" applyAlignment="1">
      <alignment horizontal="center"/>
    </xf>
    <xf numFmtId="0" fontId="1" fillId="0" borderId="22" xfId="2"/>
    <xf numFmtId="0" fontId="7" fillId="0" borderId="22" xfId="2" applyFont="1" applyAlignment="1">
      <alignment horizontal="center" vertical="center" wrapText="1"/>
    </xf>
    <xf numFmtId="0" fontId="58" fillId="0" borderId="133" xfId="2" applyFont="1" applyBorder="1" applyAlignment="1">
      <alignment horizontal="center" vertical="center"/>
    </xf>
    <xf numFmtId="0" fontId="5" fillId="0" borderId="131" xfId="2" applyFont="1" applyBorder="1"/>
    <xf numFmtId="0" fontId="5" fillId="0" borderId="132" xfId="2" applyFont="1" applyBorder="1"/>
    <xf numFmtId="0" fontId="35" fillId="4" borderId="91" xfId="2" applyFont="1" applyFill="1" applyBorder="1" applyAlignment="1">
      <alignment horizontal="left" vertical="center" wrapText="1"/>
    </xf>
    <xf numFmtId="0" fontId="5" fillId="0" borderId="157" xfId="2" applyFont="1" applyBorder="1"/>
    <xf numFmtId="0" fontId="5" fillId="0" borderId="127" xfId="2" applyFont="1" applyBorder="1"/>
    <xf numFmtId="0" fontId="31" fillId="4" borderId="23" xfId="2" applyFont="1" applyFill="1" applyBorder="1" applyAlignment="1">
      <alignment horizontal="center" vertical="center"/>
    </xf>
    <xf numFmtId="0" fontId="5" fillId="0" borderId="82" xfId="2" applyFont="1" applyBorder="1"/>
    <xf numFmtId="202" fontId="31" fillId="0" borderId="42" xfId="2" applyNumberFormat="1" applyFont="1" applyBorder="1" applyAlignment="1">
      <alignment horizontal="center" vertical="center"/>
    </xf>
    <xf numFmtId="0" fontId="5" fillId="0" borderId="166" xfId="2" applyFont="1" applyBorder="1"/>
    <xf numFmtId="202" fontId="31" fillId="0" borderId="58" xfId="2" applyNumberFormat="1" applyFont="1" applyBorder="1" applyAlignment="1">
      <alignment horizontal="center" vertical="center"/>
    </xf>
    <xf numFmtId="0" fontId="5" fillId="0" borderId="84" xfId="2" applyFont="1" applyBorder="1"/>
    <xf numFmtId="0" fontId="35" fillId="4" borderId="133" xfId="2" applyFont="1" applyFill="1" applyBorder="1" applyAlignment="1">
      <alignment horizontal="center" vertical="center"/>
    </xf>
    <xf numFmtId="0" fontId="35" fillId="4" borderId="157" xfId="2" applyFont="1" applyFill="1" applyBorder="1" applyAlignment="1">
      <alignment horizontal="left" vertical="center" wrapText="1"/>
    </xf>
    <xf numFmtId="0" fontId="5" fillId="0" borderId="152" xfId="2" applyFont="1" applyBorder="1"/>
    <xf numFmtId="0" fontId="35" fillId="4" borderId="86" xfId="2" applyFont="1" applyFill="1" applyBorder="1" applyAlignment="1">
      <alignment horizontal="left" vertical="center" wrapText="1"/>
    </xf>
    <xf numFmtId="0" fontId="41" fillId="0" borderId="22" xfId="2" applyFont="1" applyAlignment="1">
      <alignment horizontal="center"/>
    </xf>
    <xf numFmtId="0" fontId="15" fillId="2" borderId="6" xfId="0" applyFont="1" applyFill="1" applyBorder="1" applyAlignment="1">
      <alignment horizontal="center" vertical="center" wrapText="1"/>
    </xf>
    <xf numFmtId="0" fontId="5" fillId="0" borderId="11" xfId="0" applyFont="1" applyBorder="1"/>
    <xf numFmtId="0" fontId="5" fillId="0" borderId="14" xfId="0" applyFont="1" applyBorder="1"/>
    <xf numFmtId="0" fontId="5" fillId="0" borderId="15" xfId="0" applyFont="1" applyBorder="1"/>
    <xf numFmtId="0" fontId="16" fillId="2" borderId="8" xfId="0" applyFont="1" applyFill="1" applyBorder="1" applyAlignment="1">
      <alignment horizontal="center" vertical="center" wrapText="1"/>
    </xf>
    <xf numFmtId="39" fontId="15" fillId="2" borderId="17" xfId="0" applyNumberFormat="1" applyFont="1" applyFill="1" applyBorder="1" applyAlignment="1">
      <alignment horizontal="left" vertical="center" wrapText="1"/>
    </xf>
    <xf numFmtId="0" fontId="5" fillId="0" borderId="18" xfId="0" applyFont="1" applyBorder="1"/>
    <xf numFmtId="0" fontId="5" fillId="0" borderId="19" xfId="0" applyFont="1" applyBorder="1"/>
    <xf numFmtId="0" fontId="5" fillId="0" borderId="20" xfId="0" applyFont="1" applyBorder="1"/>
    <xf numFmtId="0" fontId="5" fillId="0" borderId="21" xfId="0" applyFont="1" applyBorder="1"/>
    <xf numFmtId="0" fontId="5" fillId="0" borderId="22" xfId="0" applyFont="1" applyBorder="1"/>
    <xf numFmtId="0" fontId="18" fillId="2" borderId="23" xfId="0" applyFont="1" applyFill="1" applyBorder="1" applyAlignment="1">
      <alignment horizontal="center" vertical="center" wrapText="1"/>
    </xf>
    <xf numFmtId="0" fontId="18" fillId="2" borderId="29" xfId="0" applyFont="1" applyFill="1" applyBorder="1" applyAlignment="1">
      <alignment horizontal="left" vertical="center" wrapText="1"/>
    </xf>
    <xf numFmtId="0" fontId="15" fillId="2" borderId="2" xfId="0" applyFont="1" applyFill="1" applyBorder="1" applyAlignment="1">
      <alignment horizontal="center" vertical="center" wrapText="1"/>
    </xf>
    <xf numFmtId="0" fontId="18" fillId="2" borderId="35" xfId="0" applyFont="1" applyFill="1" applyBorder="1" applyAlignment="1">
      <alignment horizontal="left" vertical="center" wrapText="1"/>
    </xf>
    <xf numFmtId="0" fontId="15" fillId="2" borderId="49" xfId="0" applyFont="1" applyFill="1" applyBorder="1" applyAlignment="1">
      <alignment horizontal="left" vertical="center" wrapText="1"/>
    </xf>
    <xf numFmtId="0" fontId="5" fillId="0" borderId="51" xfId="0" applyFont="1" applyBorder="1"/>
    <xf numFmtId="0" fontId="18" fillId="2" borderId="56" xfId="0" applyFont="1" applyFill="1" applyBorder="1" applyAlignment="1">
      <alignment horizontal="left" vertical="center" wrapText="1"/>
    </xf>
    <xf numFmtId="0" fontId="5" fillId="0" borderId="57" xfId="0" applyFont="1" applyBorder="1"/>
    <xf numFmtId="0" fontId="18" fillId="2" borderId="56"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22" fillId="2" borderId="8" xfId="0" applyFont="1" applyFill="1" applyBorder="1" applyAlignment="1">
      <alignment horizontal="center" vertical="center" wrapText="1"/>
    </xf>
    <xf numFmtId="4" fontId="19" fillId="2" borderId="17" xfId="0" applyNumberFormat="1" applyFont="1" applyFill="1" applyBorder="1" applyAlignment="1">
      <alignment vertical="center" wrapText="1"/>
    </xf>
    <xf numFmtId="0" fontId="20" fillId="2" borderId="23" xfId="0" applyFont="1" applyFill="1" applyBorder="1" applyAlignment="1">
      <alignment horizontal="center" vertical="center" wrapText="1"/>
    </xf>
    <xf numFmtId="0" fontId="20" fillId="2" borderId="29" xfId="0" applyFont="1" applyFill="1" applyBorder="1" applyAlignment="1">
      <alignment horizontal="left" vertical="center" wrapText="1"/>
    </xf>
    <xf numFmtId="0" fontId="19" fillId="2" borderId="49" xfId="0" applyFont="1" applyFill="1" applyBorder="1" applyAlignment="1">
      <alignment horizontal="left" vertical="center" wrapText="1"/>
    </xf>
    <xf numFmtId="0" fontId="20" fillId="2" borderId="35" xfId="0" applyFont="1" applyFill="1" applyBorder="1" applyAlignment="1">
      <alignment horizontal="left" vertical="center" wrapText="1"/>
    </xf>
    <xf numFmtId="39" fontId="19" fillId="2" borderId="17" xfId="0" applyNumberFormat="1" applyFont="1" applyFill="1" applyBorder="1" applyAlignment="1">
      <alignment horizontal="left" vertical="center" wrapText="1"/>
    </xf>
    <xf numFmtId="0" fontId="19" fillId="2" borderId="2" xfId="0" applyFont="1" applyFill="1" applyBorder="1" applyAlignment="1">
      <alignment horizontal="left" vertical="center" wrapText="1"/>
    </xf>
    <xf numFmtId="0" fontId="20" fillId="2" borderId="2" xfId="0" applyFont="1" applyFill="1" applyBorder="1" applyAlignment="1">
      <alignment horizontal="left" vertical="center" wrapText="1"/>
    </xf>
    <xf numFmtId="0" fontId="20" fillId="2" borderId="35" xfId="0" applyFont="1" applyFill="1" applyBorder="1" applyAlignment="1">
      <alignment horizontal="center" vertical="center" wrapText="1"/>
    </xf>
    <xf numFmtId="0" fontId="19" fillId="2" borderId="64" xfId="0" applyFont="1" applyFill="1" applyBorder="1" applyAlignment="1">
      <alignment horizontal="left" vertical="center" wrapText="1"/>
    </xf>
    <xf numFmtId="0" fontId="20" fillId="2" borderId="42" xfId="0" applyFont="1" applyFill="1" applyBorder="1" applyAlignment="1">
      <alignment horizontal="left" vertical="center" wrapText="1"/>
    </xf>
    <xf numFmtId="0" fontId="20" fillId="2" borderId="151" xfId="0" applyFont="1" applyFill="1" applyBorder="1" applyAlignment="1">
      <alignment horizontal="left" vertical="center" wrapText="1"/>
    </xf>
    <xf numFmtId="0" fontId="20" fillId="2" borderId="44" xfId="0" applyFont="1" applyFill="1" applyBorder="1" applyAlignment="1">
      <alignment horizontal="left" vertical="center" wrapText="1"/>
    </xf>
    <xf numFmtId="0" fontId="20" fillId="2" borderId="29" xfId="0" applyFont="1" applyFill="1" applyBorder="1" applyAlignment="1">
      <alignment horizontal="center" vertical="center" wrapText="1"/>
    </xf>
    <xf numFmtId="0" fontId="19" fillId="2" borderId="2" xfId="0" applyFont="1" applyFill="1" applyBorder="1" applyAlignment="1">
      <alignment horizontal="center" vertical="center" wrapText="1"/>
    </xf>
    <xf numFmtId="39" fontId="19" fillId="2" borderId="2" xfId="0" applyNumberFormat="1" applyFont="1" applyFill="1" applyBorder="1" applyAlignment="1">
      <alignment horizontal="left" vertical="center" wrapText="1"/>
    </xf>
    <xf numFmtId="0" fontId="19" fillId="2" borderId="17" xfId="0" applyFont="1" applyFill="1" applyBorder="1" applyAlignment="1">
      <alignment horizontal="left" vertical="center" wrapText="1"/>
    </xf>
    <xf numFmtId="0" fontId="20" fillId="2" borderId="29" xfId="0" applyFont="1" applyFill="1" applyBorder="1" applyAlignment="1">
      <alignment horizontal="left" vertical="center"/>
    </xf>
    <xf numFmtId="0" fontId="7" fillId="2" borderId="99" xfId="0" applyFont="1" applyFill="1" applyBorder="1" applyAlignment="1">
      <alignment horizontal="center" vertical="center" wrapText="1"/>
    </xf>
    <xf numFmtId="0" fontId="5" fillId="0" borderId="145" xfId="0" applyFont="1" applyBorder="1"/>
    <xf numFmtId="0" fontId="5" fillId="0" borderId="147" xfId="0" applyFont="1" applyBorder="1"/>
    <xf numFmtId="0" fontId="6" fillId="2" borderId="99" xfId="0" applyFont="1" applyFill="1" applyBorder="1" applyAlignment="1">
      <alignment horizontal="center" vertical="center" wrapText="1"/>
    </xf>
    <xf numFmtId="0" fontId="7" fillId="2" borderId="146" xfId="0" applyFont="1" applyFill="1" applyBorder="1" applyAlignment="1">
      <alignment horizontal="center" vertical="center" wrapText="1"/>
    </xf>
    <xf numFmtId="0" fontId="7" fillId="2" borderId="23" xfId="0" applyFont="1" applyFill="1" applyBorder="1" applyAlignment="1">
      <alignment horizontal="left" vertical="center" wrapText="1"/>
    </xf>
    <xf numFmtId="0" fontId="5" fillId="0" borderId="143" xfId="0" applyFont="1" applyBorder="1"/>
    <xf numFmtId="0" fontId="7" fillId="2" borderId="149" xfId="0" applyFont="1" applyFill="1" applyBorder="1" applyAlignment="1">
      <alignment horizontal="left" vertical="center" wrapText="1"/>
    </xf>
    <xf numFmtId="0" fontId="6" fillId="2" borderId="29" xfId="0" applyFont="1" applyFill="1" applyBorder="1" applyAlignment="1">
      <alignment horizontal="left" vertical="center" wrapText="1"/>
    </xf>
    <xf numFmtId="0" fontId="5" fillId="0" borderId="150" xfId="0" applyFont="1" applyBorder="1"/>
    <xf numFmtId="0" fontId="7" fillId="2" borderId="151" xfId="0" applyFont="1" applyFill="1" applyBorder="1" applyAlignment="1">
      <alignment horizontal="left" vertical="center" wrapText="1"/>
    </xf>
    <xf numFmtId="0" fontId="7" fillId="2" borderId="137" xfId="0" applyFont="1" applyFill="1" applyBorder="1" applyAlignment="1">
      <alignment horizontal="center" vertical="center" wrapText="1"/>
    </xf>
    <xf numFmtId="0" fontId="6" fillId="2" borderId="8" xfId="0" applyFont="1" applyFill="1" applyBorder="1" applyAlignment="1">
      <alignment horizontal="center" vertical="center" wrapText="1"/>
    </xf>
    <xf numFmtId="187" fontId="6" fillId="2" borderId="131"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6" fillId="2" borderId="158" xfId="0" applyFont="1" applyFill="1" applyBorder="1" applyAlignment="1">
      <alignment horizontal="center" vertical="center" wrapText="1"/>
    </xf>
    <xf numFmtId="0" fontId="6" fillId="2" borderId="159" xfId="0" applyFont="1" applyFill="1" applyBorder="1" applyAlignment="1">
      <alignment horizontal="center" vertical="center" wrapText="1"/>
    </xf>
    <xf numFmtId="0" fontId="6" fillId="2" borderId="107" xfId="0" applyFont="1" applyFill="1" applyBorder="1" applyAlignment="1">
      <alignment horizontal="center" vertical="center" wrapText="1"/>
    </xf>
    <xf numFmtId="0" fontId="5" fillId="0" borderId="153" xfId="0" applyFont="1" applyBorder="1"/>
    <xf numFmtId="39" fontId="7" fillId="2" borderId="137" xfId="0" applyNumberFormat="1" applyFont="1" applyFill="1" applyBorder="1" applyAlignment="1">
      <alignment horizontal="left" vertical="center" wrapText="1"/>
    </xf>
    <xf numFmtId="165" fontId="7" fillId="2" borderId="137" xfId="0" applyNumberFormat="1" applyFont="1" applyFill="1" applyBorder="1" applyAlignment="1">
      <alignment horizontal="center" vertical="center" wrapText="1"/>
    </xf>
    <xf numFmtId="0" fontId="6" fillId="2" borderId="155" xfId="0" applyFont="1" applyFill="1" applyBorder="1" applyAlignment="1">
      <alignment horizontal="center" vertical="center" wrapText="1"/>
    </xf>
    <xf numFmtId="0" fontId="5" fillId="0" borderId="156" xfId="0" applyFont="1" applyBorder="1"/>
    <xf numFmtId="0" fontId="6" fillId="2" borderId="157" xfId="0" applyFont="1" applyFill="1" applyBorder="1" applyAlignment="1">
      <alignment horizontal="left" vertical="center" wrapText="1"/>
    </xf>
    <xf numFmtId="0" fontId="6" fillId="2" borderId="161" xfId="0" applyFont="1" applyFill="1" applyBorder="1" applyAlignment="1">
      <alignment horizontal="center" vertical="center" wrapText="1"/>
    </xf>
    <xf numFmtId="0" fontId="6" fillId="2" borderId="23" xfId="0" applyFont="1" applyFill="1" applyBorder="1" applyAlignment="1">
      <alignment horizontal="left" vertical="center" wrapText="1"/>
    </xf>
    <xf numFmtId="187" fontId="6" fillId="2" borderId="133" xfId="0" applyNumberFormat="1" applyFont="1" applyFill="1" applyBorder="1" applyAlignment="1">
      <alignment horizontal="center" vertical="center" wrapText="1"/>
    </xf>
    <xf numFmtId="0" fontId="6" fillId="2" borderId="29" xfId="0" applyFont="1" applyFill="1" applyBorder="1" applyAlignment="1">
      <alignment horizontal="center" vertical="center" wrapText="1"/>
    </xf>
  </cellXfs>
  <cellStyles count="3">
    <cellStyle name="Moneda" xfId="1" builtinId="4"/>
    <cellStyle name="Normal" xfId="0" builtinId="0"/>
    <cellStyle name="Normal 2" xfId="2" xr:uid="{2C5133F4-131D-43DE-93DC-8A8CEF02F52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42"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8" Type="http://customschemas.google.com/relationships/workbookmetadata" Target="metadata"/><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c:style val="2"/>
  <c:chart>
    <c:title>
      <c:tx>
        <c:rich>
          <a:bodyPr/>
          <a:lstStyle/>
          <a:p>
            <a:pPr lvl="0">
              <a:defRPr sz="1400" b="0" i="0">
                <a:solidFill>
                  <a:srgbClr val="757575"/>
                </a:solidFill>
                <a:latin typeface="+mn-lt"/>
              </a:defRPr>
            </a:pPr>
            <a:r>
              <a:rPr lang="es-CO" sz="1400" b="0" i="0">
                <a:solidFill>
                  <a:srgbClr val="757575"/>
                </a:solidFill>
                <a:latin typeface="+mn-lt"/>
              </a:rPr>
              <a:t>Flujo de inversión </a:t>
            </a:r>
          </a:p>
        </c:rich>
      </c:tx>
      <c:overlay val="0"/>
    </c:title>
    <c:autoTitleDeleted val="0"/>
    <c:plotArea>
      <c:layout/>
      <c:barChart>
        <c:barDir val="col"/>
        <c:grouping val="clustered"/>
        <c:varyColors val="1"/>
        <c:ser>
          <c:idx val="0"/>
          <c:order val="0"/>
          <c:spPr>
            <a:solidFill>
              <a:srgbClr val="5B9BD5"/>
            </a:solidFill>
            <a:ln cmpd="sng">
              <a:solidFill>
                <a:srgbClr val="000000"/>
              </a:solidFill>
            </a:ln>
          </c:spPr>
          <c:invertIfNegative val="1"/>
          <c:val>
            <c:numRef>
              <c:f>PROGRAMACION!$G$27:$N$27</c:f>
              <c:numCache>
                <c:formatCode>[$$-240A]\ #,##0.00</c:formatCode>
                <c:ptCount val="8"/>
                <c:pt idx="0">
                  <c:v>10712561.916666668</c:v>
                </c:pt>
                <c:pt idx="1">
                  <c:v>22855204.488095239</c:v>
                </c:pt>
                <c:pt idx="2">
                  <c:v>45710408.976190478</c:v>
                </c:pt>
                <c:pt idx="3">
                  <c:v>24944777.821428571</c:v>
                </c:pt>
                <c:pt idx="4">
                  <c:v>44602047.642857149</c:v>
                </c:pt>
                <c:pt idx="5">
                  <c:v>30369831.738095243</c:v>
                </c:pt>
                <c:pt idx="6">
                  <c:v>50027101.559523821</c:v>
                </c:pt>
                <c:pt idx="7">
                  <c:v>69684371.380952388</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0-6E89-48E9-8DFA-0B0244E87781}"/>
            </c:ext>
          </c:extLst>
        </c:ser>
        <c:dLbls>
          <c:showLegendKey val="0"/>
          <c:showVal val="0"/>
          <c:showCatName val="0"/>
          <c:showSerName val="0"/>
          <c:showPercent val="0"/>
          <c:showBubbleSize val="0"/>
        </c:dLbls>
        <c:gapWidth val="150"/>
        <c:axId val="1059579758"/>
        <c:axId val="809824793"/>
      </c:barChart>
      <c:catAx>
        <c:axId val="1059579758"/>
        <c:scaling>
          <c:orientation val="minMax"/>
        </c:scaling>
        <c:delete val="0"/>
        <c:axPos val="b"/>
        <c:title>
          <c:tx>
            <c:rich>
              <a:bodyPr/>
              <a:lstStyle/>
              <a:p>
                <a:pPr lvl="0">
                  <a:defRPr b="0">
                    <a:solidFill>
                      <a:srgbClr val="000000"/>
                    </a:solidFill>
                    <a:latin typeface="+mn-lt"/>
                  </a:defRPr>
                </a:pPr>
                <a:endParaRPr lang="es-CO"/>
              </a:p>
            </c:rich>
          </c:tx>
          <c:overlay val="0"/>
        </c:title>
        <c:numFmt formatCode="General" sourceLinked="1"/>
        <c:majorTickMark val="none"/>
        <c:minorTickMark val="none"/>
        <c:tickLblPos val="nextTo"/>
        <c:txPr>
          <a:bodyPr/>
          <a:lstStyle/>
          <a:p>
            <a:pPr lvl="0">
              <a:defRPr sz="900" b="0" i="0">
                <a:solidFill>
                  <a:srgbClr val="000000"/>
                </a:solidFill>
                <a:latin typeface="+mn-lt"/>
              </a:defRPr>
            </a:pPr>
            <a:endParaRPr lang="es-US"/>
          </a:p>
        </c:txPr>
        <c:crossAx val="809824793"/>
        <c:crosses val="autoZero"/>
        <c:auto val="1"/>
        <c:lblAlgn val="ctr"/>
        <c:lblOffset val="100"/>
        <c:noMultiLvlLbl val="1"/>
      </c:catAx>
      <c:valAx>
        <c:axId val="809824793"/>
        <c:scaling>
          <c:orientation val="minMax"/>
        </c:scaling>
        <c:delete val="0"/>
        <c:axPos val="l"/>
        <c:majorGridlines>
          <c:spPr>
            <a:ln>
              <a:solidFill>
                <a:srgbClr val="B7B7B7"/>
              </a:solidFill>
            </a:ln>
          </c:spPr>
        </c:majorGridlines>
        <c:title>
          <c:tx>
            <c:rich>
              <a:bodyPr/>
              <a:lstStyle/>
              <a:p>
                <a:pPr lvl="0">
                  <a:defRPr b="0">
                    <a:solidFill>
                      <a:srgbClr val="000000"/>
                    </a:solidFill>
                    <a:latin typeface="+mn-lt"/>
                  </a:defRPr>
                </a:pPr>
                <a:endParaRPr lang="es-CO"/>
              </a:p>
            </c:rich>
          </c:tx>
          <c:overlay val="0"/>
        </c:title>
        <c:numFmt formatCode="[$$-240A]\ #,##0.00" sourceLinked="1"/>
        <c:majorTickMark val="none"/>
        <c:minorTickMark val="none"/>
        <c:tickLblPos val="nextTo"/>
        <c:spPr>
          <a:ln/>
        </c:spPr>
        <c:txPr>
          <a:bodyPr/>
          <a:lstStyle/>
          <a:p>
            <a:pPr lvl="0">
              <a:defRPr sz="900" b="0" i="0">
                <a:solidFill>
                  <a:srgbClr val="000000"/>
                </a:solidFill>
                <a:latin typeface="+mn-lt"/>
              </a:defRPr>
            </a:pPr>
            <a:endParaRPr lang="es-US"/>
          </a:p>
        </c:txPr>
        <c:crossAx val="1059579758"/>
        <c:crosses val="autoZero"/>
        <c:crossBetween val="between"/>
      </c:valAx>
    </c:plotArea>
    <c:plotVisOnly val="1"/>
    <c:dispBlanksAs val="zero"/>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6</xdr:col>
      <xdr:colOff>38100</xdr:colOff>
      <xdr:row>28</xdr:row>
      <xdr:rowOff>28575</xdr:rowOff>
    </xdr:from>
    <xdr:ext cx="4352925" cy="4714875"/>
    <xdr:graphicFrame macro="">
      <xdr:nvGraphicFramePr>
        <xdr:cNvPr id="631891262" name="Chart 1">
          <a:extLst>
            <a:ext uri="{FF2B5EF4-FFF2-40B4-BE49-F238E27FC236}">
              <a16:creationId xmlns:a16="http://schemas.microsoft.com/office/drawing/2014/main" id="{00000000-0008-0000-0D00-00003EE5A92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A8D08D"/>
  </sheetPr>
  <dimension ref="B2:F7"/>
  <sheetViews>
    <sheetView view="pageBreakPreview" zoomScale="107" zoomScaleNormal="100" workbookViewId="0">
      <selection activeCell="D26" sqref="D26"/>
    </sheetView>
  </sheetViews>
  <sheetFormatPr baseColWidth="10" defaultColWidth="14.5" defaultRowHeight="15" customHeight="1"/>
  <cols>
    <col min="1" max="1" width="3.6640625" customWidth="1"/>
    <col min="2" max="2" width="46.6640625" customWidth="1"/>
    <col min="3" max="3" width="18.5" customWidth="1"/>
    <col min="4" max="5" width="11.5" customWidth="1"/>
    <col min="6" max="6" width="36.1640625" customWidth="1"/>
    <col min="7" max="26" width="11.5" customWidth="1"/>
  </cols>
  <sheetData>
    <row r="2" spans="2:6" ht="45.75" customHeight="1">
      <c r="B2" s="2" t="s">
        <v>0</v>
      </c>
      <c r="C2" s="631" t="s">
        <v>326</v>
      </c>
      <c r="D2" s="632"/>
      <c r="E2" s="632"/>
      <c r="F2" s="633"/>
    </row>
    <row r="3" spans="2:6" ht="14.25" customHeight="1">
      <c r="B3" s="3" t="s">
        <v>1</v>
      </c>
      <c r="C3" s="1" t="s">
        <v>2</v>
      </c>
      <c r="D3" s="1"/>
      <c r="E3" s="1"/>
      <c r="F3" s="1"/>
    </row>
    <row r="4" spans="2:6" ht="14.25" customHeight="1">
      <c r="B4" s="3" t="s">
        <v>3</v>
      </c>
      <c r="C4" s="1" t="s">
        <v>4</v>
      </c>
      <c r="D4" s="1"/>
      <c r="E4" s="1"/>
      <c r="F4" s="1"/>
    </row>
    <row r="5" spans="2:6" ht="14.25" customHeight="1">
      <c r="B5" s="3" t="s">
        <v>5</v>
      </c>
      <c r="C5" s="4">
        <v>45779</v>
      </c>
      <c r="D5" s="1"/>
      <c r="E5" s="1"/>
      <c r="F5" s="1"/>
    </row>
    <row r="6" spans="2:6" ht="14.25" customHeight="1">
      <c r="B6" s="3" t="s">
        <v>6</v>
      </c>
      <c r="C6" s="1" t="s">
        <v>7</v>
      </c>
      <c r="D6" s="1"/>
      <c r="E6" s="1"/>
      <c r="F6" s="1"/>
    </row>
    <row r="7" spans="2:6" ht="14.25" customHeight="1">
      <c r="B7" s="3" t="s">
        <v>8</v>
      </c>
      <c r="C7" s="1" t="s">
        <v>9</v>
      </c>
      <c r="D7" s="1"/>
      <c r="E7" s="1"/>
      <c r="F7" s="1"/>
    </row>
  </sheetData>
  <mergeCells count="1">
    <mergeCell ref="C2:F2"/>
  </mergeCells>
  <pageMargins left="0.7" right="0.7" top="0.75" bottom="0.75" header="0" footer="0"/>
  <pageSetup paperSize="9" scale="6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E2EFD9"/>
    <pageSetUpPr fitToPage="1"/>
  </sheetPr>
  <dimension ref="A1:L52"/>
  <sheetViews>
    <sheetView showGridLines="0" view="pageBreakPreview" zoomScale="130" zoomScaleNormal="81" zoomScaleSheetLayoutView="130" workbookViewId="0">
      <selection activeCell="G25" sqref="G25"/>
    </sheetView>
  </sheetViews>
  <sheetFormatPr baseColWidth="10" defaultColWidth="14.5" defaultRowHeight="15" customHeight="1"/>
  <cols>
    <col min="1" max="1" width="11.83203125" customWidth="1"/>
    <col min="2" max="2" width="54" customWidth="1"/>
    <col min="3" max="3" width="7.33203125" customWidth="1"/>
    <col min="4" max="4" width="7.33203125" bestFit="1" customWidth="1"/>
    <col min="5" max="5" width="10.5" customWidth="1"/>
    <col min="6" max="6" width="20.6640625" bestFit="1" customWidth="1"/>
    <col min="7" max="7" width="11.83203125" customWidth="1"/>
    <col min="8" max="8" width="16.5" customWidth="1"/>
    <col min="9" max="9" width="21.1640625" bestFit="1" customWidth="1"/>
    <col min="10" max="10" width="9.83203125" bestFit="1" customWidth="1"/>
    <col min="11" max="11" width="20.33203125" customWidth="1"/>
    <col min="12" max="12" width="17" bestFit="1" customWidth="1"/>
    <col min="13" max="26" width="11.5" customWidth="1"/>
  </cols>
  <sheetData>
    <row r="1" spans="1:11" ht="27" customHeight="1">
      <c r="A1" s="634" t="s">
        <v>98</v>
      </c>
      <c r="B1" s="635"/>
      <c r="C1" s="635"/>
      <c r="D1" s="635"/>
      <c r="E1" s="635"/>
      <c r="F1" s="635"/>
      <c r="G1" s="635"/>
      <c r="H1" s="635"/>
      <c r="I1" s="635"/>
      <c r="J1" s="635"/>
      <c r="K1" s="184"/>
    </row>
    <row r="2" spans="1:11" ht="27" customHeight="1">
      <c r="A2" s="185" t="s">
        <v>99</v>
      </c>
      <c r="B2" s="636" t="str">
        <f>+PRESUPUESTO!B2</f>
        <v>CONSTRUCCIÓN DE PLACA HUELLAS CON APOYO DE LA COMUNIDAD Y EL COMITÉ DE CAFETEROS EN ZONA RURAL DEL MUNICIPIO DE RISARALDA</v>
      </c>
      <c r="C2" s="637"/>
      <c r="D2" s="637"/>
      <c r="E2" s="637"/>
      <c r="F2" s="637"/>
      <c r="G2" s="637"/>
      <c r="H2" s="637"/>
      <c r="I2" s="637"/>
      <c r="J2" s="638"/>
      <c r="K2" s="184"/>
    </row>
    <row r="3" spans="1:11">
      <c r="A3" s="186"/>
      <c r="B3" s="9"/>
      <c r="C3" s="9"/>
      <c r="D3" s="9"/>
      <c r="E3" s="9"/>
      <c r="F3" s="9"/>
      <c r="G3" s="9"/>
      <c r="H3" s="9"/>
      <c r="I3" s="9"/>
      <c r="J3" s="187"/>
      <c r="K3" s="184"/>
    </row>
    <row r="4" spans="1:11" ht="13.5" customHeight="1">
      <c r="A4" s="639" t="s">
        <v>100</v>
      </c>
      <c r="B4" s="640"/>
      <c r="C4" s="640"/>
      <c r="D4" s="641"/>
      <c r="E4" s="188" t="s">
        <v>101</v>
      </c>
      <c r="F4" s="189">
        <f>PRESUPUESTO!G13/(1+'APU 1'!G36)</f>
        <v>118956749.44237919</v>
      </c>
      <c r="G4" s="9"/>
      <c r="H4" s="9"/>
      <c r="I4" s="9"/>
      <c r="J4" s="187"/>
      <c r="K4" s="184"/>
    </row>
    <row r="5" spans="1:11" ht="13.5" customHeight="1">
      <c r="A5" s="642" t="s">
        <v>102</v>
      </c>
      <c r="B5" s="643"/>
      <c r="C5" s="643"/>
      <c r="D5" s="644"/>
      <c r="E5" s="190" t="s">
        <v>103</v>
      </c>
      <c r="F5" s="191">
        <v>2</v>
      </c>
      <c r="G5" s="9"/>
      <c r="H5" s="9"/>
      <c r="I5" s="9"/>
      <c r="J5" s="187"/>
      <c r="K5" s="184"/>
    </row>
    <row r="6" spans="1:11" ht="13.5" customHeight="1">
      <c r="A6" s="186"/>
      <c r="B6" s="9"/>
      <c r="C6" s="9"/>
      <c r="D6" s="9"/>
      <c r="E6" s="9"/>
      <c r="F6" s="9"/>
      <c r="G6" s="9"/>
      <c r="H6" s="9"/>
      <c r="I6" s="9"/>
      <c r="J6" s="187"/>
      <c r="K6" s="184"/>
    </row>
    <row r="7" spans="1:11" ht="25.75" customHeight="1">
      <c r="A7" s="192" t="s">
        <v>104</v>
      </c>
      <c r="B7" s="193" t="s">
        <v>105</v>
      </c>
      <c r="C7" s="193" t="s">
        <v>106</v>
      </c>
      <c r="D7" s="192" t="s">
        <v>107</v>
      </c>
      <c r="E7" s="192" t="s">
        <v>108</v>
      </c>
      <c r="F7" s="194" t="s">
        <v>109</v>
      </c>
      <c r="G7" s="193" t="s">
        <v>110</v>
      </c>
      <c r="H7" s="194" t="s">
        <v>111</v>
      </c>
      <c r="I7" s="194" t="s">
        <v>112</v>
      </c>
      <c r="J7" s="195" t="s">
        <v>113</v>
      </c>
      <c r="K7" s="184"/>
    </row>
    <row r="8" spans="1:11" ht="13.5" customHeight="1">
      <c r="A8" s="9"/>
      <c r="B8" s="9"/>
      <c r="C8" s="9"/>
      <c r="D8" s="9"/>
      <c r="E8" s="9"/>
      <c r="F8" s="9"/>
      <c r="G8" s="9"/>
      <c r="H8" s="9"/>
      <c r="I8" s="9"/>
      <c r="J8" s="9"/>
      <c r="K8" s="184"/>
    </row>
    <row r="9" spans="1:11" ht="13.5" customHeight="1">
      <c r="A9" s="196">
        <v>1</v>
      </c>
      <c r="B9" s="197" t="s">
        <v>114</v>
      </c>
      <c r="C9" s="198"/>
      <c r="D9" s="199"/>
      <c r="E9" s="199"/>
      <c r="F9" s="200"/>
      <c r="G9" s="201"/>
      <c r="H9" s="200"/>
      <c r="I9" s="200"/>
      <c r="J9" s="202">
        <f>+I10/F4</f>
        <v>7.6747221513666516E-2</v>
      </c>
      <c r="K9" s="184"/>
    </row>
    <row r="10" spans="1:11" ht="12.75" customHeight="1">
      <c r="A10" s="203">
        <v>1.1000000000000001</v>
      </c>
      <c r="B10" s="204" t="s">
        <v>115</v>
      </c>
      <c r="C10" s="182"/>
      <c r="D10" s="205"/>
      <c r="E10" s="205"/>
      <c r="F10" s="206"/>
      <c r="G10" s="207"/>
      <c r="H10" s="206"/>
      <c r="I10" s="208">
        <f>SUM(H11:H12)</f>
        <v>9129600.0000000019</v>
      </c>
      <c r="J10" s="209">
        <f>SUM(J11:J12)</f>
        <v>7.6747221513666516E-2</v>
      </c>
      <c r="K10" s="184"/>
    </row>
    <row r="11" spans="1:11" ht="13.5" customHeight="1">
      <c r="A11" s="203"/>
      <c r="B11" s="207" t="s">
        <v>116</v>
      </c>
      <c r="C11" s="182" t="s">
        <v>117</v>
      </c>
      <c r="D11" s="205">
        <v>1</v>
      </c>
      <c r="E11" s="205">
        <v>0.2</v>
      </c>
      <c r="F11" s="210">
        <v>3000000</v>
      </c>
      <c r="G11" s="211">
        <v>1.4265000000000001</v>
      </c>
      <c r="H11" s="210">
        <f t="shared" ref="H11:H12" si="0">+D11*E11*F11*G11*$F$5</f>
        <v>1711800.0000000002</v>
      </c>
      <c r="I11" s="206"/>
      <c r="J11" s="212">
        <f t="shared" ref="J11:J12" si="1">+H11/$F$4</f>
        <v>1.4390104033812471E-2</v>
      </c>
      <c r="K11" s="184"/>
    </row>
    <row r="12" spans="1:11">
      <c r="A12" s="203"/>
      <c r="B12" s="207" t="s">
        <v>118</v>
      </c>
      <c r="C12" s="182" t="s">
        <v>117</v>
      </c>
      <c r="D12" s="205">
        <v>1</v>
      </c>
      <c r="E12" s="205">
        <v>1</v>
      </c>
      <c r="F12" s="210">
        <v>2600000</v>
      </c>
      <c r="G12" s="211">
        <v>1.4265000000000001</v>
      </c>
      <c r="H12" s="210">
        <f t="shared" si="0"/>
        <v>7417800.0000000009</v>
      </c>
      <c r="I12" s="206"/>
      <c r="J12" s="212">
        <f t="shared" si="1"/>
        <v>6.2357117479854042E-2</v>
      </c>
      <c r="K12" s="184"/>
    </row>
    <row r="13" spans="1:11" ht="16.5" customHeight="1">
      <c r="A13" s="203"/>
      <c r="B13" s="213"/>
      <c r="C13" s="213"/>
      <c r="D13" s="213"/>
      <c r="E13" s="213"/>
      <c r="F13" s="213"/>
      <c r="G13" s="211"/>
      <c r="H13" s="206"/>
      <c r="I13" s="206"/>
      <c r="J13" s="212"/>
      <c r="K13" s="184"/>
    </row>
    <row r="14" spans="1:11" ht="16.5" customHeight="1">
      <c r="A14" s="214">
        <v>2</v>
      </c>
      <c r="B14" s="215" t="s">
        <v>119</v>
      </c>
      <c r="C14" s="182"/>
      <c r="D14" s="205"/>
      <c r="E14" s="205"/>
      <c r="F14" s="206"/>
      <c r="G14" s="207"/>
      <c r="H14" s="206"/>
      <c r="I14" s="206"/>
      <c r="J14" s="209">
        <f>J15</f>
        <v>0.21825700000000003</v>
      </c>
      <c r="K14" s="184"/>
    </row>
    <row r="15" spans="1:11" ht="16.5" customHeight="1">
      <c r="A15" s="203">
        <v>2.2000000000000002</v>
      </c>
      <c r="B15" s="204" t="s">
        <v>120</v>
      </c>
      <c r="C15" s="182"/>
      <c r="D15" s="205"/>
      <c r="E15" s="205"/>
      <c r="F15" s="206"/>
      <c r="G15" s="207"/>
      <c r="H15" s="206"/>
      <c r="I15" s="208">
        <f>SUM(H16:H23)</f>
        <v>25963143.263045359</v>
      </c>
      <c r="J15" s="209">
        <f>SUM(J16:J23)</f>
        <v>0.21825700000000003</v>
      </c>
      <c r="K15" s="184"/>
    </row>
    <row r="16" spans="1:11">
      <c r="A16" s="203"/>
      <c r="B16" s="207" t="s">
        <v>121</v>
      </c>
      <c r="C16" s="182" t="s">
        <v>113</v>
      </c>
      <c r="D16" s="211">
        <v>0.05</v>
      </c>
      <c r="E16" s="205"/>
      <c r="F16" s="210">
        <f>+F4</f>
        <v>118956749.44237919</v>
      </c>
      <c r="G16" s="619">
        <v>1.286</v>
      </c>
      <c r="H16" s="210">
        <f t="shared" ref="H16:H23" si="2">D16*F16*G16</f>
        <v>7648918.9891449828</v>
      </c>
      <c r="I16" s="206"/>
      <c r="J16" s="212">
        <f t="shared" ref="J16:J23" si="3">+H16/$F$4</f>
        <v>6.430000000000001E-2</v>
      </c>
      <c r="K16" s="216"/>
    </row>
    <row r="17" spans="1:12" ht="13.5" customHeight="1">
      <c r="A17" s="203"/>
      <c r="B17" s="207" t="s">
        <v>122</v>
      </c>
      <c r="C17" s="182" t="s">
        <v>113</v>
      </c>
      <c r="D17" s="211">
        <v>0.02</v>
      </c>
      <c r="E17" s="205"/>
      <c r="F17" s="210">
        <f>+F16</f>
        <v>118956749.44237919</v>
      </c>
      <c r="G17" s="619">
        <f t="shared" ref="G17:G23" si="4">+$G$16</f>
        <v>1.286</v>
      </c>
      <c r="H17" s="210">
        <f t="shared" si="2"/>
        <v>3059567.5956579931</v>
      </c>
      <c r="I17" s="206"/>
      <c r="J17" s="212">
        <f t="shared" si="3"/>
        <v>2.5720000000000003E-2</v>
      </c>
      <c r="K17" s="216"/>
    </row>
    <row r="18" spans="1:12" ht="13.5" customHeight="1">
      <c r="A18" s="203"/>
      <c r="B18" s="207" t="s">
        <v>123</v>
      </c>
      <c r="C18" s="182" t="s">
        <v>113</v>
      </c>
      <c r="D18" s="211">
        <v>0.02</v>
      </c>
      <c r="E18" s="205"/>
      <c r="F18" s="210">
        <f t="shared" ref="F18:F19" si="5">+F16</f>
        <v>118956749.44237919</v>
      </c>
      <c r="G18" s="619">
        <f t="shared" si="4"/>
        <v>1.286</v>
      </c>
      <c r="H18" s="210">
        <f t="shared" si="2"/>
        <v>3059567.5956579931</v>
      </c>
      <c r="I18" s="206"/>
      <c r="J18" s="212">
        <f t="shared" si="3"/>
        <v>2.5720000000000003E-2</v>
      </c>
      <c r="K18" s="184"/>
    </row>
    <row r="19" spans="1:12" ht="13.5" customHeight="1">
      <c r="A19" s="217"/>
      <c r="B19" s="218" t="s">
        <v>124</v>
      </c>
      <c r="C19" s="182" t="s">
        <v>113</v>
      </c>
      <c r="D19" s="211">
        <v>0.01</v>
      </c>
      <c r="E19" s="219"/>
      <c r="F19" s="210">
        <f t="shared" si="5"/>
        <v>118956749.44237919</v>
      </c>
      <c r="G19" s="619">
        <f t="shared" si="4"/>
        <v>1.286</v>
      </c>
      <c r="H19" s="210">
        <f t="shared" si="2"/>
        <v>1529783.7978289966</v>
      </c>
      <c r="I19" s="206"/>
      <c r="J19" s="212">
        <f t="shared" si="3"/>
        <v>1.2860000000000002E-2</v>
      </c>
      <c r="K19" s="184"/>
    </row>
    <row r="20" spans="1:12" ht="13.5" customHeight="1">
      <c r="A20" s="217"/>
      <c r="B20" s="218" t="s">
        <v>125</v>
      </c>
      <c r="C20" s="182" t="s">
        <v>113</v>
      </c>
      <c r="D20" s="211">
        <v>0.04</v>
      </c>
      <c r="E20" s="219"/>
      <c r="F20" s="210">
        <f>+F17</f>
        <v>118956749.44237919</v>
      </c>
      <c r="G20" s="619">
        <f t="shared" si="4"/>
        <v>1.286</v>
      </c>
      <c r="H20" s="210">
        <f>D20*F20*G20</f>
        <v>6119135.1913159862</v>
      </c>
      <c r="I20" s="206"/>
      <c r="J20" s="212">
        <f t="shared" si="3"/>
        <v>5.1440000000000007E-2</v>
      </c>
      <c r="K20" s="184"/>
    </row>
    <row r="21" spans="1:12" ht="13.5" customHeight="1">
      <c r="A21" s="629"/>
      <c r="B21" s="218" t="s">
        <v>336</v>
      </c>
      <c r="C21" s="182" t="s">
        <v>113</v>
      </c>
      <c r="D21" s="211">
        <v>0.02</v>
      </c>
      <c r="E21" s="219"/>
      <c r="F21" s="210">
        <f>F4</f>
        <v>118956749.44237919</v>
      </c>
      <c r="G21" s="619">
        <v>1.3</v>
      </c>
      <c r="H21" s="210">
        <f>D21*F21*G21</f>
        <v>3092875.4855018593</v>
      </c>
      <c r="I21" s="206"/>
      <c r="J21" s="630">
        <f>H21/F4</f>
        <v>2.6000000000000002E-2</v>
      </c>
      <c r="K21" s="184"/>
    </row>
    <row r="22" spans="1:12" ht="13.5" customHeight="1">
      <c r="A22" s="220"/>
      <c r="B22" s="207" t="s">
        <v>126</v>
      </c>
      <c r="C22" s="182" t="s">
        <v>113</v>
      </c>
      <c r="D22" s="211">
        <v>6.4999999999999997E-3</v>
      </c>
      <c r="E22" s="205"/>
      <c r="F22" s="210">
        <f>+F17</f>
        <v>118956749.44237919</v>
      </c>
      <c r="G22" s="619">
        <f t="shared" si="4"/>
        <v>1.286</v>
      </c>
      <c r="H22" s="210">
        <f t="shared" si="2"/>
        <v>994359.46858884767</v>
      </c>
      <c r="I22" s="206"/>
      <c r="J22" s="211">
        <f t="shared" si="3"/>
        <v>8.3590000000000001E-3</v>
      </c>
      <c r="K22" s="184"/>
    </row>
    <row r="23" spans="1:12" ht="13.5" customHeight="1">
      <c r="A23" s="221"/>
      <c r="B23" s="222" t="s">
        <v>127</v>
      </c>
      <c r="C23" s="223" t="s">
        <v>113</v>
      </c>
      <c r="D23" s="224">
        <v>3.0000000000000001E-3</v>
      </c>
      <c r="E23" s="225"/>
      <c r="F23" s="226">
        <f>+F18</f>
        <v>118956749.44237919</v>
      </c>
      <c r="G23" s="620">
        <f t="shared" si="4"/>
        <v>1.286</v>
      </c>
      <c r="H23" s="210">
        <f t="shared" si="2"/>
        <v>458935.1393486989</v>
      </c>
      <c r="I23" s="227"/>
      <c r="J23" s="228">
        <f t="shared" si="3"/>
        <v>3.8579999999999999E-3</v>
      </c>
      <c r="K23" s="466">
        <f>+PRESUPUESTO!G13/(1+'APU 1'!G36)</f>
        <v>118956749.44237919</v>
      </c>
      <c r="L23" s="467"/>
    </row>
    <row r="24" spans="1:12" ht="13.5" customHeight="1">
      <c r="A24" s="230"/>
      <c r="B24" s="231" t="s">
        <v>128</v>
      </c>
      <c r="C24" s="232"/>
      <c r="D24" s="233"/>
      <c r="E24" s="234"/>
      <c r="F24" s="235"/>
      <c r="G24" s="236"/>
      <c r="H24" s="237"/>
      <c r="I24" s="238">
        <f>+I10+I15</f>
        <v>35092743.263045363</v>
      </c>
      <c r="J24" s="239">
        <f>+ROUND((I24/F4),4)</f>
        <v>0.29499999999999998</v>
      </c>
      <c r="K24" s="466">
        <f>K23*29.5%</f>
        <v>35092241.085501857</v>
      </c>
      <c r="L24" s="467"/>
    </row>
    <row r="25" spans="1:12" ht="13.5" customHeight="1">
      <c r="A25" s="240"/>
      <c r="B25" s="241" t="s">
        <v>129</v>
      </c>
      <c r="C25" s="242"/>
      <c r="D25" s="243"/>
      <c r="E25" s="243"/>
      <c r="F25" s="244"/>
      <c r="G25" s="245"/>
      <c r="H25" s="244"/>
      <c r="I25" s="246"/>
      <c r="J25" s="247">
        <v>0</v>
      </c>
      <c r="K25" s="466"/>
      <c r="L25" s="467"/>
    </row>
    <row r="26" spans="1:12" ht="13.5" customHeight="1">
      <c r="A26" s="240"/>
      <c r="B26" s="241" t="s">
        <v>130</v>
      </c>
      <c r="C26" s="242"/>
      <c r="D26" s="243"/>
      <c r="E26" s="243"/>
      <c r="F26" s="244"/>
      <c r="G26" s="245"/>
      <c r="H26" s="244"/>
      <c r="I26" s="246"/>
      <c r="J26" s="247">
        <v>0.05</v>
      </c>
      <c r="K26" s="466">
        <f>K23*J26</f>
        <v>5947837.4721189598</v>
      </c>
      <c r="L26" s="467"/>
    </row>
    <row r="27" spans="1:12" ht="13.5" customHeight="1">
      <c r="A27" s="248"/>
      <c r="B27" s="249" t="s">
        <v>131</v>
      </c>
      <c r="C27" s="250"/>
      <c r="D27" s="251"/>
      <c r="E27" s="251"/>
      <c r="F27" s="252"/>
      <c r="G27" s="253"/>
      <c r="H27" s="252"/>
      <c r="I27" s="254"/>
      <c r="J27" s="255">
        <f>SUM(J24:J26)</f>
        <v>0.34499999999999997</v>
      </c>
      <c r="K27" s="466">
        <f>K26+K24+K23</f>
        <v>159996828</v>
      </c>
      <c r="L27" s="467">
        <f>+PRESUPUESTO!G13</f>
        <v>159996828</v>
      </c>
    </row>
    <row r="28" spans="1:12" ht="13.5" customHeight="1">
      <c r="A28" s="256"/>
      <c r="B28" s="257"/>
      <c r="C28" s="256"/>
      <c r="D28" s="256"/>
      <c r="E28" s="256"/>
      <c r="F28" s="258"/>
      <c r="G28" s="184"/>
      <c r="H28" s="184"/>
      <c r="I28" s="259"/>
      <c r="J28" s="184"/>
      <c r="K28" s="184"/>
    </row>
    <row r="29" spans="1:12" ht="13.5" customHeight="1">
      <c r="A29" s="256"/>
      <c r="B29" s="257"/>
      <c r="C29" s="256"/>
      <c r="D29" s="256"/>
      <c r="E29" s="256"/>
      <c r="F29" s="258"/>
      <c r="G29" s="184"/>
      <c r="H29" s="184"/>
      <c r="I29" s="260"/>
      <c r="J29" s="184"/>
      <c r="K29" s="184"/>
    </row>
    <row r="40" spans="9:11" ht="13.5" customHeight="1">
      <c r="I40" s="229"/>
      <c r="J40" s="184"/>
      <c r="K40" s="184"/>
    </row>
    <row r="41" spans="9:11" ht="13.5" customHeight="1">
      <c r="I41" s="184"/>
      <c r="J41" s="184"/>
      <c r="K41" s="184"/>
    </row>
    <row r="42" spans="9:11" ht="13.5" customHeight="1">
      <c r="I42" s="263"/>
      <c r="J42" s="184"/>
      <c r="K42" s="184"/>
    </row>
    <row r="43" spans="9:11" ht="13.5" customHeight="1">
      <c r="I43" s="229"/>
      <c r="J43" s="184"/>
      <c r="K43" s="184"/>
    </row>
    <row r="44" spans="9:11" ht="13.5" customHeight="1">
      <c r="I44" s="184"/>
      <c r="J44" s="184"/>
      <c r="K44" s="184"/>
    </row>
    <row r="45" spans="9:11" ht="13.5" customHeight="1">
      <c r="I45" s="229"/>
      <c r="J45" s="264"/>
      <c r="K45" s="184"/>
    </row>
    <row r="46" spans="9:11" ht="13.5" customHeight="1">
      <c r="I46" s="229"/>
      <c r="J46" s="264"/>
      <c r="K46" s="184"/>
    </row>
    <row r="47" spans="9:11" ht="13.5" customHeight="1">
      <c r="I47" s="229"/>
      <c r="J47" s="264"/>
      <c r="K47" s="184"/>
    </row>
    <row r="48" spans="9:11" ht="13.5" customHeight="1">
      <c r="I48" s="229"/>
      <c r="J48" s="264"/>
      <c r="K48" s="184"/>
    </row>
    <row r="49" spans="9:11" ht="13.5" customHeight="1">
      <c r="I49" s="229"/>
      <c r="J49" s="264"/>
      <c r="K49" s="184"/>
    </row>
    <row r="50" spans="9:11" ht="13.5" customHeight="1">
      <c r="I50" s="229"/>
      <c r="J50" s="264"/>
      <c r="K50" s="184"/>
    </row>
    <row r="51" spans="9:11" ht="13.5" customHeight="1">
      <c r="I51" s="229"/>
      <c r="J51" s="264"/>
      <c r="K51" s="184"/>
    </row>
    <row r="52" spans="9:11" ht="13.5" customHeight="1">
      <c r="I52" s="229"/>
      <c r="J52" s="264"/>
      <c r="K52" s="184"/>
    </row>
  </sheetData>
  <mergeCells count="4">
    <mergeCell ref="A1:J1"/>
    <mergeCell ref="B2:J2"/>
    <mergeCell ref="A4:D4"/>
    <mergeCell ref="A5:D5"/>
  </mergeCells>
  <pageMargins left="0.51181102362204722" right="0.51181102362204722" top="0.55118110236220474" bottom="0.55118110236220474" header="0" footer="0"/>
  <pageSetup scale="5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E2EFD9"/>
    <pageSetUpPr fitToPage="1"/>
  </sheetPr>
  <dimension ref="A1:O27"/>
  <sheetViews>
    <sheetView showGridLines="0" view="pageBreakPreview" topLeftCell="A2" zoomScale="70" zoomScaleNormal="77" zoomScaleSheetLayoutView="70" workbookViewId="0">
      <selection activeCell="P25" sqref="P25"/>
    </sheetView>
  </sheetViews>
  <sheetFormatPr baseColWidth="10" defaultColWidth="14.5" defaultRowHeight="15" customHeight="1"/>
  <cols>
    <col min="1" max="1" width="6.5" customWidth="1"/>
    <col min="2" max="2" width="33.1640625" customWidth="1"/>
    <col min="3" max="3" width="9.5" customWidth="1"/>
    <col min="4" max="4" width="12.6640625" customWidth="1"/>
    <col min="5" max="5" width="11.6640625" customWidth="1"/>
    <col min="6" max="6" width="21.5" customWidth="1"/>
    <col min="7" max="14" width="17.6640625" customWidth="1"/>
    <col min="15" max="15" width="18.1640625" customWidth="1"/>
    <col min="16" max="30" width="12.6640625" customWidth="1"/>
  </cols>
  <sheetData>
    <row r="1" spans="1:15" ht="21.75" customHeight="1">
      <c r="A1" s="665" t="s">
        <v>132</v>
      </c>
      <c r="B1" s="666"/>
      <c r="C1" s="666"/>
      <c r="D1" s="666"/>
      <c r="E1" s="666"/>
      <c r="F1" s="666"/>
      <c r="G1" s="666"/>
      <c r="H1" s="667"/>
      <c r="I1" s="667"/>
      <c r="J1" s="667"/>
      <c r="K1" s="667"/>
      <c r="L1" s="666"/>
      <c r="M1" s="666"/>
      <c r="N1" s="666"/>
      <c r="O1" s="668"/>
    </row>
    <row r="2" spans="1:15" ht="63.75" customHeight="1">
      <c r="A2" s="669" t="str">
        <f>+PRESUPUESTO!B2</f>
        <v>CONSTRUCCIÓN DE PLACA HUELLAS CON APOYO DE LA COMUNIDAD Y EL COMITÉ DE CAFETEROS EN ZONA RURAL DEL MUNICIPIO DE RISARALDA</v>
      </c>
      <c r="B2" s="670"/>
      <c r="C2" s="670"/>
      <c r="D2" s="670"/>
      <c r="E2" s="670"/>
      <c r="F2" s="670"/>
      <c r="G2" s="670"/>
      <c r="H2" s="671"/>
      <c r="I2" s="671"/>
      <c r="J2" s="671"/>
      <c r="K2" s="671"/>
      <c r="L2" s="670"/>
      <c r="M2" s="670"/>
      <c r="N2" s="670"/>
      <c r="O2" s="672"/>
    </row>
    <row r="3" spans="1:15" ht="3.75" customHeight="1">
      <c r="A3" s="265"/>
      <c r="B3" s="266"/>
      <c r="C3" s="266"/>
      <c r="D3" s="267"/>
      <c r="E3" s="267"/>
      <c r="F3" s="267"/>
      <c r="G3" s="266"/>
      <c r="H3" s="266"/>
      <c r="I3" s="266"/>
      <c r="J3" s="266"/>
      <c r="K3" s="266"/>
      <c r="L3" s="266"/>
      <c r="M3" s="266"/>
      <c r="N3" s="266"/>
      <c r="O3" s="268"/>
    </row>
    <row r="4" spans="1:15" ht="3.75" customHeight="1">
      <c r="A4" s="261"/>
      <c r="B4" s="269"/>
      <c r="C4" s="261"/>
      <c r="D4" s="268"/>
      <c r="E4" s="268"/>
      <c r="F4" s="268"/>
      <c r="G4" s="262"/>
      <c r="H4" s="262"/>
      <c r="I4" s="262"/>
      <c r="J4" s="262"/>
      <c r="K4" s="262"/>
      <c r="L4" s="262"/>
      <c r="M4" s="262"/>
      <c r="N4" s="262"/>
      <c r="O4" s="268"/>
    </row>
    <row r="5" spans="1:15" ht="18" customHeight="1">
      <c r="A5" s="673" t="s">
        <v>133</v>
      </c>
      <c r="B5" s="663" t="s">
        <v>43</v>
      </c>
      <c r="C5" s="663" t="s">
        <v>51</v>
      </c>
      <c r="D5" s="663" t="s">
        <v>134</v>
      </c>
      <c r="E5" s="663" t="s">
        <v>53</v>
      </c>
      <c r="F5" s="663" t="s">
        <v>135</v>
      </c>
      <c r="G5" s="270" t="s">
        <v>136</v>
      </c>
      <c r="H5" s="270" t="s">
        <v>136</v>
      </c>
      <c r="I5" s="270" t="s">
        <v>136</v>
      </c>
      <c r="J5" s="270" t="s">
        <v>136</v>
      </c>
      <c r="K5" s="270" t="s">
        <v>136</v>
      </c>
      <c r="L5" s="270" t="s">
        <v>136</v>
      </c>
      <c r="M5" s="270" t="s">
        <v>136</v>
      </c>
      <c r="N5" s="270" t="s">
        <v>136</v>
      </c>
      <c r="O5" s="664" t="s">
        <v>137</v>
      </c>
    </row>
    <row r="6" spans="1:15" ht="18" customHeight="1">
      <c r="A6" s="650"/>
      <c r="B6" s="646"/>
      <c r="C6" s="646"/>
      <c r="D6" s="646"/>
      <c r="E6" s="646"/>
      <c r="F6" s="646"/>
      <c r="G6" s="271">
        <v>1</v>
      </c>
      <c r="H6" s="271">
        <v>2</v>
      </c>
      <c r="I6" s="271">
        <v>3</v>
      </c>
      <c r="J6" s="271">
        <v>4</v>
      </c>
      <c r="K6" s="271">
        <v>5</v>
      </c>
      <c r="L6" s="271">
        <v>6</v>
      </c>
      <c r="M6" s="271">
        <v>7</v>
      </c>
      <c r="N6" s="271">
        <v>8</v>
      </c>
      <c r="O6" s="648"/>
    </row>
    <row r="7" spans="1:15" ht="21.75" customHeight="1">
      <c r="A7" s="649">
        <v>1</v>
      </c>
      <c r="B7" s="651" t="str">
        <f>VLOOKUP(A7,PRESUPUESTO!B:F,2,0)</f>
        <v>Excavaciones varias en material común. No incluye mano de obra no calificada.</v>
      </c>
      <c r="C7" s="652" t="str">
        <f>VLOOKUP(A7,PRESUPUESTO!B:F,3,0)</f>
        <v>M3</v>
      </c>
      <c r="D7" s="653">
        <f>VLOOKUP(A7,PRESUPUESTO!B:F,5,0)</f>
        <v>31583</v>
      </c>
      <c r="E7" s="654">
        <f>VLOOKUP(A7,PRESUPUESTO!B:F,4,0)</f>
        <v>195.67</v>
      </c>
      <c r="F7" s="645">
        <f>+ROUND((D7*E7),0)</f>
        <v>6179846</v>
      </c>
      <c r="G7" s="272">
        <f>+F7/3</f>
        <v>2059948.6666666667</v>
      </c>
      <c r="H7" s="272">
        <f t="shared" ref="H7:I7" si="0">+G7</f>
        <v>2059948.6666666667</v>
      </c>
      <c r="I7" s="272">
        <f t="shared" si="0"/>
        <v>2059948.6666666667</v>
      </c>
      <c r="J7" s="272"/>
      <c r="K7" s="272"/>
      <c r="L7" s="272"/>
      <c r="M7" s="272"/>
      <c r="N7" s="272"/>
      <c r="O7" s="647">
        <f>+SUM(G7:N7)</f>
        <v>6179846</v>
      </c>
    </row>
    <row r="8" spans="1:15" ht="21.75" customHeight="1">
      <c r="A8" s="650"/>
      <c r="B8" s="646"/>
      <c r="C8" s="646"/>
      <c r="D8" s="646"/>
      <c r="E8" s="646"/>
      <c r="F8" s="646"/>
      <c r="G8" s="273"/>
      <c r="H8" s="273"/>
      <c r="I8" s="273"/>
      <c r="J8" s="274"/>
      <c r="K8" s="274"/>
      <c r="L8" s="274"/>
      <c r="M8" s="274"/>
      <c r="N8" s="274"/>
      <c r="O8" s="648"/>
    </row>
    <row r="9" spans="1:15" ht="30.75" customHeight="1">
      <c r="A9" s="649">
        <v>2</v>
      </c>
      <c r="B9" s="651" t="str">
        <f>VLOOKUP(A9,PRESUPUESTO!B:F,2,0)</f>
        <v>Suministro, transporte e instalacion de afirmado compactado. No incluye mano de obra no calificada.</v>
      </c>
      <c r="C9" s="652" t="str">
        <f>VLOOKUP(A9,PRESUPUESTO!B:F,3,0)</f>
        <v>M3</v>
      </c>
      <c r="D9" s="653">
        <f>VLOOKUP(A9,PRESUPUESTO!B:F,5,0)</f>
        <v>173432</v>
      </c>
      <c r="E9" s="654">
        <f>VLOOKUP(A9,PRESUPUESTO!B:F,4,0)</f>
        <v>121.95</v>
      </c>
      <c r="F9" s="645">
        <f>+ROUND((D9*E9),0)</f>
        <v>21150032</v>
      </c>
      <c r="G9" s="272">
        <f>+F9/4</f>
        <v>5287508</v>
      </c>
      <c r="H9" s="272">
        <f t="shared" ref="H9:J9" si="1">+G9</f>
        <v>5287508</v>
      </c>
      <c r="I9" s="272">
        <f t="shared" si="1"/>
        <v>5287508</v>
      </c>
      <c r="J9" s="272">
        <f t="shared" si="1"/>
        <v>5287508</v>
      </c>
      <c r="K9" s="272"/>
      <c r="L9" s="274"/>
      <c r="M9" s="272"/>
      <c r="N9" s="274"/>
      <c r="O9" s="647">
        <f>+SUM(G9:N9)</f>
        <v>21150032</v>
      </c>
    </row>
    <row r="10" spans="1:15" ht="30.75" customHeight="1">
      <c r="A10" s="650"/>
      <c r="B10" s="646"/>
      <c r="C10" s="646"/>
      <c r="D10" s="646"/>
      <c r="E10" s="646"/>
      <c r="F10" s="646"/>
      <c r="G10" s="273"/>
      <c r="H10" s="273"/>
      <c r="I10" s="273"/>
      <c r="J10" s="273"/>
      <c r="K10" s="275"/>
      <c r="L10" s="275"/>
      <c r="M10" s="275"/>
      <c r="N10" s="275"/>
      <c r="O10" s="648"/>
    </row>
    <row r="11" spans="1:15" ht="52.5" customHeight="1">
      <c r="A11" s="649">
        <f>+A9+1</f>
        <v>3</v>
      </c>
      <c r="B11" s="651" t="str">
        <f>VLOOKUP(A11,PRESUPUESTO!B:F,2,0)</f>
        <v>Concreto clase D: Concreto de 3000 PSI. Incluye preparación e instalación de concreto en placas, vigas y cunetas. Incluye formaleta. Incluye agregados. No incluye suministro de cemento. No incluye mano de obra no calificada.</v>
      </c>
      <c r="C11" s="652" t="str">
        <f>VLOOKUP(A11,PRESUPUESTO!B:F,3,0)</f>
        <v>M3</v>
      </c>
      <c r="D11" s="653">
        <f>VLOOKUP(A11,PRESUPUESTO!B:F,5,0)</f>
        <v>512960</v>
      </c>
      <c r="E11" s="654">
        <f>VLOOKUP(A11,PRESUPUESTO!B:F,4,0)</f>
        <v>88.73</v>
      </c>
      <c r="F11" s="645">
        <f>+ROUND((D11*E11),0)</f>
        <v>45514941</v>
      </c>
      <c r="G11" s="276"/>
      <c r="H11" s="277">
        <f>+F11/7</f>
        <v>6502134.4285714282</v>
      </c>
      <c r="I11" s="277">
        <f t="shared" ref="I11" si="2">+H11</f>
        <v>6502134.4285714282</v>
      </c>
      <c r="J11" s="277">
        <f t="shared" ref="J11" si="3">+I11</f>
        <v>6502134.4285714282</v>
      </c>
      <c r="K11" s="277">
        <f t="shared" ref="K11" si="4">+J11</f>
        <v>6502134.4285714282</v>
      </c>
      <c r="L11" s="277">
        <f t="shared" ref="L11" si="5">+K11</f>
        <v>6502134.4285714282</v>
      </c>
      <c r="M11" s="277">
        <f t="shared" ref="M11" si="6">+L11</f>
        <v>6502134.4285714282</v>
      </c>
      <c r="N11" s="277">
        <f t="shared" ref="N11" si="7">+M11</f>
        <v>6502134.4285714282</v>
      </c>
      <c r="O11" s="647">
        <f>+SUM(G11:N11)</f>
        <v>45514940.999999993</v>
      </c>
    </row>
    <row r="12" spans="1:15" ht="76.25" customHeight="1">
      <c r="A12" s="650"/>
      <c r="B12" s="646"/>
      <c r="C12" s="646"/>
      <c r="D12" s="646"/>
      <c r="E12" s="646"/>
      <c r="F12" s="646"/>
      <c r="G12" s="274"/>
      <c r="H12" s="278"/>
      <c r="I12" s="278"/>
      <c r="J12" s="278"/>
      <c r="K12" s="278"/>
      <c r="L12" s="278"/>
      <c r="M12" s="278"/>
      <c r="N12" s="278"/>
      <c r="O12" s="648"/>
    </row>
    <row r="13" spans="1:15" ht="49.75" customHeight="1">
      <c r="A13" s="649">
        <f>+A11+1</f>
        <v>4</v>
      </c>
      <c r="B13" s="651" t="str">
        <f>VLOOKUP(A13,PRESUPUESTO!B:F,2,0)</f>
        <v>Concreto clase G: 60% concreto clase D y 40% Piedra. Incluye preparación e instalación de concreto en enrocados. Incluye agregados. No incluye suministro de cemento. No incluye mano de obra no calificada.</v>
      </c>
      <c r="C13" s="652" t="str">
        <f>VLOOKUP(A13,PRESUPUESTO!B:F,3,0)</f>
        <v>M3</v>
      </c>
      <c r="D13" s="653">
        <f>VLOOKUP(A13,PRESUPUESTO!B:F,5,0)</f>
        <v>351227</v>
      </c>
      <c r="E13" s="654">
        <f>VLOOKUP(A13,PRESUPUESTO!B:F,4,0)</f>
        <v>25.25</v>
      </c>
      <c r="F13" s="645">
        <f>+ROUND((D13*E13),0)</f>
        <v>8868482</v>
      </c>
      <c r="G13" s="276"/>
      <c r="H13" s="277">
        <f>+F13/7</f>
        <v>1266926</v>
      </c>
      <c r="I13" s="277">
        <f t="shared" ref="I13" si="8">+H13</f>
        <v>1266926</v>
      </c>
      <c r="J13" s="277">
        <f t="shared" ref="J13" si="9">+I13</f>
        <v>1266926</v>
      </c>
      <c r="K13" s="277">
        <f t="shared" ref="K13" si="10">+J13</f>
        <v>1266926</v>
      </c>
      <c r="L13" s="277">
        <f t="shared" ref="L13" si="11">+K13</f>
        <v>1266926</v>
      </c>
      <c r="M13" s="277">
        <f t="shared" ref="M13" si="12">+L13</f>
        <v>1266926</v>
      </c>
      <c r="N13" s="277">
        <f t="shared" ref="N13" si="13">+M13</f>
        <v>1266926</v>
      </c>
      <c r="O13" s="647">
        <f>+SUM(G13:N13)</f>
        <v>8868482</v>
      </c>
    </row>
    <row r="14" spans="1:15" ht="49.75" customHeight="1">
      <c r="A14" s="650"/>
      <c r="B14" s="646"/>
      <c r="C14" s="646"/>
      <c r="D14" s="646"/>
      <c r="E14" s="646"/>
      <c r="F14" s="646"/>
      <c r="G14" s="276"/>
      <c r="H14" s="278"/>
      <c r="I14" s="278"/>
      <c r="J14" s="278"/>
      <c r="K14" s="278"/>
      <c r="L14" s="278"/>
      <c r="M14" s="278"/>
      <c r="N14" s="278"/>
      <c r="O14" s="648"/>
    </row>
    <row r="15" spans="1:15" ht="47.25" customHeight="1">
      <c r="A15" s="649">
        <v>5</v>
      </c>
      <c r="B15" s="651" t="str">
        <f>VLOOKUP(A15,PRESUPUESTO!B:F,2,0)</f>
        <v>Sardinel en concreto clase D. Incluye preparación e instalación de concreto. Incluye formaleta. Incluye agregados. No incluye suministro de cemento. No incluye mano de obra no calificada.</v>
      </c>
      <c r="C15" s="652" t="str">
        <f>VLOOKUP(A15,PRESUPUESTO!B:F,3,0)</f>
        <v>ML</v>
      </c>
      <c r="D15" s="653">
        <f>VLOOKUP(A15,PRESUPUESTO!B:F,5,0)</f>
        <v>53199</v>
      </c>
      <c r="E15" s="654">
        <f>VLOOKUP(A15,PRESUPUESTO!B:F,4,0)</f>
        <v>390</v>
      </c>
      <c r="F15" s="645">
        <f>+ROUND((D15*E15),0)</f>
        <v>20747610</v>
      </c>
      <c r="G15" s="276"/>
      <c r="H15" s="272"/>
      <c r="I15" s="272"/>
      <c r="J15" s="279">
        <f>+$F$15/5</f>
        <v>4149522</v>
      </c>
      <c r="K15" s="279">
        <f>+J15</f>
        <v>4149522</v>
      </c>
      <c r="L15" s="279">
        <f t="shared" ref="L15:N15" si="14">+K15</f>
        <v>4149522</v>
      </c>
      <c r="M15" s="279">
        <f t="shared" si="14"/>
        <v>4149522</v>
      </c>
      <c r="N15" s="279">
        <f t="shared" si="14"/>
        <v>4149522</v>
      </c>
      <c r="O15" s="647">
        <f>+SUM(G15:N15)</f>
        <v>20747610</v>
      </c>
    </row>
    <row r="16" spans="1:15" ht="47.25" customHeight="1">
      <c r="A16" s="650"/>
      <c r="B16" s="646"/>
      <c r="C16" s="646"/>
      <c r="D16" s="646"/>
      <c r="E16" s="646"/>
      <c r="F16" s="646"/>
      <c r="G16" s="276"/>
      <c r="H16" s="274"/>
      <c r="I16" s="274"/>
      <c r="J16" s="273"/>
      <c r="K16" s="273"/>
      <c r="L16" s="273"/>
      <c r="M16" s="273"/>
      <c r="N16" s="273"/>
      <c r="O16" s="648"/>
    </row>
    <row r="17" spans="1:15" ht="29.5" customHeight="1">
      <c r="A17" s="649">
        <v>6</v>
      </c>
      <c r="B17" s="651" t="str">
        <f>VLOOKUP(A17,PRESUPUESTO!B:F,2,0)</f>
        <v>Suministro, transporte e instalacion de acero de refuerzo Fy=60000 PSI. No incluye mano de obra no calificada.</v>
      </c>
      <c r="C17" s="652" t="str">
        <f>VLOOKUP(A17,PRESUPUESTO!B:F,3,0)</f>
        <v>KG</v>
      </c>
      <c r="D17" s="653">
        <f>VLOOKUP(A17,PRESUPUESTO!B:F,5,0)</f>
        <v>12821</v>
      </c>
      <c r="E17" s="654">
        <f>VLOOKUP(A17,PRESUPUESTO!B:F,4,0)</f>
        <v>572.25</v>
      </c>
      <c r="F17" s="645">
        <f>+ROUND((D17*E17),0)</f>
        <v>7336817</v>
      </c>
      <c r="G17" s="276"/>
      <c r="H17" s="277">
        <f>+F17/7</f>
        <v>1048116.7142857143</v>
      </c>
      <c r="I17" s="277">
        <f t="shared" ref="I17" si="15">+H17</f>
        <v>1048116.7142857143</v>
      </c>
      <c r="J17" s="277">
        <f t="shared" ref="J17" si="16">+I17</f>
        <v>1048116.7142857143</v>
      </c>
      <c r="K17" s="277">
        <f t="shared" ref="K17" si="17">+J17</f>
        <v>1048116.7142857143</v>
      </c>
      <c r="L17" s="277">
        <f t="shared" ref="L17" si="18">+K17</f>
        <v>1048116.7142857143</v>
      </c>
      <c r="M17" s="277">
        <f t="shared" ref="M17" si="19">+L17</f>
        <v>1048116.7142857143</v>
      </c>
      <c r="N17" s="277">
        <f t="shared" ref="N17" si="20">+M17</f>
        <v>1048116.7142857143</v>
      </c>
      <c r="O17" s="647">
        <f>+SUM(G17:N17)</f>
        <v>7336817.0000000009</v>
      </c>
    </row>
    <row r="18" spans="1:15" ht="29.5" customHeight="1">
      <c r="A18" s="650"/>
      <c r="B18" s="646"/>
      <c r="C18" s="646"/>
      <c r="D18" s="646"/>
      <c r="E18" s="646"/>
      <c r="F18" s="646"/>
      <c r="G18" s="276"/>
      <c r="H18" s="278"/>
      <c r="I18" s="278"/>
      <c r="J18" s="278"/>
      <c r="K18" s="278"/>
      <c r="L18" s="278"/>
      <c r="M18" s="278"/>
      <c r="N18" s="278"/>
      <c r="O18" s="648"/>
    </row>
    <row r="19" spans="1:15" ht="27.5" customHeight="1">
      <c r="A19" s="649">
        <v>7</v>
      </c>
      <c r="B19" s="651" t="str">
        <f>VLOOKUP(A19,PRESUPUESTO!B:F,2,0)</f>
        <v>Suministro, transporte e instalacion de malla electrosoldada de 15x15 cm x 5mm. No incluye mano de obra no calificada.</v>
      </c>
      <c r="C19" s="652" t="str">
        <f>VLOOKUP(A19,PRESUPUESTO!B:F,3,0)</f>
        <v>M2</v>
      </c>
      <c r="D19" s="653">
        <f>VLOOKUP(A19,PRESUPUESTO!B:F,5,0)</f>
        <v>28849</v>
      </c>
      <c r="E19" s="654">
        <f>VLOOKUP(A19,PRESUPUESTO!B:F,4,0)</f>
        <v>806.9</v>
      </c>
      <c r="F19" s="645">
        <f>+ROUND((D19*E19),0)</f>
        <v>23278258</v>
      </c>
      <c r="G19" s="276"/>
      <c r="H19" s="277">
        <f>+F19/7</f>
        <v>3325465.4285714286</v>
      </c>
      <c r="I19" s="277">
        <f t="shared" ref="I19" si="21">+H19</f>
        <v>3325465.4285714286</v>
      </c>
      <c r="J19" s="277">
        <f t="shared" ref="J19" si="22">+I19</f>
        <v>3325465.4285714286</v>
      </c>
      <c r="K19" s="277">
        <f t="shared" ref="K19" si="23">+J19</f>
        <v>3325465.4285714286</v>
      </c>
      <c r="L19" s="277">
        <f t="shared" ref="L19" si="24">+K19</f>
        <v>3325465.4285714286</v>
      </c>
      <c r="M19" s="277">
        <f t="shared" ref="M19" si="25">+L19</f>
        <v>3325465.4285714286</v>
      </c>
      <c r="N19" s="277">
        <f t="shared" ref="N19" si="26">+M19</f>
        <v>3325465.4285714286</v>
      </c>
      <c r="O19" s="647">
        <f>+SUM(G19:N19)</f>
        <v>23278258</v>
      </c>
    </row>
    <row r="20" spans="1:15" ht="34.25" customHeight="1">
      <c r="A20" s="650"/>
      <c r="B20" s="646"/>
      <c r="C20" s="646"/>
      <c r="D20" s="646"/>
      <c r="E20" s="646"/>
      <c r="F20" s="646"/>
      <c r="G20" s="276"/>
      <c r="H20" s="278"/>
      <c r="I20" s="278"/>
      <c r="J20" s="278"/>
      <c r="K20" s="278"/>
      <c r="L20" s="278"/>
      <c r="M20" s="278"/>
      <c r="N20" s="278"/>
      <c r="O20" s="648"/>
    </row>
    <row r="21" spans="1:15" ht="30.75" customHeight="1">
      <c r="A21" s="649">
        <v>8</v>
      </c>
      <c r="B21" s="651" t="str">
        <f>VLOOKUP(A21,PRESUPUESTO!B:F,2,0)</f>
        <v>Sobreacarreo de materiales en vehiculo automotor de tracción 4x4. No incluye mano de obra no calificada para cargue y descargue.</v>
      </c>
      <c r="C21" s="652" t="str">
        <f>VLOOKUP(A21,PRESUPUESTO!B:F,3,0)</f>
        <v>TON</v>
      </c>
      <c r="D21" s="653">
        <f>VLOOKUP(A21,PRESUPUESTO!B:F,5,0)</f>
        <v>42498</v>
      </c>
      <c r="E21" s="654">
        <f>VLOOKUP(A21,PRESUPUESTO!B:F,4,0)</f>
        <v>548.96</v>
      </c>
      <c r="F21" s="645">
        <f>+ROUND((D21*E21),0)</f>
        <v>23329702</v>
      </c>
      <c r="G21" s="280">
        <f>+F21/8</f>
        <v>2916212.75</v>
      </c>
      <c r="H21" s="280">
        <f>+G21</f>
        <v>2916212.75</v>
      </c>
      <c r="I21" s="280">
        <f t="shared" ref="I21:N21" si="27">+H21</f>
        <v>2916212.75</v>
      </c>
      <c r="J21" s="280">
        <f t="shared" si="27"/>
        <v>2916212.75</v>
      </c>
      <c r="K21" s="280">
        <f t="shared" si="27"/>
        <v>2916212.75</v>
      </c>
      <c r="L21" s="280">
        <f t="shared" si="27"/>
        <v>2916212.75</v>
      </c>
      <c r="M21" s="280">
        <f t="shared" si="27"/>
        <v>2916212.75</v>
      </c>
      <c r="N21" s="280">
        <f t="shared" si="27"/>
        <v>2916212.75</v>
      </c>
      <c r="O21" s="661">
        <f>+SUM(G21:N21)</f>
        <v>23329702</v>
      </c>
    </row>
    <row r="22" spans="1:15" ht="30.75" customHeight="1">
      <c r="A22" s="655"/>
      <c r="B22" s="656"/>
      <c r="C22" s="657"/>
      <c r="D22" s="658"/>
      <c r="E22" s="659"/>
      <c r="F22" s="660"/>
      <c r="G22" s="273"/>
      <c r="H22" s="273"/>
      <c r="I22" s="273"/>
      <c r="J22" s="273"/>
      <c r="K22" s="273"/>
      <c r="L22" s="273"/>
      <c r="M22" s="273"/>
      <c r="N22" s="273"/>
      <c r="O22" s="662"/>
    </row>
    <row r="23" spans="1:15" ht="30.75" customHeight="1">
      <c r="A23" s="649">
        <v>9</v>
      </c>
      <c r="B23" s="651" t="str">
        <f>VLOOKUP(A23,PRESUPUESTO!B:F,2,0)</f>
        <v>Demolición de concreto hidraulico. Incluye retiro y disposición final.</v>
      </c>
      <c r="C23" s="652" t="str">
        <f>VLOOKUP(A23,PRESUPUESTO!B:F,3,0)</f>
        <v>M3</v>
      </c>
      <c r="D23" s="653">
        <f>VLOOKUP(A23,PRESUPUESTO!B:F,5,0)</f>
        <v>262127</v>
      </c>
      <c r="E23" s="654">
        <f>VLOOKUP(A23,PRESUPUESTO!B:F,4,0)</f>
        <v>13.7</v>
      </c>
      <c r="F23" s="645">
        <f>+ROUND((D23*E23),0)</f>
        <v>3591140</v>
      </c>
      <c r="G23" s="280">
        <f>+F23/8</f>
        <v>448892.5</v>
      </c>
      <c r="H23" s="280">
        <f>+G23</f>
        <v>448892.5</v>
      </c>
      <c r="I23" s="280">
        <f t="shared" ref="I23" si="28">+H23</f>
        <v>448892.5</v>
      </c>
      <c r="J23" s="280">
        <f t="shared" ref="J23" si="29">+I23</f>
        <v>448892.5</v>
      </c>
      <c r="K23" s="280">
        <f t="shared" ref="K23" si="30">+J23</f>
        <v>448892.5</v>
      </c>
      <c r="L23" s="280">
        <f t="shared" ref="L23" si="31">+K23</f>
        <v>448892.5</v>
      </c>
      <c r="M23" s="280">
        <f t="shared" ref="M23" si="32">+L23</f>
        <v>448892.5</v>
      </c>
      <c r="N23" s="280">
        <f t="shared" ref="N23" si="33">+M23</f>
        <v>448892.5</v>
      </c>
      <c r="O23" s="647">
        <f>+SUM(G23:N23)</f>
        <v>3591140</v>
      </c>
    </row>
    <row r="24" spans="1:15" ht="30.75" customHeight="1">
      <c r="A24" s="650"/>
      <c r="B24" s="646"/>
      <c r="C24" s="646"/>
      <c r="D24" s="646"/>
      <c r="E24" s="646"/>
      <c r="F24" s="646"/>
      <c r="G24" s="273"/>
      <c r="H24" s="273"/>
      <c r="I24" s="273"/>
      <c r="J24" s="273"/>
      <c r="K24" s="273"/>
      <c r="L24" s="273"/>
      <c r="M24" s="273"/>
      <c r="N24" s="273"/>
      <c r="O24" s="648"/>
    </row>
    <row r="25" spans="1:15" ht="20.25" customHeight="1">
      <c r="A25" s="674" t="s">
        <v>138</v>
      </c>
      <c r="B25" s="675"/>
      <c r="C25" s="675"/>
      <c r="D25" s="675"/>
      <c r="E25" s="676"/>
      <c r="F25" s="281">
        <f>SUM(F7:F24)</f>
        <v>159996828</v>
      </c>
      <c r="G25" s="274"/>
      <c r="H25" s="274"/>
      <c r="I25" s="274"/>
      <c r="J25" s="274"/>
      <c r="K25" s="274"/>
      <c r="L25" s="274"/>
      <c r="M25" s="274"/>
      <c r="N25" s="274"/>
      <c r="O25" s="281">
        <f>SUM(O7:O24)</f>
        <v>159996828</v>
      </c>
    </row>
    <row r="26" spans="1:15" ht="17.25" customHeight="1">
      <c r="A26" s="677" t="s">
        <v>139</v>
      </c>
      <c r="B26" s="675"/>
      <c r="C26" s="675"/>
      <c r="D26" s="675"/>
      <c r="E26" s="675"/>
      <c r="F26" s="676"/>
      <c r="G26" s="272">
        <f t="shared" ref="G26:N26" si="34">SUM(G7:G25)</f>
        <v>10712561.916666668</v>
      </c>
      <c r="H26" s="272">
        <f t="shared" si="34"/>
        <v>22855204.488095239</v>
      </c>
      <c r="I26" s="272">
        <f t="shared" si="34"/>
        <v>22855204.488095239</v>
      </c>
      <c r="J26" s="272">
        <f t="shared" ref="J26:K26" si="35">SUM(J7:J25)</f>
        <v>24944777.821428571</v>
      </c>
      <c r="K26" s="272">
        <f t="shared" si="35"/>
        <v>19657269.821428575</v>
      </c>
      <c r="L26" s="272">
        <f t="shared" si="34"/>
        <v>19657269.821428575</v>
      </c>
      <c r="M26" s="272">
        <f t="shared" si="34"/>
        <v>19657269.821428575</v>
      </c>
      <c r="N26" s="272">
        <f t="shared" si="34"/>
        <v>19657269.821428575</v>
      </c>
      <c r="O26" s="282"/>
    </row>
    <row r="27" spans="1:15" ht="17.25" customHeight="1">
      <c r="A27" s="678" t="s">
        <v>140</v>
      </c>
      <c r="B27" s="643"/>
      <c r="C27" s="643"/>
      <c r="D27" s="643"/>
      <c r="E27" s="643"/>
      <c r="F27" s="679"/>
      <c r="G27" s="283">
        <f>+G26</f>
        <v>10712561.916666668</v>
      </c>
      <c r="H27" s="283">
        <f>C27+H26</f>
        <v>22855204.488095239</v>
      </c>
      <c r="I27" s="283">
        <f t="shared" ref="I27" si="36">H27+I26</f>
        <v>45710408.976190478</v>
      </c>
      <c r="J27" s="283">
        <f>E27+J26</f>
        <v>24944777.821428571</v>
      </c>
      <c r="K27" s="283">
        <f t="shared" ref="K27" si="37">J27+K26</f>
        <v>44602047.642857149</v>
      </c>
      <c r="L27" s="283">
        <f>G27+L26</f>
        <v>30369831.738095243</v>
      </c>
      <c r="M27" s="283">
        <f t="shared" ref="M27:N27" si="38">L27+M26</f>
        <v>50027101.559523821</v>
      </c>
      <c r="N27" s="283">
        <f t="shared" si="38"/>
        <v>69684371.380952388</v>
      </c>
      <c r="O27" s="284" t="s">
        <v>141</v>
      </c>
    </row>
  </sheetData>
  <mergeCells count="75">
    <mergeCell ref="F23:F24"/>
    <mergeCell ref="O23:O24"/>
    <mergeCell ref="A23:A24"/>
    <mergeCell ref="B23:B24"/>
    <mergeCell ref="C23:C24"/>
    <mergeCell ref="D23:D24"/>
    <mergeCell ref="E23:E24"/>
    <mergeCell ref="A25:E25"/>
    <mergeCell ref="A26:F26"/>
    <mergeCell ref="A27:F27"/>
    <mergeCell ref="F11:F12"/>
    <mergeCell ref="O11:O12"/>
    <mergeCell ref="A13:A14"/>
    <mergeCell ref="B13:B14"/>
    <mergeCell ref="C13:C14"/>
    <mergeCell ref="D13:D14"/>
    <mergeCell ref="E13:E14"/>
    <mergeCell ref="F13:F14"/>
    <mergeCell ref="O13:O14"/>
    <mergeCell ref="A11:A12"/>
    <mergeCell ref="B11:B12"/>
    <mergeCell ref="C11:C12"/>
    <mergeCell ref="D11:D12"/>
    <mergeCell ref="E11:E12"/>
    <mergeCell ref="F7:F8"/>
    <mergeCell ref="O7:O8"/>
    <mergeCell ref="A9:A10"/>
    <mergeCell ref="B9:B10"/>
    <mergeCell ref="C9:C10"/>
    <mergeCell ref="D9:D10"/>
    <mergeCell ref="E9:E10"/>
    <mergeCell ref="F9:F10"/>
    <mergeCell ref="O9:O10"/>
    <mergeCell ref="A7:A8"/>
    <mergeCell ref="B7:B8"/>
    <mergeCell ref="C7:C8"/>
    <mergeCell ref="D7:D8"/>
    <mergeCell ref="E7:E8"/>
    <mergeCell ref="F5:F6"/>
    <mergeCell ref="O5:O6"/>
    <mergeCell ref="A1:O1"/>
    <mergeCell ref="A2:O2"/>
    <mergeCell ref="A5:A6"/>
    <mergeCell ref="B5:B6"/>
    <mergeCell ref="C5:C6"/>
    <mergeCell ref="D5:D6"/>
    <mergeCell ref="E5:E6"/>
    <mergeCell ref="F19:F20"/>
    <mergeCell ref="O19:O20"/>
    <mergeCell ref="A21:A22"/>
    <mergeCell ref="B21:B22"/>
    <mergeCell ref="C21:C22"/>
    <mergeCell ref="D21:D22"/>
    <mergeCell ref="E21:E22"/>
    <mergeCell ref="F21:F22"/>
    <mergeCell ref="O21:O22"/>
    <mergeCell ref="A19:A20"/>
    <mergeCell ref="B19:B20"/>
    <mergeCell ref="C19:C20"/>
    <mergeCell ref="D19:D20"/>
    <mergeCell ref="E19:E20"/>
    <mergeCell ref="F15:F16"/>
    <mergeCell ref="O15:O16"/>
    <mergeCell ref="A17:A18"/>
    <mergeCell ref="B17:B18"/>
    <mergeCell ref="C17:C18"/>
    <mergeCell ref="D17:D18"/>
    <mergeCell ref="E17:E18"/>
    <mergeCell ref="F17:F18"/>
    <mergeCell ref="O17:O18"/>
    <mergeCell ref="A15:A16"/>
    <mergeCell ref="B15:B16"/>
    <mergeCell ref="C15:C16"/>
    <mergeCell ref="D15:D16"/>
    <mergeCell ref="E15:E16"/>
  </mergeCells>
  <pageMargins left="0.51181102362204722" right="0.51181102362204722" top="0.55118110236220474" bottom="0.55118110236220474" header="0" footer="0"/>
  <pageSetup scale="46"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FF00"/>
    <pageSetUpPr fitToPage="1"/>
  </sheetPr>
  <dimension ref="A1:N17"/>
  <sheetViews>
    <sheetView showGridLines="0" view="pageBreakPreview" zoomScale="90" zoomScaleNormal="100" zoomScaleSheetLayoutView="90" workbookViewId="0">
      <selection activeCell="F23" sqref="F23"/>
    </sheetView>
  </sheetViews>
  <sheetFormatPr baseColWidth="10" defaultColWidth="14.5" defaultRowHeight="15" customHeight="1"/>
  <cols>
    <col min="1" max="1" width="1" customWidth="1"/>
    <col min="2" max="2" width="6.33203125" customWidth="1"/>
    <col min="3" max="3" width="60.5" customWidth="1"/>
    <col min="4" max="4" width="9.1640625" customWidth="1"/>
    <col min="5" max="5" width="12.83203125" customWidth="1"/>
    <col min="6" max="6" width="16.1640625" bestFit="1" customWidth="1"/>
    <col min="7" max="7" width="21.5" customWidth="1"/>
    <col min="8" max="8" width="1.33203125" customWidth="1"/>
    <col min="9" max="9" width="2.1640625" customWidth="1"/>
    <col min="10" max="10" width="14.83203125" style="462" bestFit="1" customWidth="1"/>
    <col min="11" max="11" width="17.5" style="462" bestFit="1" customWidth="1"/>
    <col min="12" max="12" width="10.33203125" customWidth="1"/>
    <col min="13" max="14" width="21.1640625" style="462" customWidth="1"/>
    <col min="15" max="26" width="10.83203125" customWidth="1"/>
  </cols>
  <sheetData>
    <row r="1" spans="1:14" ht="7.5" customHeight="1" thickBot="1">
      <c r="A1" s="169"/>
      <c r="B1" s="11"/>
      <c r="C1" s="11"/>
      <c r="D1" s="11"/>
      <c r="E1" s="169"/>
      <c r="F1" s="169"/>
      <c r="G1" s="170"/>
      <c r="H1" s="169"/>
    </row>
    <row r="2" spans="1:14" ht="34.25" customHeight="1" thickBot="1">
      <c r="A2" s="169"/>
      <c r="B2" s="680" t="str">
        <f>+DATOS!C2</f>
        <v>CONSTRUCCIÓN DE PLACA HUELLAS CON APOYO DE LA COMUNIDAD Y EL COMITÉ DE CAFETEROS EN ZONA RURAL DEL MUNICIPIO DE RISARALDA</v>
      </c>
      <c r="C2" s="681"/>
      <c r="D2" s="681"/>
      <c r="E2" s="681"/>
      <c r="F2" s="681"/>
      <c r="G2" s="682"/>
      <c r="H2" s="169"/>
    </row>
    <row r="3" spans="1:14" ht="43.25" customHeight="1">
      <c r="A3" s="171"/>
      <c r="B3" s="451" t="s">
        <v>90</v>
      </c>
      <c r="C3" s="452" t="s">
        <v>91</v>
      </c>
      <c r="D3" s="452" t="s">
        <v>11</v>
      </c>
      <c r="E3" s="452" t="s">
        <v>92</v>
      </c>
      <c r="F3" s="453" t="s">
        <v>335</v>
      </c>
      <c r="G3" s="454" t="s">
        <v>93</v>
      </c>
      <c r="H3" s="171"/>
    </row>
    <row r="4" spans="1:14" ht="31.5" customHeight="1">
      <c r="A4" s="172"/>
      <c r="B4" s="455">
        <v>1</v>
      </c>
      <c r="C4" s="173" t="s">
        <v>94</v>
      </c>
      <c r="D4" s="174" t="s">
        <v>72</v>
      </c>
      <c r="E4" s="175">
        <f>+'1 CANT MC-AM 01'!M36</f>
        <v>195.67</v>
      </c>
      <c r="F4" s="176">
        <f>+'APU 1'!$H$36</f>
        <v>31583</v>
      </c>
      <c r="G4" s="456">
        <f t="shared" ref="G4:G11" si="0">+ROUND(E4*F4,0)</f>
        <v>6179846</v>
      </c>
      <c r="H4" s="177"/>
      <c r="J4" s="465"/>
      <c r="K4" s="463"/>
      <c r="L4" s="463"/>
      <c r="M4" s="464"/>
      <c r="N4" s="464"/>
    </row>
    <row r="5" spans="1:14" ht="30" customHeight="1">
      <c r="A5" s="172"/>
      <c r="B5" s="455">
        <v>2</v>
      </c>
      <c r="C5" s="178" t="s">
        <v>95</v>
      </c>
      <c r="D5" s="174" t="s">
        <v>72</v>
      </c>
      <c r="E5" s="175">
        <f>+'2 CANT MC-AM 01'!M21</f>
        <v>121.95</v>
      </c>
      <c r="F5" s="176">
        <f>+'APU 2'!$H$40</f>
        <v>173432</v>
      </c>
      <c r="G5" s="456">
        <f t="shared" si="0"/>
        <v>21150032</v>
      </c>
      <c r="H5" s="172"/>
      <c r="J5" s="465"/>
      <c r="K5" s="463"/>
      <c r="L5" s="463"/>
      <c r="M5" s="464"/>
      <c r="N5" s="464"/>
    </row>
    <row r="6" spans="1:14" ht="57" customHeight="1">
      <c r="A6" s="172"/>
      <c r="B6" s="455">
        <v>3</v>
      </c>
      <c r="C6" s="179" t="s">
        <v>319</v>
      </c>
      <c r="D6" s="174" t="s">
        <v>72</v>
      </c>
      <c r="E6" s="175">
        <f>+'3 CANT MC-AM 01'!M37</f>
        <v>88.73</v>
      </c>
      <c r="F6" s="176">
        <f>+'APU 3'!$H$42</f>
        <v>512960</v>
      </c>
      <c r="G6" s="456">
        <f t="shared" si="0"/>
        <v>45514941</v>
      </c>
      <c r="H6" s="172"/>
      <c r="J6" s="465"/>
      <c r="K6" s="463"/>
      <c r="L6" s="463"/>
      <c r="M6" s="464"/>
      <c r="N6" s="464"/>
    </row>
    <row r="7" spans="1:14" ht="60.5" customHeight="1">
      <c r="A7" s="172"/>
      <c r="B7" s="455">
        <v>4</v>
      </c>
      <c r="C7" s="179" t="s">
        <v>320</v>
      </c>
      <c r="D7" s="174" t="s">
        <v>72</v>
      </c>
      <c r="E7" s="175">
        <f>+'4 CANT MC-AM 01'!M25</f>
        <v>25.25</v>
      </c>
      <c r="F7" s="176">
        <f>+'APU 4'!$H$41</f>
        <v>351227</v>
      </c>
      <c r="G7" s="456">
        <f t="shared" si="0"/>
        <v>8868482</v>
      </c>
      <c r="H7" s="180"/>
      <c r="J7" s="465"/>
      <c r="K7" s="463"/>
      <c r="L7" s="463"/>
      <c r="M7" s="464"/>
      <c r="N7" s="464"/>
    </row>
    <row r="8" spans="1:14" ht="49.5" customHeight="1">
      <c r="A8" s="172"/>
      <c r="B8" s="455">
        <v>5</v>
      </c>
      <c r="C8" s="173" t="s">
        <v>321</v>
      </c>
      <c r="D8" s="174" t="s">
        <v>18</v>
      </c>
      <c r="E8" s="175">
        <f>+'5 CANT MC-AM 01'!M23</f>
        <v>390</v>
      </c>
      <c r="F8" s="176">
        <f>+'APU 5'!$H$39</f>
        <v>53199</v>
      </c>
      <c r="G8" s="456">
        <f t="shared" si="0"/>
        <v>20747610</v>
      </c>
      <c r="H8" s="172"/>
      <c r="J8" s="465"/>
      <c r="K8" s="463"/>
      <c r="L8" s="463"/>
      <c r="M8" s="464"/>
      <c r="N8" s="464"/>
    </row>
    <row r="9" spans="1:14" ht="30" customHeight="1">
      <c r="A9" s="172"/>
      <c r="B9" s="455">
        <v>6</v>
      </c>
      <c r="C9" s="181" t="s">
        <v>96</v>
      </c>
      <c r="D9" s="174" t="s">
        <v>13</v>
      </c>
      <c r="E9" s="175">
        <f>+'6 CANT MC-AM 01'!M29</f>
        <v>572.25</v>
      </c>
      <c r="F9" s="176">
        <f>+'APU 6'!$H$37</f>
        <v>12821</v>
      </c>
      <c r="G9" s="456">
        <f t="shared" si="0"/>
        <v>7336817</v>
      </c>
      <c r="H9" s="172"/>
      <c r="J9" s="465"/>
      <c r="K9" s="463"/>
      <c r="L9" s="463"/>
      <c r="M9" s="464"/>
      <c r="N9" s="464"/>
    </row>
    <row r="10" spans="1:14" ht="31.5" customHeight="1">
      <c r="A10" s="172"/>
      <c r="B10" s="457">
        <v>7</v>
      </c>
      <c r="C10" s="181" t="s">
        <v>97</v>
      </c>
      <c r="D10" s="182" t="s">
        <v>20</v>
      </c>
      <c r="E10" s="183">
        <f>+'7 CANT MC-AM 01'!M36</f>
        <v>806.9</v>
      </c>
      <c r="F10" s="176">
        <f>+'APU 7'!$H$37</f>
        <v>28849</v>
      </c>
      <c r="G10" s="456">
        <f t="shared" si="0"/>
        <v>23278258</v>
      </c>
      <c r="H10" s="172"/>
      <c r="J10" s="465"/>
      <c r="K10" s="463"/>
      <c r="L10" s="463"/>
      <c r="M10" s="464"/>
      <c r="N10" s="464"/>
    </row>
    <row r="11" spans="1:14" ht="31.5" customHeight="1">
      <c r="A11" s="172"/>
      <c r="B11" s="457">
        <v>8</v>
      </c>
      <c r="C11" s="7" t="s">
        <v>322</v>
      </c>
      <c r="D11" s="182" t="s">
        <v>88</v>
      </c>
      <c r="E11" s="183">
        <f>+'8 CANT MC-AM 01'!N27</f>
        <v>548.96</v>
      </c>
      <c r="F11" s="176">
        <f>+'APU 8'!$H$40</f>
        <v>42498</v>
      </c>
      <c r="G11" s="456">
        <f t="shared" si="0"/>
        <v>23329702</v>
      </c>
      <c r="H11" s="172"/>
      <c r="J11" s="465"/>
      <c r="K11" s="463"/>
      <c r="L11" s="463"/>
      <c r="M11" s="464"/>
      <c r="N11" s="464"/>
    </row>
    <row r="12" spans="1:14" ht="16.25" customHeight="1">
      <c r="A12" s="172"/>
      <c r="B12" s="457">
        <v>9</v>
      </c>
      <c r="C12" s="7" t="s">
        <v>327</v>
      </c>
      <c r="D12" s="182" t="s">
        <v>72</v>
      </c>
      <c r="E12" s="183">
        <f>+'9 CANT MC-AM 01'!M21</f>
        <v>13.7</v>
      </c>
      <c r="F12" s="176">
        <f>+'APU 9'!$H$36</f>
        <v>262127</v>
      </c>
      <c r="G12" s="456">
        <f t="shared" ref="G12" si="1">+ROUND(E12*F12,0)</f>
        <v>3591140</v>
      </c>
      <c r="H12" s="172"/>
      <c r="J12" s="465"/>
      <c r="K12" s="463"/>
      <c r="L12" s="463"/>
      <c r="M12" s="464"/>
      <c r="N12" s="464"/>
    </row>
    <row r="13" spans="1:14" ht="21.75" customHeight="1" thickBot="1">
      <c r="A13" s="172"/>
      <c r="B13" s="683" t="s">
        <v>282</v>
      </c>
      <c r="C13" s="684"/>
      <c r="D13" s="684"/>
      <c r="E13" s="684"/>
      <c r="F13" s="685"/>
      <c r="G13" s="621">
        <f>ROUND((SUM(G4:G12)),0)</f>
        <v>159996828</v>
      </c>
      <c r="H13" s="172"/>
      <c r="J13" s="464"/>
      <c r="K13" s="465"/>
    </row>
    <row r="14" spans="1:14" ht="27" customHeight="1">
      <c r="A14" s="172"/>
      <c r="B14" s="623">
        <v>10</v>
      </c>
      <c r="C14" s="624" t="s">
        <v>284</v>
      </c>
      <c r="D14" s="625" t="s">
        <v>18</v>
      </c>
      <c r="E14" s="626">
        <f>+'10 CANT MC-AM 01'!N25</f>
        <v>195</v>
      </c>
      <c r="F14" s="627">
        <f>+'APU 10'!H35</f>
        <v>257653.5</v>
      </c>
      <c r="G14" s="628">
        <f>E14*F14</f>
        <v>50242432.5</v>
      </c>
      <c r="H14" s="172"/>
      <c r="J14" s="465"/>
    </row>
    <row r="15" spans="1:14" ht="18.75" customHeight="1" thickBot="1">
      <c r="A15" s="169"/>
      <c r="B15" s="686" t="s">
        <v>286</v>
      </c>
      <c r="C15" s="687"/>
      <c r="D15" s="687"/>
      <c r="E15" s="687"/>
      <c r="F15" s="688"/>
      <c r="G15" s="458">
        <f>+G14</f>
        <v>50242432.5</v>
      </c>
      <c r="H15" s="169"/>
    </row>
    <row r="16" spans="1:14" ht="21" customHeight="1" thickBot="1">
      <c r="A16" s="169"/>
      <c r="B16" s="689" t="s">
        <v>287</v>
      </c>
      <c r="C16" s="690"/>
      <c r="D16" s="690"/>
      <c r="E16" s="690"/>
      <c r="F16" s="691"/>
      <c r="G16" s="622">
        <f>G13+G15</f>
        <v>210239260.5</v>
      </c>
      <c r="H16" s="169"/>
    </row>
    <row r="17" spans="1:8" ht="6" customHeight="1">
      <c r="A17" s="169"/>
      <c r="B17" s="11"/>
      <c r="C17" s="169"/>
      <c r="D17" s="11"/>
      <c r="E17" s="169"/>
      <c r="F17" s="169"/>
      <c r="G17" s="170"/>
      <c r="H17" s="169"/>
    </row>
  </sheetData>
  <mergeCells count="4">
    <mergeCell ref="B2:G2"/>
    <mergeCell ref="B13:F13"/>
    <mergeCell ref="B15:F15"/>
    <mergeCell ref="B16:F16"/>
  </mergeCells>
  <pageMargins left="0.7" right="0.7" top="0.75" bottom="0.75" header="0" footer="0"/>
  <pageSetup scale="66"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O41"/>
  <sheetViews>
    <sheetView showGridLines="0" view="pageBreakPreview" topLeftCell="B15" zoomScale="60" zoomScaleNormal="50" workbookViewId="0">
      <selection activeCell="K36" sqref="K36"/>
    </sheetView>
  </sheetViews>
  <sheetFormatPr baseColWidth="10" defaultColWidth="14.5" defaultRowHeight="15" customHeight="1"/>
  <cols>
    <col min="1" max="2" width="4.5" customWidth="1"/>
    <col min="3" max="3" width="14.6640625" customWidth="1"/>
    <col min="4" max="4" width="14.33203125" customWidth="1"/>
    <col min="5" max="5" width="16.1640625" customWidth="1"/>
    <col min="6" max="6" width="20.83203125" customWidth="1"/>
    <col min="7" max="7" width="73.33203125" customWidth="1"/>
    <col min="8" max="8" width="8.6640625" customWidth="1"/>
    <col min="9" max="9" width="18.83203125" customWidth="1"/>
    <col min="10" max="10" width="23.83203125" customWidth="1"/>
    <col min="11" max="11" width="30" customWidth="1"/>
    <col min="12" max="13" width="4.5" customWidth="1"/>
    <col min="14" max="14" width="11.5" customWidth="1"/>
    <col min="15" max="15" width="25.5" customWidth="1"/>
    <col min="16" max="26" width="11.5" customWidth="1"/>
  </cols>
  <sheetData>
    <row r="1" spans="1:13" ht="13.5" customHeight="1">
      <c r="A1" s="285"/>
      <c r="B1" s="286"/>
      <c r="C1" s="287"/>
      <c r="D1" s="286"/>
      <c r="E1" s="287"/>
      <c r="F1" s="285"/>
      <c r="G1" s="288"/>
      <c r="H1" s="285"/>
      <c r="I1" s="285"/>
      <c r="J1" s="285"/>
      <c r="K1" s="285"/>
      <c r="L1" s="285"/>
      <c r="M1" s="285"/>
    </row>
    <row r="2" spans="1:13" ht="13.5" customHeight="1">
      <c r="A2" s="285"/>
      <c r="B2" s="692"/>
      <c r="C2" s="693"/>
      <c r="D2" s="693"/>
      <c r="E2" s="693"/>
      <c r="F2" s="693"/>
      <c r="G2" s="693"/>
      <c r="H2" s="693"/>
      <c r="I2" s="693"/>
      <c r="J2" s="693"/>
      <c r="K2" s="693"/>
      <c r="L2" s="694"/>
      <c r="M2" s="285"/>
    </row>
    <row r="3" spans="1:13" ht="30.75" customHeight="1">
      <c r="A3" s="285"/>
      <c r="B3" s="290"/>
      <c r="C3" s="695" t="s">
        <v>142</v>
      </c>
      <c r="D3" s="696"/>
      <c r="E3" s="696"/>
      <c r="F3" s="697"/>
      <c r="G3" s="288"/>
      <c r="H3" s="285"/>
      <c r="I3" s="285"/>
      <c r="J3" s="285"/>
      <c r="K3" s="285"/>
      <c r="L3" s="291"/>
      <c r="M3" s="285"/>
    </row>
    <row r="4" spans="1:13" ht="13.5" customHeight="1">
      <c r="A4" s="285"/>
      <c r="B4" s="290"/>
      <c r="C4" s="292" t="s">
        <v>143</v>
      </c>
      <c r="D4" s="293" t="s">
        <v>144</v>
      </c>
      <c r="E4" s="292" t="s">
        <v>145</v>
      </c>
      <c r="F4" s="293">
        <v>2</v>
      </c>
      <c r="G4" s="288"/>
      <c r="H4" s="285"/>
      <c r="I4" s="285"/>
      <c r="J4" s="285"/>
      <c r="K4" s="285"/>
      <c r="L4" s="291"/>
      <c r="M4" s="285"/>
    </row>
    <row r="5" spans="1:13" ht="13.5" customHeight="1">
      <c r="A5" s="285"/>
      <c r="B5" s="290"/>
      <c r="C5" s="286"/>
      <c r="D5" s="287"/>
      <c r="E5" s="286"/>
      <c r="F5" s="287"/>
      <c r="G5" s="288"/>
      <c r="H5" s="285"/>
      <c r="I5" s="285"/>
      <c r="J5" s="285"/>
      <c r="K5" s="285"/>
      <c r="L5" s="291"/>
      <c r="M5" s="285"/>
    </row>
    <row r="6" spans="1:13" ht="31.5" customHeight="1">
      <c r="A6" s="285"/>
      <c r="B6" s="290"/>
      <c r="C6" s="698" t="s">
        <v>146</v>
      </c>
      <c r="D6" s="640"/>
      <c r="E6" s="640"/>
      <c r="F6" s="640"/>
      <c r="G6" s="640"/>
      <c r="H6" s="640"/>
      <c r="I6" s="640"/>
      <c r="J6" s="640"/>
      <c r="K6" s="641"/>
      <c r="L6" s="291"/>
      <c r="M6" s="285"/>
    </row>
    <row r="7" spans="1:13" ht="24.75" customHeight="1">
      <c r="A7" s="285"/>
      <c r="B7" s="294"/>
      <c r="C7" s="699" t="s">
        <v>147</v>
      </c>
      <c r="D7" s="700"/>
      <c r="E7" s="700"/>
      <c r="F7" s="700"/>
      <c r="G7" s="700"/>
      <c r="H7" s="700"/>
      <c r="I7" s="700"/>
      <c r="J7" s="700"/>
      <c r="K7" s="701"/>
      <c r="L7" s="291"/>
      <c r="M7" s="285"/>
    </row>
    <row r="8" spans="1:13" ht="18" customHeight="1">
      <c r="A8" s="295"/>
      <c r="B8" s="296"/>
      <c r="C8" s="702" t="s">
        <v>148</v>
      </c>
      <c r="D8" s="703"/>
      <c r="E8" s="703"/>
      <c r="F8" s="703"/>
      <c r="G8" s="703"/>
      <c r="H8" s="703"/>
      <c r="I8" s="703"/>
      <c r="J8" s="703"/>
      <c r="K8" s="704"/>
      <c r="L8" s="297"/>
      <c r="M8" s="295"/>
    </row>
    <row r="9" spans="1:13" ht="18" customHeight="1">
      <c r="A9" s="285"/>
      <c r="B9" s="294"/>
      <c r="C9" s="705"/>
      <c r="D9" s="700"/>
      <c r="E9" s="700"/>
      <c r="F9" s="700"/>
      <c r="G9" s="700"/>
      <c r="H9" s="700"/>
      <c r="I9" s="700"/>
      <c r="J9" s="700"/>
      <c r="K9" s="701"/>
      <c r="L9" s="291"/>
      <c r="M9" s="285"/>
    </row>
    <row r="10" spans="1:13" ht="36.75" customHeight="1">
      <c r="A10" s="285"/>
      <c r="B10" s="294"/>
      <c r="C10" s="706" t="s">
        <v>149</v>
      </c>
      <c r="D10" s="675"/>
      <c r="E10" s="675"/>
      <c r="F10" s="675"/>
      <c r="G10" s="675"/>
      <c r="H10" s="675"/>
      <c r="I10" s="675"/>
      <c r="J10" s="675"/>
      <c r="K10" s="707"/>
      <c r="L10" s="291"/>
      <c r="M10" s="285"/>
    </row>
    <row r="11" spans="1:13" ht="49.5" customHeight="1">
      <c r="A11" s="285"/>
      <c r="B11" s="290"/>
      <c r="C11" s="708" t="str">
        <f>+'1 CANT MC-AM 01'!$D$5</f>
        <v>CONSTRUCCIÓN DE PLACA HUELLAS CON APOYO DE LA COMUNIDAD Y EL COMITÉ DE CAFETEROS EN ZONA RURAL DEL MUNICIPIO DE RISARALDA</v>
      </c>
      <c r="D11" s="709"/>
      <c r="E11" s="709"/>
      <c r="F11" s="709"/>
      <c r="G11" s="709"/>
      <c r="H11" s="709"/>
      <c r="I11" s="709"/>
      <c r="J11" s="709"/>
      <c r="K11" s="710"/>
      <c r="L11" s="291"/>
      <c r="M11" s="285"/>
    </row>
    <row r="12" spans="1:13" ht="30" customHeight="1">
      <c r="A12" s="285"/>
      <c r="B12" s="290"/>
      <c r="C12" s="711" t="s">
        <v>150</v>
      </c>
      <c r="D12" s="713" t="s">
        <v>151</v>
      </c>
      <c r="E12" s="715" t="s">
        <v>152</v>
      </c>
      <c r="F12" s="716"/>
      <c r="G12" s="711" t="s">
        <v>91</v>
      </c>
      <c r="H12" s="713" t="s">
        <v>153</v>
      </c>
      <c r="I12" s="713" t="s">
        <v>92</v>
      </c>
      <c r="J12" s="719" t="s">
        <v>154</v>
      </c>
      <c r="K12" s="717" t="s">
        <v>155</v>
      </c>
      <c r="L12" s="291"/>
      <c r="M12" s="285"/>
    </row>
    <row r="13" spans="1:13" ht="30" customHeight="1">
      <c r="A13" s="285"/>
      <c r="B13" s="290"/>
      <c r="C13" s="712"/>
      <c r="D13" s="714"/>
      <c r="E13" s="298" t="s">
        <v>156</v>
      </c>
      <c r="F13" s="298" t="s">
        <v>157</v>
      </c>
      <c r="G13" s="712"/>
      <c r="H13" s="714"/>
      <c r="I13" s="714"/>
      <c r="J13" s="714"/>
      <c r="K13" s="718"/>
      <c r="L13" s="291"/>
      <c r="M13" s="285"/>
    </row>
    <row r="14" spans="1:13" ht="30" customHeight="1">
      <c r="A14" s="285"/>
      <c r="B14" s="290"/>
      <c r="C14" s="299"/>
      <c r="D14" s="300"/>
      <c r="E14" s="300"/>
      <c r="F14" s="300"/>
      <c r="G14" s="301" t="s">
        <v>158</v>
      </c>
      <c r="H14" s="300"/>
      <c r="I14" s="300"/>
      <c r="J14" s="300"/>
      <c r="K14" s="302"/>
      <c r="L14" s="291"/>
      <c r="M14" s="285"/>
    </row>
    <row r="15" spans="1:13" ht="39" customHeight="1">
      <c r="A15" s="285"/>
      <c r="B15" s="290"/>
      <c r="C15" s="303">
        <v>1</v>
      </c>
      <c r="D15" s="304">
        <f t="shared" ref="D15:D21" si="0">+C15</f>
        <v>1</v>
      </c>
      <c r="E15" s="304"/>
      <c r="F15" s="304"/>
      <c r="G15" s="305" t="str">
        <f>+PRESUPUESTO!C4</f>
        <v>Excavaciones varias en material común. No incluye mano de obra no calificada.</v>
      </c>
      <c r="H15" s="304" t="str">
        <f>+PRESUPUESTO!D4</f>
        <v>M3</v>
      </c>
      <c r="I15" s="306">
        <f>+PRESUPUESTO!E4</f>
        <v>195.67</v>
      </c>
      <c r="J15" s="307">
        <f>+PRESUPUESTO!F4</f>
        <v>31583</v>
      </c>
      <c r="K15" s="308">
        <f t="shared" ref="K15" si="1">ROUND(I15*J15,0)</f>
        <v>6179846</v>
      </c>
      <c r="L15" s="291"/>
      <c r="M15" s="285"/>
    </row>
    <row r="16" spans="1:13" ht="39" customHeight="1">
      <c r="A16" s="285"/>
      <c r="B16" s="290"/>
      <c r="C16" s="303">
        <v>2</v>
      </c>
      <c r="D16" s="304">
        <f t="shared" si="0"/>
        <v>2</v>
      </c>
      <c r="E16" s="304"/>
      <c r="F16" s="304"/>
      <c r="G16" s="305" t="str">
        <f>+PRESUPUESTO!C5</f>
        <v>Suministro, transporte e instalacion de afirmado compactado. No incluye mano de obra no calificada.</v>
      </c>
      <c r="H16" s="304" t="str">
        <f>+PRESUPUESTO!D5</f>
        <v>M3</v>
      </c>
      <c r="I16" s="306">
        <f>+PRESUPUESTO!E5</f>
        <v>121.95</v>
      </c>
      <c r="J16" s="307">
        <f>+PRESUPUESTO!F5</f>
        <v>173432</v>
      </c>
      <c r="K16" s="308">
        <f t="shared" ref="K16:K23" si="2">ROUND(I16*J16,0)</f>
        <v>21150032</v>
      </c>
      <c r="L16" s="291"/>
      <c r="M16" s="285"/>
    </row>
    <row r="17" spans="1:15" ht="66" customHeight="1">
      <c r="A17" s="285"/>
      <c r="B17" s="290"/>
      <c r="C17" s="303">
        <v>3</v>
      </c>
      <c r="D17" s="304">
        <f t="shared" si="0"/>
        <v>3</v>
      </c>
      <c r="E17" s="304"/>
      <c r="F17" s="304"/>
      <c r="G17" s="305" t="str">
        <f>+PRESUPUESTO!C6</f>
        <v>Concreto clase D: Concreto de 3000 PSI. Incluye preparación e instalación de concreto en placas, vigas y cunetas. Incluye formaleta. Incluye agregados. No incluye suministro de cemento. No incluye mano de obra no calificada.</v>
      </c>
      <c r="H17" s="304" t="str">
        <f>+PRESUPUESTO!D6</f>
        <v>M3</v>
      </c>
      <c r="I17" s="306">
        <f>+PRESUPUESTO!E6</f>
        <v>88.73</v>
      </c>
      <c r="J17" s="307">
        <f>+PRESUPUESTO!F6</f>
        <v>512960</v>
      </c>
      <c r="K17" s="308">
        <f t="shared" si="2"/>
        <v>45514941</v>
      </c>
      <c r="L17" s="291"/>
      <c r="M17" s="285"/>
    </row>
    <row r="18" spans="1:15" ht="67.75" customHeight="1">
      <c r="A18" s="285"/>
      <c r="B18" s="290"/>
      <c r="C18" s="303">
        <v>4</v>
      </c>
      <c r="D18" s="304">
        <f t="shared" si="0"/>
        <v>4</v>
      </c>
      <c r="E18" s="304"/>
      <c r="F18" s="304"/>
      <c r="G18" s="305" t="str">
        <f>+PRESUPUESTO!C7</f>
        <v>Concreto clase G: 60% concreto clase D y 40% Piedra. Incluye preparación e instalación de concreto en enrocados. Incluye agregados. No incluye suministro de cemento. No incluye mano de obra no calificada.</v>
      </c>
      <c r="H18" s="304" t="str">
        <f>+PRESUPUESTO!D7</f>
        <v>M3</v>
      </c>
      <c r="I18" s="306">
        <f>+PRESUPUESTO!E7</f>
        <v>25.25</v>
      </c>
      <c r="J18" s="307">
        <f>+PRESUPUESTO!F7</f>
        <v>351227</v>
      </c>
      <c r="K18" s="308">
        <f t="shared" si="2"/>
        <v>8868482</v>
      </c>
      <c r="L18" s="291"/>
      <c r="M18" s="285"/>
    </row>
    <row r="19" spans="1:15" ht="62.25" customHeight="1">
      <c r="A19" s="285"/>
      <c r="B19" s="290"/>
      <c r="C19" s="303">
        <v>5</v>
      </c>
      <c r="D19" s="304">
        <f t="shared" si="0"/>
        <v>5</v>
      </c>
      <c r="E19" s="304"/>
      <c r="F19" s="304"/>
      <c r="G19" s="305" t="str">
        <f>+PRESUPUESTO!C8</f>
        <v>Sardinel en concreto clase D. Incluye preparación e instalación de concreto. Incluye formaleta. Incluye agregados. No incluye suministro de cemento. No incluye mano de obra no calificada.</v>
      </c>
      <c r="H19" s="304" t="str">
        <f>+PRESUPUESTO!D8</f>
        <v>ML</v>
      </c>
      <c r="I19" s="306">
        <f>+PRESUPUESTO!E8</f>
        <v>390</v>
      </c>
      <c r="J19" s="307">
        <f>+PRESUPUESTO!F8</f>
        <v>53199</v>
      </c>
      <c r="K19" s="308">
        <f t="shared" si="2"/>
        <v>20747610</v>
      </c>
      <c r="L19" s="291"/>
      <c r="M19" s="285"/>
    </row>
    <row r="20" spans="1:15" ht="39" customHeight="1">
      <c r="A20" s="285"/>
      <c r="B20" s="290"/>
      <c r="C20" s="303">
        <v>6</v>
      </c>
      <c r="D20" s="304">
        <f t="shared" si="0"/>
        <v>6</v>
      </c>
      <c r="E20" s="304"/>
      <c r="F20" s="304"/>
      <c r="G20" s="305" t="str">
        <f>+PRESUPUESTO!C9</f>
        <v>Suministro, transporte e instalacion de acero de refuerzo Fy=60000 PSI. No incluye mano de obra no calificada.</v>
      </c>
      <c r="H20" s="304" t="str">
        <f>+PRESUPUESTO!D9</f>
        <v>KG</v>
      </c>
      <c r="I20" s="306">
        <f>+PRESUPUESTO!E9</f>
        <v>572.25</v>
      </c>
      <c r="J20" s="307">
        <f>+PRESUPUESTO!F9</f>
        <v>12821</v>
      </c>
      <c r="K20" s="308">
        <f t="shared" si="2"/>
        <v>7336817</v>
      </c>
      <c r="L20" s="291"/>
      <c r="M20" s="285"/>
    </row>
    <row r="21" spans="1:15" ht="39" customHeight="1">
      <c r="A21" s="285"/>
      <c r="B21" s="290"/>
      <c r="C21" s="303">
        <v>7</v>
      </c>
      <c r="D21" s="304">
        <f t="shared" si="0"/>
        <v>7</v>
      </c>
      <c r="E21" s="304"/>
      <c r="F21" s="304"/>
      <c r="G21" s="305" t="str">
        <f>+PRESUPUESTO!C10</f>
        <v>Suministro, transporte e instalacion de malla electrosoldada de 15x15 cm x 5mm. No incluye mano de obra no calificada.</v>
      </c>
      <c r="H21" s="304" t="str">
        <f>+PRESUPUESTO!D10</f>
        <v>M2</v>
      </c>
      <c r="I21" s="306">
        <f>+PRESUPUESTO!E10</f>
        <v>806.9</v>
      </c>
      <c r="J21" s="307">
        <f>+PRESUPUESTO!F10</f>
        <v>28849</v>
      </c>
      <c r="K21" s="308">
        <f t="shared" si="2"/>
        <v>23278258</v>
      </c>
      <c r="L21" s="291"/>
      <c r="M21" s="285"/>
    </row>
    <row r="22" spans="1:15" ht="39" customHeight="1">
      <c r="A22" s="285"/>
      <c r="B22" s="290"/>
      <c r="C22" s="303">
        <v>8</v>
      </c>
      <c r="D22" s="304">
        <f t="shared" ref="D22:D23" si="3">+C22</f>
        <v>8</v>
      </c>
      <c r="E22" s="304"/>
      <c r="F22" s="304"/>
      <c r="G22" s="305" t="str">
        <f>+PRESUPUESTO!C11</f>
        <v>Sobreacarreo de materiales en vehiculo automotor de tracción 4x4. No incluye mano de obra no calificada para cargue y descargue.</v>
      </c>
      <c r="H22" s="304" t="str">
        <f>+PRESUPUESTO!D11</f>
        <v>TON</v>
      </c>
      <c r="I22" s="306">
        <f>+PRESUPUESTO!E11</f>
        <v>548.96</v>
      </c>
      <c r="J22" s="307">
        <f>+PRESUPUESTO!F11</f>
        <v>42498</v>
      </c>
      <c r="K22" s="308">
        <f t="shared" si="2"/>
        <v>23329702</v>
      </c>
      <c r="L22" s="291"/>
      <c r="M22" s="285"/>
    </row>
    <row r="23" spans="1:15" ht="39" customHeight="1">
      <c r="A23" s="285"/>
      <c r="B23" s="290"/>
      <c r="C23" s="303">
        <v>9</v>
      </c>
      <c r="D23" s="304">
        <f t="shared" si="3"/>
        <v>9</v>
      </c>
      <c r="E23" s="304"/>
      <c r="F23" s="304"/>
      <c r="G23" s="305" t="str">
        <f>+PRESUPUESTO!C12</f>
        <v>Demolición de concreto hidraulico. Incluye retiro y disposición final.</v>
      </c>
      <c r="H23" s="304" t="str">
        <f>+PRESUPUESTO!D12</f>
        <v>M3</v>
      </c>
      <c r="I23" s="306">
        <f>+PRESUPUESTO!E12</f>
        <v>13.7</v>
      </c>
      <c r="J23" s="307">
        <f>+PRESUPUESTO!F12</f>
        <v>262127</v>
      </c>
      <c r="K23" s="308">
        <f t="shared" si="2"/>
        <v>3591140</v>
      </c>
      <c r="L23" s="291"/>
      <c r="M23" s="285"/>
    </row>
    <row r="24" spans="1:15" ht="13.5" customHeight="1" thickBot="1">
      <c r="A24" s="285"/>
      <c r="B24" s="290"/>
      <c r="C24" s="310"/>
      <c r="D24" s="310"/>
      <c r="E24" s="310"/>
      <c r="F24" s="310"/>
      <c r="G24" s="311"/>
      <c r="H24" s="310"/>
      <c r="I24" s="310"/>
      <c r="J24" s="310"/>
      <c r="K24" s="312"/>
      <c r="L24" s="291"/>
      <c r="M24" s="285"/>
    </row>
    <row r="25" spans="1:15" ht="30" customHeight="1">
      <c r="A25" s="285"/>
      <c r="B25" s="290"/>
      <c r="C25" s="285"/>
      <c r="D25" s="313"/>
      <c r="E25" s="285"/>
      <c r="F25" s="285"/>
      <c r="G25" s="731" t="s">
        <v>159</v>
      </c>
      <c r="H25" s="640"/>
      <c r="I25" s="640"/>
      <c r="J25" s="716"/>
      <c r="K25" s="314">
        <f>SUM(K15:K23)</f>
        <v>159996828</v>
      </c>
      <c r="L25" s="291"/>
      <c r="M25" s="285"/>
    </row>
    <row r="26" spans="1:15" ht="30" customHeight="1">
      <c r="A26" s="285"/>
      <c r="B26" s="290"/>
      <c r="C26" s="285"/>
      <c r="D26" s="313"/>
      <c r="E26" s="285"/>
      <c r="F26" s="285"/>
      <c r="G26" s="315"/>
      <c r="H26" s="316"/>
      <c r="I26" s="317"/>
      <c r="J26" s="318"/>
      <c r="K26" s="319"/>
      <c r="L26" s="291"/>
      <c r="M26" s="285"/>
    </row>
    <row r="27" spans="1:15" ht="30" customHeight="1">
      <c r="A27" s="285"/>
      <c r="B27" s="290"/>
      <c r="C27" s="285"/>
      <c r="D27" s="313"/>
      <c r="E27" s="313"/>
      <c r="F27" s="313"/>
      <c r="G27" s="315"/>
      <c r="H27" s="320"/>
      <c r="I27" s="321"/>
      <c r="J27" s="322"/>
      <c r="K27" s="319"/>
      <c r="L27" s="291"/>
      <c r="M27" s="285"/>
    </row>
    <row r="28" spans="1:15" ht="30" customHeight="1">
      <c r="A28" s="285"/>
      <c r="B28" s="290"/>
      <c r="C28" s="285"/>
      <c r="D28" s="313"/>
      <c r="E28" s="313"/>
      <c r="F28" s="313"/>
      <c r="G28" s="323" t="s">
        <v>160</v>
      </c>
      <c r="H28" s="320"/>
      <c r="I28" s="321"/>
      <c r="J28" s="322"/>
      <c r="K28" s="324">
        <f>K27+K26+K25</f>
        <v>159996828</v>
      </c>
      <c r="L28" s="291"/>
      <c r="M28" s="285"/>
    </row>
    <row r="29" spans="1:15" ht="30" customHeight="1">
      <c r="A29" s="285"/>
      <c r="B29" s="290"/>
      <c r="C29" s="285"/>
      <c r="D29" s="313"/>
      <c r="E29" s="285"/>
      <c r="F29" s="285"/>
      <c r="G29" s="325"/>
      <c r="H29" s="326"/>
      <c r="I29" s="327"/>
      <c r="J29" s="328"/>
      <c r="K29" s="329"/>
      <c r="L29" s="291"/>
      <c r="M29" s="285"/>
    </row>
    <row r="30" spans="1:15" ht="30" customHeight="1">
      <c r="A30" s="285"/>
      <c r="B30" s="290"/>
      <c r="C30" s="285"/>
      <c r="D30" s="313"/>
      <c r="E30" s="313"/>
      <c r="F30" s="313"/>
      <c r="G30" s="330"/>
      <c r="H30" s="331"/>
      <c r="I30" s="332"/>
      <c r="J30" s="333"/>
      <c r="K30" s="334"/>
      <c r="L30" s="291"/>
      <c r="M30" s="285"/>
    </row>
    <row r="31" spans="1:15" ht="30" customHeight="1">
      <c r="A31" s="285"/>
      <c r="B31" s="290"/>
      <c r="C31" s="285"/>
      <c r="D31" s="313"/>
      <c r="E31" s="285"/>
      <c r="F31" s="285"/>
      <c r="G31" s="335" t="s">
        <v>111</v>
      </c>
      <c r="H31" s="336"/>
      <c r="I31" s="337"/>
      <c r="J31" s="338"/>
      <c r="K31" s="339">
        <f>+K28</f>
        <v>159996828</v>
      </c>
      <c r="L31" s="291"/>
      <c r="M31" s="285"/>
      <c r="O31" s="459"/>
    </row>
    <row r="32" spans="1:15" ht="13.5" customHeight="1">
      <c r="A32" s="285"/>
      <c r="B32" s="290"/>
      <c r="C32" s="285"/>
      <c r="D32" s="313"/>
      <c r="E32" s="313"/>
      <c r="F32" s="313"/>
      <c r="G32" s="288"/>
      <c r="H32" s="285"/>
      <c r="I32" s="340"/>
      <c r="J32" s="341"/>
      <c r="K32" s="342"/>
      <c r="L32" s="291"/>
      <c r="M32" s="285"/>
    </row>
    <row r="33" spans="1:13" ht="13.5" customHeight="1">
      <c r="A33" s="285"/>
      <c r="B33" s="290"/>
      <c r="C33" s="343"/>
      <c r="D33" s="732"/>
      <c r="E33" s="640"/>
      <c r="F33" s="640"/>
      <c r="G33" s="640"/>
      <c r="H33" s="640"/>
      <c r="I33" s="640"/>
      <c r="J33" s="640"/>
      <c r="K33" s="641"/>
      <c r="L33" s="344"/>
      <c r="M33" s="285"/>
    </row>
    <row r="34" spans="1:13" ht="30.75" customHeight="1">
      <c r="A34" s="285"/>
      <c r="B34" s="290"/>
      <c r="C34" s="720" t="s">
        <v>161</v>
      </c>
      <c r="D34" s="675"/>
      <c r="E34" s="675"/>
      <c r="F34" s="675"/>
      <c r="G34" s="676"/>
      <c r="H34" s="733" t="s">
        <v>91</v>
      </c>
      <c r="I34" s="734"/>
      <c r="J34" s="735"/>
      <c r="K34" s="345" t="s">
        <v>162</v>
      </c>
      <c r="L34" s="346"/>
      <c r="M34" s="285"/>
    </row>
    <row r="35" spans="1:13" ht="39" customHeight="1">
      <c r="A35" s="285"/>
      <c r="B35" s="290"/>
      <c r="C35" s="720" t="s">
        <v>163</v>
      </c>
      <c r="D35" s="675"/>
      <c r="E35" s="675"/>
      <c r="F35" s="675"/>
      <c r="G35" s="676"/>
      <c r="H35" s="729" t="s">
        <v>164</v>
      </c>
      <c r="I35" s="676"/>
      <c r="J35" s="347" t="s">
        <v>165</v>
      </c>
      <c r="K35" s="618">
        <v>0.29499999999999998</v>
      </c>
      <c r="L35" s="346"/>
      <c r="M35" s="285"/>
    </row>
    <row r="36" spans="1:13" ht="30" customHeight="1">
      <c r="A36" s="285"/>
      <c r="B36" s="290"/>
      <c r="C36" s="720" t="s">
        <v>166</v>
      </c>
      <c r="D36" s="675"/>
      <c r="E36" s="675"/>
      <c r="F36" s="675"/>
      <c r="G36" s="676"/>
      <c r="H36" s="721" t="s">
        <v>167</v>
      </c>
      <c r="I36" s="676"/>
      <c r="J36" s="347" t="s">
        <v>168</v>
      </c>
      <c r="K36" s="618">
        <v>0</v>
      </c>
      <c r="L36" s="346"/>
      <c r="M36" s="285"/>
    </row>
    <row r="37" spans="1:13" ht="27" customHeight="1">
      <c r="A37" s="285"/>
      <c r="B37" s="290"/>
      <c r="C37" s="722"/>
      <c r="D37" s="703"/>
      <c r="E37" s="703"/>
      <c r="F37" s="703"/>
      <c r="G37" s="723"/>
      <c r="H37" s="728" t="s">
        <v>130</v>
      </c>
      <c r="I37" s="676"/>
      <c r="J37" s="347" t="s">
        <v>169</v>
      </c>
      <c r="K37" s="618">
        <v>0.05</v>
      </c>
      <c r="L37" s="291"/>
      <c r="M37" s="285"/>
    </row>
    <row r="38" spans="1:13" ht="26.25" customHeight="1">
      <c r="A38" s="285"/>
      <c r="B38" s="290"/>
      <c r="C38" s="724"/>
      <c r="D38" s="635"/>
      <c r="E38" s="635"/>
      <c r="F38" s="635"/>
      <c r="G38" s="725"/>
      <c r="H38" s="729" t="s">
        <v>170</v>
      </c>
      <c r="I38" s="676"/>
      <c r="J38" s="347" t="s">
        <v>171</v>
      </c>
      <c r="K38" s="349">
        <f>K35+K36+K37</f>
        <v>0.34499999999999997</v>
      </c>
      <c r="L38" s="291"/>
      <c r="M38" s="285"/>
    </row>
    <row r="39" spans="1:13" ht="47.25" customHeight="1">
      <c r="A39" s="285"/>
      <c r="B39" s="290"/>
      <c r="C39" s="726"/>
      <c r="D39" s="670"/>
      <c r="E39" s="670"/>
      <c r="F39" s="670"/>
      <c r="G39" s="727"/>
      <c r="H39" s="730"/>
      <c r="I39" s="643"/>
      <c r="J39" s="643"/>
      <c r="K39" s="644"/>
      <c r="L39" s="291"/>
      <c r="M39" s="285"/>
    </row>
    <row r="40" spans="1:13" ht="13.5" customHeight="1">
      <c r="A40" s="285"/>
      <c r="B40" s="350"/>
      <c r="C40" s="351"/>
      <c r="D40" s="351"/>
      <c r="E40" s="352"/>
      <c r="F40" s="351"/>
      <c r="G40" s="353"/>
      <c r="H40" s="351"/>
      <c r="I40" s="351"/>
      <c r="J40" s="351"/>
      <c r="K40" s="351"/>
      <c r="L40" s="354"/>
      <c r="M40" s="285"/>
    </row>
    <row r="41" spans="1:13" ht="13.5" customHeight="1">
      <c r="A41" s="285"/>
      <c r="B41" s="285"/>
      <c r="C41" s="285"/>
      <c r="D41" s="285"/>
      <c r="E41" s="313"/>
      <c r="F41" s="285"/>
      <c r="G41" s="288"/>
      <c r="H41" s="285"/>
      <c r="I41" s="285"/>
      <c r="J41" s="285"/>
      <c r="K41" s="285"/>
      <c r="L41" s="285"/>
      <c r="M41" s="285"/>
    </row>
  </sheetData>
  <mergeCells count="27">
    <mergeCell ref="G25:J25"/>
    <mergeCell ref="D33:K33"/>
    <mergeCell ref="C34:G34"/>
    <mergeCell ref="H34:J34"/>
    <mergeCell ref="C35:G35"/>
    <mergeCell ref="H35:I35"/>
    <mergeCell ref="C36:G36"/>
    <mergeCell ref="H36:I36"/>
    <mergeCell ref="C37:G39"/>
    <mergeCell ref="H37:I37"/>
    <mergeCell ref="H38:I38"/>
    <mergeCell ref="H39:K39"/>
    <mergeCell ref="C10:K10"/>
    <mergeCell ref="C11:K11"/>
    <mergeCell ref="C12:C13"/>
    <mergeCell ref="D12:D13"/>
    <mergeCell ref="E12:F12"/>
    <mergeCell ref="G12:G13"/>
    <mergeCell ref="H12:H13"/>
    <mergeCell ref="I12:I13"/>
    <mergeCell ref="K12:K13"/>
    <mergeCell ref="J12:J13"/>
    <mergeCell ref="B2:L2"/>
    <mergeCell ref="C3:F3"/>
    <mergeCell ref="C6:K6"/>
    <mergeCell ref="C7:K7"/>
    <mergeCell ref="C8:K9"/>
  </mergeCells>
  <printOptions horizontalCentered="1"/>
  <pageMargins left="0.31496062992125984" right="0.31496062992125984" top="0.35433070866141736" bottom="0.35433070866141736" header="0" footer="0"/>
  <pageSetup scale="4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M45"/>
  <sheetViews>
    <sheetView showGridLines="0" tabSelected="1" view="pageBreakPreview" topLeftCell="A10" zoomScale="60" zoomScaleNormal="48" workbookViewId="0">
      <selection activeCell="K16" sqref="K16"/>
    </sheetView>
  </sheetViews>
  <sheetFormatPr baseColWidth="10" defaultColWidth="14.5" defaultRowHeight="15" customHeight="1"/>
  <cols>
    <col min="1" max="2" width="4.5" customWidth="1"/>
    <col min="3" max="3" width="14.6640625" customWidth="1"/>
    <col min="4" max="4" width="14.33203125" customWidth="1"/>
    <col min="5" max="5" width="16.1640625" customWidth="1"/>
    <col min="6" max="6" width="20.83203125" customWidth="1"/>
    <col min="7" max="7" width="73.33203125" customWidth="1"/>
    <col min="8" max="8" width="8.6640625" customWidth="1"/>
    <col min="9" max="9" width="18.83203125" customWidth="1"/>
    <col min="10" max="10" width="23.83203125" customWidth="1"/>
    <col min="11" max="11" width="30" customWidth="1"/>
    <col min="12" max="13" width="4.5" customWidth="1"/>
    <col min="14" max="26" width="11.5" customWidth="1"/>
  </cols>
  <sheetData>
    <row r="1" spans="1:13" ht="13.5" customHeight="1">
      <c r="A1" s="285"/>
      <c r="B1" s="286"/>
      <c r="C1" s="287"/>
      <c r="D1" s="286"/>
      <c r="E1" s="287"/>
      <c r="F1" s="285"/>
      <c r="G1" s="288"/>
      <c r="H1" s="285"/>
      <c r="I1" s="285"/>
      <c r="J1" s="285"/>
      <c r="K1" s="285"/>
      <c r="L1" s="285"/>
      <c r="M1" s="285"/>
    </row>
    <row r="2" spans="1:13" ht="13.5" customHeight="1">
      <c r="A2" s="285"/>
      <c r="B2" s="692"/>
      <c r="C2" s="693"/>
      <c r="D2" s="693"/>
      <c r="E2" s="693"/>
      <c r="F2" s="693"/>
      <c r="G2" s="693"/>
      <c r="H2" s="693"/>
      <c r="I2" s="693"/>
      <c r="J2" s="693"/>
      <c r="K2" s="693"/>
      <c r="L2" s="694"/>
      <c r="M2" s="285"/>
    </row>
    <row r="3" spans="1:13" ht="30.75" customHeight="1">
      <c r="A3" s="285"/>
      <c r="B3" s="290"/>
      <c r="C3" s="695" t="s">
        <v>142</v>
      </c>
      <c r="D3" s="696"/>
      <c r="E3" s="696"/>
      <c r="F3" s="697"/>
      <c r="G3" s="288"/>
      <c r="H3" s="285"/>
      <c r="I3" s="285"/>
      <c r="J3" s="285"/>
      <c r="K3" s="285"/>
      <c r="L3" s="291"/>
      <c r="M3" s="285"/>
    </row>
    <row r="4" spans="1:13" ht="13.5" customHeight="1">
      <c r="A4" s="285"/>
      <c r="B4" s="290"/>
      <c r="C4" s="292" t="s">
        <v>143</v>
      </c>
      <c r="D4" s="293" t="s">
        <v>144</v>
      </c>
      <c r="E4" s="292" t="s">
        <v>145</v>
      </c>
      <c r="F4" s="293">
        <v>2</v>
      </c>
      <c r="G4" s="288"/>
      <c r="H4" s="285"/>
      <c r="I4" s="285"/>
      <c r="J4" s="285"/>
      <c r="K4" s="285"/>
      <c r="L4" s="291"/>
      <c r="M4" s="285"/>
    </row>
    <row r="5" spans="1:13" ht="13.5" customHeight="1">
      <c r="A5" s="285"/>
      <c r="B5" s="290"/>
      <c r="C5" s="286"/>
      <c r="D5" s="287"/>
      <c r="E5" s="286"/>
      <c r="F5" s="287"/>
      <c r="G5" s="288"/>
      <c r="H5" s="285"/>
      <c r="I5" s="285"/>
      <c r="J5" s="285"/>
      <c r="K5" s="285"/>
      <c r="L5" s="291"/>
      <c r="M5" s="285"/>
    </row>
    <row r="6" spans="1:13" ht="31.5" customHeight="1">
      <c r="A6" s="285"/>
      <c r="B6" s="290"/>
      <c r="C6" s="736" t="s">
        <v>146</v>
      </c>
      <c r="D6" s="737"/>
      <c r="E6" s="737"/>
      <c r="F6" s="737"/>
      <c r="G6" s="737"/>
      <c r="H6" s="737"/>
      <c r="I6" s="737"/>
      <c r="J6" s="737"/>
      <c r="K6" s="738"/>
      <c r="L6" s="291"/>
      <c r="M6" s="285"/>
    </row>
    <row r="7" spans="1:13" ht="24.75" customHeight="1">
      <c r="A7" s="285"/>
      <c r="B7" s="290"/>
      <c r="C7" s="739" t="s">
        <v>172</v>
      </c>
      <c r="D7" s="740"/>
      <c r="E7" s="740"/>
      <c r="F7" s="740"/>
      <c r="G7" s="740"/>
      <c r="H7" s="740"/>
      <c r="I7" s="740"/>
      <c r="J7" s="740"/>
      <c r="K7" s="741"/>
      <c r="L7" s="291"/>
      <c r="M7" s="285"/>
    </row>
    <row r="8" spans="1:13" ht="18" customHeight="1">
      <c r="A8" s="295"/>
      <c r="B8" s="468"/>
      <c r="C8" s="742" t="s">
        <v>173</v>
      </c>
      <c r="D8" s="703"/>
      <c r="E8" s="703"/>
      <c r="F8" s="703"/>
      <c r="G8" s="703"/>
      <c r="H8" s="703"/>
      <c r="I8" s="703"/>
      <c r="J8" s="703"/>
      <c r="K8" s="743"/>
      <c r="L8" s="297"/>
      <c r="M8" s="295"/>
    </row>
    <row r="9" spans="1:13" ht="18" customHeight="1">
      <c r="A9" s="285"/>
      <c r="B9" s="290"/>
      <c r="C9" s="744"/>
      <c r="D9" s="740"/>
      <c r="E9" s="740"/>
      <c r="F9" s="740"/>
      <c r="G9" s="740"/>
      <c r="H9" s="740"/>
      <c r="I9" s="740"/>
      <c r="J9" s="740"/>
      <c r="K9" s="741"/>
      <c r="L9" s="291"/>
      <c r="M9" s="285"/>
    </row>
    <row r="10" spans="1:13" ht="36.75" customHeight="1">
      <c r="A10" s="285"/>
      <c r="B10" s="290"/>
      <c r="C10" s="745" t="s">
        <v>174</v>
      </c>
      <c r="D10" s="746"/>
      <c r="E10" s="746"/>
      <c r="F10" s="746"/>
      <c r="G10" s="746"/>
      <c r="H10" s="746"/>
      <c r="I10" s="746"/>
      <c r="J10" s="746"/>
      <c r="K10" s="747"/>
      <c r="L10" s="291"/>
      <c r="M10" s="285"/>
    </row>
    <row r="11" spans="1:13" ht="49.5" customHeight="1">
      <c r="A11" s="285"/>
      <c r="B11" s="290"/>
      <c r="C11" s="748" t="str">
        <f>+'1 CANT MC-AM 01'!$D$5</f>
        <v>CONSTRUCCIÓN DE PLACA HUELLAS CON APOYO DE LA COMUNIDAD Y EL COMITÉ DE CAFETEROS EN ZONA RURAL DEL MUNICIPIO DE RISARALDA</v>
      </c>
      <c r="D11" s="671"/>
      <c r="E11" s="671"/>
      <c r="F11" s="671"/>
      <c r="G11" s="671"/>
      <c r="H11" s="671"/>
      <c r="I11" s="671"/>
      <c r="J11" s="671"/>
      <c r="K11" s="749"/>
      <c r="L11" s="291"/>
      <c r="M11" s="285"/>
    </row>
    <row r="12" spans="1:13" ht="30" customHeight="1">
      <c r="A12" s="285"/>
      <c r="B12" s="290"/>
      <c r="C12" s="750" t="s">
        <v>150</v>
      </c>
      <c r="D12" s="713" t="s">
        <v>151</v>
      </c>
      <c r="E12" s="752" t="s">
        <v>152</v>
      </c>
      <c r="F12" s="753"/>
      <c r="G12" s="711" t="s">
        <v>91</v>
      </c>
      <c r="H12" s="713" t="s">
        <v>153</v>
      </c>
      <c r="I12" s="713" t="s">
        <v>92</v>
      </c>
      <c r="J12" s="719" t="s">
        <v>154</v>
      </c>
      <c r="K12" s="754" t="s">
        <v>155</v>
      </c>
      <c r="L12" s="291"/>
      <c r="M12" s="285"/>
    </row>
    <row r="13" spans="1:13" ht="30" customHeight="1" thickBot="1">
      <c r="A13" s="285"/>
      <c r="B13" s="290"/>
      <c r="C13" s="751"/>
      <c r="D13" s="714"/>
      <c r="E13" s="298" t="s">
        <v>156</v>
      </c>
      <c r="F13" s="298" t="s">
        <v>157</v>
      </c>
      <c r="G13" s="712"/>
      <c r="H13" s="714"/>
      <c r="I13" s="714"/>
      <c r="J13" s="714"/>
      <c r="K13" s="755"/>
      <c r="L13" s="291"/>
      <c r="M13" s="285"/>
    </row>
    <row r="14" spans="1:13" ht="30" customHeight="1" thickBot="1">
      <c r="A14" s="285"/>
      <c r="B14" s="290"/>
      <c r="C14" s="607"/>
      <c r="D14" s="608"/>
      <c r="E14" s="608"/>
      <c r="F14" s="608"/>
      <c r="G14" s="609" t="s">
        <v>158</v>
      </c>
      <c r="H14" s="608"/>
      <c r="I14" s="608"/>
      <c r="J14" s="608"/>
      <c r="K14" s="610"/>
      <c r="L14" s="291"/>
      <c r="M14" s="285"/>
    </row>
    <row r="15" spans="1:13" ht="39" customHeight="1">
      <c r="A15" s="285"/>
      <c r="B15" s="290"/>
      <c r="C15" s="611">
        <v>1</v>
      </c>
      <c r="D15" s="612">
        <f t="shared" ref="D15:D20" si="0">+C15</f>
        <v>1</v>
      </c>
      <c r="E15" s="612"/>
      <c r="F15" s="612"/>
      <c r="G15" s="613" t="str">
        <f>+PRESUPUESTO!C4</f>
        <v>Excavaciones varias en material común. No incluye mano de obra no calificada.</v>
      </c>
      <c r="H15" s="612" t="str">
        <f>+PRESUPUESTO!D4</f>
        <v>M3</v>
      </c>
      <c r="I15" s="614">
        <f>+PRESUPUESTO!E4</f>
        <v>195.67</v>
      </c>
      <c r="J15" s="615"/>
      <c r="K15" s="616">
        <f t="shared" ref="K15:K23" si="1">ROUND(I15*J15,0)</f>
        <v>0</v>
      </c>
      <c r="L15" s="291"/>
      <c r="M15" s="285"/>
    </row>
    <row r="16" spans="1:13" ht="39" customHeight="1">
      <c r="A16" s="285"/>
      <c r="B16" s="290"/>
      <c r="C16" s="469">
        <v>2</v>
      </c>
      <c r="D16" s="304">
        <f t="shared" si="0"/>
        <v>2</v>
      </c>
      <c r="E16" s="304"/>
      <c r="F16" s="304"/>
      <c r="G16" s="309" t="str">
        <f>+PRESUPUESTO!C5</f>
        <v>Suministro, transporte e instalacion de afirmado compactado. No incluye mano de obra no calificada.</v>
      </c>
      <c r="H16" s="304" t="str">
        <f>+PRESUPUESTO!D5</f>
        <v>M3</v>
      </c>
      <c r="I16" s="306">
        <f>+PRESUPUESTO!E5</f>
        <v>121.95</v>
      </c>
      <c r="J16" s="307"/>
      <c r="K16" s="470">
        <f t="shared" si="1"/>
        <v>0</v>
      </c>
      <c r="L16" s="291"/>
      <c r="M16" s="285"/>
    </row>
    <row r="17" spans="1:13" ht="66" customHeight="1">
      <c r="A17" s="285"/>
      <c r="B17" s="290"/>
      <c r="C17" s="469">
        <v>3</v>
      </c>
      <c r="D17" s="304">
        <f t="shared" si="0"/>
        <v>3</v>
      </c>
      <c r="E17" s="304"/>
      <c r="F17" s="304"/>
      <c r="G17" s="305" t="str">
        <f>+PRESUPUESTO!C6</f>
        <v>Concreto clase D: Concreto de 3000 PSI. Incluye preparación e instalación de concreto en placas, vigas y cunetas. Incluye formaleta. Incluye agregados. No incluye suministro de cemento. No incluye mano de obra no calificada.</v>
      </c>
      <c r="H17" s="304" t="str">
        <f>+PRESUPUESTO!D6</f>
        <v>M3</v>
      </c>
      <c r="I17" s="306">
        <f>+PRESUPUESTO!E6</f>
        <v>88.73</v>
      </c>
      <c r="J17" s="307"/>
      <c r="K17" s="470">
        <f t="shared" si="1"/>
        <v>0</v>
      </c>
      <c r="L17" s="291"/>
      <c r="M17" s="285"/>
    </row>
    <row r="18" spans="1:13" ht="61.75" customHeight="1">
      <c r="A18" s="285"/>
      <c r="B18" s="290"/>
      <c r="C18" s="469">
        <v>4</v>
      </c>
      <c r="D18" s="304">
        <f t="shared" si="0"/>
        <v>4</v>
      </c>
      <c r="E18" s="304"/>
      <c r="F18" s="304"/>
      <c r="G18" s="305" t="str">
        <f>+PRESUPUESTO!C7</f>
        <v>Concreto clase G: 60% concreto clase D y 40% Piedra. Incluye preparación e instalación de concreto en enrocados. Incluye agregados. No incluye suministro de cemento. No incluye mano de obra no calificada.</v>
      </c>
      <c r="H18" s="304" t="str">
        <f>+PRESUPUESTO!D7</f>
        <v>M3</v>
      </c>
      <c r="I18" s="306">
        <f>+PRESUPUESTO!E7</f>
        <v>25.25</v>
      </c>
      <c r="J18" s="307"/>
      <c r="K18" s="470">
        <f t="shared" si="1"/>
        <v>0</v>
      </c>
      <c r="L18" s="291"/>
      <c r="M18" s="285"/>
    </row>
    <row r="19" spans="1:13" ht="62.25" customHeight="1">
      <c r="A19" s="285"/>
      <c r="B19" s="290"/>
      <c r="C19" s="469">
        <v>5</v>
      </c>
      <c r="D19" s="304">
        <f t="shared" si="0"/>
        <v>5</v>
      </c>
      <c r="E19" s="304"/>
      <c r="F19" s="304"/>
      <c r="G19" s="305" t="str">
        <f>+PRESUPUESTO!C8</f>
        <v>Sardinel en concreto clase D. Incluye preparación e instalación de concreto. Incluye formaleta. Incluye agregados. No incluye suministro de cemento. No incluye mano de obra no calificada.</v>
      </c>
      <c r="H19" s="304" t="str">
        <f>+PRESUPUESTO!D8</f>
        <v>ML</v>
      </c>
      <c r="I19" s="306">
        <f>+PRESUPUESTO!E8</f>
        <v>390</v>
      </c>
      <c r="J19" s="307"/>
      <c r="K19" s="471">
        <f t="shared" si="1"/>
        <v>0</v>
      </c>
      <c r="L19" s="291"/>
      <c r="M19" s="285"/>
    </row>
    <row r="20" spans="1:13" ht="39" customHeight="1">
      <c r="A20" s="285"/>
      <c r="B20" s="290"/>
      <c r="C20" s="469">
        <v>6</v>
      </c>
      <c r="D20" s="304">
        <f t="shared" si="0"/>
        <v>6</v>
      </c>
      <c r="E20" s="304"/>
      <c r="F20" s="304"/>
      <c r="G20" s="305" t="str">
        <f>+PRESUPUESTO!C9</f>
        <v>Suministro, transporte e instalacion de acero de refuerzo Fy=60000 PSI. No incluye mano de obra no calificada.</v>
      </c>
      <c r="H20" s="304" t="str">
        <f>+PRESUPUESTO!D9</f>
        <v>KG</v>
      </c>
      <c r="I20" s="306">
        <f>+PRESUPUESTO!E9</f>
        <v>572.25</v>
      </c>
      <c r="J20" s="307"/>
      <c r="K20" s="471">
        <f t="shared" si="1"/>
        <v>0</v>
      </c>
      <c r="L20" s="291"/>
      <c r="M20" s="285"/>
    </row>
    <row r="21" spans="1:13" ht="39" customHeight="1">
      <c r="A21" s="285"/>
      <c r="B21" s="290"/>
      <c r="C21" s="469">
        <v>7</v>
      </c>
      <c r="D21" s="304">
        <f t="shared" ref="D21:D23" si="2">+C21</f>
        <v>7</v>
      </c>
      <c r="E21" s="304"/>
      <c r="F21" s="304"/>
      <c r="G21" s="305" t="str">
        <f>+PRESUPUESTO!C10</f>
        <v>Suministro, transporte e instalacion de malla electrosoldada de 15x15 cm x 5mm. No incluye mano de obra no calificada.</v>
      </c>
      <c r="H21" s="304" t="str">
        <f>+PRESUPUESTO!D10</f>
        <v>M2</v>
      </c>
      <c r="I21" s="306">
        <f>+PRESUPUESTO!E10</f>
        <v>806.9</v>
      </c>
      <c r="J21" s="307"/>
      <c r="K21" s="471">
        <f t="shared" si="1"/>
        <v>0</v>
      </c>
      <c r="L21" s="291"/>
      <c r="M21" s="285"/>
    </row>
    <row r="22" spans="1:13" ht="39" customHeight="1">
      <c r="A22" s="285"/>
      <c r="B22" s="290"/>
      <c r="C22" s="469">
        <v>8</v>
      </c>
      <c r="D22" s="304">
        <f t="shared" si="2"/>
        <v>8</v>
      </c>
      <c r="E22" s="304"/>
      <c r="F22" s="304"/>
      <c r="G22" s="305" t="str">
        <f>+PRESUPUESTO!C11</f>
        <v>Sobreacarreo de materiales en vehiculo automotor de tracción 4x4. No incluye mano de obra no calificada para cargue y descargue.</v>
      </c>
      <c r="H22" s="304" t="str">
        <f>+PRESUPUESTO!D11</f>
        <v>TON</v>
      </c>
      <c r="I22" s="306">
        <f>+PRESUPUESTO!E11</f>
        <v>548.96</v>
      </c>
      <c r="J22" s="307"/>
      <c r="K22" s="471">
        <f t="shared" si="1"/>
        <v>0</v>
      </c>
      <c r="L22" s="291"/>
      <c r="M22" s="285"/>
    </row>
    <row r="23" spans="1:13" ht="39" customHeight="1" thickBot="1">
      <c r="A23" s="285"/>
      <c r="B23" s="290"/>
      <c r="C23" s="472">
        <v>9</v>
      </c>
      <c r="D23" s="473">
        <f t="shared" si="2"/>
        <v>9</v>
      </c>
      <c r="E23" s="473"/>
      <c r="F23" s="473"/>
      <c r="G23" s="617" t="str">
        <f>+PRESUPUESTO!C12</f>
        <v>Demolición de concreto hidraulico. Incluye retiro y disposición final.</v>
      </c>
      <c r="H23" s="473" t="str">
        <f>+PRESUPUESTO!D12</f>
        <v>M3</v>
      </c>
      <c r="I23" s="474">
        <f>+PRESUPUESTO!E12</f>
        <v>13.7</v>
      </c>
      <c r="J23" s="475"/>
      <c r="K23" s="471">
        <f t="shared" si="1"/>
        <v>0</v>
      </c>
      <c r="L23" s="291"/>
      <c r="M23" s="285"/>
    </row>
    <row r="24" spans="1:13" ht="13.5" customHeight="1" thickBot="1">
      <c r="A24" s="285"/>
      <c r="B24" s="290"/>
      <c r="C24" s="310"/>
      <c r="D24" s="310"/>
      <c r="E24" s="310"/>
      <c r="F24" s="310"/>
      <c r="G24" s="311"/>
      <c r="H24" s="310"/>
      <c r="I24" s="310"/>
      <c r="J24" s="310"/>
      <c r="K24" s="312"/>
      <c r="L24" s="291"/>
      <c r="M24" s="285"/>
    </row>
    <row r="25" spans="1:13" ht="30" customHeight="1">
      <c r="A25" s="285"/>
      <c r="B25" s="290"/>
      <c r="C25" s="285"/>
      <c r="D25" s="313"/>
      <c r="E25" s="285"/>
      <c r="F25" s="285"/>
      <c r="G25" s="731" t="s">
        <v>159</v>
      </c>
      <c r="H25" s="640"/>
      <c r="I25" s="640"/>
      <c r="J25" s="716"/>
      <c r="K25" s="314">
        <f>SUM(K15:K23)</f>
        <v>0</v>
      </c>
      <c r="L25" s="291"/>
      <c r="M25" s="285"/>
    </row>
    <row r="26" spans="1:13" ht="30" customHeight="1">
      <c r="A26" s="285"/>
      <c r="B26" s="290"/>
      <c r="C26" s="285"/>
      <c r="D26" s="313"/>
      <c r="E26" s="285"/>
      <c r="F26" s="285"/>
      <c r="G26" s="315"/>
      <c r="H26" s="316"/>
      <c r="I26" s="317"/>
      <c r="J26" s="318"/>
      <c r="K26" s="319"/>
      <c r="L26" s="291"/>
      <c r="M26" s="285"/>
    </row>
    <row r="27" spans="1:13" ht="30" customHeight="1">
      <c r="A27" s="285"/>
      <c r="B27" s="290"/>
      <c r="C27" s="285"/>
      <c r="D27" s="313"/>
      <c r="E27" s="313"/>
      <c r="F27" s="313"/>
      <c r="G27" s="315"/>
      <c r="H27" s="320"/>
      <c r="I27" s="321"/>
      <c r="J27" s="322"/>
      <c r="K27" s="319"/>
      <c r="L27" s="291"/>
      <c r="M27" s="285"/>
    </row>
    <row r="28" spans="1:13" ht="30" customHeight="1">
      <c r="A28" s="285"/>
      <c r="B28" s="290"/>
      <c r="C28" s="285"/>
      <c r="D28" s="313"/>
      <c r="E28" s="313"/>
      <c r="F28" s="313"/>
      <c r="G28" s="323" t="s">
        <v>160</v>
      </c>
      <c r="H28" s="320"/>
      <c r="I28" s="321"/>
      <c r="J28" s="322"/>
      <c r="K28" s="324">
        <f>K27+K26+K25</f>
        <v>0</v>
      </c>
      <c r="L28" s="291"/>
      <c r="M28" s="285"/>
    </row>
    <row r="29" spans="1:13" ht="30" customHeight="1">
      <c r="A29" s="285"/>
      <c r="B29" s="290"/>
      <c r="C29" s="285"/>
      <c r="D29" s="313"/>
      <c r="E29" s="285"/>
      <c r="F29" s="285"/>
      <c r="G29" s="325"/>
      <c r="H29" s="326"/>
      <c r="I29" s="327"/>
      <c r="J29" s="328"/>
      <c r="K29" s="329"/>
      <c r="L29" s="291"/>
      <c r="M29" s="285"/>
    </row>
    <row r="30" spans="1:13" ht="30" customHeight="1">
      <c r="A30" s="285"/>
      <c r="B30" s="290"/>
      <c r="C30" s="285"/>
      <c r="D30" s="313"/>
      <c r="E30" s="313"/>
      <c r="F30" s="313"/>
      <c r="G30" s="330"/>
      <c r="H30" s="331"/>
      <c r="I30" s="332"/>
      <c r="J30" s="333"/>
      <c r="K30" s="334"/>
      <c r="L30" s="291"/>
      <c r="M30" s="285"/>
    </row>
    <row r="31" spans="1:13" ht="30" customHeight="1">
      <c r="A31" s="285"/>
      <c r="B31" s="290"/>
      <c r="C31" s="285"/>
      <c r="D31" s="313"/>
      <c r="E31" s="285"/>
      <c r="F31" s="285"/>
      <c r="G31" s="335" t="s">
        <v>111</v>
      </c>
      <c r="H31" s="336"/>
      <c r="I31" s="337"/>
      <c r="J31" s="338"/>
      <c r="K31" s="339">
        <f>+K28</f>
        <v>0</v>
      </c>
      <c r="L31" s="291"/>
      <c r="M31" s="285"/>
    </row>
    <row r="32" spans="1:13" ht="13.5" customHeight="1">
      <c r="A32" s="285"/>
      <c r="B32" s="290"/>
      <c r="C32" s="285"/>
      <c r="D32" s="313"/>
      <c r="E32" s="313"/>
      <c r="F32" s="313"/>
      <c r="G32" s="288"/>
      <c r="H32" s="285"/>
      <c r="I32" s="340"/>
      <c r="J32" s="341"/>
      <c r="K32" s="342"/>
      <c r="L32" s="291"/>
      <c r="M32" s="285"/>
    </row>
    <row r="33" spans="1:13" ht="13.5" customHeight="1">
      <c r="A33" s="285"/>
      <c r="B33" s="290"/>
      <c r="C33" s="343"/>
      <c r="D33" s="732"/>
      <c r="E33" s="640"/>
      <c r="F33" s="640"/>
      <c r="G33" s="640"/>
      <c r="H33" s="640"/>
      <c r="I33" s="640"/>
      <c r="J33" s="640"/>
      <c r="K33" s="641"/>
      <c r="L33" s="344"/>
      <c r="M33" s="285"/>
    </row>
    <row r="34" spans="1:13" ht="30.75" customHeight="1">
      <c r="A34" s="285"/>
      <c r="B34" s="290"/>
      <c r="C34" s="720" t="s">
        <v>175</v>
      </c>
      <c r="D34" s="675"/>
      <c r="E34" s="675"/>
      <c r="F34" s="675"/>
      <c r="G34" s="676"/>
      <c r="H34" s="733" t="s">
        <v>91</v>
      </c>
      <c r="I34" s="734"/>
      <c r="J34" s="735"/>
      <c r="K34" s="345" t="s">
        <v>162</v>
      </c>
      <c r="L34" s="346"/>
      <c r="M34" s="285"/>
    </row>
    <row r="35" spans="1:13" ht="39" customHeight="1">
      <c r="A35" s="285"/>
      <c r="B35" s="290"/>
      <c r="C35" s="720" t="s">
        <v>176</v>
      </c>
      <c r="D35" s="675"/>
      <c r="E35" s="675"/>
      <c r="F35" s="675"/>
      <c r="G35" s="676"/>
      <c r="H35" s="729" t="s">
        <v>164</v>
      </c>
      <c r="I35" s="676"/>
      <c r="J35" s="347" t="s">
        <v>165</v>
      </c>
      <c r="K35" s="348">
        <v>0</v>
      </c>
      <c r="L35" s="346"/>
      <c r="M35" s="285"/>
    </row>
    <row r="36" spans="1:13" ht="30" customHeight="1">
      <c r="A36" s="285"/>
      <c r="B36" s="290"/>
      <c r="C36" s="720" t="s">
        <v>177</v>
      </c>
      <c r="D36" s="675"/>
      <c r="E36" s="675"/>
      <c r="F36" s="675"/>
      <c r="G36" s="676"/>
      <c r="H36" s="721" t="s">
        <v>167</v>
      </c>
      <c r="I36" s="676"/>
      <c r="J36" s="347" t="s">
        <v>168</v>
      </c>
      <c r="K36" s="348">
        <v>0</v>
      </c>
      <c r="L36" s="346"/>
      <c r="M36" s="285"/>
    </row>
    <row r="37" spans="1:13" ht="27" customHeight="1">
      <c r="A37" s="285"/>
      <c r="B37" s="290"/>
      <c r="C37" s="722"/>
      <c r="D37" s="703"/>
      <c r="E37" s="703"/>
      <c r="F37" s="703"/>
      <c r="G37" s="723"/>
      <c r="H37" s="728" t="s">
        <v>130</v>
      </c>
      <c r="I37" s="676"/>
      <c r="J37" s="347" t="s">
        <v>169</v>
      </c>
      <c r="K37" s="348">
        <v>0</v>
      </c>
      <c r="L37" s="291"/>
      <c r="M37" s="285"/>
    </row>
    <row r="38" spans="1:13" ht="26.25" customHeight="1">
      <c r="A38" s="285"/>
      <c r="B38" s="290"/>
      <c r="C38" s="724"/>
      <c r="D38" s="635"/>
      <c r="E38" s="635"/>
      <c r="F38" s="635"/>
      <c r="G38" s="725"/>
      <c r="H38" s="729" t="s">
        <v>170</v>
      </c>
      <c r="I38" s="676"/>
      <c r="J38" s="347" t="s">
        <v>171</v>
      </c>
      <c r="K38" s="349">
        <f>K35+K36+K37</f>
        <v>0</v>
      </c>
      <c r="L38" s="291"/>
      <c r="M38" s="285"/>
    </row>
    <row r="39" spans="1:13" ht="47.25" customHeight="1">
      <c r="A39" s="285"/>
      <c r="B39" s="290"/>
      <c r="C39" s="726"/>
      <c r="D39" s="670"/>
      <c r="E39" s="670"/>
      <c r="F39" s="670"/>
      <c r="G39" s="727"/>
      <c r="H39" s="730"/>
      <c r="I39" s="643"/>
      <c r="J39" s="643"/>
      <c r="K39" s="644"/>
      <c r="L39" s="291"/>
      <c r="M39" s="285"/>
    </row>
    <row r="40" spans="1:13" ht="13.5" customHeight="1">
      <c r="A40" s="285"/>
      <c r="B40" s="350"/>
      <c r="C40" s="351"/>
      <c r="D40" s="351"/>
      <c r="E40" s="352"/>
      <c r="F40" s="351"/>
      <c r="G40" s="353"/>
      <c r="H40" s="351"/>
      <c r="I40" s="351"/>
      <c r="J40" s="351"/>
      <c r="K40" s="351"/>
      <c r="L40" s="354"/>
      <c r="M40" s="285"/>
    </row>
    <row r="41" spans="1:13" ht="38.25" customHeight="1">
      <c r="A41" s="285"/>
      <c r="B41" s="285"/>
      <c r="C41" s="285"/>
      <c r="D41" s="285"/>
      <c r="E41" s="285"/>
      <c r="F41" s="285"/>
      <c r="G41" s="285"/>
      <c r="H41" s="285"/>
      <c r="I41" s="285"/>
      <c r="J41" s="285"/>
      <c r="K41" s="285"/>
      <c r="L41" s="289"/>
      <c r="M41" s="289"/>
    </row>
    <row r="42" spans="1:13" ht="13.5" customHeight="1">
      <c r="A42" s="289"/>
      <c r="B42" s="289"/>
      <c r="C42" s="289"/>
      <c r="D42" s="289"/>
      <c r="E42" s="289"/>
      <c r="F42" s="289"/>
      <c r="G42" s="289"/>
      <c r="H42" s="289"/>
      <c r="I42" s="289"/>
      <c r="J42" s="289"/>
      <c r="K42" s="289"/>
      <c r="L42" s="289"/>
      <c r="M42" s="289"/>
    </row>
    <row r="43" spans="1:13" ht="13.5" customHeight="1">
      <c r="A43" s="289"/>
      <c r="B43" s="289"/>
      <c r="C43" s="289"/>
      <c r="D43" s="289"/>
      <c r="E43" s="289"/>
      <c r="F43" s="289"/>
      <c r="G43" s="285"/>
      <c r="H43" s="289"/>
      <c r="I43" s="289"/>
      <c r="J43" s="289"/>
      <c r="K43" s="289"/>
      <c r="L43" s="289"/>
      <c r="M43" s="289"/>
    </row>
    <row r="44" spans="1:13" ht="13.5" customHeight="1">
      <c r="A44" s="289"/>
      <c r="B44" s="289"/>
      <c r="C44" s="289"/>
      <c r="D44" s="289"/>
      <c r="E44" s="289"/>
      <c r="F44" s="289"/>
      <c r="G44" s="476" t="s">
        <v>178</v>
      </c>
      <c r="H44" s="289"/>
      <c r="I44" s="289"/>
      <c r="J44" s="289"/>
      <c r="K44" s="289"/>
      <c r="L44" s="289"/>
      <c r="M44" s="289"/>
    </row>
    <row r="45" spans="1:13" ht="13.5" customHeight="1">
      <c r="A45" s="289"/>
      <c r="B45" s="289"/>
      <c r="C45" s="289"/>
      <c r="D45" s="289"/>
      <c r="E45" s="289"/>
      <c r="F45" s="289"/>
      <c r="G45" s="476" t="s">
        <v>179</v>
      </c>
      <c r="H45" s="289"/>
      <c r="I45" s="289"/>
      <c r="J45" s="289"/>
      <c r="K45" s="289"/>
      <c r="L45" s="289"/>
      <c r="M45" s="289"/>
    </row>
  </sheetData>
  <mergeCells count="27">
    <mergeCell ref="G25:J25"/>
    <mergeCell ref="D33:K33"/>
    <mergeCell ref="C34:G34"/>
    <mergeCell ref="H34:J34"/>
    <mergeCell ref="C35:G35"/>
    <mergeCell ref="H35:I35"/>
    <mergeCell ref="C36:G36"/>
    <mergeCell ref="H36:I36"/>
    <mergeCell ref="C37:G39"/>
    <mergeCell ref="H37:I37"/>
    <mergeCell ref="H38:I38"/>
    <mergeCell ref="H39:K39"/>
    <mergeCell ref="C10:K10"/>
    <mergeCell ref="C11:K11"/>
    <mergeCell ref="C12:C13"/>
    <mergeCell ref="D12:D13"/>
    <mergeCell ref="E12:F12"/>
    <mergeCell ref="G12:G13"/>
    <mergeCell ref="H12:H13"/>
    <mergeCell ref="I12:I13"/>
    <mergeCell ref="K12:K13"/>
    <mergeCell ref="J12:J13"/>
    <mergeCell ref="B2:L2"/>
    <mergeCell ref="C3:F3"/>
    <mergeCell ref="C6:K6"/>
    <mergeCell ref="C7:K7"/>
    <mergeCell ref="C8:K9"/>
  </mergeCells>
  <printOptions horizontalCentered="1"/>
  <pageMargins left="0.31496062992125984" right="0.31496062992125984" top="0.35433070866141736" bottom="0.35433070866141736" header="0" footer="0"/>
  <pageSetup scale="4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P93"/>
  <sheetViews>
    <sheetView showGridLines="0" view="pageBreakPreview" topLeftCell="A6" zoomScale="60" zoomScaleNormal="100" workbookViewId="0">
      <selection activeCell="G17" sqref="G17"/>
    </sheetView>
  </sheetViews>
  <sheetFormatPr baseColWidth="10" defaultColWidth="14.5" defaultRowHeight="15" customHeight="1"/>
  <cols>
    <col min="1" max="2" width="3.1640625" style="462" customWidth="1"/>
    <col min="3" max="3" width="14.6640625" style="462" customWidth="1"/>
    <col min="4" max="4" width="13" style="462" customWidth="1"/>
    <col min="5" max="11" width="11.5" style="462" customWidth="1"/>
    <col min="12" max="12" width="12.83203125" style="462" customWidth="1"/>
    <col min="13" max="14" width="11.5" style="462" customWidth="1"/>
    <col min="15" max="15" width="13" style="462" customWidth="1"/>
    <col min="16" max="16" width="3.1640625" style="462" customWidth="1"/>
    <col min="17" max="17" width="3.5" style="462" customWidth="1"/>
    <col min="18" max="26" width="11.5" style="462" customWidth="1"/>
    <col min="27" max="16384" width="14.5" style="462"/>
  </cols>
  <sheetData>
    <row r="1" spans="2:16" ht="15" customHeight="1" thickBot="1"/>
    <row r="2" spans="2:16" ht="25.5" customHeight="1" thickTop="1">
      <c r="B2" s="798"/>
      <c r="C2" s="799"/>
      <c r="D2" s="799"/>
      <c r="E2" s="799"/>
      <c r="F2" s="799"/>
      <c r="G2" s="799"/>
      <c r="H2" s="799"/>
      <c r="I2" s="799"/>
      <c r="J2" s="799"/>
      <c r="K2" s="799"/>
      <c r="L2" s="799"/>
      <c r="M2" s="799"/>
      <c r="N2" s="799"/>
      <c r="O2" s="799"/>
      <c r="P2" s="800"/>
    </row>
    <row r="3" spans="2:16" ht="25.5" customHeight="1">
      <c r="B3" s="480"/>
      <c r="C3" s="801" t="s">
        <v>142</v>
      </c>
      <c r="D3" s="802"/>
      <c r="E3" s="802"/>
      <c r="F3" s="803"/>
      <c r="G3" s="481"/>
      <c r="H3" s="481"/>
      <c r="I3" s="481"/>
      <c r="J3" s="481"/>
      <c r="K3" s="481"/>
      <c r="L3" s="481"/>
      <c r="M3" s="481"/>
      <c r="N3" s="481"/>
      <c r="O3" s="481"/>
      <c r="P3" s="482"/>
    </row>
    <row r="4" spans="2:16" ht="25.5" customHeight="1">
      <c r="B4" s="480"/>
      <c r="C4" s="483" t="s">
        <v>143</v>
      </c>
      <c r="D4" s="484" t="s">
        <v>144</v>
      </c>
      <c r="E4" s="483" t="s">
        <v>145</v>
      </c>
      <c r="F4" s="484">
        <v>2</v>
      </c>
      <c r="G4" s="481"/>
      <c r="H4" s="481"/>
      <c r="I4" s="481"/>
      <c r="J4" s="481"/>
      <c r="K4" s="481"/>
      <c r="L4" s="481"/>
      <c r="M4" s="481"/>
      <c r="N4" s="481"/>
      <c r="O4" s="481"/>
      <c r="P4" s="482"/>
    </row>
    <row r="5" spans="2:16" ht="25.5" customHeight="1" thickBot="1">
      <c r="B5" s="480"/>
      <c r="C5" s="485"/>
      <c r="D5" s="486"/>
      <c r="E5" s="485"/>
      <c r="F5" s="486"/>
      <c r="G5" s="481"/>
      <c r="H5" s="481"/>
      <c r="I5" s="481"/>
      <c r="J5" s="481"/>
      <c r="K5" s="481"/>
      <c r="L5" s="481"/>
      <c r="M5" s="481"/>
      <c r="N5" s="481"/>
      <c r="O5" s="481"/>
      <c r="P5" s="482"/>
    </row>
    <row r="6" spans="2:16" ht="36.75" customHeight="1" thickBot="1">
      <c r="B6" s="487"/>
      <c r="C6" s="804" t="s">
        <v>180</v>
      </c>
      <c r="D6" s="805"/>
      <c r="E6" s="805"/>
      <c r="F6" s="805"/>
      <c r="G6" s="805"/>
      <c r="H6" s="805"/>
      <c r="I6" s="805"/>
      <c r="J6" s="805"/>
      <c r="K6" s="805"/>
      <c r="L6" s="805"/>
      <c r="M6" s="805"/>
      <c r="N6" s="805"/>
      <c r="O6" s="806"/>
      <c r="P6" s="482"/>
    </row>
    <row r="7" spans="2:16" ht="12.75" customHeight="1" thickBot="1">
      <c r="B7" s="487"/>
      <c r="C7" s="481"/>
      <c r="D7" s="481"/>
      <c r="E7" s="481"/>
      <c r="F7" s="481"/>
      <c r="G7" s="481"/>
      <c r="H7" s="481"/>
      <c r="I7" s="481"/>
      <c r="J7" s="481"/>
      <c r="K7" s="481"/>
      <c r="L7" s="481"/>
      <c r="M7" s="481"/>
      <c r="N7" s="481"/>
      <c r="O7" s="481"/>
      <c r="P7" s="482"/>
    </row>
    <row r="8" spans="2:16" ht="12.75" customHeight="1">
      <c r="B8" s="487"/>
      <c r="C8" s="807"/>
      <c r="D8" s="809"/>
      <c r="E8" s="762"/>
      <c r="F8" s="762"/>
      <c r="G8" s="762"/>
      <c r="H8" s="762"/>
      <c r="I8" s="762"/>
      <c r="J8" s="762"/>
      <c r="K8" s="810"/>
      <c r="L8" s="816"/>
      <c r="M8" s="762"/>
      <c r="N8" s="762"/>
      <c r="O8" s="763"/>
      <c r="P8" s="482"/>
    </row>
    <row r="9" spans="2:16" ht="12.75" customHeight="1">
      <c r="B9" s="487"/>
      <c r="C9" s="808"/>
      <c r="D9" s="811" t="s">
        <v>181</v>
      </c>
      <c r="E9" s="765"/>
      <c r="F9" s="765"/>
      <c r="G9" s="765"/>
      <c r="H9" s="765"/>
      <c r="I9" s="765"/>
      <c r="J9" s="765"/>
      <c r="K9" s="812"/>
      <c r="L9" s="817"/>
      <c r="M9" s="818"/>
      <c r="N9" s="818"/>
      <c r="O9" s="819"/>
      <c r="P9" s="482"/>
    </row>
    <row r="10" spans="2:16" ht="12.75" customHeight="1">
      <c r="B10" s="487"/>
      <c r="C10" s="808"/>
      <c r="D10" s="813"/>
      <c r="E10" s="765"/>
      <c r="F10" s="765"/>
      <c r="G10" s="765"/>
      <c r="H10" s="765"/>
      <c r="I10" s="765"/>
      <c r="J10" s="765"/>
      <c r="K10" s="812"/>
      <c r="L10" s="820" t="s">
        <v>182</v>
      </c>
      <c r="M10" s="822"/>
      <c r="N10" s="823"/>
      <c r="O10" s="824"/>
      <c r="P10" s="482"/>
    </row>
    <row r="11" spans="2:16" ht="12.75" customHeight="1">
      <c r="B11" s="487"/>
      <c r="C11" s="808"/>
      <c r="D11" s="811" t="s">
        <v>183</v>
      </c>
      <c r="E11" s="765"/>
      <c r="F11" s="765"/>
      <c r="G11" s="765"/>
      <c r="H11" s="765"/>
      <c r="I11" s="765"/>
      <c r="J11" s="765"/>
      <c r="K11" s="812"/>
      <c r="L11" s="821"/>
      <c r="M11" s="817"/>
      <c r="N11" s="818"/>
      <c r="O11" s="819"/>
      <c r="P11" s="482"/>
    </row>
    <row r="12" spans="2:16" ht="12.75" customHeight="1">
      <c r="B12" s="487"/>
      <c r="C12" s="808"/>
      <c r="D12" s="814"/>
      <c r="E12" s="765"/>
      <c r="F12" s="765"/>
      <c r="G12" s="765"/>
      <c r="H12" s="765"/>
      <c r="I12" s="765"/>
      <c r="J12" s="765"/>
      <c r="K12" s="812"/>
      <c r="L12" s="820" t="s">
        <v>184</v>
      </c>
      <c r="M12" s="820">
        <v>1</v>
      </c>
      <c r="N12" s="820" t="s">
        <v>185</v>
      </c>
      <c r="O12" s="784">
        <v>1</v>
      </c>
      <c r="P12" s="482"/>
    </row>
    <row r="13" spans="2:16" ht="12.75" customHeight="1">
      <c r="B13" s="487"/>
      <c r="C13" s="808"/>
      <c r="D13" s="815"/>
      <c r="E13" s="765"/>
      <c r="F13" s="765"/>
      <c r="G13" s="765"/>
      <c r="H13" s="765"/>
      <c r="I13" s="765"/>
      <c r="J13" s="765"/>
      <c r="K13" s="812"/>
      <c r="L13" s="825"/>
      <c r="M13" s="825"/>
      <c r="N13" s="825"/>
      <c r="O13" s="785"/>
      <c r="P13" s="482"/>
    </row>
    <row r="14" spans="2:16" ht="12.75" customHeight="1">
      <c r="B14" s="487"/>
      <c r="C14" s="808"/>
      <c r="D14" s="811" t="s">
        <v>39</v>
      </c>
      <c r="E14" s="765"/>
      <c r="F14" s="765"/>
      <c r="G14" s="765"/>
      <c r="H14" s="765"/>
      <c r="I14" s="765"/>
      <c r="J14" s="765"/>
      <c r="K14" s="812"/>
      <c r="L14" s="825"/>
      <c r="M14" s="825"/>
      <c r="N14" s="825"/>
      <c r="O14" s="785"/>
      <c r="P14" s="482"/>
    </row>
    <row r="15" spans="2:16" ht="12.75" customHeight="1" thickBot="1">
      <c r="B15" s="487"/>
      <c r="C15" s="489"/>
      <c r="D15" s="490"/>
      <c r="E15" s="490"/>
      <c r="F15" s="490"/>
      <c r="G15" s="490"/>
      <c r="H15" s="490"/>
      <c r="I15" s="490"/>
      <c r="J15" s="490"/>
      <c r="K15" s="490"/>
      <c r="L15" s="490"/>
      <c r="M15" s="355"/>
      <c r="N15" s="355"/>
      <c r="O15" s="356"/>
      <c r="P15" s="482"/>
    </row>
    <row r="16" spans="2:16" ht="12.75" customHeight="1">
      <c r="B16" s="487"/>
      <c r="C16" s="491"/>
      <c r="D16" s="492"/>
      <c r="E16" s="492"/>
      <c r="F16" s="492"/>
      <c r="G16" s="492"/>
      <c r="H16" s="492"/>
      <c r="I16" s="492"/>
      <c r="J16" s="492"/>
      <c r="K16" s="492"/>
      <c r="L16" s="477" t="s">
        <v>5</v>
      </c>
      <c r="M16" s="357" t="s">
        <v>186</v>
      </c>
      <c r="N16" s="357" t="s">
        <v>187</v>
      </c>
      <c r="O16" s="358" t="s">
        <v>188</v>
      </c>
      <c r="P16" s="482"/>
    </row>
    <row r="17" spans="2:16" ht="18" customHeight="1">
      <c r="B17" s="493"/>
      <c r="C17" s="826" t="s">
        <v>189</v>
      </c>
      <c r="D17" s="765"/>
      <c r="E17" s="765"/>
      <c r="F17" s="765"/>
      <c r="G17" s="494"/>
      <c r="H17" s="494"/>
      <c r="I17" s="494" t="s">
        <v>190</v>
      </c>
      <c r="J17" s="481"/>
      <c r="K17" s="494"/>
      <c r="L17" s="478"/>
      <c r="M17" s="481"/>
      <c r="N17" s="481"/>
      <c r="O17" s="479"/>
      <c r="P17" s="495"/>
    </row>
    <row r="18" spans="2:16" ht="12.75" customHeight="1">
      <c r="B18" s="493"/>
      <c r="C18" s="496"/>
      <c r="D18" s="497"/>
      <c r="E18" s="497"/>
      <c r="F18" s="497"/>
      <c r="G18" s="497"/>
      <c r="H18" s="497"/>
      <c r="I18" s="497"/>
      <c r="J18" s="497"/>
      <c r="K18" s="497"/>
      <c r="L18" s="497"/>
      <c r="M18" s="497"/>
      <c r="N18" s="497"/>
      <c r="O18" s="498"/>
      <c r="P18" s="495"/>
    </row>
    <row r="19" spans="2:16" ht="12.75" customHeight="1" thickBot="1">
      <c r="B19" s="493"/>
      <c r="C19" s="499"/>
      <c r="D19" s="500"/>
      <c r="E19" s="500"/>
      <c r="F19" s="500"/>
      <c r="G19" s="500"/>
      <c r="H19" s="500"/>
      <c r="I19" s="500"/>
      <c r="J19" s="500"/>
      <c r="K19" s="500"/>
      <c r="L19" s="500"/>
      <c r="M19" s="500"/>
      <c r="N19" s="500"/>
      <c r="O19" s="501"/>
      <c r="P19" s="495"/>
    </row>
    <row r="20" spans="2:16" ht="12.75" customHeight="1" thickBot="1">
      <c r="B20" s="493"/>
      <c r="C20" s="502"/>
      <c r="D20" s="503"/>
      <c r="E20" s="503"/>
      <c r="F20" s="503"/>
      <c r="G20" s="503"/>
      <c r="H20" s="503"/>
      <c r="I20" s="481"/>
      <c r="J20" s="481"/>
      <c r="K20" s="503"/>
      <c r="L20" s="503"/>
      <c r="M20" s="503"/>
      <c r="N20" s="503"/>
      <c r="O20" s="504"/>
      <c r="P20" s="495"/>
    </row>
    <row r="21" spans="2:16" ht="12.75" customHeight="1">
      <c r="B21" s="493"/>
      <c r="C21" s="827" t="s">
        <v>191</v>
      </c>
      <c r="D21" s="762"/>
      <c r="E21" s="762"/>
      <c r="F21" s="762"/>
      <c r="G21" s="762"/>
      <c r="H21" s="762"/>
      <c r="I21" s="762"/>
      <c r="J21" s="762"/>
      <c r="K21" s="762"/>
      <c r="L21" s="762"/>
      <c r="M21" s="762"/>
      <c r="N21" s="762"/>
      <c r="O21" s="763"/>
      <c r="P21" s="495"/>
    </row>
    <row r="22" spans="2:16" ht="12.75" customHeight="1" thickBot="1">
      <c r="B22" s="493"/>
      <c r="C22" s="505"/>
      <c r="D22" s="481"/>
      <c r="E22" s="481"/>
      <c r="F22" s="481"/>
      <c r="G22" s="481"/>
      <c r="H22" s="481"/>
      <c r="I22" s="481"/>
      <c r="J22" s="481"/>
      <c r="K22" s="481"/>
      <c r="L22" s="481"/>
      <c r="M22" s="481"/>
      <c r="N22" s="481"/>
      <c r="O22" s="506"/>
      <c r="P22" s="495"/>
    </row>
    <row r="23" spans="2:16" ht="12.75" customHeight="1">
      <c r="B23" s="493"/>
      <c r="C23" s="359" t="s">
        <v>90</v>
      </c>
      <c r="D23" s="828" t="s">
        <v>192</v>
      </c>
      <c r="E23" s="771"/>
      <c r="F23" s="771"/>
      <c r="G23" s="771"/>
      <c r="H23" s="771"/>
      <c r="I23" s="771"/>
      <c r="J23" s="771"/>
      <c r="K23" s="771"/>
      <c r="L23" s="829"/>
      <c r="M23" s="770" t="s">
        <v>11</v>
      </c>
      <c r="N23" s="829"/>
      <c r="O23" s="359" t="s">
        <v>92</v>
      </c>
      <c r="P23" s="495"/>
    </row>
    <row r="24" spans="2:16" ht="12.75" customHeight="1" thickBot="1">
      <c r="B24" s="493"/>
      <c r="C24" s="360"/>
      <c r="D24" s="830"/>
      <c r="E24" s="778"/>
      <c r="F24" s="778"/>
      <c r="G24" s="778"/>
      <c r="H24" s="778"/>
      <c r="I24" s="778"/>
      <c r="J24" s="778"/>
      <c r="K24" s="778"/>
      <c r="L24" s="831"/>
      <c r="M24" s="830"/>
      <c r="N24" s="831"/>
      <c r="O24" s="361"/>
      <c r="P24" s="495"/>
    </row>
    <row r="25" spans="2:16" ht="12.75" customHeight="1">
      <c r="B25" s="493"/>
      <c r="C25" s="761" t="s">
        <v>42</v>
      </c>
      <c r="D25" s="762"/>
      <c r="E25" s="762"/>
      <c r="F25" s="762"/>
      <c r="G25" s="762"/>
      <c r="H25" s="762"/>
      <c r="I25" s="762"/>
      <c r="J25" s="762"/>
      <c r="K25" s="762"/>
      <c r="L25" s="762"/>
      <c r="M25" s="762"/>
      <c r="N25" s="762"/>
      <c r="O25" s="763"/>
      <c r="P25" s="495"/>
    </row>
    <row r="26" spans="2:16" ht="12.75" customHeight="1">
      <c r="B26" s="493"/>
      <c r="C26" s="764"/>
      <c r="D26" s="765"/>
      <c r="E26" s="765"/>
      <c r="F26" s="765"/>
      <c r="G26" s="765"/>
      <c r="H26" s="765"/>
      <c r="I26" s="765"/>
      <c r="J26" s="765"/>
      <c r="K26" s="765"/>
      <c r="L26" s="765"/>
      <c r="M26" s="765"/>
      <c r="N26" s="765"/>
      <c r="O26" s="766"/>
      <c r="P26" s="495"/>
    </row>
    <row r="27" spans="2:16" ht="12.75" customHeight="1" thickBot="1">
      <c r="B27" s="493"/>
      <c r="C27" s="767"/>
      <c r="D27" s="768"/>
      <c r="E27" s="768"/>
      <c r="F27" s="768"/>
      <c r="G27" s="768"/>
      <c r="H27" s="768"/>
      <c r="I27" s="768"/>
      <c r="J27" s="768"/>
      <c r="K27" s="768"/>
      <c r="L27" s="768"/>
      <c r="M27" s="768"/>
      <c r="N27" s="768"/>
      <c r="O27" s="769"/>
      <c r="P27" s="495"/>
    </row>
    <row r="28" spans="2:16" ht="12.75" customHeight="1">
      <c r="B28" s="493"/>
      <c r="C28" s="770" t="s">
        <v>192</v>
      </c>
      <c r="D28" s="771"/>
      <c r="E28" s="771"/>
      <c r="F28" s="771"/>
      <c r="G28" s="772"/>
      <c r="H28" s="773" t="s">
        <v>193</v>
      </c>
      <c r="I28" s="771"/>
      <c r="J28" s="832" t="s">
        <v>194</v>
      </c>
      <c r="K28" s="833"/>
      <c r="L28" s="508" t="s">
        <v>195</v>
      </c>
      <c r="M28" s="773" t="s">
        <v>196</v>
      </c>
      <c r="N28" s="772"/>
      <c r="O28" s="509" t="s">
        <v>197</v>
      </c>
      <c r="P28" s="495"/>
    </row>
    <row r="29" spans="2:16" ht="12.75" customHeight="1">
      <c r="B29" s="493"/>
      <c r="C29" s="774"/>
      <c r="D29" s="775"/>
      <c r="E29" s="775"/>
      <c r="F29" s="775"/>
      <c r="G29" s="757"/>
      <c r="H29" s="837"/>
      <c r="I29" s="757"/>
      <c r="J29" s="837"/>
      <c r="K29" s="757"/>
      <c r="L29" s="510"/>
      <c r="M29" s="836"/>
      <c r="N29" s="757"/>
      <c r="O29" s="511"/>
      <c r="P29" s="495"/>
    </row>
    <row r="30" spans="2:16" ht="12.75" customHeight="1">
      <c r="B30" s="493"/>
      <c r="C30" s="512"/>
      <c r="D30" s="513"/>
      <c r="E30" s="513"/>
      <c r="F30" s="513"/>
      <c r="G30" s="514"/>
      <c r="H30" s="515"/>
      <c r="I30" s="514"/>
      <c r="J30" s="515"/>
      <c r="K30" s="514"/>
      <c r="L30" s="510"/>
      <c r="M30" s="836"/>
      <c r="N30" s="757"/>
      <c r="O30" s="511"/>
      <c r="P30" s="495"/>
    </row>
    <row r="31" spans="2:16" ht="12.75" customHeight="1" thickBot="1">
      <c r="B31" s="493"/>
      <c r="C31" s="777"/>
      <c r="D31" s="778"/>
      <c r="E31" s="778"/>
      <c r="F31" s="778"/>
      <c r="G31" s="782"/>
      <c r="H31" s="834"/>
      <c r="I31" s="782"/>
      <c r="J31" s="834"/>
      <c r="K31" s="782"/>
      <c r="L31" s="516"/>
      <c r="M31" s="835"/>
      <c r="N31" s="782"/>
      <c r="O31" s="511"/>
      <c r="P31" s="495"/>
    </row>
    <row r="32" spans="2:16" ht="12.75" customHeight="1" thickBot="1">
      <c r="B32" s="493"/>
      <c r="C32" s="758" t="s">
        <v>198</v>
      </c>
      <c r="D32" s="759"/>
      <c r="E32" s="759"/>
      <c r="F32" s="759"/>
      <c r="G32" s="759"/>
      <c r="H32" s="759"/>
      <c r="I32" s="759"/>
      <c r="J32" s="759"/>
      <c r="K32" s="759"/>
      <c r="L32" s="759"/>
      <c r="M32" s="759"/>
      <c r="N32" s="760"/>
      <c r="O32" s="517"/>
      <c r="P32" s="495"/>
    </row>
    <row r="33" spans="2:16" ht="13.5" customHeight="1">
      <c r="B33" s="493"/>
      <c r="C33" s="761" t="s">
        <v>199</v>
      </c>
      <c r="D33" s="762"/>
      <c r="E33" s="762"/>
      <c r="F33" s="762"/>
      <c r="G33" s="762"/>
      <c r="H33" s="762"/>
      <c r="I33" s="762"/>
      <c r="J33" s="762"/>
      <c r="K33" s="762"/>
      <c r="L33" s="762"/>
      <c r="M33" s="762"/>
      <c r="N33" s="762"/>
      <c r="O33" s="763"/>
      <c r="P33" s="495"/>
    </row>
    <row r="34" spans="2:16" ht="12.75" customHeight="1">
      <c r="B34" s="493"/>
      <c r="C34" s="764"/>
      <c r="D34" s="765"/>
      <c r="E34" s="765"/>
      <c r="F34" s="765"/>
      <c r="G34" s="765"/>
      <c r="H34" s="765"/>
      <c r="I34" s="765"/>
      <c r="J34" s="765"/>
      <c r="K34" s="765"/>
      <c r="L34" s="765"/>
      <c r="M34" s="765"/>
      <c r="N34" s="765"/>
      <c r="O34" s="766"/>
      <c r="P34" s="495"/>
    </row>
    <row r="35" spans="2:16" ht="12.75" customHeight="1" thickBot="1">
      <c r="B35" s="493"/>
      <c r="C35" s="767"/>
      <c r="D35" s="768"/>
      <c r="E35" s="768"/>
      <c r="F35" s="768"/>
      <c r="G35" s="768"/>
      <c r="H35" s="768"/>
      <c r="I35" s="768"/>
      <c r="J35" s="768"/>
      <c r="K35" s="768"/>
      <c r="L35" s="768"/>
      <c r="M35" s="768"/>
      <c r="N35" s="768"/>
      <c r="O35" s="769"/>
      <c r="P35" s="495"/>
    </row>
    <row r="36" spans="2:16" ht="12.75" customHeight="1">
      <c r="B36" s="493"/>
      <c r="C36" s="770" t="s">
        <v>192</v>
      </c>
      <c r="D36" s="771"/>
      <c r="E36" s="771"/>
      <c r="F36" s="771"/>
      <c r="G36" s="771"/>
      <c r="H36" s="771"/>
      <c r="I36" s="771"/>
      <c r="J36" s="772"/>
      <c r="K36" s="507" t="s">
        <v>11</v>
      </c>
      <c r="L36" s="508" t="s">
        <v>92</v>
      </c>
      <c r="M36" s="773" t="s">
        <v>200</v>
      </c>
      <c r="N36" s="772"/>
      <c r="O36" s="509" t="s">
        <v>197</v>
      </c>
      <c r="P36" s="495"/>
    </row>
    <row r="37" spans="2:16" ht="12.75" customHeight="1">
      <c r="B37" s="493"/>
      <c r="C37" s="774"/>
      <c r="D37" s="775"/>
      <c r="E37" s="775"/>
      <c r="F37" s="775"/>
      <c r="G37" s="775"/>
      <c r="H37" s="775"/>
      <c r="I37" s="775"/>
      <c r="J37" s="757"/>
      <c r="K37" s="518"/>
      <c r="L37" s="519"/>
      <c r="M37" s="776"/>
      <c r="N37" s="757"/>
      <c r="O37" s="511"/>
      <c r="P37" s="495"/>
    </row>
    <row r="38" spans="2:16" ht="12.75" customHeight="1" thickBot="1">
      <c r="B38" s="493"/>
      <c r="C38" s="777"/>
      <c r="D38" s="778"/>
      <c r="E38" s="778"/>
      <c r="F38" s="778"/>
      <c r="G38" s="778"/>
      <c r="H38" s="778"/>
      <c r="I38" s="778"/>
      <c r="J38" s="782"/>
      <c r="K38" s="513"/>
      <c r="L38" s="520"/>
      <c r="M38" s="781"/>
      <c r="N38" s="782"/>
      <c r="O38" s="521"/>
      <c r="P38" s="495"/>
    </row>
    <row r="39" spans="2:16" ht="12.75" customHeight="1" thickBot="1">
      <c r="B39" s="493"/>
      <c r="C39" s="758" t="s">
        <v>198</v>
      </c>
      <c r="D39" s="759"/>
      <c r="E39" s="759"/>
      <c r="F39" s="759"/>
      <c r="G39" s="759"/>
      <c r="H39" s="759"/>
      <c r="I39" s="759"/>
      <c r="J39" s="759"/>
      <c r="K39" s="759"/>
      <c r="L39" s="759"/>
      <c r="M39" s="759"/>
      <c r="N39" s="760"/>
      <c r="O39" s="517">
        <v>0</v>
      </c>
      <c r="P39" s="495"/>
    </row>
    <row r="40" spans="2:16" ht="12.75" customHeight="1">
      <c r="B40" s="493"/>
      <c r="C40" s="761" t="s">
        <v>54</v>
      </c>
      <c r="D40" s="762"/>
      <c r="E40" s="762"/>
      <c r="F40" s="762"/>
      <c r="G40" s="762"/>
      <c r="H40" s="762"/>
      <c r="I40" s="762"/>
      <c r="J40" s="762"/>
      <c r="K40" s="762"/>
      <c r="L40" s="762"/>
      <c r="M40" s="762"/>
      <c r="N40" s="762"/>
      <c r="O40" s="763"/>
      <c r="P40" s="495"/>
    </row>
    <row r="41" spans="2:16" ht="12.75" customHeight="1">
      <c r="B41" s="493"/>
      <c r="C41" s="764"/>
      <c r="D41" s="765"/>
      <c r="E41" s="765"/>
      <c r="F41" s="765"/>
      <c r="G41" s="765"/>
      <c r="H41" s="765"/>
      <c r="I41" s="765"/>
      <c r="J41" s="765"/>
      <c r="K41" s="765"/>
      <c r="L41" s="765"/>
      <c r="M41" s="765"/>
      <c r="N41" s="765"/>
      <c r="O41" s="766"/>
      <c r="P41" s="495"/>
    </row>
    <row r="42" spans="2:16" ht="12.75" customHeight="1" thickBot="1">
      <c r="B42" s="493"/>
      <c r="C42" s="767"/>
      <c r="D42" s="768"/>
      <c r="E42" s="768"/>
      <c r="F42" s="768"/>
      <c r="G42" s="768"/>
      <c r="H42" s="768"/>
      <c r="I42" s="768"/>
      <c r="J42" s="768"/>
      <c r="K42" s="768"/>
      <c r="L42" s="768"/>
      <c r="M42" s="768"/>
      <c r="N42" s="768"/>
      <c r="O42" s="769"/>
      <c r="P42" s="495"/>
    </row>
    <row r="43" spans="2:16" ht="12.75" customHeight="1">
      <c r="B43" s="493"/>
      <c r="C43" s="770" t="s">
        <v>201</v>
      </c>
      <c r="D43" s="771"/>
      <c r="E43" s="771"/>
      <c r="F43" s="771"/>
      <c r="G43" s="771"/>
      <c r="H43" s="771"/>
      <c r="I43" s="771"/>
      <c r="J43" s="508" t="s">
        <v>202</v>
      </c>
      <c r="K43" s="522" t="s">
        <v>203</v>
      </c>
      <c r="L43" s="523" t="s">
        <v>204</v>
      </c>
      <c r="M43" s="773" t="s">
        <v>30</v>
      </c>
      <c r="N43" s="772"/>
      <c r="O43" s="509" t="s">
        <v>197</v>
      </c>
      <c r="P43" s="495"/>
    </row>
    <row r="44" spans="2:16" ht="12.75" customHeight="1">
      <c r="B44" s="493"/>
      <c r="C44" s="774"/>
      <c r="D44" s="775"/>
      <c r="E44" s="775"/>
      <c r="F44" s="775"/>
      <c r="G44" s="775"/>
      <c r="H44" s="775"/>
      <c r="I44" s="775"/>
      <c r="J44" s="524"/>
      <c r="K44" s="525"/>
      <c r="L44" s="524"/>
      <c r="M44" s="780"/>
      <c r="N44" s="757"/>
      <c r="O44" s="511"/>
      <c r="P44" s="495"/>
    </row>
    <row r="45" spans="2:16" ht="12.75" customHeight="1" thickBot="1">
      <c r="B45" s="493"/>
      <c r="C45" s="777"/>
      <c r="D45" s="778"/>
      <c r="E45" s="778"/>
      <c r="F45" s="778"/>
      <c r="G45" s="778"/>
      <c r="H45" s="778"/>
      <c r="I45" s="778"/>
      <c r="J45" s="526"/>
      <c r="K45" s="527"/>
      <c r="L45" s="526"/>
      <c r="M45" s="781"/>
      <c r="N45" s="782"/>
      <c r="O45" s="528"/>
      <c r="P45" s="495"/>
    </row>
    <row r="46" spans="2:16" ht="12.75" customHeight="1" thickBot="1">
      <c r="B46" s="493"/>
      <c r="C46" s="758" t="s">
        <v>198</v>
      </c>
      <c r="D46" s="759"/>
      <c r="E46" s="759"/>
      <c r="F46" s="759"/>
      <c r="G46" s="759"/>
      <c r="H46" s="759"/>
      <c r="I46" s="759"/>
      <c r="J46" s="759"/>
      <c r="K46" s="759"/>
      <c r="L46" s="759"/>
      <c r="M46" s="759"/>
      <c r="N46" s="760"/>
      <c r="O46" s="517"/>
      <c r="P46" s="495"/>
    </row>
    <row r="47" spans="2:16" ht="12.75" customHeight="1">
      <c r="B47" s="493"/>
      <c r="C47" s="761" t="s">
        <v>61</v>
      </c>
      <c r="D47" s="762"/>
      <c r="E47" s="762"/>
      <c r="F47" s="762"/>
      <c r="G47" s="762"/>
      <c r="H47" s="762"/>
      <c r="I47" s="762"/>
      <c r="J47" s="762"/>
      <c r="K47" s="762"/>
      <c r="L47" s="762"/>
      <c r="M47" s="762"/>
      <c r="N47" s="762"/>
      <c r="O47" s="763"/>
      <c r="P47" s="495"/>
    </row>
    <row r="48" spans="2:16" ht="12.75" customHeight="1">
      <c r="B48" s="493"/>
      <c r="C48" s="764"/>
      <c r="D48" s="765"/>
      <c r="E48" s="765"/>
      <c r="F48" s="765"/>
      <c r="G48" s="765"/>
      <c r="H48" s="765"/>
      <c r="I48" s="765"/>
      <c r="J48" s="765"/>
      <c r="K48" s="765"/>
      <c r="L48" s="765"/>
      <c r="M48" s="765"/>
      <c r="N48" s="765"/>
      <c r="O48" s="766"/>
      <c r="P48" s="495"/>
    </row>
    <row r="49" spans="2:16" ht="12.75" customHeight="1" thickBot="1">
      <c r="B49" s="493"/>
      <c r="C49" s="767"/>
      <c r="D49" s="768"/>
      <c r="E49" s="768"/>
      <c r="F49" s="768"/>
      <c r="G49" s="768"/>
      <c r="H49" s="768"/>
      <c r="I49" s="768"/>
      <c r="J49" s="768"/>
      <c r="K49" s="768"/>
      <c r="L49" s="768"/>
      <c r="M49" s="768"/>
      <c r="N49" s="768"/>
      <c r="O49" s="769"/>
      <c r="P49" s="495"/>
    </row>
    <row r="50" spans="2:16" ht="12.75" customHeight="1">
      <c r="B50" s="493"/>
      <c r="C50" s="770" t="s">
        <v>205</v>
      </c>
      <c r="D50" s="771"/>
      <c r="E50" s="771"/>
      <c r="F50" s="771"/>
      <c r="G50" s="771"/>
      <c r="H50" s="771"/>
      <c r="I50" s="771"/>
      <c r="J50" s="508" t="s">
        <v>206</v>
      </c>
      <c r="K50" s="529" t="s">
        <v>207</v>
      </c>
      <c r="L50" s="530" t="s">
        <v>208</v>
      </c>
      <c r="M50" s="779" t="s">
        <v>196</v>
      </c>
      <c r="N50" s="772"/>
      <c r="O50" s="531" t="s">
        <v>197</v>
      </c>
      <c r="P50" s="495"/>
    </row>
    <row r="51" spans="2:16" ht="12.75" customHeight="1">
      <c r="B51" s="493"/>
      <c r="C51" s="532"/>
      <c r="D51" s="533"/>
      <c r="E51" s="533"/>
      <c r="F51" s="533"/>
      <c r="G51" s="533"/>
      <c r="H51" s="533"/>
      <c r="I51" s="533"/>
      <c r="J51" s="534"/>
      <c r="K51" s="518"/>
      <c r="L51" s="535"/>
      <c r="M51" s="756"/>
      <c r="N51" s="757"/>
      <c r="O51" s="536"/>
      <c r="P51" s="495"/>
    </row>
    <row r="52" spans="2:16" ht="12.75" customHeight="1">
      <c r="B52" s="493"/>
      <c r="C52" s="532"/>
      <c r="D52" s="533"/>
      <c r="E52" s="533"/>
      <c r="F52" s="533"/>
      <c r="G52" s="533"/>
      <c r="H52" s="533"/>
      <c r="I52" s="533"/>
      <c r="J52" s="534"/>
      <c r="K52" s="518"/>
      <c r="L52" s="535"/>
      <c r="M52" s="756"/>
      <c r="N52" s="757"/>
      <c r="O52" s="536"/>
      <c r="P52" s="495"/>
    </row>
    <row r="53" spans="2:16" ht="12.75" customHeight="1">
      <c r="B53" s="493"/>
      <c r="C53" s="532"/>
      <c r="D53" s="533"/>
      <c r="E53" s="533"/>
      <c r="F53" s="533"/>
      <c r="G53" s="533"/>
      <c r="H53" s="533"/>
      <c r="I53" s="533"/>
      <c r="J53" s="534"/>
      <c r="K53" s="518"/>
      <c r="L53" s="535"/>
      <c r="M53" s="780"/>
      <c r="N53" s="757"/>
      <c r="O53" s="536"/>
      <c r="P53" s="495"/>
    </row>
    <row r="54" spans="2:16" ht="12.75" customHeight="1" thickBot="1">
      <c r="B54" s="493"/>
      <c r="C54" s="777"/>
      <c r="D54" s="778"/>
      <c r="E54" s="778"/>
      <c r="F54" s="778"/>
      <c r="G54" s="778"/>
      <c r="H54" s="778"/>
      <c r="I54" s="778"/>
      <c r="J54" s="526"/>
      <c r="K54" s="527"/>
      <c r="L54" s="526"/>
      <c r="M54" s="781"/>
      <c r="N54" s="782"/>
      <c r="O54" s="528"/>
      <c r="P54" s="495"/>
    </row>
    <row r="55" spans="2:16" ht="12.75" customHeight="1" thickBot="1">
      <c r="B55" s="493"/>
      <c r="C55" s="758" t="s">
        <v>198</v>
      </c>
      <c r="D55" s="759"/>
      <c r="E55" s="759"/>
      <c r="F55" s="759"/>
      <c r="G55" s="759"/>
      <c r="H55" s="759"/>
      <c r="I55" s="759"/>
      <c r="J55" s="759"/>
      <c r="K55" s="759"/>
      <c r="L55" s="759"/>
      <c r="M55" s="759"/>
      <c r="N55" s="760"/>
      <c r="O55" s="517"/>
      <c r="P55" s="495"/>
    </row>
    <row r="56" spans="2:16" ht="12.75" customHeight="1" thickBot="1">
      <c r="B56" s="493"/>
      <c r="C56" s="505"/>
      <c r="D56" s="481"/>
      <c r="E56" s="481"/>
      <c r="F56" s="481"/>
      <c r="G56" s="481"/>
      <c r="H56" s="481"/>
      <c r="I56" s="481"/>
      <c r="J56" s="481"/>
      <c r="K56" s="481"/>
      <c r="L56" s="481"/>
      <c r="M56" s="481"/>
      <c r="N56" s="481"/>
      <c r="O56" s="506"/>
      <c r="P56" s="495"/>
    </row>
    <row r="57" spans="2:16" ht="12.75" customHeight="1" thickBot="1">
      <c r="B57" s="493"/>
      <c r="C57" s="783" t="s">
        <v>209</v>
      </c>
      <c r="D57" s="759"/>
      <c r="E57" s="759"/>
      <c r="F57" s="759"/>
      <c r="G57" s="759"/>
      <c r="H57" s="759"/>
      <c r="I57" s="759"/>
      <c r="J57" s="759"/>
      <c r="K57" s="759"/>
      <c r="L57" s="759"/>
      <c r="M57" s="759"/>
      <c r="N57" s="760"/>
      <c r="O57" s="537"/>
      <c r="P57" s="495"/>
    </row>
    <row r="58" spans="2:16" ht="12.75" customHeight="1">
      <c r="B58" s="493"/>
      <c r="C58" s="761" t="s">
        <v>210</v>
      </c>
      <c r="D58" s="762"/>
      <c r="E58" s="762"/>
      <c r="F58" s="762"/>
      <c r="G58" s="762"/>
      <c r="H58" s="762"/>
      <c r="I58" s="762"/>
      <c r="J58" s="762"/>
      <c r="K58" s="762"/>
      <c r="L58" s="762"/>
      <c r="M58" s="762"/>
      <c r="N58" s="762"/>
      <c r="O58" s="763"/>
      <c r="P58" s="495"/>
    </row>
    <row r="59" spans="2:16" ht="12.75" customHeight="1">
      <c r="B59" s="493"/>
      <c r="C59" s="764"/>
      <c r="D59" s="765"/>
      <c r="E59" s="765"/>
      <c r="F59" s="765"/>
      <c r="G59" s="765"/>
      <c r="H59" s="765"/>
      <c r="I59" s="765"/>
      <c r="J59" s="765"/>
      <c r="K59" s="765"/>
      <c r="L59" s="765"/>
      <c r="M59" s="765"/>
      <c r="N59" s="765"/>
      <c r="O59" s="766"/>
      <c r="P59" s="495"/>
    </row>
    <row r="60" spans="2:16" ht="12.75" customHeight="1" thickBot="1">
      <c r="B60" s="493"/>
      <c r="C60" s="767"/>
      <c r="D60" s="768"/>
      <c r="E60" s="768"/>
      <c r="F60" s="768"/>
      <c r="G60" s="768"/>
      <c r="H60" s="768"/>
      <c r="I60" s="768"/>
      <c r="J60" s="768"/>
      <c r="K60" s="768"/>
      <c r="L60" s="768"/>
      <c r="M60" s="768"/>
      <c r="N60" s="768"/>
      <c r="O60" s="769"/>
      <c r="P60" s="495"/>
    </row>
    <row r="61" spans="2:16" ht="12.75" customHeight="1">
      <c r="B61" s="493"/>
      <c r="C61" s="770" t="s">
        <v>43</v>
      </c>
      <c r="D61" s="771"/>
      <c r="E61" s="771"/>
      <c r="F61" s="771"/>
      <c r="G61" s="771"/>
      <c r="H61" s="771"/>
      <c r="I61" s="771"/>
      <c r="J61" s="522"/>
      <c r="K61" s="538"/>
      <c r="L61" s="530" t="s">
        <v>211</v>
      </c>
      <c r="M61" s="779" t="s">
        <v>212</v>
      </c>
      <c r="N61" s="772"/>
      <c r="O61" s="531"/>
      <c r="P61" s="495"/>
    </row>
    <row r="62" spans="2:16" ht="12.75" customHeight="1">
      <c r="B62" s="493"/>
      <c r="C62" s="774" t="s">
        <v>164</v>
      </c>
      <c r="D62" s="775"/>
      <c r="E62" s="775"/>
      <c r="F62" s="775"/>
      <c r="G62" s="775"/>
      <c r="H62" s="775"/>
      <c r="I62" s="775"/>
      <c r="J62" s="539"/>
      <c r="K62" s="540"/>
      <c r="L62" s="541"/>
      <c r="M62" s="797"/>
      <c r="N62" s="757"/>
      <c r="O62" s="542"/>
      <c r="P62" s="495"/>
    </row>
    <row r="63" spans="2:16" ht="12.75" customHeight="1">
      <c r="B63" s="493"/>
      <c r="C63" s="512" t="s">
        <v>213</v>
      </c>
      <c r="D63" s="513"/>
      <c r="E63" s="513"/>
      <c r="F63" s="513"/>
      <c r="G63" s="513"/>
      <c r="H63" s="513"/>
      <c r="I63" s="513"/>
      <c r="J63" s="539"/>
      <c r="K63" s="540"/>
      <c r="L63" s="541"/>
      <c r="M63" s="797"/>
      <c r="N63" s="757"/>
      <c r="O63" s="542"/>
      <c r="P63" s="495"/>
    </row>
    <row r="64" spans="2:16" ht="12.75" customHeight="1" thickBot="1">
      <c r="B64" s="493"/>
      <c r="C64" s="499" t="s">
        <v>130</v>
      </c>
      <c r="D64" s="500"/>
      <c r="E64" s="500"/>
      <c r="F64" s="500"/>
      <c r="G64" s="500"/>
      <c r="H64" s="500"/>
      <c r="I64" s="500"/>
      <c r="J64" s="543"/>
      <c r="K64" s="544"/>
      <c r="L64" s="541"/>
      <c r="M64" s="791"/>
      <c r="N64" s="782"/>
      <c r="O64" s="542"/>
      <c r="P64" s="495"/>
    </row>
    <row r="65" spans="2:16" ht="12.75" customHeight="1" thickBot="1">
      <c r="B65" s="493"/>
      <c r="C65" s="758" t="s">
        <v>198</v>
      </c>
      <c r="D65" s="759"/>
      <c r="E65" s="759"/>
      <c r="F65" s="759"/>
      <c r="G65" s="759"/>
      <c r="H65" s="759"/>
      <c r="I65" s="759"/>
      <c r="J65" s="759"/>
      <c r="K65" s="759"/>
      <c r="L65" s="759"/>
      <c r="M65" s="759"/>
      <c r="N65" s="760"/>
      <c r="O65" s="545"/>
      <c r="P65" s="495"/>
    </row>
    <row r="66" spans="2:16" ht="12.75" customHeight="1" thickBot="1">
      <c r="B66" s="493"/>
      <c r="C66" s="505"/>
      <c r="D66" s="481"/>
      <c r="E66" s="481"/>
      <c r="F66" s="481"/>
      <c r="G66" s="481"/>
      <c r="H66" s="481"/>
      <c r="I66" s="481"/>
      <c r="J66" s="481"/>
      <c r="K66" s="481"/>
      <c r="L66" s="481"/>
      <c r="M66" s="481"/>
      <c r="N66" s="481"/>
      <c r="O66" s="506"/>
      <c r="P66" s="495"/>
    </row>
    <row r="67" spans="2:16" ht="12.75" customHeight="1" thickBot="1">
      <c r="B67" s="493"/>
      <c r="C67" s="792" t="s">
        <v>214</v>
      </c>
      <c r="D67" s="762"/>
      <c r="E67" s="762"/>
      <c r="F67" s="762"/>
      <c r="G67" s="762"/>
      <c r="H67" s="762"/>
      <c r="I67" s="762"/>
      <c r="J67" s="762"/>
      <c r="K67" s="762"/>
      <c r="L67" s="762"/>
      <c r="M67" s="762"/>
      <c r="N67" s="763"/>
      <c r="O67" s="555"/>
      <c r="P67" s="495"/>
    </row>
    <row r="68" spans="2:16" ht="12.75" customHeight="1">
      <c r="B68" s="493"/>
      <c r="C68" s="556"/>
      <c r="D68" s="557"/>
      <c r="E68" s="557"/>
      <c r="F68" s="557"/>
      <c r="G68" s="557"/>
      <c r="H68" s="557"/>
      <c r="I68" s="557"/>
      <c r="J68" s="557"/>
      <c r="K68" s="557"/>
      <c r="L68" s="557"/>
      <c r="M68" s="557"/>
      <c r="N68" s="557"/>
      <c r="O68" s="558"/>
      <c r="P68" s="495"/>
    </row>
    <row r="69" spans="2:16" ht="12.75" customHeight="1">
      <c r="B69" s="493"/>
      <c r="C69" s="559"/>
      <c r="D69" s="481"/>
      <c r="E69" s="481"/>
      <c r="F69" s="481"/>
      <c r="G69" s="481"/>
      <c r="H69" s="481"/>
      <c r="I69" s="481"/>
      <c r="J69" s="481"/>
      <c r="K69" s="481"/>
      <c r="L69" s="481"/>
      <c r="M69" s="481"/>
      <c r="N69" s="481"/>
      <c r="O69" s="560"/>
      <c r="P69" s="495"/>
    </row>
    <row r="70" spans="2:16" ht="12.75" customHeight="1">
      <c r="B70" s="493"/>
      <c r="C70" s="559"/>
      <c r="D70" s="481"/>
      <c r="E70" s="481"/>
      <c r="F70" s="481"/>
      <c r="G70" s="481"/>
      <c r="H70" s="481"/>
      <c r="I70" s="481"/>
      <c r="J70" s="481"/>
      <c r="K70" s="481"/>
      <c r="L70" s="481"/>
      <c r="M70" s="481"/>
      <c r="N70" s="481"/>
      <c r="O70" s="560"/>
      <c r="P70" s="495"/>
    </row>
    <row r="71" spans="2:16" ht="12.75" customHeight="1">
      <c r="B71" s="493"/>
      <c r="C71" s="559"/>
      <c r="D71" s="481"/>
      <c r="E71" s="481"/>
      <c r="F71" s="481"/>
      <c r="G71" s="481"/>
      <c r="H71" s="546" t="s">
        <v>215</v>
      </c>
      <c r="I71" s="546"/>
      <c r="J71" s="546"/>
      <c r="K71" s="546"/>
      <c r="L71" s="481"/>
      <c r="M71" s="481"/>
      <c r="N71" s="481"/>
      <c r="O71" s="560"/>
      <c r="P71" s="495"/>
    </row>
    <row r="72" spans="2:16" ht="12.75" customHeight="1">
      <c r="B72" s="493"/>
      <c r="C72" s="561"/>
      <c r="D72" s="547"/>
      <c r="E72" s="547"/>
      <c r="F72" s="547"/>
      <c r="G72" s="547"/>
      <c r="H72" s="546" t="s">
        <v>216</v>
      </c>
      <c r="I72" s="547"/>
      <c r="J72" s="547"/>
      <c r="K72" s="547"/>
      <c r="L72" s="547"/>
      <c r="M72" s="547"/>
      <c r="N72" s="547"/>
      <c r="O72" s="562"/>
      <c r="P72" s="495"/>
    </row>
    <row r="73" spans="2:16" ht="12.75" customHeight="1">
      <c r="B73" s="493"/>
      <c r="C73" s="561"/>
      <c r="D73" s="547"/>
      <c r="E73" s="547"/>
      <c r="F73" s="547"/>
      <c r="G73" s="547"/>
      <c r="H73" s="546" t="s">
        <v>217</v>
      </c>
      <c r="I73" s="481"/>
      <c r="J73" s="481"/>
      <c r="K73" s="547"/>
      <c r="L73" s="547"/>
      <c r="M73" s="547"/>
      <c r="N73" s="547"/>
      <c r="O73" s="562"/>
      <c r="P73" s="495"/>
    </row>
    <row r="74" spans="2:16" ht="12.75" customHeight="1">
      <c r="B74" s="493"/>
      <c r="C74" s="563"/>
      <c r="D74" s="548"/>
      <c r="E74" s="548"/>
      <c r="F74" s="548"/>
      <c r="G74" s="548"/>
      <c r="H74" s="546" t="s">
        <v>218</v>
      </c>
      <c r="I74" s="548"/>
      <c r="J74" s="548"/>
      <c r="K74" s="548"/>
      <c r="L74" s="548"/>
      <c r="M74" s="548"/>
      <c r="N74" s="548"/>
      <c r="O74" s="564"/>
      <c r="P74" s="495"/>
    </row>
    <row r="75" spans="2:16" ht="12.75" customHeight="1">
      <c r="B75" s="493"/>
      <c r="C75" s="559"/>
      <c r="D75" s="481"/>
      <c r="E75" s="481"/>
      <c r="F75" s="481"/>
      <c r="G75" s="481"/>
      <c r="H75" s="481" t="s">
        <v>141</v>
      </c>
      <c r="I75" s="481"/>
      <c r="J75" s="481"/>
      <c r="K75" s="481"/>
      <c r="L75" s="481"/>
      <c r="M75" s="481"/>
      <c r="N75" s="481"/>
      <c r="O75" s="560"/>
      <c r="P75" s="495"/>
    </row>
    <row r="76" spans="2:16" ht="12.75" customHeight="1">
      <c r="B76" s="493"/>
      <c r="C76" s="565" t="s">
        <v>219</v>
      </c>
      <c r="D76" s="549"/>
      <c r="E76" s="549"/>
      <c r="F76" s="549"/>
      <c r="G76" s="549"/>
      <c r="H76" s="549"/>
      <c r="I76" s="549"/>
      <c r="J76" s="549"/>
      <c r="K76" s="549"/>
      <c r="L76" s="549"/>
      <c r="M76" s="549"/>
      <c r="N76" s="549"/>
      <c r="O76" s="566"/>
      <c r="P76" s="495"/>
    </row>
    <row r="77" spans="2:16" ht="12.75" customHeight="1">
      <c r="B77" s="493"/>
      <c r="C77" s="793"/>
      <c r="D77" s="775"/>
      <c r="E77" s="775"/>
      <c r="F77" s="775"/>
      <c r="G77" s="775"/>
      <c r="H77" s="775"/>
      <c r="I77" s="775"/>
      <c r="J77" s="775"/>
      <c r="K77" s="775"/>
      <c r="L77" s="775"/>
      <c r="M77" s="775"/>
      <c r="N77" s="775"/>
      <c r="O77" s="794"/>
      <c r="P77" s="495"/>
    </row>
    <row r="78" spans="2:16" ht="12.75" customHeight="1">
      <c r="B78" s="493"/>
      <c r="C78" s="793"/>
      <c r="D78" s="775"/>
      <c r="E78" s="775"/>
      <c r="F78" s="775"/>
      <c r="G78" s="775"/>
      <c r="H78" s="775"/>
      <c r="I78" s="775"/>
      <c r="J78" s="775"/>
      <c r="K78" s="775"/>
      <c r="L78" s="775"/>
      <c r="M78" s="775"/>
      <c r="N78" s="775"/>
      <c r="O78" s="794"/>
      <c r="P78" s="495"/>
    </row>
    <row r="79" spans="2:16" ht="15" customHeight="1">
      <c r="B79" s="493"/>
      <c r="C79" s="567"/>
      <c r="D79" s="488"/>
      <c r="E79" s="488"/>
      <c r="F79" s="488"/>
      <c r="G79" s="488"/>
      <c r="H79" s="488"/>
      <c r="I79" s="488"/>
      <c r="J79" s="488"/>
      <c r="K79" s="488"/>
      <c r="L79" s="488"/>
      <c r="M79" s="488"/>
      <c r="N79" s="488"/>
      <c r="O79" s="568"/>
      <c r="P79" s="495"/>
    </row>
    <row r="80" spans="2:16" ht="12.75" customHeight="1">
      <c r="B80" s="493"/>
      <c r="C80" s="569" t="s">
        <v>220</v>
      </c>
      <c r="D80" s="548"/>
      <c r="E80" s="548"/>
      <c r="F80" s="548"/>
      <c r="G80" s="548"/>
      <c r="H80" s="548"/>
      <c r="I80" s="548"/>
      <c r="J80" s="548"/>
      <c r="K80" s="548"/>
      <c r="L80" s="548"/>
      <c r="M80" s="548"/>
      <c r="N80" s="548"/>
      <c r="O80" s="564"/>
      <c r="P80" s="495"/>
    </row>
    <row r="81" spans="2:16" ht="12.75" customHeight="1">
      <c r="B81" s="493"/>
      <c r="C81" s="795" t="s">
        <v>221</v>
      </c>
      <c r="D81" s="765"/>
      <c r="E81" s="765"/>
      <c r="F81" s="765"/>
      <c r="G81" s="765"/>
      <c r="H81" s="765"/>
      <c r="I81" s="765"/>
      <c r="J81" s="765"/>
      <c r="K81" s="765"/>
      <c r="L81" s="765"/>
      <c r="M81" s="765"/>
      <c r="N81" s="765"/>
      <c r="O81" s="787"/>
      <c r="P81" s="495"/>
    </row>
    <row r="82" spans="2:16" ht="12.75" customHeight="1">
      <c r="B82" s="493"/>
      <c r="C82" s="796"/>
      <c r="D82" s="765"/>
      <c r="E82" s="765"/>
      <c r="F82" s="765"/>
      <c r="G82" s="765"/>
      <c r="H82" s="765"/>
      <c r="I82" s="765"/>
      <c r="J82" s="765"/>
      <c r="K82" s="765"/>
      <c r="L82" s="765"/>
      <c r="M82" s="765"/>
      <c r="N82" s="765"/>
      <c r="O82" s="787"/>
      <c r="P82" s="495"/>
    </row>
    <row r="83" spans="2:16" ht="12.75" customHeight="1">
      <c r="B83" s="493"/>
      <c r="C83" s="795" t="s">
        <v>222</v>
      </c>
      <c r="D83" s="765"/>
      <c r="E83" s="765"/>
      <c r="F83" s="765"/>
      <c r="G83" s="765"/>
      <c r="H83" s="765"/>
      <c r="I83" s="765"/>
      <c r="J83" s="765"/>
      <c r="K83" s="765"/>
      <c r="L83" s="765"/>
      <c r="M83" s="765"/>
      <c r="N83" s="765"/>
      <c r="O83" s="787"/>
      <c r="P83" s="495"/>
    </row>
    <row r="84" spans="2:16" ht="12.75" customHeight="1">
      <c r="B84" s="493"/>
      <c r="C84" s="796"/>
      <c r="D84" s="765"/>
      <c r="E84" s="765"/>
      <c r="F84" s="765"/>
      <c r="G84" s="765"/>
      <c r="H84" s="765"/>
      <c r="I84" s="765"/>
      <c r="J84" s="765"/>
      <c r="K84" s="765"/>
      <c r="L84" s="765"/>
      <c r="M84" s="765"/>
      <c r="N84" s="765"/>
      <c r="O84" s="787"/>
      <c r="P84" s="495"/>
    </row>
    <row r="85" spans="2:16" ht="12.75" customHeight="1">
      <c r="B85" s="493"/>
      <c r="C85" s="563"/>
      <c r="D85" s="548"/>
      <c r="E85" s="548"/>
      <c r="F85" s="548"/>
      <c r="G85" s="548"/>
      <c r="H85" s="548"/>
      <c r="I85" s="548"/>
      <c r="J85" s="548"/>
      <c r="K85" s="548"/>
      <c r="L85" s="548"/>
      <c r="M85" s="548"/>
      <c r="N85" s="548"/>
      <c r="O85" s="564"/>
      <c r="P85" s="495"/>
    </row>
    <row r="86" spans="2:16" ht="12.75" customHeight="1">
      <c r="B86" s="493"/>
      <c r="C86" s="559"/>
      <c r="D86" s="481"/>
      <c r="E86" s="481"/>
      <c r="F86" s="481"/>
      <c r="G86" s="481"/>
      <c r="H86" s="546" t="s">
        <v>215</v>
      </c>
      <c r="I86" s="481"/>
      <c r="J86" s="481"/>
      <c r="K86" s="481"/>
      <c r="L86" s="481"/>
      <c r="M86" s="481"/>
      <c r="N86" s="481"/>
      <c r="O86" s="560"/>
      <c r="P86" s="495"/>
    </row>
    <row r="87" spans="2:16" ht="12.75" customHeight="1">
      <c r="B87" s="493"/>
      <c r="C87" s="559"/>
      <c r="D87" s="481"/>
      <c r="E87" s="481"/>
      <c r="F87" s="481"/>
      <c r="G87" s="481"/>
      <c r="H87" s="481" t="s">
        <v>216</v>
      </c>
      <c r="I87" s="513"/>
      <c r="J87" s="513"/>
      <c r="K87" s="513"/>
      <c r="L87" s="481"/>
      <c r="M87" s="481"/>
      <c r="N87" s="481"/>
      <c r="O87" s="560"/>
      <c r="P87" s="495"/>
    </row>
    <row r="88" spans="2:16" ht="12.75" customHeight="1">
      <c r="B88" s="493"/>
      <c r="C88" s="559"/>
      <c r="D88" s="481"/>
      <c r="E88" s="481"/>
      <c r="F88" s="481"/>
      <c r="G88" s="481"/>
      <c r="H88" s="481" t="s">
        <v>223</v>
      </c>
      <c r="I88" s="550"/>
      <c r="J88" s="550"/>
      <c r="K88" s="550"/>
      <c r="L88" s="481"/>
      <c r="M88" s="481"/>
      <c r="N88" s="481"/>
      <c r="O88" s="560"/>
      <c r="P88" s="495"/>
    </row>
    <row r="89" spans="2:16" ht="12.75" customHeight="1">
      <c r="B89" s="493"/>
      <c r="C89" s="570"/>
      <c r="D89" s="548"/>
      <c r="E89" s="548"/>
      <c r="F89" s="548"/>
      <c r="G89" s="548"/>
      <c r="H89" s="481" t="s">
        <v>218</v>
      </c>
      <c r="I89" s="481"/>
      <c r="J89" s="481"/>
      <c r="K89" s="481"/>
      <c r="L89" s="548"/>
      <c r="M89" s="548"/>
      <c r="N89" s="548"/>
      <c r="O89" s="564"/>
      <c r="P89" s="495"/>
    </row>
    <row r="90" spans="2:16" ht="17.25" customHeight="1">
      <c r="B90" s="493"/>
      <c r="C90" s="571"/>
      <c r="D90" s="551"/>
      <c r="E90" s="551"/>
      <c r="F90" s="481"/>
      <c r="G90" s="481"/>
      <c r="H90" s="481"/>
      <c r="I90" s="481"/>
      <c r="J90" s="481"/>
      <c r="K90" s="786"/>
      <c r="L90" s="765"/>
      <c r="M90" s="765"/>
      <c r="N90" s="765"/>
      <c r="O90" s="787"/>
      <c r="P90" s="495"/>
    </row>
    <row r="91" spans="2:16" ht="18.75" customHeight="1" thickBot="1">
      <c r="B91" s="493"/>
      <c r="C91" s="790"/>
      <c r="D91" s="788"/>
      <c r="E91" s="788"/>
      <c r="F91" s="572"/>
      <c r="G91" s="572"/>
      <c r="H91" s="572"/>
      <c r="I91" s="572"/>
      <c r="J91" s="572"/>
      <c r="K91" s="788"/>
      <c r="L91" s="788"/>
      <c r="M91" s="788"/>
      <c r="N91" s="788"/>
      <c r="O91" s="789"/>
      <c r="P91" s="495"/>
    </row>
    <row r="92" spans="2:16" ht="15" customHeight="1" thickBot="1">
      <c r="B92" s="552"/>
      <c r="C92" s="553"/>
      <c r="D92" s="553"/>
      <c r="E92" s="553"/>
      <c r="F92" s="553"/>
      <c r="G92" s="553"/>
      <c r="H92" s="553"/>
      <c r="I92" s="553"/>
      <c r="J92" s="553"/>
      <c r="K92" s="553"/>
      <c r="L92" s="553"/>
      <c r="M92" s="553"/>
      <c r="N92" s="553"/>
      <c r="O92" s="553"/>
      <c r="P92" s="554"/>
    </row>
    <row r="93" spans="2:16" ht="15" customHeight="1" thickTop="1"/>
  </sheetData>
  <mergeCells count="79">
    <mergeCell ref="C31:G31"/>
    <mergeCell ref="H31:I31"/>
    <mergeCell ref="J31:K31"/>
    <mergeCell ref="M31:N31"/>
    <mergeCell ref="C29:G29"/>
    <mergeCell ref="M29:N29"/>
    <mergeCell ref="H29:I29"/>
    <mergeCell ref="J29:K29"/>
    <mergeCell ref="M30:N30"/>
    <mergeCell ref="C25:O27"/>
    <mergeCell ref="C28:G28"/>
    <mergeCell ref="H28:I28"/>
    <mergeCell ref="J28:K28"/>
    <mergeCell ref="M28:N28"/>
    <mergeCell ref="C17:F17"/>
    <mergeCell ref="C21:O21"/>
    <mergeCell ref="D23:L23"/>
    <mergeCell ref="M23:N23"/>
    <mergeCell ref="M24:N24"/>
    <mergeCell ref="D24:L24"/>
    <mergeCell ref="B2:P2"/>
    <mergeCell ref="C3:F3"/>
    <mergeCell ref="C6:O6"/>
    <mergeCell ref="C8:C14"/>
    <mergeCell ref="D8:K8"/>
    <mergeCell ref="D9:K9"/>
    <mergeCell ref="D10:K10"/>
    <mergeCell ref="D14:K14"/>
    <mergeCell ref="D11:K11"/>
    <mergeCell ref="D12:K13"/>
    <mergeCell ref="L8:O9"/>
    <mergeCell ref="L10:L11"/>
    <mergeCell ref="M10:O11"/>
    <mergeCell ref="L12:L14"/>
    <mergeCell ref="M12:M14"/>
    <mergeCell ref="N12:N14"/>
    <mergeCell ref="O12:O14"/>
    <mergeCell ref="K90:O91"/>
    <mergeCell ref="C91:E91"/>
    <mergeCell ref="M64:N64"/>
    <mergeCell ref="C65:N65"/>
    <mergeCell ref="C67:N67"/>
    <mergeCell ref="C77:O77"/>
    <mergeCell ref="C78:O78"/>
    <mergeCell ref="C81:O82"/>
    <mergeCell ref="C83:O84"/>
    <mergeCell ref="C61:I61"/>
    <mergeCell ref="M61:N61"/>
    <mergeCell ref="C62:I62"/>
    <mergeCell ref="M62:N62"/>
    <mergeCell ref="M63:N63"/>
    <mergeCell ref="C54:I54"/>
    <mergeCell ref="M54:N54"/>
    <mergeCell ref="C55:N55"/>
    <mergeCell ref="C57:N57"/>
    <mergeCell ref="C58:O60"/>
    <mergeCell ref="M53:N53"/>
    <mergeCell ref="C38:J38"/>
    <mergeCell ref="C39:N39"/>
    <mergeCell ref="C40:O42"/>
    <mergeCell ref="C43:I43"/>
    <mergeCell ref="M43:N43"/>
    <mergeCell ref="M38:N38"/>
    <mergeCell ref="M51:N51"/>
    <mergeCell ref="M52:N52"/>
    <mergeCell ref="C32:N32"/>
    <mergeCell ref="C33:O35"/>
    <mergeCell ref="C36:J36"/>
    <mergeCell ref="M36:N36"/>
    <mergeCell ref="C37:J37"/>
    <mergeCell ref="M37:N37"/>
    <mergeCell ref="C44:I44"/>
    <mergeCell ref="C45:I45"/>
    <mergeCell ref="C46:N46"/>
    <mergeCell ref="C47:O49"/>
    <mergeCell ref="C50:I50"/>
    <mergeCell ref="M50:N50"/>
    <mergeCell ref="M44:N44"/>
    <mergeCell ref="M45:N45"/>
  </mergeCells>
  <printOptions horizontalCentered="1" verticalCentered="1"/>
  <pageMargins left="0.11811023622047245" right="0.11811023622047245" top="0.15748031496062992" bottom="0.15748031496062992" header="0" footer="0"/>
  <pageSetup scale="5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79998168889431442"/>
  </sheetPr>
  <dimension ref="A1:C21"/>
  <sheetViews>
    <sheetView showGridLines="0" view="pageBreakPreview" zoomScale="115" zoomScaleNormal="100" zoomScaleSheetLayoutView="115" workbookViewId="0">
      <selection activeCell="D16" sqref="D16"/>
    </sheetView>
  </sheetViews>
  <sheetFormatPr baseColWidth="10" defaultColWidth="14.5" defaultRowHeight="15" customHeight="1"/>
  <cols>
    <col min="1" max="1" width="45.5" customWidth="1"/>
    <col min="2" max="2" width="8.5" customWidth="1"/>
    <col min="3" max="3" width="11.1640625" customWidth="1"/>
    <col min="4" max="26" width="45.5" customWidth="1"/>
  </cols>
  <sheetData>
    <row r="1" spans="1:3" ht="12.75" customHeight="1">
      <c r="A1" s="5" t="s">
        <v>10</v>
      </c>
      <c r="B1" s="5" t="s">
        <v>11</v>
      </c>
      <c r="C1" s="6" t="s">
        <v>12</v>
      </c>
    </row>
    <row r="2" spans="1:3" ht="12.75" customHeight="1">
      <c r="A2" s="7" t="s">
        <v>87</v>
      </c>
      <c r="B2" s="8" t="s">
        <v>13</v>
      </c>
      <c r="C2" s="579">
        <f>6500*1.052</f>
        <v>6838</v>
      </c>
    </row>
    <row r="3" spans="1:3" ht="15.5" customHeight="1">
      <c r="A3" s="7" t="s">
        <v>15</v>
      </c>
      <c r="B3" s="8" t="s">
        <v>16</v>
      </c>
      <c r="C3" s="579">
        <v>90</v>
      </c>
    </row>
    <row r="4" spans="1:3" ht="12.75" customHeight="1">
      <c r="A4" s="7" t="s">
        <v>17</v>
      </c>
      <c r="B4" s="8" t="s">
        <v>13</v>
      </c>
      <c r="C4" s="579">
        <f>8500*1.052</f>
        <v>8942</v>
      </c>
    </row>
    <row r="5" spans="1:3" ht="12.75" customHeight="1">
      <c r="A5" s="7" t="s">
        <v>289</v>
      </c>
      <c r="B5" s="8" t="s">
        <v>14</v>
      </c>
      <c r="C5" s="579">
        <f>108000*1.052</f>
        <v>113616</v>
      </c>
    </row>
    <row r="6" spans="1:3" ht="12.75" customHeight="1">
      <c r="A6" s="7" t="s">
        <v>291</v>
      </c>
      <c r="B6" s="8" t="s">
        <v>18</v>
      </c>
      <c r="C6" s="579">
        <f>25000*1.052</f>
        <v>26300</v>
      </c>
    </row>
    <row r="7" spans="1:3" ht="12.75" customHeight="1">
      <c r="A7" s="7" t="s">
        <v>19</v>
      </c>
      <c r="B7" s="8" t="s">
        <v>20</v>
      </c>
      <c r="C7" s="579">
        <f>240000/(6*2.35)*1.052</f>
        <v>17906.382978723403</v>
      </c>
    </row>
    <row r="8" spans="1:3" ht="12.75" customHeight="1">
      <c r="A8" s="7" t="s">
        <v>21</v>
      </c>
      <c r="B8" s="8" t="s">
        <v>14</v>
      </c>
      <c r="C8" s="579">
        <v>87000</v>
      </c>
    </row>
    <row r="9" spans="1:3" ht="12.75" customHeight="1">
      <c r="A9" s="7" t="s">
        <v>292</v>
      </c>
      <c r="B9" s="8" t="s">
        <v>14</v>
      </c>
      <c r="C9" s="579">
        <f>110000*1.052</f>
        <v>115720</v>
      </c>
    </row>
    <row r="10" spans="1:3" ht="12.75" customHeight="1">
      <c r="A10" s="7" t="s">
        <v>290</v>
      </c>
      <c r="B10" s="8" t="s">
        <v>14</v>
      </c>
      <c r="C10" s="579">
        <f>108000*1.052</f>
        <v>113616</v>
      </c>
    </row>
    <row r="11" spans="1:3" ht="12.75" customHeight="1">
      <c r="A11" s="10"/>
      <c r="B11" s="11"/>
      <c r="C11" s="12"/>
    </row>
    <row r="12" spans="1:3" ht="12.75" customHeight="1">
      <c r="A12" s="10"/>
      <c r="B12" s="11"/>
      <c r="C12" s="12"/>
    </row>
    <row r="13" spans="1:3" ht="12.75" customHeight="1">
      <c r="A13" s="10"/>
      <c r="B13" s="11"/>
      <c r="C13" s="12"/>
    </row>
    <row r="14" spans="1:3" ht="12.75" customHeight="1">
      <c r="A14" s="10"/>
      <c r="B14" s="11"/>
      <c r="C14" s="12"/>
    </row>
    <row r="15" spans="1:3" ht="12.75" customHeight="1">
      <c r="A15" s="10" t="s">
        <v>22</v>
      </c>
      <c r="B15" s="13"/>
      <c r="C15" s="12"/>
    </row>
    <row r="16" spans="1:3" ht="12.75" customHeight="1">
      <c r="A16" s="10" t="s">
        <v>23</v>
      </c>
      <c r="B16" s="13"/>
      <c r="C16" s="12"/>
    </row>
    <row r="17" spans="1:3" ht="12.75" customHeight="1">
      <c r="A17" s="10" t="s">
        <v>24</v>
      </c>
      <c r="B17" s="13"/>
      <c r="C17" s="12"/>
    </row>
    <row r="18" spans="1:3" ht="12.75" customHeight="1">
      <c r="A18" s="10" t="s">
        <v>25</v>
      </c>
      <c r="B18" s="13"/>
      <c r="C18" s="12"/>
    </row>
    <row r="19" spans="1:3" ht="12.75" customHeight="1">
      <c r="A19" s="10" t="s">
        <v>26</v>
      </c>
      <c r="B19" s="13"/>
      <c r="C19" s="12"/>
    </row>
    <row r="20" spans="1:3" ht="12.75" customHeight="1">
      <c r="A20" s="10" t="s">
        <v>27</v>
      </c>
      <c r="B20" s="13"/>
      <c r="C20" s="12"/>
    </row>
    <row r="21" spans="1:3" ht="12.75" customHeight="1">
      <c r="A21" s="10" t="s">
        <v>28</v>
      </c>
    </row>
  </sheetData>
  <pageMargins left="0.7" right="0.7" top="0.75" bottom="0.75" header="0" footer="0"/>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7" tint="0.79998168889431442"/>
  </sheetPr>
  <dimension ref="A1:C14"/>
  <sheetViews>
    <sheetView view="pageBreakPreview" zoomScaleNormal="100" zoomScaleSheetLayoutView="100" workbookViewId="0">
      <selection activeCell="C3" sqref="C3"/>
    </sheetView>
  </sheetViews>
  <sheetFormatPr baseColWidth="10" defaultColWidth="14.5" defaultRowHeight="15" customHeight="1"/>
  <cols>
    <col min="1" max="1" width="46" customWidth="1"/>
    <col min="2" max="3" width="18.1640625" customWidth="1"/>
    <col min="4" max="26" width="11.5" customWidth="1"/>
  </cols>
  <sheetData>
    <row r="1" spans="1:3" ht="14.25" customHeight="1">
      <c r="A1" s="14" t="s">
        <v>29</v>
      </c>
      <c r="B1" s="14" t="s">
        <v>11</v>
      </c>
      <c r="C1" s="15" t="s">
        <v>30</v>
      </c>
    </row>
    <row r="2" spans="1:3" ht="14.25" customHeight="1">
      <c r="A2" s="16" t="s">
        <v>294</v>
      </c>
      <c r="B2" s="17" t="s">
        <v>295</v>
      </c>
      <c r="C2" s="578">
        <f>30035*1.052</f>
        <v>31596.82</v>
      </c>
    </row>
    <row r="3" spans="1:3" ht="14.25" customHeight="1">
      <c r="A3" s="16" t="s">
        <v>32</v>
      </c>
      <c r="B3" s="17" t="s">
        <v>35</v>
      </c>
      <c r="C3" s="578">
        <f>50000*1.052</f>
        <v>52600</v>
      </c>
    </row>
    <row r="4" spans="1:3" ht="14.25" customHeight="1">
      <c r="A4" s="16" t="s">
        <v>33</v>
      </c>
      <c r="B4" s="17" t="s">
        <v>31</v>
      </c>
      <c r="C4" s="578">
        <f>8750*1.052</f>
        <v>9205</v>
      </c>
    </row>
    <row r="5" spans="1:3" ht="14.25" customHeight="1">
      <c r="A5" s="16" t="s">
        <v>34</v>
      </c>
      <c r="B5" s="17" t="s">
        <v>31</v>
      </c>
      <c r="C5" s="578">
        <f>50000/8*1.052</f>
        <v>6575</v>
      </c>
    </row>
    <row r="6" spans="1:3" ht="14.25" customHeight="1">
      <c r="A6" s="16" t="s">
        <v>330</v>
      </c>
      <c r="B6" s="17" t="s">
        <v>31</v>
      </c>
      <c r="C6" s="578">
        <f>150000/8</f>
        <v>18750</v>
      </c>
    </row>
    <row r="7" spans="1:3" ht="14.25" customHeight="1">
      <c r="A7" s="16" t="s">
        <v>331</v>
      </c>
      <c r="B7" s="17" t="s">
        <v>332</v>
      </c>
      <c r="C7" s="578">
        <f>1800</f>
        <v>1800</v>
      </c>
    </row>
    <row r="8" spans="1:3" ht="14.25" customHeight="1">
      <c r="A8" s="18"/>
      <c r="B8" s="19"/>
      <c r="C8" s="20"/>
    </row>
    <row r="9" spans="1:3" ht="14.25" customHeight="1">
      <c r="A9" s="18"/>
      <c r="B9" s="19"/>
      <c r="C9" s="20"/>
    </row>
    <row r="10" spans="1:3" ht="14.25" customHeight="1">
      <c r="A10" s="18"/>
      <c r="B10" s="19"/>
      <c r="C10" s="20"/>
    </row>
    <row r="11" spans="1:3" ht="14.25" customHeight="1">
      <c r="A11" s="18"/>
      <c r="B11" s="19"/>
      <c r="C11" s="20"/>
    </row>
    <row r="12" spans="1:3" ht="14.25" customHeight="1">
      <c r="A12" s="21" t="s">
        <v>36</v>
      </c>
      <c r="B12" s="22"/>
      <c r="C12" s="23"/>
    </row>
    <row r="13" spans="1:3" ht="14.25" customHeight="1">
      <c r="A13" s="21" t="s">
        <v>37</v>
      </c>
      <c r="B13" s="21"/>
      <c r="C13" s="24"/>
    </row>
    <row r="14" spans="1:3" ht="14.25" customHeight="1">
      <c r="A14" s="838" t="s">
        <v>38</v>
      </c>
      <c r="B14" s="635"/>
      <c r="C14" s="25"/>
    </row>
  </sheetData>
  <mergeCells count="1">
    <mergeCell ref="A14:B14"/>
  </mergeCells>
  <pageMargins left="0.7" right="0.7" top="0.75" bottom="0.75" header="0" footer="0"/>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8EC8C3-A427-466F-8A56-F36643CEBC26}">
  <sheetPr>
    <tabColor theme="7" tint="0.79998168889431442"/>
  </sheetPr>
  <dimension ref="A1:E1000"/>
  <sheetViews>
    <sheetView showGridLines="0" view="pageBreakPreview" zoomScale="85" zoomScaleNormal="100" zoomScaleSheetLayoutView="85" workbookViewId="0">
      <selection activeCell="G16" sqref="G16"/>
    </sheetView>
  </sheetViews>
  <sheetFormatPr baseColWidth="10" defaultColWidth="14.5" defaultRowHeight="15" customHeight="1"/>
  <cols>
    <col min="1" max="1" width="30.5" style="580" customWidth="1"/>
    <col min="2" max="2" width="29.83203125" style="580" customWidth="1"/>
    <col min="3" max="3" width="11" style="580" customWidth="1"/>
    <col min="4" max="4" width="30.1640625" style="580" customWidth="1"/>
    <col min="5" max="5" width="0.33203125" style="580" customWidth="1"/>
    <col min="6" max="26" width="10.6640625" style="580" customWidth="1"/>
    <col min="27" max="16384" width="14.5" style="580"/>
  </cols>
  <sheetData>
    <row r="1" spans="1:5" ht="22.75" customHeight="1" thickBot="1">
      <c r="A1" s="842" t="s">
        <v>316</v>
      </c>
      <c r="B1" s="843"/>
      <c r="C1" s="843"/>
      <c r="D1" s="844"/>
      <c r="E1" s="604"/>
    </row>
    <row r="2" spans="1:5" ht="14.25" customHeight="1" thickBot="1">
      <c r="A2" s="587"/>
      <c r="B2" s="587"/>
      <c r="C2" s="587"/>
      <c r="D2" s="587"/>
      <c r="E2" s="604"/>
    </row>
    <row r="3" spans="1:5" ht="14.25" customHeight="1">
      <c r="A3" s="845"/>
      <c r="B3" s="606" t="s">
        <v>315</v>
      </c>
      <c r="C3" s="848">
        <v>360</v>
      </c>
      <c r="D3" s="849"/>
      <c r="E3" s="604"/>
    </row>
    <row r="4" spans="1:5" ht="14.25" customHeight="1">
      <c r="A4" s="846"/>
      <c r="B4" s="605" t="s">
        <v>317</v>
      </c>
      <c r="C4" s="850">
        <v>1423500</v>
      </c>
      <c r="D4" s="851"/>
      <c r="E4" s="604"/>
    </row>
    <row r="5" spans="1:5" ht="14.25" customHeight="1" thickBot="1">
      <c r="A5" s="847"/>
      <c r="B5" s="603" t="s">
        <v>318</v>
      </c>
      <c r="C5" s="852">
        <v>200000</v>
      </c>
      <c r="D5" s="853"/>
      <c r="E5" s="581"/>
    </row>
    <row r="6" spans="1:5" ht="14.25" customHeight="1" thickBot="1">
      <c r="A6" s="585"/>
      <c r="B6" s="585"/>
      <c r="C6" s="585"/>
      <c r="D6" s="581"/>
      <c r="E6" s="581"/>
    </row>
    <row r="7" spans="1:5" ht="14.25" customHeight="1" thickBot="1">
      <c r="A7" s="854" t="s">
        <v>43</v>
      </c>
      <c r="B7" s="844"/>
      <c r="C7" s="602" t="s">
        <v>113</v>
      </c>
      <c r="D7" s="601" t="s">
        <v>314</v>
      </c>
      <c r="E7" s="581"/>
    </row>
    <row r="8" spans="1:5" ht="14.25" customHeight="1">
      <c r="A8" s="855" t="s">
        <v>313</v>
      </c>
      <c r="B8" s="600" t="s">
        <v>312</v>
      </c>
      <c r="C8" s="599">
        <f>C5/C4</f>
        <v>0.14049877063575694</v>
      </c>
      <c r="D8" s="598">
        <f>+C5</f>
        <v>200000</v>
      </c>
      <c r="E8" s="581"/>
    </row>
    <row r="9" spans="1:5" ht="14.25" customHeight="1">
      <c r="A9" s="846"/>
      <c r="B9" s="595" t="s">
        <v>311</v>
      </c>
      <c r="C9" s="594">
        <v>8.3299999999999999E-2</v>
      </c>
      <c r="D9" s="593">
        <f>C9*C4</f>
        <v>118577.55</v>
      </c>
      <c r="E9" s="581"/>
    </row>
    <row r="10" spans="1:5" ht="14.25" customHeight="1">
      <c r="A10" s="846"/>
      <c r="B10" s="595" t="s">
        <v>310</v>
      </c>
      <c r="C10" s="594">
        <v>0.01</v>
      </c>
      <c r="D10" s="593">
        <f>C10*C4</f>
        <v>14235</v>
      </c>
      <c r="E10" s="581"/>
    </row>
    <row r="11" spans="1:5" ht="14.25" customHeight="1">
      <c r="A11" s="846"/>
      <c r="B11" s="595" t="s">
        <v>309</v>
      </c>
      <c r="C11" s="594">
        <v>8.3299999999999999E-2</v>
      </c>
      <c r="D11" s="593">
        <f>C11*C4</f>
        <v>118577.55</v>
      </c>
      <c r="E11" s="581"/>
    </row>
    <row r="12" spans="1:5" ht="14.25" customHeight="1">
      <c r="A12" s="846"/>
      <c r="B12" s="595" t="s">
        <v>308</v>
      </c>
      <c r="C12" s="594">
        <v>4.1700000000000001E-2</v>
      </c>
      <c r="D12" s="593">
        <f>C12*C4</f>
        <v>59359.950000000004</v>
      </c>
      <c r="E12" s="581"/>
    </row>
    <row r="13" spans="1:5" ht="14.25" customHeight="1">
      <c r="A13" s="856"/>
      <c r="B13" s="595" t="s">
        <v>307</v>
      </c>
      <c r="C13" s="594">
        <v>4.240122936424328E-2</v>
      </c>
      <c r="D13" s="593">
        <f>C4*C13</f>
        <v>60358.150000000307</v>
      </c>
      <c r="E13" s="581"/>
    </row>
    <row r="14" spans="1:5" ht="14.25" customHeight="1">
      <c r="A14" s="597" t="s">
        <v>306</v>
      </c>
      <c r="B14" s="595" t="s">
        <v>305</v>
      </c>
      <c r="C14" s="594">
        <v>1.9199999999999998E-2</v>
      </c>
      <c r="D14" s="593">
        <f>C14*C4</f>
        <v>27331.199999999997</v>
      </c>
      <c r="E14" s="581"/>
    </row>
    <row r="15" spans="1:5" ht="14.25" customHeight="1">
      <c r="A15" s="857" t="s">
        <v>304</v>
      </c>
      <c r="B15" s="595" t="s">
        <v>303</v>
      </c>
      <c r="C15" s="594">
        <v>8.5000000000000006E-2</v>
      </c>
      <c r="D15" s="593">
        <f>C15*C4</f>
        <v>120997.50000000001</v>
      </c>
      <c r="E15" s="581"/>
    </row>
    <row r="16" spans="1:5" ht="14.25" customHeight="1">
      <c r="A16" s="846"/>
      <c r="B16" s="596" t="s">
        <v>302</v>
      </c>
      <c r="C16" s="594">
        <v>0.12</v>
      </c>
      <c r="D16" s="593">
        <f>C16*C4</f>
        <v>170820</v>
      </c>
      <c r="E16" s="581"/>
    </row>
    <row r="17" spans="1:5" ht="14.25" customHeight="1">
      <c r="A17" s="856"/>
      <c r="B17" s="595" t="s">
        <v>301</v>
      </c>
      <c r="C17" s="594">
        <v>6.9599999999999995E-2</v>
      </c>
      <c r="D17" s="593">
        <f>C17*C4</f>
        <v>99075.599999999991</v>
      </c>
      <c r="E17" s="581"/>
    </row>
    <row r="18" spans="1:5" ht="14.25" customHeight="1">
      <c r="A18" s="857" t="s">
        <v>300</v>
      </c>
      <c r="B18" s="595" t="s">
        <v>299</v>
      </c>
      <c r="C18" s="594">
        <v>0.02</v>
      </c>
      <c r="D18" s="593">
        <f>C18*C4</f>
        <v>28470</v>
      </c>
      <c r="E18" s="581"/>
    </row>
    <row r="19" spans="1:5" ht="14.25" customHeight="1">
      <c r="A19" s="846"/>
      <c r="B19" s="595" t="s">
        <v>298</v>
      </c>
      <c r="C19" s="594">
        <v>2.5000000000000001E-2</v>
      </c>
      <c r="D19" s="593">
        <f>C19*C4</f>
        <v>35587.5</v>
      </c>
      <c r="E19" s="581"/>
    </row>
    <row r="20" spans="1:5" ht="14.25" customHeight="1">
      <c r="A20" s="846"/>
      <c r="B20" s="595" t="s">
        <v>297</v>
      </c>
      <c r="C20" s="594">
        <v>0.03</v>
      </c>
      <c r="D20" s="593">
        <f>C20*C4</f>
        <v>42705</v>
      </c>
      <c r="E20" s="581"/>
    </row>
    <row r="21" spans="1:5" ht="14.25" customHeight="1" thickBot="1">
      <c r="A21" s="847"/>
      <c r="B21" s="592" t="s">
        <v>296</v>
      </c>
      <c r="C21" s="591">
        <v>0.04</v>
      </c>
      <c r="D21" s="590">
        <f>C4*C21</f>
        <v>56940</v>
      </c>
      <c r="E21" s="581"/>
    </row>
    <row r="22" spans="1:5" ht="14.25" customHeight="1" thickBot="1">
      <c r="A22" s="589"/>
      <c r="B22" s="585"/>
      <c r="C22" s="581"/>
      <c r="D22" s="581"/>
      <c r="E22" s="581"/>
    </row>
    <row r="23" spans="1:5" ht="14.25" customHeight="1" thickBot="1">
      <c r="A23" s="588" t="s">
        <v>137</v>
      </c>
      <c r="B23" s="587"/>
      <c r="C23" s="586">
        <f>SUM(C8:C22)</f>
        <v>0.81000000000000028</v>
      </c>
      <c r="D23" s="581"/>
      <c r="E23" s="581"/>
    </row>
    <row r="24" spans="1:5" ht="14.25" customHeight="1">
      <c r="A24" s="585"/>
      <c r="B24" s="585"/>
      <c r="C24" s="585"/>
      <c r="D24" s="581"/>
      <c r="E24" s="581"/>
    </row>
    <row r="25" spans="1:5" ht="14.25" customHeight="1">
      <c r="A25" s="581"/>
      <c r="B25" s="581"/>
      <c r="C25" s="581"/>
      <c r="D25" s="581"/>
      <c r="E25" s="581"/>
    </row>
    <row r="26" spans="1:5" ht="14.25" customHeight="1">
      <c r="A26" s="581"/>
      <c r="B26" s="581"/>
      <c r="C26" s="581"/>
      <c r="D26" s="581"/>
      <c r="E26" s="581"/>
    </row>
    <row r="27" spans="1:5" ht="14.25" customHeight="1">
      <c r="A27" s="582"/>
      <c r="B27" s="584"/>
      <c r="C27" s="582"/>
      <c r="D27" s="582"/>
      <c r="E27" s="581"/>
    </row>
    <row r="28" spans="1:5" ht="14.25" customHeight="1">
      <c r="A28" s="858"/>
      <c r="B28" s="840"/>
      <c r="C28" s="840"/>
      <c r="D28" s="840"/>
      <c r="E28" s="840"/>
    </row>
    <row r="29" spans="1:5" ht="14.25" customHeight="1">
      <c r="A29" s="839"/>
      <c r="B29" s="840"/>
      <c r="C29" s="840"/>
      <c r="D29" s="840"/>
      <c r="E29" s="840"/>
    </row>
    <row r="30" spans="1:5" ht="14.25" customHeight="1">
      <c r="A30" s="841"/>
      <c r="B30" s="840"/>
      <c r="C30" s="840"/>
      <c r="D30" s="840"/>
      <c r="E30" s="583"/>
    </row>
    <row r="31" spans="1:5" ht="14.25" customHeight="1">
      <c r="A31" s="582"/>
      <c r="B31" s="581"/>
      <c r="C31" s="581"/>
      <c r="D31" s="581"/>
      <c r="E31" s="582"/>
    </row>
    <row r="32" spans="1:5" ht="14.25" customHeight="1">
      <c r="A32" s="581"/>
      <c r="B32" s="581"/>
      <c r="C32" s="581"/>
      <c r="D32" s="581"/>
      <c r="E32" s="582"/>
    </row>
    <row r="33" spans="1:5" ht="14.25" customHeight="1">
      <c r="A33" s="581"/>
      <c r="B33" s="581"/>
      <c r="C33" s="581"/>
      <c r="D33" s="581"/>
      <c r="E33" s="581"/>
    </row>
    <row r="34" spans="1:5" ht="14.25" customHeight="1">
      <c r="A34" s="581"/>
      <c r="B34" s="581"/>
      <c r="C34" s="581"/>
      <c r="D34" s="581"/>
      <c r="E34" s="581"/>
    </row>
    <row r="35" spans="1:5" ht="14.25" customHeight="1"/>
    <row r="36" spans="1:5" ht="14.25" customHeight="1"/>
    <row r="37" spans="1:5" ht="14.25" customHeight="1"/>
    <row r="38" spans="1:5" ht="14.25" customHeight="1"/>
    <row r="39" spans="1:5" ht="14.25" customHeight="1"/>
    <row r="40" spans="1:5" ht="14.25" customHeight="1"/>
    <row r="41" spans="1:5" ht="14.25" customHeight="1"/>
    <row r="42" spans="1:5" ht="14.25" customHeight="1"/>
    <row r="43" spans="1:5" ht="14.25" customHeight="1"/>
    <row r="44" spans="1:5" ht="14.25" customHeight="1"/>
    <row r="45" spans="1:5" ht="14.25" customHeight="1"/>
    <row r="46" spans="1:5" ht="14.25" customHeight="1"/>
    <row r="47" spans="1:5" ht="14.25" customHeight="1"/>
    <row r="48" spans="1:5"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2">
    <mergeCell ref="A29:E29"/>
    <mergeCell ref="A30:D30"/>
    <mergeCell ref="A1:D1"/>
    <mergeCell ref="A3:A5"/>
    <mergeCell ref="C3:D3"/>
    <mergeCell ref="C4:D4"/>
    <mergeCell ref="C5:D5"/>
    <mergeCell ref="A7:B7"/>
    <mergeCell ref="A8:A13"/>
    <mergeCell ref="A15:A17"/>
    <mergeCell ref="A18:A21"/>
    <mergeCell ref="A28:E28"/>
  </mergeCells>
  <pageMargins left="0.7" right="0.7" top="0.75" bottom="0.75" header="0" footer="0"/>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BE4D5"/>
  </sheetPr>
  <dimension ref="A1:K37"/>
  <sheetViews>
    <sheetView view="pageBreakPreview" zoomScale="104" zoomScaleNormal="100" workbookViewId="0">
      <selection activeCell="G36" sqref="G36"/>
    </sheetView>
  </sheetViews>
  <sheetFormatPr baseColWidth="10" defaultColWidth="14.5" defaultRowHeight="15" customHeight="1"/>
  <cols>
    <col min="1" max="1" width="11.5" customWidth="1"/>
    <col min="2" max="2" width="12.5" customWidth="1"/>
    <col min="3" max="3" width="16" customWidth="1"/>
    <col min="4" max="26" width="11.5" customWidth="1"/>
  </cols>
  <sheetData>
    <row r="1" spans="1:8" ht="22.5" customHeight="1">
      <c r="A1" s="859"/>
      <c r="B1" s="723"/>
      <c r="C1" s="863" t="s">
        <v>39</v>
      </c>
      <c r="D1" s="734"/>
      <c r="E1" s="734"/>
      <c r="F1" s="735"/>
      <c r="G1" s="859" t="str">
        <f>DATOS!C4</f>
        <v>MUNICIPIO DE RISARALDA</v>
      </c>
      <c r="H1" s="723"/>
    </row>
    <row r="2" spans="1:8" ht="12.75" customHeight="1">
      <c r="A2" s="860"/>
      <c r="B2" s="725"/>
      <c r="C2" s="859" t="str">
        <f>DATOS!C2</f>
        <v>CONSTRUCCIÓN DE PLACA HUELLAS CON APOYO DE LA COMUNIDAD Y EL COMITÉ DE CAFETEROS EN ZONA RURAL DEL MUNICIPIO DE RISARALDA</v>
      </c>
      <c r="D2" s="703"/>
      <c r="E2" s="703"/>
      <c r="F2" s="723"/>
      <c r="G2" s="860"/>
      <c r="H2" s="725"/>
    </row>
    <row r="3" spans="1:8" ht="47.25" customHeight="1">
      <c r="A3" s="861"/>
      <c r="B3" s="862"/>
      <c r="C3" s="861"/>
      <c r="D3" s="700"/>
      <c r="E3" s="700"/>
      <c r="F3" s="862"/>
      <c r="G3" s="861"/>
      <c r="H3" s="862"/>
    </row>
    <row r="4" spans="1:8" ht="12.75" customHeight="1">
      <c r="A4" s="27"/>
      <c r="B4" s="28"/>
      <c r="C4" s="28"/>
      <c r="D4" s="28"/>
      <c r="E4" s="28"/>
      <c r="F4" s="28"/>
      <c r="G4" s="28"/>
      <c r="H4" s="28"/>
    </row>
    <row r="5" spans="1:8" ht="12.75" customHeight="1">
      <c r="A5" s="29" t="s">
        <v>40</v>
      </c>
      <c r="B5" s="30">
        <v>1</v>
      </c>
      <c r="C5" s="28"/>
      <c r="D5" s="26"/>
      <c r="E5" s="30"/>
      <c r="F5" s="26"/>
      <c r="G5" s="31"/>
      <c r="H5" s="31"/>
    </row>
    <row r="6" spans="1:8" ht="12.75" customHeight="1">
      <c r="A6" s="26"/>
      <c r="B6" s="864" t="str">
        <f>PRESUPUESTO!C4</f>
        <v>Excavaciones varias en material común. No incluye mano de obra no calificada.</v>
      </c>
      <c r="C6" s="865"/>
      <c r="D6" s="865"/>
      <c r="E6" s="865"/>
      <c r="F6" s="866"/>
      <c r="G6" s="31" t="s">
        <v>41</v>
      </c>
      <c r="H6" s="31" t="str">
        <f>PRESUPUESTO!D4</f>
        <v>M3</v>
      </c>
    </row>
    <row r="7" spans="1:8" ht="12.75" customHeight="1">
      <c r="A7" s="30"/>
      <c r="B7" s="867"/>
      <c r="C7" s="868"/>
      <c r="D7" s="868"/>
      <c r="E7" s="868"/>
      <c r="F7" s="869"/>
      <c r="G7" s="30"/>
      <c r="H7" s="28"/>
    </row>
    <row r="8" spans="1:8" ht="12.75" customHeight="1">
      <c r="A8" s="30" t="s">
        <v>42</v>
      </c>
      <c r="B8" s="30"/>
      <c r="C8" s="28"/>
      <c r="D8" s="28"/>
      <c r="E8" s="28"/>
      <c r="F8" s="28"/>
      <c r="G8" s="28"/>
      <c r="H8" s="28"/>
    </row>
    <row r="9" spans="1:8" ht="12.75" customHeight="1">
      <c r="A9" s="870" t="s">
        <v>43</v>
      </c>
      <c r="B9" s="640"/>
      <c r="C9" s="716"/>
      <c r="D9" s="32" t="s">
        <v>44</v>
      </c>
      <c r="E9" s="33" t="s">
        <v>45</v>
      </c>
      <c r="F9" s="32" t="s">
        <v>46</v>
      </c>
      <c r="G9" s="34" t="s">
        <v>47</v>
      </c>
      <c r="H9" s="35"/>
    </row>
    <row r="10" spans="1:8" ht="12.75" customHeight="1">
      <c r="A10" s="871" t="s">
        <v>48</v>
      </c>
      <c r="B10" s="675"/>
      <c r="C10" s="676"/>
      <c r="D10" s="36"/>
      <c r="E10" s="37">
        <f>H32</f>
        <v>21742.911392405065</v>
      </c>
      <c r="F10" s="38">
        <v>0.08</v>
      </c>
      <c r="G10" s="39">
        <f>E10*F10</f>
        <v>1739.4329113924052</v>
      </c>
      <c r="H10" s="40"/>
    </row>
    <row r="11" spans="1:8" ht="12.75" customHeight="1">
      <c r="A11" s="871"/>
      <c r="B11" s="675"/>
      <c r="C11" s="676"/>
      <c r="D11" s="36"/>
      <c r="E11" s="37"/>
      <c r="F11" s="38"/>
      <c r="G11" s="39"/>
      <c r="H11" s="40"/>
    </row>
    <row r="12" spans="1:8" ht="12.75" customHeight="1">
      <c r="A12" s="873"/>
      <c r="B12" s="643"/>
      <c r="C12" s="679"/>
      <c r="D12" s="41"/>
      <c r="E12" s="42"/>
      <c r="F12" s="43"/>
      <c r="G12" s="44"/>
      <c r="H12" s="45"/>
    </row>
    <row r="13" spans="1:8" ht="12.75" customHeight="1">
      <c r="A13" s="28"/>
      <c r="B13" s="28"/>
      <c r="C13" s="28"/>
      <c r="D13" s="28"/>
      <c r="E13" s="28"/>
      <c r="F13" s="28"/>
      <c r="G13" s="46" t="s">
        <v>49</v>
      </c>
      <c r="H13" s="47">
        <f>SUM(G10:G12)</f>
        <v>1739.4329113924052</v>
      </c>
    </row>
    <row r="14" spans="1:8" ht="12.75" customHeight="1">
      <c r="A14" s="30" t="s">
        <v>50</v>
      </c>
      <c r="B14" s="30"/>
      <c r="C14" s="28"/>
      <c r="D14" s="28"/>
      <c r="E14" s="28"/>
      <c r="F14" s="28"/>
      <c r="G14" s="28"/>
      <c r="H14" s="28"/>
    </row>
    <row r="15" spans="1:8" ht="12.75" customHeight="1">
      <c r="A15" s="870" t="s">
        <v>43</v>
      </c>
      <c r="B15" s="640"/>
      <c r="C15" s="716"/>
      <c r="D15" s="32" t="s">
        <v>51</v>
      </c>
      <c r="E15" s="32" t="s">
        <v>52</v>
      </c>
      <c r="F15" s="32" t="s">
        <v>53</v>
      </c>
      <c r="G15" s="34" t="s">
        <v>47</v>
      </c>
      <c r="H15" s="35"/>
    </row>
    <row r="16" spans="1:8" ht="12.75" customHeight="1">
      <c r="A16" s="48"/>
      <c r="B16" s="49"/>
      <c r="C16" s="50"/>
      <c r="D16" s="51"/>
      <c r="E16" s="52"/>
      <c r="F16" s="53"/>
      <c r="G16" s="39"/>
      <c r="H16" s="40"/>
    </row>
    <row r="17" spans="1:11" ht="12.75" customHeight="1">
      <c r="A17" s="48"/>
      <c r="B17" s="49"/>
      <c r="C17" s="50"/>
      <c r="D17" s="51"/>
      <c r="E17" s="52"/>
      <c r="F17" s="53"/>
      <c r="G17" s="39"/>
      <c r="H17" s="40"/>
      <c r="I17" s="26"/>
      <c r="J17" s="26"/>
      <c r="K17" s="26"/>
    </row>
    <row r="18" spans="1:11" ht="12.75" customHeight="1">
      <c r="A18" s="48"/>
      <c r="B18" s="49"/>
      <c r="C18" s="50"/>
      <c r="D18" s="36"/>
      <c r="E18" s="37"/>
      <c r="F18" s="54"/>
      <c r="G18" s="55"/>
      <c r="H18" s="40"/>
      <c r="I18" s="26"/>
      <c r="J18" s="26"/>
      <c r="K18" s="26"/>
    </row>
    <row r="19" spans="1:11" ht="12.75" customHeight="1">
      <c r="A19" s="56"/>
      <c r="B19" s="57"/>
      <c r="C19" s="58"/>
      <c r="D19" s="41"/>
      <c r="E19" s="42"/>
      <c r="F19" s="43"/>
      <c r="G19" s="44"/>
      <c r="H19" s="45"/>
      <c r="I19" s="26"/>
      <c r="J19" s="26"/>
      <c r="K19" s="26"/>
    </row>
    <row r="20" spans="1:11" ht="12.75" customHeight="1">
      <c r="A20" s="28"/>
      <c r="B20" s="28"/>
      <c r="C20" s="28"/>
      <c r="D20" s="28"/>
      <c r="E20" s="28"/>
      <c r="F20" s="28"/>
      <c r="G20" s="46" t="s">
        <v>49</v>
      </c>
      <c r="H20" s="47">
        <f>SUM(G16:G19)</f>
        <v>0</v>
      </c>
      <c r="I20" s="26"/>
      <c r="J20" s="26"/>
      <c r="K20" s="26"/>
    </row>
    <row r="21" spans="1:11" ht="12.75" customHeight="1">
      <c r="A21" s="874" t="s">
        <v>54</v>
      </c>
      <c r="B21" s="709"/>
      <c r="C21" s="709"/>
      <c r="D21" s="875"/>
      <c r="E21" s="28"/>
      <c r="F21" s="28"/>
      <c r="G21" s="28"/>
      <c r="H21" s="28"/>
      <c r="I21" s="26"/>
      <c r="J21" s="26"/>
      <c r="K21" s="26"/>
    </row>
    <row r="22" spans="1:11" ht="12.75" customHeight="1">
      <c r="A22" s="59" t="s">
        <v>55</v>
      </c>
      <c r="B22" s="60"/>
      <c r="C22" s="61" t="s">
        <v>56</v>
      </c>
      <c r="D22" s="32" t="s">
        <v>57</v>
      </c>
      <c r="E22" s="32" t="s">
        <v>58</v>
      </c>
      <c r="F22" s="32" t="s">
        <v>59</v>
      </c>
      <c r="G22" s="62" t="s">
        <v>47</v>
      </c>
      <c r="H22" s="35"/>
      <c r="I22" s="26"/>
      <c r="J22" s="26"/>
      <c r="K22" s="26"/>
    </row>
    <row r="23" spans="1:11" ht="12.75" customHeight="1">
      <c r="A23" s="876"/>
      <c r="B23" s="877"/>
      <c r="C23" s="63"/>
      <c r="D23" s="63"/>
      <c r="E23" s="63"/>
      <c r="F23" s="64"/>
      <c r="G23" s="38"/>
      <c r="H23" s="40"/>
      <c r="I23" s="26"/>
      <c r="J23" s="26"/>
      <c r="K23" s="26"/>
    </row>
    <row r="24" spans="1:11" ht="12.75" customHeight="1">
      <c r="A24" s="878"/>
      <c r="B24" s="877"/>
      <c r="C24" s="65"/>
      <c r="D24" s="51"/>
      <c r="E24" s="66"/>
      <c r="F24" s="38"/>
      <c r="G24" s="38"/>
      <c r="H24" s="40"/>
      <c r="I24" s="26"/>
      <c r="J24" s="26"/>
      <c r="K24" s="26"/>
    </row>
    <row r="25" spans="1:11" ht="12.75" customHeight="1">
      <c r="A25" s="67"/>
      <c r="B25" s="68"/>
      <c r="C25" s="41"/>
      <c r="D25" s="42"/>
      <c r="E25" s="43"/>
      <c r="F25" s="44"/>
      <c r="G25" s="41"/>
      <c r="H25" s="40"/>
      <c r="I25" s="26"/>
      <c r="J25" s="26"/>
      <c r="K25" s="26"/>
    </row>
    <row r="26" spans="1:11" ht="12.75" customHeight="1">
      <c r="A26" s="28"/>
      <c r="B26" s="28"/>
      <c r="C26" s="28"/>
      <c r="D26" s="28"/>
      <c r="E26" s="28"/>
      <c r="F26" s="28"/>
      <c r="G26" s="46" t="s">
        <v>49</v>
      </c>
      <c r="H26" s="47">
        <f>SUM(G23:G25)</f>
        <v>0</v>
      </c>
      <c r="I26" s="26"/>
      <c r="J26" s="26"/>
      <c r="K26" s="69" t="s">
        <v>60</v>
      </c>
    </row>
    <row r="27" spans="1:11" ht="12.75" customHeight="1">
      <c r="A27" s="874" t="s">
        <v>61</v>
      </c>
      <c r="B27" s="709"/>
      <c r="C27" s="875"/>
      <c r="D27" s="28"/>
      <c r="E27" s="28"/>
      <c r="F27" s="28"/>
      <c r="G27" s="28"/>
      <c r="H27" s="28"/>
      <c r="I27" s="26"/>
      <c r="J27" s="26"/>
      <c r="K27" s="70">
        <v>1423500</v>
      </c>
    </row>
    <row r="28" spans="1:11" ht="12.75" customHeight="1">
      <c r="A28" s="870" t="s">
        <v>62</v>
      </c>
      <c r="B28" s="716"/>
      <c r="C28" s="71" t="s">
        <v>63</v>
      </c>
      <c r="D28" s="32" t="s">
        <v>64</v>
      </c>
      <c r="E28" s="33" t="s">
        <v>65</v>
      </c>
      <c r="F28" s="71" t="s">
        <v>46</v>
      </c>
      <c r="G28" s="34" t="s">
        <v>47</v>
      </c>
      <c r="H28" s="35"/>
      <c r="I28" s="26"/>
      <c r="J28" s="26"/>
      <c r="K28" s="72">
        <f>K27/30</f>
        <v>47450</v>
      </c>
    </row>
    <row r="29" spans="1:11" ht="12.75" customHeight="1">
      <c r="A29" s="48" t="s">
        <v>66</v>
      </c>
      <c r="B29" s="49"/>
      <c r="C29" s="73">
        <f>(K28*2)</f>
        <v>94900</v>
      </c>
      <c r="D29" s="74">
        <f>+'ANALISIS FACTOR PRESTACIONAL'!C23+1</f>
        <v>1.8100000000000003</v>
      </c>
      <c r="E29" s="38">
        <f>+D29*C29</f>
        <v>171769.00000000003</v>
      </c>
      <c r="F29" s="38">
        <v>7.9</v>
      </c>
      <c r="G29" s="75">
        <f>+E29/F29</f>
        <v>21742.911392405065</v>
      </c>
      <c r="H29" s="40"/>
      <c r="I29" s="26"/>
      <c r="J29" s="26"/>
      <c r="K29" s="26"/>
    </row>
    <row r="30" spans="1:11" ht="12.75" customHeight="1">
      <c r="A30" s="48"/>
      <c r="B30" s="49"/>
      <c r="C30" s="52"/>
      <c r="D30" s="51"/>
      <c r="E30" s="52"/>
      <c r="F30" s="38"/>
      <c r="G30" s="39"/>
      <c r="H30" s="40"/>
      <c r="I30" s="26"/>
      <c r="J30" s="26"/>
      <c r="K30" s="26"/>
    </row>
    <row r="31" spans="1:11" ht="12.75" customHeight="1">
      <c r="A31" s="67"/>
      <c r="B31" s="76"/>
      <c r="C31" s="42"/>
      <c r="D31" s="58"/>
      <c r="E31" s="77"/>
      <c r="F31" s="58"/>
      <c r="G31" s="57"/>
      <c r="H31" s="45"/>
      <c r="I31" s="26"/>
      <c r="J31" s="26"/>
      <c r="K31" s="26"/>
    </row>
    <row r="32" spans="1:11" ht="12.75" customHeight="1">
      <c r="A32" s="28"/>
      <c r="B32" s="28"/>
      <c r="C32" s="28"/>
      <c r="D32" s="28"/>
      <c r="E32" s="28"/>
      <c r="F32" s="28"/>
      <c r="G32" s="46" t="s">
        <v>49</v>
      </c>
      <c r="H32" s="47">
        <f>SUM(G29:G31)</f>
        <v>21742.911392405065</v>
      </c>
      <c r="I32" s="26"/>
      <c r="J32" s="26"/>
      <c r="K32" s="26"/>
    </row>
    <row r="33" spans="1:8" ht="12.75" customHeight="1">
      <c r="A33" s="28"/>
      <c r="B33" s="28"/>
      <c r="C33" s="28"/>
      <c r="D33" s="28"/>
      <c r="E33" s="28"/>
      <c r="F33" s="28"/>
      <c r="G33" s="78"/>
      <c r="H33" s="28"/>
    </row>
    <row r="34" spans="1:8" ht="12.75" customHeight="1">
      <c r="A34" s="28"/>
      <c r="B34" s="28"/>
      <c r="C34" s="28"/>
      <c r="D34" s="28"/>
      <c r="E34" s="872" t="s">
        <v>67</v>
      </c>
      <c r="F34" s="632"/>
      <c r="G34" s="633"/>
      <c r="H34" s="79">
        <f>ROUND((H13+H20+H26+H32),0)</f>
        <v>23482</v>
      </c>
    </row>
    <row r="35" spans="1:8" ht="12.75" customHeight="1">
      <c r="A35" s="28"/>
      <c r="B35" s="28"/>
      <c r="C35" s="28"/>
      <c r="D35" s="28"/>
      <c r="E35" s="46"/>
      <c r="F35" s="78"/>
      <c r="G35" s="78"/>
      <c r="H35" s="80"/>
    </row>
    <row r="36" spans="1:8" ht="12.75" customHeight="1">
      <c r="A36" s="28"/>
      <c r="B36" s="28"/>
      <c r="C36" s="28"/>
      <c r="D36" s="28"/>
      <c r="E36" s="872" t="s">
        <v>68</v>
      </c>
      <c r="F36" s="633"/>
      <c r="G36" s="81">
        <v>0.34499999999999997</v>
      </c>
      <c r="H36" s="79">
        <f>ROUND((H34*(1+G36)),0)</f>
        <v>31583</v>
      </c>
    </row>
    <row r="37" spans="1:8" ht="11.25" customHeight="1">
      <c r="A37" s="26"/>
      <c r="B37" s="26"/>
      <c r="C37" s="26"/>
      <c r="D37" s="26"/>
      <c r="E37" s="26"/>
      <c r="F37" s="26"/>
      <c r="G37" s="26"/>
      <c r="H37" s="26"/>
    </row>
  </sheetData>
  <mergeCells count="17">
    <mergeCell ref="A9:C9"/>
    <mergeCell ref="A10:C10"/>
    <mergeCell ref="A28:B28"/>
    <mergeCell ref="E34:G34"/>
    <mergeCell ref="E36:F36"/>
    <mergeCell ref="A11:C11"/>
    <mergeCell ref="A12:C12"/>
    <mergeCell ref="A15:C15"/>
    <mergeCell ref="A21:D21"/>
    <mergeCell ref="A23:B23"/>
    <mergeCell ref="A24:B24"/>
    <mergeCell ref="A27:C27"/>
    <mergeCell ref="A1:B3"/>
    <mergeCell ref="C1:F1"/>
    <mergeCell ref="G1:H3"/>
    <mergeCell ref="C2:F3"/>
    <mergeCell ref="B6:F7"/>
  </mergeCells>
  <pageMargins left="0.7" right="0.7" top="0.75" bottom="0.75" header="0" footer="0"/>
  <pageSetup scale="9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BE4D5"/>
    <pageSetUpPr fitToPage="1"/>
  </sheetPr>
  <dimension ref="A1:H40"/>
  <sheetViews>
    <sheetView view="pageBreakPreview" topLeftCell="A6" zoomScale="85" zoomScaleNormal="100" zoomScaleSheetLayoutView="85" workbookViewId="0">
      <selection activeCell="F31" sqref="F31"/>
    </sheetView>
  </sheetViews>
  <sheetFormatPr baseColWidth="10" defaultColWidth="14.5" defaultRowHeight="15" customHeight="1"/>
  <cols>
    <col min="1" max="1" width="11.5" customWidth="1"/>
    <col min="2" max="2" width="13.33203125" customWidth="1"/>
    <col min="3" max="3" width="16.5" customWidth="1"/>
    <col min="4" max="7" width="11.5" customWidth="1"/>
    <col min="8" max="8" width="12.6640625" bestFit="1" customWidth="1"/>
    <col min="9" max="26" width="11.5" customWidth="1"/>
  </cols>
  <sheetData>
    <row r="1" spans="1:8" ht="22.5" customHeight="1">
      <c r="A1" s="879"/>
      <c r="B1" s="723"/>
      <c r="C1" s="880" t="s">
        <v>39</v>
      </c>
      <c r="D1" s="734"/>
      <c r="E1" s="734"/>
      <c r="F1" s="735"/>
      <c r="G1" s="879" t="str">
        <f>DATOS!C4</f>
        <v>MUNICIPIO DE RISARALDA</v>
      </c>
      <c r="H1" s="723"/>
    </row>
    <row r="2" spans="1:8" ht="12.75" customHeight="1">
      <c r="A2" s="860"/>
      <c r="B2" s="725"/>
      <c r="C2" s="879" t="str">
        <f>DATOS!C2</f>
        <v>CONSTRUCCIÓN DE PLACA HUELLAS CON APOYO DE LA COMUNIDAD Y EL COMITÉ DE CAFETEROS EN ZONA RURAL DEL MUNICIPIO DE RISARALDA</v>
      </c>
      <c r="D2" s="703"/>
      <c r="E2" s="703"/>
      <c r="F2" s="723"/>
      <c r="G2" s="860"/>
      <c r="H2" s="725"/>
    </row>
    <row r="3" spans="1:8" ht="47.25" customHeight="1">
      <c r="A3" s="861"/>
      <c r="B3" s="862"/>
      <c r="C3" s="861"/>
      <c r="D3" s="700"/>
      <c r="E3" s="700"/>
      <c r="F3" s="862"/>
      <c r="G3" s="861"/>
      <c r="H3" s="862"/>
    </row>
    <row r="4" spans="1:8" ht="12.75" customHeight="1">
      <c r="A4" s="85"/>
      <c r="B4" s="83"/>
      <c r="C4" s="83"/>
      <c r="D4" s="83"/>
      <c r="E4" s="83"/>
      <c r="F4" s="83"/>
      <c r="G4" s="83"/>
      <c r="H4" s="83"/>
    </row>
    <row r="5" spans="1:8" ht="12.75" customHeight="1">
      <c r="A5" s="86" t="s">
        <v>69</v>
      </c>
      <c r="B5" s="82">
        <f>PRESUPUESTO!B5</f>
        <v>2</v>
      </c>
      <c r="C5" s="83"/>
      <c r="D5" s="83"/>
      <c r="E5" s="82"/>
      <c r="F5" s="83"/>
      <c r="G5" s="82"/>
      <c r="H5" s="83"/>
    </row>
    <row r="6" spans="1:8" ht="12.75" customHeight="1">
      <c r="A6" s="83"/>
      <c r="B6" s="881" t="str">
        <f>PRESUPUESTO!C5</f>
        <v>Suministro, transporte e instalacion de afirmado compactado. No incluye mano de obra no calificada.</v>
      </c>
      <c r="C6" s="865"/>
      <c r="D6" s="865"/>
      <c r="E6" s="865"/>
      <c r="F6" s="866"/>
      <c r="G6" s="82" t="s">
        <v>41</v>
      </c>
      <c r="H6" s="83" t="str">
        <f>PRESUPUESTO!D5</f>
        <v>M3</v>
      </c>
    </row>
    <row r="7" spans="1:8" ht="12.75" customHeight="1">
      <c r="A7" s="82"/>
      <c r="B7" s="867"/>
      <c r="C7" s="868"/>
      <c r="D7" s="868"/>
      <c r="E7" s="868"/>
      <c r="F7" s="869"/>
      <c r="G7" s="82"/>
      <c r="H7" s="83"/>
    </row>
    <row r="8" spans="1:8" ht="12.75" customHeight="1">
      <c r="A8" s="82" t="s">
        <v>42</v>
      </c>
      <c r="B8" s="82"/>
      <c r="C8" s="83"/>
      <c r="D8" s="83"/>
      <c r="E8" s="83"/>
      <c r="F8" s="83"/>
      <c r="G8" s="83"/>
      <c r="H8" s="83"/>
    </row>
    <row r="9" spans="1:8" ht="12.75" customHeight="1">
      <c r="A9" s="882" t="s">
        <v>43</v>
      </c>
      <c r="B9" s="640"/>
      <c r="C9" s="716"/>
      <c r="D9" s="87" t="s">
        <v>44</v>
      </c>
      <c r="E9" s="88" t="s">
        <v>70</v>
      </c>
      <c r="F9" s="87" t="s">
        <v>46</v>
      </c>
      <c r="G9" s="89" t="s">
        <v>47</v>
      </c>
      <c r="H9" s="90"/>
    </row>
    <row r="10" spans="1:8" ht="12.75" customHeight="1">
      <c r="A10" s="883" t="s">
        <v>71</v>
      </c>
      <c r="B10" s="675"/>
      <c r="C10" s="676"/>
      <c r="D10" s="91"/>
      <c r="E10" s="92">
        <f>+EQUIPO!C3</f>
        <v>52600</v>
      </c>
      <c r="F10" s="92">
        <v>10</v>
      </c>
      <c r="G10" s="93">
        <f>+E10/F10</f>
        <v>5260</v>
      </c>
      <c r="H10" s="94"/>
    </row>
    <row r="11" spans="1:8" ht="12.75" customHeight="1">
      <c r="A11" s="883"/>
      <c r="B11" s="675"/>
      <c r="C11" s="676"/>
      <c r="D11" s="95"/>
      <c r="E11" s="96"/>
      <c r="F11" s="97"/>
      <c r="G11" s="93"/>
      <c r="H11" s="94"/>
    </row>
    <row r="12" spans="1:8" ht="12.75" customHeight="1">
      <c r="A12" s="883"/>
      <c r="B12" s="675"/>
      <c r="C12" s="676"/>
      <c r="D12" s="95"/>
      <c r="E12" s="96"/>
      <c r="F12" s="97"/>
      <c r="G12" s="93"/>
      <c r="H12" s="94"/>
    </row>
    <row r="13" spans="1:8" ht="12.75" customHeight="1">
      <c r="A13" s="885"/>
      <c r="B13" s="643"/>
      <c r="C13" s="679"/>
      <c r="D13" s="98"/>
      <c r="E13" s="99"/>
      <c r="F13" s="100"/>
      <c r="G13" s="101"/>
      <c r="H13" s="102"/>
    </row>
    <row r="14" spans="1:8" ht="12.75" customHeight="1">
      <c r="A14" s="83"/>
      <c r="B14" s="83"/>
      <c r="C14" s="83"/>
      <c r="D14" s="83"/>
      <c r="E14" s="83"/>
      <c r="F14" s="83"/>
      <c r="G14" s="103" t="s">
        <v>49</v>
      </c>
      <c r="H14" s="104">
        <f>SUM(G10:G13)</f>
        <v>5260</v>
      </c>
    </row>
    <row r="15" spans="1:8" ht="12.75" customHeight="1">
      <c r="A15" s="884" t="s">
        <v>50</v>
      </c>
      <c r="B15" s="709"/>
      <c r="C15" s="875"/>
      <c r="D15" s="83"/>
      <c r="E15" s="83"/>
      <c r="F15" s="83"/>
      <c r="G15" s="83"/>
      <c r="H15" s="83"/>
    </row>
    <row r="16" spans="1:8" ht="12.75" customHeight="1">
      <c r="A16" s="882" t="s">
        <v>43</v>
      </c>
      <c r="B16" s="640"/>
      <c r="C16" s="716"/>
      <c r="D16" s="87" t="s">
        <v>51</v>
      </c>
      <c r="E16" s="87" t="s">
        <v>52</v>
      </c>
      <c r="F16" s="87" t="s">
        <v>53</v>
      </c>
      <c r="G16" s="89" t="s">
        <v>47</v>
      </c>
      <c r="H16" s="90"/>
    </row>
    <row r="17" spans="1:8" ht="12.75" customHeight="1">
      <c r="A17" s="883" t="s">
        <v>73</v>
      </c>
      <c r="B17" s="675"/>
      <c r="C17" s="676"/>
      <c r="D17" s="91" t="s">
        <v>72</v>
      </c>
      <c r="E17" s="92">
        <f>+MATERIALES!C8</f>
        <v>87000</v>
      </c>
      <c r="F17" s="97">
        <v>1.25</v>
      </c>
      <c r="G17" s="93">
        <f>E17*F17</f>
        <v>108750</v>
      </c>
      <c r="H17" s="94"/>
    </row>
    <row r="18" spans="1:8" ht="12.75" customHeight="1">
      <c r="A18" s="106"/>
      <c r="B18" s="107"/>
      <c r="C18" s="108"/>
      <c r="D18" s="91"/>
      <c r="E18" s="92"/>
      <c r="F18" s="109"/>
      <c r="G18" s="93"/>
      <c r="H18" s="94"/>
    </row>
    <row r="19" spans="1:8" ht="12.75" customHeight="1">
      <c r="A19" s="106"/>
      <c r="B19" s="107"/>
      <c r="C19" s="108"/>
      <c r="D19" s="91"/>
      <c r="E19" s="92"/>
      <c r="F19" s="109"/>
      <c r="G19" s="93"/>
      <c r="H19" s="94"/>
    </row>
    <row r="20" spans="1:8" ht="12.75" customHeight="1">
      <c r="A20" s="110"/>
      <c r="B20" s="111"/>
      <c r="C20" s="112"/>
      <c r="D20" s="98"/>
      <c r="E20" s="99"/>
      <c r="F20" s="100"/>
      <c r="G20" s="101"/>
      <c r="H20" s="102"/>
    </row>
    <row r="21" spans="1:8" ht="12.75" customHeight="1">
      <c r="A21" s="83"/>
      <c r="B21" s="83"/>
      <c r="C21" s="83"/>
      <c r="D21" s="83"/>
      <c r="E21" s="83"/>
      <c r="F21" s="83"/>
      <c r="G21" s="103" t="s">
        <v>49</v>
      </c>
      <c r="H21" s="104">
        <f>SUM(G17:G20)</f>
        <v>108750</v>
      </c>
    </row>
    <row r="22" spans="1:8" ht="12.75" customHeight="1">
      <c r="A22" s="884" t="s">
        <v>54</v>
      </c>
      <c r="B22" s="709"/>
      <c r="C22" s="875"/>
      <c r="D22" s="83"/>
      <c r="E22" s="83"/>
      <c r="F22" s="83"/>
      <c r="G22" s="83"/>
      <c r="H22" s="83"/>
    </row>
    <row r="23" spans="1:8" ht="12.75" customHeight="1">
      <c r="A23" s="113" t="s">
        <v>55</v>
      </c>
      <c r="B23" s="114"/>
      <c r="C23" s="115" t="s">
        <v>56</v>
      </c>
      <c r="D23" s="87" t="s">
        <v>57</v>
      </c>
      <c r="E23" s="87" t="s">
        <v>58</v>
      </c>
      <c r="F23" s="87" t="s">
        <v>59</v>
      </c>
      <c r="G23" s="116" t="s">
        <v>47</v>
      </c>
      <c r="H23" s="90"/>
    </row>
    <row r="24" spans="1:8" ht="12.75" customHeight="1">
      <c r="A24" s="883"/>
      <c r="B24" s="676"/>
      <c r="C24" s="97"/>
      <c r="D24" s="117"/>
      <c r="E24" s="117"/>
      <c r="F24" s="118"/>
      <c r="G24" s="97"/>
      <c r="H24" s="94"/>
    </row>
    <row r="25" spans="1:8" ht="12.75" customHeight="1">
      <c r="A25" s="106"/>
      <c r="B25" s="107"/>
      <c r="C25" s="119"/>
      <c r="D25" s="91"/>
      <c r="E25" s="120"/>
      <c r="F25" s="97"/>
      <c r="G25" s="97"/>
      <c r="H25" s="94"/>
    </row>
    <row r="26" spans="1:8" ht="12.75" customHeight="1">
      <c r="A26" s="121"/>
      <c r="B26" s="122"/>
      <c r="C26" s="98"/>
      <c r="D26" s="99"/>
      <c r="E26" s="100"/>
      <c r="F26" s="101"/>
      <c r="G26" s="98"/>
      <c r="H26" s="94"/>
    </row>
    <row r="27" spans="1:8" ht="12.75" customHeight="1">
      <c r="A27" s="83"/>
      <c r="B27" s="83"/>
      <c r="C27" s="83"/>
      <c r="D27" s="83"/>
      <c r="E27" s="83"/>
      <c r="F27" s="83"/>
      <c r="G27" s="103" t="s">
        <v>49</v>
      </c>
      <c r="H27" s="104">
        <f>SUM(G24:G26)</f>
        <v>0</v>
      </c>
    </row>
    <row r="28" spans="1:8" ht="12.75" customHeight="1">
      <c r="A28" s="884" t="s">
        <v>61</v>
      </c>
      <c r="B28" s="709"/>
      <c r="C28" s="875"/>
      <c r="D28" s="83"/>
      <c r="E28" s="83"/>
      <c r="F28" s="83"/>
      <c r="G28" s="83"/>
      <c r="H28" s="83"/>
    </row>
    <row r="29" spans="1:8" ht="12.75" customHeight="1">
      <c r="A29" s="882" t="s">
        <v>62</v>
      </c>
      <c r="B29" s="716"/>
      <c r="C29" s="123" t="s">
        <v>63</v>
      </c>
      <c r="D29" s="87" t="s">
        <v>64</v>
      </c>
      <c r="E29" s="88" t="s">
        <v>65</v>
      </c>
      <c r="F29" s="123" t="s">
        <v>46</v>
      </c>
      <c r="G29" s="89" t="s">
        <v>47</v>
      </c>
      <c r="H29" s="90"/>
    </row>
    <row r="30" spans="1:8" ht="12.75" customHeight="1">
      <c r="A30" s="106" t="s">
        <v>66</v>
      </c>
      <c r="B30" s="107"/>
      <c r="C30" s="124">
        <f>'APU 1'!$K$28*2</f>
        <v>94900</v>
      </c>
      <c r="D30" s="125">
        <f>+'APU 1'!$D$29</f>
        <v>1.8100000000000003</v>
      </c>
      <c r="E30" s="97">
        <f>+D30*C30</f>
        <v>171769.00000000003</v>
      </c>
      <c r="F30" s="97">
        <v>11.5</v>
      </c>
      <c r="G30" s="126">
        <f>+E30/F30</f>
        <v>14936.434782608698</v>
      </c>
      <c r="H30" s="94"/>
    </row>
    <row r="31" spans="1:8" ht="12.75" customHeight="1">
      <c r="A31" s="106"/>
      <c r="B31" s="107"/>
      <c r="C31" s="124"/>
      <c r="D31" s="125"/>
      <c r="E31" s="92"/>
      <c r="F31" s="97"/>
      <c r="G31" s="93"/>
      <c r="H31" s="94"/>
    </row>
    <row r="32" spans="1:8" ht="12.75" customHeight="1">
      <c r="A32" s="106"/>
      <c r="B32" s="107"/>
      <c r="C32" s="124"/>
      <c r="D32" s="125"/>
      <c r="E32" s="92"/>
      <c r="F32" s="97"/>
      <c r="G32" s="93"/>
      <c r="H32" s="94"/>
    </row>
    <row r="33" spans="1:8" ht="12.75" customHeight="1">
      <c r="A33" s="106"/>
      <c r="B33" s="107"/>
      <c r="C33" s="92"/>
      <c r="D33" s="91"/>
      <c r="E33" s="92"/>
      <c r="F33" s="97"/>
      <c r="G33" s="93"/>
      <c r="H33" s="94"/>
    </row>
    <row r="34" spans="1:8" ht="12.75" customHeight="1">
      <c r="A34" s="106"/>
      <c r="B34" s="107"/>
      <c r="C34" s="92"/>
      <c r="D34" s="91"/>
      <c r="E34" s="92"/>
      <c r="F34" s="97"/>
      <c r="G34" s="93"/>
      <c r="H34" s="94"/>
    </row>
    <row r="35" spans="1:8" ht="12.75" customHeight="1">
      <c r="A35" s="121"/>
      <c r="B35" s="127"/>
      <c r="C35" s="99"/>
      <c r="D35" s="112"/>
      <c r="E35" s="112"/>
      <c r="F35" s="112"/>
      <c r="G35" s="111"/>
      <c r="H35" s="102"/>
    </row>
    <row r="36" spans="1:8" ht="12.75" customHeight="1">
      <c r="A36" s="83"/>
      <c r="B36" s="83"/>
      <c r="C36" s="83"/>
      <c r="D36" s="83"/>
      <c r="E36" s="83"/>
      <c r="F36" s="83"/>
      <c r="G36" s="103" t="s">
        <v>49</v>
      </c>
      <c r="H36" s="104">
        <f>SUM(G30:G35)</f>
        <v>14936.434782608698</v>
      </c>
    </row>
    <row r="37" spans="1:8" ht="12.75" customHeight="1">
      <c r="A37" s="83"/>
      <c r="B37" s="83"/>
      <c r="C37" s="83"/>
      <c r="D37" s="83"/>
      <c r="E37" s="83"/>
      <c r="F37" s="83"/>
      <c r="G37" s="128"/>
      <c r="H37" s="83"/>
    </row>
    <row r="38" spans="1:8" ht="12.75" customHeight="1">
      <c r="A38" s="83"/>
      <c r="B38" s="83"/>
      <c r="C38" s="83"/>
      <c r="D38" s="83"/>
      <c r="E38" s="103" t="s">
        <v>67</v>
      </c>
      <c r="F38" s="128"/>
      <c r="G38" s="128"/>
      <c r="H38" s="129">
        <f>ROUND((H14+H21+H27+H36),0)</f>
        <v>128946</v>
      </c>
    </row>
    <row r="39" spans="1:8" ht="12.75" customHeight="1">
      <c r="A39" s="28"/>
      <c r="B39" s="28"/>
      <c r="C39" s="28"/>
      <c r="D39" s="28"/>
      <c r="E39" s="46"/>
      <c r="F39" s="78"/>
      <c r="G39" s="78"/>
      <c r="H39" s="80"/>
    </row>
    <row r="40" spans="1:8" ht="12.75" customHeight="1">
      <c r="A40" s="28"/>
      <c r="B40" s="28"/>
      <c r="C40" s="28"/>
      <c r="D40" s="28"/>
      <c r="E40" s="872" t="s">
        <v>68</v>
      </c>
      <c r="F40" s="633"/>
      <c r="G40" s="81">
        <f>+'APU 1'!G36</f>
        <v>0.34499999999999997</v>
      </c>
      <c r="H40" s="79">
        <f>ROUND((H38*(1+G40)),0)</f>
        <v>173432</v>
      </c>
    </row>
  </sheetData>
  <mergeCells count="18">
    <mergeCell ref="E40:F40"/>
    <mergeCell ref="A11:C11"/>
    <mergeCell ref="A12:C12"/>
    <mergeCell ref="A13:C13"/>
    <mergeCell ref="A15:C15"/>
    <mergeCell ref="A16:C16"/>
    <mergeCell ref="A17:C17"/>
    <mergeCell ref="A22:C22"/>
    <mergeCell ref="A9:C9"/>
    <mergeCell ref="A10:C10"/>
    <mergeCell ref="A24:B24"/>
    <mergeCell ref="A28:C28"/>
    <mergeCell ref="A29:B29"/>
    <mergeCell ref="A1:B3"/>
    <mergeCell ref="C1:F1"/>
    <mergeCell ref="G1:H3"/>
    <mergeCell ref="C2:F3"/>
    <mergeCell ref="B6:F7"/>
  </mergeCells>
  <pageMargins left="0.7" right="0.7" top="0.75" bottom="0.75" header="0" footer="0"/>
  <pageSetup scale="8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BE4D5"/>
    <pageSetUpPr fitToPage="1"/>
  </sheetPr>
  <dimension ref="A1:L47"/>
  <sheetViews>
    <sheetView view="pageBreakPreview" topLeftCell="A15" zoomScale="86" zoomScaleNormal="100" workbookViewId="0">
      <selection activeCell="F35" sqref="F35"/>
    </sheetView>
  </sheetViews>
  <sheetFormatPr baseColWidth="10" defaultColWidth="14.5" defaultRowHeight="15" customHeight="1"/>
  <cols>
    <col min="1" max="1" width="11.5" customWidth="1"/>
    <col min="2" max="2" width="14.33203125" customWidth="1"/>
    <col min="3" max="3" width="14.83203125" customWidth="1"/>
    <col min="4" max="4" width="10" customWidth="1"/>
    <col min="5" max="5" width="12" customWidth="1"/>
    <col min="6" max="6" width="9.33203125" customWidth="1"/>
    <col min="7" max="7" width="11.5" customWidth="1"/>
    <col min="8" max="8" width="12.5" bestFit="1" customWidth="1"/>
    <col min="9" max="26" width="11.5" customWidth="1"/>
  </cols>
  <sheetData>
    <row r="1" spans="1:8" ht="22.5" customHeight="1">
      <c r="A1" s="879"/>
      <c r="B1" s="723"/>
      <c r="C1" s="880" t="s">
        <v>39</v>
      </c>
      <c r="D1" s="734"/>
      <c r="E1" s="734"/>
      <c r="F1" s="735"/>
      <c r="G1" s="879" t="str">
        <f>+'APU 2'!G1:H3</f>
        <v>MUNICIPIO DE RISARALDA</v>
      </c>
      <c r="H1" s="723"/>
    </row>
    <row r="2" spans="1:8" ht="12.75" customHeight="1">
      <c r="A2" s="860"/>
      <c r="B2" s="725"/>
      <c r="C2" s="879" t="str">
        <f>+'APU 2'!C2:F3</f>
        <v>CONSTRUCCIÓN DE PLACA HUELLAS CON APOYO DE LA COMUNIDAD Y EL COMITÉ DE CAFETEROS EN ZONA RURAL DEL MUNICIPIO DE RISARALDA</v>
      </c>
      <c r="D2" s="703"/>
      <c r="E2" s="703"/>
      <c r="F2" s="723"/>
      <c r="G2" s="860"/>
      <c r="H2" s="725"/>
    </row>
    <row r="3" spans="1:8" ht="47.25" customHeight="1">
      <c r="A3" s="861"/>
      <c r="B3" s="862"/>
      <c r="C3" s="861"/>
      <c r="D3" s="700"/>
      <c r="E3" s="700"/>
      <c r="F3" s="862"/>
      <c r="G3" s="861"/>
      <c r="H3" s="862"/>
    </row>
    <row r="4" spans="1:8" ht="12.75" customHeight="1">
      <c r="A4" s="85"/>
      <c r="B4" s="83"/>
      <c r="C4" s="83"/>
      <c r="D4" s="83"/>
      <c r="E4" s="83"/>
      <c r="F4" s="83"/>
      <c r="G4" s="83"/>
      <c r="H4" s="83"/>
    </row>
    <row r="5" spans="1:8" ht="12.75" customHeight="1">
      <c r="A5" s="86" t="s">
        <v>40</v>
      </c>
      <c r="B5" s="82">
        <f>PRESUPUESTO!B6</f>
        <v>3</v>
      </c>
      <c r="C5" s="83"/>
      <c r="D5" s="83"/>
      <c r="E5" s="82"/>
      <c r="F5" s="83"/>
      <c r="G5" s="130"/>
      <c r="H5" s="130"/>
    </row>
    <row r="6" spans="1:8" ht="12.75" customHeight="1">
      <c r="A6" s="83"/>
      <c r="B6" s="886" t="str">
        <f>PRESUPUESTO!C6</f>
        <v>Concreto clase D: Concreto de 3000 PSI. Incluye preparación e instalación de concreto en placas, vigas y cunetas. Incluye formaleta. Incluye agregados. No incluye suministro de cemento. No incluye mano de obra no calificada.</v>
      </c>
      <c r="C6" s="865"/>
      <c r="D6" s="865"/>
      <c r="E6" s="865"/>
      <c r="F6" s="866"/>
      <c r="G6" s="130" t="s">
        <v>41</v>
      </c>
      <c r="H6" s="130" t="str">
        <f>PRESUPUESTO!D6</f>
        <v>M3</v>
      </c>
    </row>
    <row r="7" spans="1:8" ht="50.25" customHeight="1">
      <c r="A7" s="82"/>
      <c r="B7" s="867"/>
      <c r="C7" s="868"/>
      <c r="D7" s="868"/>
      <c r="E7" s="868"/>
      <c r="F7" s="869"/>
      <c r="G7" s="82"/>
      <c r="H7" s="83"/>
    </row>
    <row r="8" spans="1:8" ht="12.75" customHeight="1">
      <c r="A8" s="82" t="s">
        <v>42</v>
      </c>
      <c r="B8" s="82"/>
      <c r="C8" s="83"/>
      <c r="D8" s="83"/>
      <c r="E8" s="83"/>
      <c r="F8" s="83"/>
      <c r="G8" s="83"/>
      <c r="H8" s="83"/>
    </row>
    <row r="9" spans="1:8" ht="12.75" customHeight="1">
      <c r="A9" s="882" t="s">
        <v>43</v>
      </c>
      <c r="B9" s="640"/>
      <c r="C9" s="716"/>
      <c r="D9" s="87" t="s">
        <v>44</v>
      </c>
      <c r="E9" s="88" t="s">
        <v>45</v>
      </c>
      <c r="F9" s="87" t="s">
        <v>46</v>
      </c>
      <c r="G9" s="89" t="s">
        <v>47</v>
      </c>
      <c r="H9" s="90"/>
    </row>
    <row r="10" spans="1:8" ht="12.75" customHeight="1">
      <c r="A10" s="883" t="s">
        <v>74</v>
      </c>
      <c r="B10" s="675"/>
      <c r="C10" s="676"/>
      <c r="D10" s="91"/>
      <c r="E10" s="97">
        <f>EQUIPO!$C$4</f>
        <v>9205</v>
      </c>
      <c r="F10" s="97">
        <v>1</v>
      </c>
      <c r="G10" s="93">
        <f t="shared" ref="G10:G11" si="0">+E10/F10</f>
        <v>9205</v>
      </c>
      <c r="H10" s="94"/>
    </row>
    <row r="11" spans="1:8" ht="12.75" customHeight="1">
      <c r="A11" s="883" t="s">
        <v>75</v>
      </c>
      <c r="B11" s="675"/>
      <c r="C11" s="676"/>
      <c r="D11" s="95"/>
      <c r="E11" s="97">
        <f>EQUIPO!$C$5</f>
        <v>6575</v>
      </c>
      <c r="F11" s="97">
        <f>F10</f>
        <v>1</v>
      </c>
      <c r="G11" s="93">
        <f t="shared" si="0"/>
        <v>6575</v>
      </c>
      <c r="H11" s="94"/>
    </row>
    <row r="12" spans="1:8" ht="12.75" customHeight="1">
      <c r="A12" s="883" t="s">
        <v>76</v>
      </c>
      <c r="B12" s="675"/>
      <c r="C12" s="676"/>
      <c r="D12" s="95"/>
      <c r="E12" s="96">
        <f>H38</f>
        <v>98767.175000000003</v>
      </c>
      <c r="F12" s="97">
        <v>0.08</v>
      </c>
      <c r="G12" s="93">
        <f>E12*F12</f>
        <v>7901.3740000000007</v>
      </c>
      <c r="H12" s="94"/>
    </row>
    <row r="13" spans="1:8" ht="12.75" customHeight="1">
      <c r="A13" s="883"/>
      <c r="B13" s="675"/>
      <c r="C13" s="676"/>
      <c r="D13" s="95"/>
      <c r="E13" s="96"/>
      <c r="F13" s="97"/>
      <c r="G13" s="93"/>
      <c r="H13" s="94"/>
    </row>
    <row r="14" spans="1:8" ht="12.75" customHeight="1">
      <c r="A14" s="883"/>
      <c r="B14" s="675"/>
      <c r="C14" s="676"/>
      <c r="D14" s="95"/>
      <c r="E14" s="96"/>
      <c r="F14" s="97"/>
      <c r="G14" s="93"/>
      <c r="H14" s="94"/>
    </row>
    <row r="15" spans="1:8" ht="12.75" customHeight="1">
      <c r="A15" s="885"/>
      <c r="B15" s="643"/>
      <c r="C15" s="679"/>
      <c r="D15" s="98"/>
      <c r="E15" s="99"/>
      <c r="F15" s="100"/>
      <c r="G15" s="101"/>
      <c r="H15" s="102"/>
    </row>
    <row r="16" spans="1:8" ht="12.75" customHeight="1">
      <c r="A16" s="83"/>
      <c r="B16" s="83"/>
      <c r="C16" s="83"/>
      <c r="D16" s="83"/>
      <c r="E16" s="83"/>
      <c r="F16" s="83"/>
      <c r="G16" s="103" t="s">
        <v>49</v>
      </c>
      <c r="H16" s="104">
        <f>SUM(G10:G15)</f>
        <v>23681.374</v>
      </c>
    </row>
    <row r="17" spans="1:12" ht="12.75" customHeight="1">
      <c r="A17" s="884" t="s">
        <v>50</v>
      </c>
      <c r="B17" s="875"/>
      <c r="C17" s="83"/>
      <c r="D17" s="83"/>
      <c r="E17" s="83"/>
      <c r="F17" s="83"/>
      <c r="G17" s="83"/>
      <c r="H17" s="83"/>
      <c r="I17" s="83"/>
      <c r="J17" s="83"/>
      <c r="K17" s="83"/>
      <c r="L17" s="83"/>
    </row>
    <row r="18" spans="1:12" ht="12.75" customHeight="1">
      <c r="A18" s="882" t="s">
        <v>43</v>
      </c>
      <c r="B18" s="640"/>
      <c r="C18" s="716"/>
      <c r="D18" s="87" t="s">
        <v>51</v>
      </c>
      <c r="E18" s="87" t="s">
        <v>52</v>
      </c>
      <c r="F18" s="87" t="s">
        <v>53</v>
      </c>
      <c r="G18" s="89" t="s">
        <v>47</v>
      </c>
      <c r="H18" s="90"/>
      <c r="I18" s="83"/>
      <c r="J18" s="83"/>
      <c r="K18" s="83"/>
      <c r="L18" s="83"/>
    </row>
    <row r="19" spans="1:12" ht="12.75" customHeight="1">
      <c r="A19" s="131" t="s">
        <v>77</v>
      </c>
      <c r="B19" s="132"/>
      <c r="C19" s="133"/>
      <c r="D19" s="91" t="s">
        <v>72</v>
      </c>
      <c r="E19" s="92">
        <f>+MATERIALES!C5</f>
        <v>113616</v>
      </c>
      <c r="F19" s="109">
        <f>0.56*1.03</f>
        <v>0.57680000000000009</v>
      </c>
      <c r="G19" s="93">
        <f t="shared" ref="G19:G22" si="1">E19*F19</f>
        <v>65533.708800000008</v>
      </c>
      <c r="H19" s="94"/>
      <c r="I19" s="105"/>
      <c r="J19" s="134"/>
      <c r="K19" s="134"/>
      <c r="L19" s="134"/>
    </row>
    <row r="20" spans="1:12" ht="12.75" customHeight="1">
      <c r="A20" s="131" t="s">
        <v>78</v>
      </c>
      <c r="B20" s="132"/>
      <c r="C20" s="133"/>
      <c r="D20" s="95" t="s">
        <v>72</v>
      </c>
      <c r="E20" s="96">
        <f>+MATERIALES!C10</f>
        <v>113616</v>
      </c>
      <c r="F20" s="135">
        <f>0.84*1.03</f>
        <v>0.86519999999999997</v>
      </c>
      <c r="G20" s="93">
        <f t="shared" si="1"/>
        <v>98300.56319999999</v>
      </c>
      <c r="H20" s="94"/>
      <c r="I20" s="83"/>
      <c r="J20" s="83"/>
      <c r="K20" s="83"/>
      <c r="L20" s="83"/>
    </row>
    <row r="21" spans="1:12" ht="12.75" customHeight="1">
      <c r="A21" s="131" t="s">
        <v>79</v>
      </c>
      <c r="B21" s="132"/>
      <c r="C21" s="133"/>
      <c r="D21" s="95" t="s">
        <v>20</v>
      </c>
      <c r="E21" s="96">
        <f>+MATERIALES!C6</f>
        <v>26300</v>
      </c>
      <c r="F21" s="135">
        <v>3</v>
      </c>
      <c r="G21" s="93">
        <f t="shared" si="1"/>
        <v>78900</v>
      </c>
      <c r="H21" s="94"/>
      <c r="I21" s="83"/>
      <c r="J21" s="83"/>
      <c r="K21" s="83"/>
      <c r="L21" s="83"/>
    </row>
    <row r="22" spans="1:12" ht="12.75" customHeight="1">
      <c r="A22" s="131" t="s">
        <v>293</v>
      </c>
      <c r="B22" s="573"/>
      <c r="C22" s="133"/>
      <c r="D22" s="574" t="s">
        <v>16</v>
      </c>
      <c r="E22" s="575">
        <f>+MATERIALES!$C$3</f>
        <v>90</v>
      </c>
      <c r="F22" s="576">
        <v>180</v>
      </c>
      <c r="G22" s="93">
        <f t="shared" si="1"/>
        <v>16200</v>
      </c>
      <c r="H22" s="94"/>
      <c r="I22" s="577"/>
      <c r="J22" s="577"/>
      <c r="K22" s="577"/>
      <c r="L22" s="577"/>
    </row>
    <row r="23" spans="1:12" ht="12.75" customHeight="1">
      <c r="A23" s="131"/>
      <c r="B23" s="132"/>
      <c r="C23" s="133"/>
      <c r="D23" s="95"/>
      <c r="E23" s="96"/>
      <c r="F23" s="135"/>
      <c r="G23" s="93"/>
      <c r="H23" s="94"/>
      <c r="I23" s="83"/>
      <c r="J23" s="83"/>
      <c r="K23" s="83"/>
      <c r="L23" s="83"/>
    </row>
    <row r="24" spans="1:12" ht="12.75" customHeight="1">
      <c r="A24" s="136"/>
      <c r="B24" s="137"/>
      <c r="C24" s="138"/>
      <c r="D24" s="98"/>
      <c r="E24" s="99"/>
      <c r="F24" s="100"/>
      <c r="G24" s="101"/>
      <c r="H24" s="102"/>
      <c r="I24" s="83"/>
      <c r="J24" s="83"/>
      <c r="K24" s="83"/>
      <c r="L24" s="83"/>
    </row>
    <row r="25" spans="1:12" ht="12.75" customHeight="1">
      <c r="A25" s="83"/>
      <c r="B25" s="83"/>
      <c r="C25" s="83"/>
      <c r="D25" s="83"/>
      <c r="E25" s="83"/>
      <c r="F25" s="83"/>
      <c r="G25" s="103" t="s">
        <v>49</v>
      </c>
      <c r="H25" s="104">
        <f>SUM(G19:G24)</f>
        <v>258934.272</v>
      </c>
      <c r="I25" s="105"/>
      <c r="J25" s="83"/>
      <c r="K25" s="83"/>
      <c r="L25" s="83"/>
    </row>
    <row r="26" spans="1:12" ht="12.75" customHeight="1">
      <c r="A26" s="884" t="s">
        <v>54</v>
      </c>
      <c r="B26" s="875"/>
      <c r="C26" s="111"/>
      <c r="D26" s="83"/>
      <c r="E26" s="83"/>
      <c r="F26" s="83"/>
      <c r="G26" s="83"/>
      <c r="H26" s="83"/>
      <c r="I26" s="83"/>
      <c r="J26" s="83"/>
      <c r="K26" s="83"/>
      <c r="L26" s="83"/>
    </row>
    <row r="27" spans="1:12" ht="12.75" customHeight="1">
      <c r="A27" s="139" t="s">
        <v>55</v>
      </c>
      <c r="B27" s="114"/>
      <c r="C27" s="115" t="s">
        <v>56</v>
      </c>
      <c r="D27" s="87" t="s">
        <v>57</v>
      </c>
      <c r="E27" s="87" t="s">
        <v>58</v>
      </c>
      <c r="F27" s="87" t="s">
        <v>59</v>
      </c>
      <c r="G27" s="116" t="s">
        <v>47</v>
      </c>
      <c r="H27" s="90"/>
      <c r="I27" s="83"/>
      <c r="J27" s="83"/>
      <c r="K27" s="83"/>
      <c r="L27" s="83"/>
    </row>
    <row r="28" spans="1:12" ht="12.75" customHeight="1">
      <c r="A28" s="883"/>
      <c r="B28" s="676"/>
      <c r="C28" s="97"/>
      <c r="D28" s="117"/>
      <c r="E28" s="117"/>
      <c r="F28" s="118"/>
      <c r="G28" s="97"/>
      <c r="H28" s="94"/>
      <c r="I28" s="83"/>
      <c r="J28" s="83"/>
      <c r="K28" s="83"/>
      <c r="L28" s="83"/>
    </row>
    <row r="29" spans="1:12" ht="12.75" customHeight="1">
      <c r="A29" s="106"/>
      <c r="B29" s="107"/>
      <c r="C29" s="97"/>
      <c r="D29" s="117"/>
      <c r="E29" s="117"/>
      <c r="F29" s="118"/>
      <c r="G29" s="97"/>
      <c r="H29" s="94"/>
      <c r="I29" s="83"/>
      <c r="J29" s="83"/>
      <c r="K29" s="83"/>
      <c r="L29" s="83"/>
    </row>
    <row r="30" spans="1:12" ht="12.75" customHeight="1">
      <c r="A30" s="121"/>
      <c r="B30" s="122"/>
      <c r="C30" s="98"/>
      <c r="D30" s="99"/>
      <c r="E30" s="100"/>
      <c r="F30" s="101"/>
      <c r="G30" s="98"/>
      <c r="H30" s="94"/>
      <c r="I30" s="83"/>
      <c r="J30" s="83"/>
      <c r="K30" s="83"/>
      <c r="L30" s="83"/>
    </row>
    <row r="31" spans="1:12" ht="12.75" customHeight="1">
      <c r="A31" s="83"/>
      <c r="B31" s="83"/>
      <c r="C31" s="83"/>
      <c r="D31" s="83"/>
      <c r="E31" s="83"/>
      <c r="F31" s="83"/>
      <c r="G31" s="103" t="s">
        <v>49</v>
      </c>
      <c r="H31" s="104">
        <f>SUM(G28:G30)</f>
        <v>0</v>
      </c>
      <c r="I31" s="83"/>
      <c r="J31" s="83"/>
      <c r="K31" s="83"/>
      <c r="L31" s="83"/>
    </row>
    <row r="32" spans="1:12" ht="12.75" customHeight="1">
      <c r="A32" s="140" t="s">
        <v>61</v>
      </c>
      <c r="B32" s="140"/>
      <c r="C32" s="141"/>
      <c r="D32" s="83"/>
      <c r="E32" s="83"/>
      <c r="F32" s="83"/>
      <c r="G32" s="83"/>
      <c r="H32" s="83"/>
      <c r="I32" s="83"/>
      <c r="J32" s="83"/>
      <c r="K32" s="83"/>
      <c r="L32" s="83"/>
    </row>
    <row r="33" spans="1:12" ht="12.75" customHeight="1">
      <c r="A33" s="882" t="s">
        <v>62</v>
      </c>
      <c r="B33" s="716"/>
      <c r="C33" s="123" t="s">
        <v>63</v>
      </c>
      <c r="D33" s="87" t="s">
        <v>64</v>
      </c>
      <c r="E33" s="88" t="s">
        <v>65</v>
      </c>
      <c r="F33" s="123" t="s">
        <v>46</v>
      </c>
      <c r="G33" s="89" t="s">
        <v>47</v>
      </c>
      <c r="H33" s="90"/>
      <c r="I33" s="83"/>
      <c r="J33" s="83"/>
      <c r="K33" s="83"/>
      <c r="L33" s="83"/>
    </row>
    <row r="34" spans="1:12" ht="12.75" customHeight="1">
      <c r="A34" s="106" t="s">
        <v>80</v>
      </c>
      <c r="B34" s="107"/>
      <c r="C34" s="124">
        <f>'APU 1'!K28*2</f>
        <v>94900</v>
      </c>
      <c r="D34" s="125">
        <f>+'APU 1'!$D$29</f>
        <v>1.8100000000000003</v>
      </c>
      <c r="E34" s="97">
        <f>+D34*C34</f>
        <v>171769.00000000003</v>
      </c>
      <c r="F34" s="97">
        <v>0.57499999999999996</v>
      </c>
      <c r="G34" s="126">
        <f>+E34*F34</f>
        <v>98767.175000000003</v>
      </c>
      <c r="H34" s="94"/>
      <c r="I34" s="83"/>
      <c r="J34" s="83"/>
    </row>
    <row r="35" spans="1:12" ht="12.75" customHeight="1">
      <c r="A35" s="106"/>
      <c r="B35" s="107"/>
      <c r="C35" s="92"/>
      <c r="D35" s="91"/>
      <c r="E35" s="92"/>
      <c r="F35" s="97"/>
      <c r="G35" s="93"/>
      <c r="H35" s="94"/>
      <c r="I35" s="83"/>
      <c r="J35" s="83"/>
    </row>
    <row r="36" spans="1:12" ht="12.75" customHeight="1">
      <c r="A36" s="106"/>
      <c r="B36" s="107"/>
      <c r="C36" s="92"/>
      <c r="D36" s="91"/>
      <c r="E36" s="92"/>
      <c r="F36" s="97"/>
      <c r="G36" s="93"/>
      <c r="H36" s="94"/>
      <c r="I36" s="83"/>
      <c r="J36" s="83"/>
    </row>
    <row r="37" spans="1:12" ht="12.75" customHeight="1">
      <c r="A37" s="121"/>
      <c r="B37" s="127"/>
      <c r="C37" s="99"/>
      <c r="D37" s="112"/>
      <c r="E37" s="112"/>
      <c r="F37" s="112"/>
      <c r="G37" s="111"/>
      <c r="H37" s="102"/>
      <c r="I37" s="83"/>
      <c r="J37" s="83"/>
    </row>
    <row r="38" spans="1:12" ht="14.25" customHeight="1">
      <c r="A38" s="83"/>
      <c r="B38" s="83"/>
      <c r="C38" s="83"/>
      <c r="D38" s="83"/>
      <c r="E38" s="83"/>
      <c r="F38" s="83"/>
      <c r="G38" s="103" t="s">
        <v>49</v>
      </c>
      <c r="H38" s="104">
        <f>SUM(G34:G37)</f>
        <v>98767.175000000003</v>
      </c>
      <c r="I38" s="105"/>
      <c r="J38" s="105"/>
    </row>
    <row r="39" spans="1:12" ht="12.75" customHeight="1">
      <c r="A39" s="83"/>
      <c r="B39" s="83"/>
      <c r="C39" s="83"/>
      <c r="D39" s="83"/>
      <c r="E39" s="83"/>
      <c r="F39" s="83"/>
      <c r="G39" s="83"/>
      <c r="H39" s="103"/>
      <c r="I39" s="83"/>
      <c r="J39" s="83"/>
    </row>
    <row r="40" spans="1:12" ht="12.75" customHeight="1">
      <c r="A40" s="83"/>
      <c r="B40" s="83"/>
      <c r="C40" s="83"/>
      <c r="D40" s="83"/>
      <c r="E40" s="103" t="s">
        <v>67</v>
      </c>
      <c r="F40" s="128"/>
      <c r="G40" s="128"/>
      <c r="H40" s="104">
        <f>ROUND((H16+H25+H31+H38),0)</f>
        <v>381383</v>
      </c>
      <c r="I40" s="142"/>
      <c r="J40" s="83"/>
    </row>
    <row r="41" spans="1:12" ht="12.75" customHeight="1">
      <c r="A41" s="28"/>
      <c r="B41" s="28"/>
      <c r="C41" s="28"/>
      <c r="D41" s="28"/>
      <c r="E41" s="46"/>
      <c r="F41" s="78"/>
      <c r="G41" s="78"/>
      <c r="H41" s="80"/>
      <c r="I41" s="26"/>
      <c r="J41" s="26"/>
    </row>
    <row r="42" spans="1:12" ht="12.75" customHeight="1">
      <c r="A42" s="28"/>
      <c r="B42" s="28"/>
      <c r="C42" s="28"/>
      <c r="D42" s="28"/>
      <c r="E42" s="872" t="s">
        <v>68</v>
      </c>
      <c r="F42" s="633"/>
      <c r="G42" s="81">
        <f>+'APU 1'!G36</f>
        <v>0.34499999999999997</v>
      </c>
      <c r="H42" s="79">
        <f>ROUND((H40*(1+G42)),0)</f>
        <v>512960</v>
      </c>
      <c r="I42" s="26"/>
      <c r="J42" s="26"/>
    </row>
    <row r="43" spans="1:12" ht="12.75" customHeight="1">
      <c r="A43" s="83"/>
      <c r="B43" s="83"/>
      <c r="C43" s="83"/>
      <c r="D43" s="84"/>
      <c r="E43" s="84"/>
      <c r="F43" s="84"/>
      <c r="G43" s="84"/>
      <c r="H43" s="143"/>
      <c r="I43" s="144"/>
      <c r="J43" s="84"/>
    </row>
    <row r="44" spans="1:12" ht="12.75" customHeight="1">
      <c r="A44" s="83"/>
      <c r="B44" s="83"/>
      <c r="C44" s="83"/>
      <c r="D44" s="84"/>
      <c r="E44" s="84"/>
      <c r="F44" s="84"/>
      <c r="G44" s="84"/>
      <c r="H44" s="84"/>
      <c r="I44" s="84"/>
      <c r="J44" s="84"/>
    </row>
    <row r="45" spans="1:12" ht="12.75" customHeight="1">
      <c r="A45" s="82"/>
      <c r="B45" s="83"/>
      <c r="C45" s="84"/>
      <c r="D45" s="84"/>
      <c r="E45" s="887"/>
      <c r="F45" s="632"/>
      <c r="G45" s="633"/>
      <c r="H45" s="145"/>
      <c r="I45" s="84"/>
      <c r="J45" s="84"/>
    </row>
    <row r="46" spans="1:12" ht="12.75" customHeight="1">
      <c r="A46" s="83"/>
      <c r="B46" s="83"/>
      <c r="C46" s="84"/>
      <c r="D46" s="84"/>
      <c r="E46" s="888"/>
      <c r="F46" s="632"/>
      <c r="G46" s="633"/>
      <c r="H46" s="141"/>
      <c r="I46" s="84"/>
      <c r="J46" s="84"/>
    </row>
    <row r="47" spans="1:12" ht="12.75" customHeight="1">
      <c r="A47" s="84"/>
      <c r="B47" s="84"/>
      <c r="C47" s="84"/>
      <c r="D47" s="83"/>
      <c r="E47" s="887"/>
      <c r="F47" s="632"/>
      <c r="G47" s="632"/>
      <c r="H47" s="633"/>
      <c r="I47" s="83"/>
      <c r="J47" s="83"/>
    </row>
  </sheetData>
  <mergeCells count="21">
    <mergeCell ref="E42:F42"/>
    <mergeCell ref="E45:G45"/>
    <mergeCell ref="E46:G46"/>
    <mergeCell ref="E47:H47"/>
    <mergeCell ref="A11:C11"/>
    <mergeCell ref="A12:C12"/>
    <mergeCell ref="A13:C13"/>
    <mergeCell ref="A14:C14"/>
    <mergeCell ref="A15:C15"/>
    <mergeCell ref="A17:B17"/>
    <mergeCell ref="A18:C18"/>
    <mergeCell ref="A9:C9"/>
    <mergeCell ref="A10:C10"/>
    <mergeCell ref="A26:B26"/>
    <mergeCell ref="A28:B28"/>
    <mergeCell ref="A33:B33"/>
    <mergeCell ref="A1:B3"/>
    <mergeCell ref="C1:F1"/>
    <mergeCell ref="G1:H3"/>
    <mergeCell ref="C2:F3"/>
    <mergeCell ref="B6:F7"/>
  </mergeCells>
  <pageMargins left="0.7" right="0.7" top="0.75" bottom="0.75" header="0" footer="0"/>
  <pageSetup scale="88"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BE4D5"/>
    <pageSetUpPr fitToPage="1"/>
  </sheetPr>
  <dimension ref="A1:L41"/>
  <sheetViews>
    <sheetView view="pageBreakPreview" topLeftCell="A11" zoomScale="85" zoomScaleNormal="100" zoomScaleSheetLayoutView="85" workbookViewId="0">
      <selection activeCell="F35" sqref="F35"/>
    </sheetView>
  </sheetViews>
  <sheetFormatPr baseColWidth="10" defaultColWidth="14.5" defaultRowHeight="15" customHeight="1"/>
  <cols>
    <col min="1" max="1" width="11.5" customWidth="1"/>
    <col min="2" max="2" width="15.5" customWidth="1"/>
    <col min="3" max="3" width="14" customWidth="1"/>
    <col min="4" max="7" width="11.5" customWidth="1"/>
    <col min="8" max="8" width="13" bestFit="1" customWidth="1"/>
    <col min="9" max="26" width="11.5" customWidth="1"/>
  </cols>
  <sheetData>
    <row r="1" spans="1:8" ht="22.5" customHeight="1">
      <c r="A1" s="879"/>
      <c r="B1" s="723"/>
      <c r="C1" s="880" t="s">
        <v>39</v>
      </c>
      <c r="D1" s="734"/>
      <c r="E1" s="734"/>
      <c r="F1" s="735"/>
      <c r="G1" s="879" t="str">
        <f>DATOS!C4</f>
        <v>MUNICIPIO DE RISARALDA</v>
      </c>
      <c r="H1" s="723"/>
    </row>
    <row r="2" spans="1:8" ht="12.75" customHeight="1">
      <c r="A2" s="860"/>
      <c r="B2" s="725"/>
      <c r="C2" s="879" t="str">
        <f>DATOS!C2</f>
        <v>CONSTRUCCIÓN DE PLACA HUELLAS CON APOYO DE LA COMUNIDAD Y EL COMITÉ DE CAFETEROS EN ZONA RURAL DEL MUNICIPIO DE RISARALDA</v>
      </c>
      <c r="D2" s="703"/>
      <c r="E2" s="703"/>
      <c r="F2" s="723"/>
      <c r="G2" s="860"/>
      <c r="H2" s="725"/>
    </row>
    <row r="3" spans="1:8" ht="47.25" customHeight="1">
      <c r="A3" s="861"/>
      <c r="B3" s="862"/>
      <c r="C3" s="861"/>
      <c r="D3" s="700"/>
      <c r="E3" s="700"/>
      <c r="F3" s="862"/>
      <c r="G3" s="861"/>
      <c r="H3" s="862"/>
    </row>
    <row r="4" spans="1:8" ht="12.75" customHeight="1">
      <c r="A4" s="85"/>
      <c r="B4" s="83"/>
      <c r="C4" s="83"/>
      <c r="D4" s="83"/>
      <c r="E4" s="83"/>
      <c r="F4" s="83"/>
      <c r="G4" s="83"/>
      <c r="H4" s="83"/>
    </row>
    <row r="5" spans="1:8" ht="12.75" customHeight="1">
      <c r="A5" s="86" t="s">
        <v>40</v>
      </c>
      <c r="B5" s="82">
        <f>PRESUPUESTO!B7</f>
        <v>4</v>
      </c>
      <c r="C5" s="83"/>
      <c r="D5" s="83"/>
      <c r="E5" s="82"/>
      <c r="F5" s="83"/>
      <c r="G5" s="130"/>
      <c r="H5" s="130"/>
    </row>
    <row r="6" spans="1:8" ht="12.75" customHeight="1">
      <c r="A6" s="83"/>
      <c r="B6" s="886" t="str">
        <f>PRESUPUESTO!C7</f>
        <v>Concreto clase G: 60% concreto clase D y 40% Piedra. Incluye preparación e instalación de concreto en enrocados. Incluye agregados. No incluye suministro de cemento. No incluye mano de obra no calificada.</v>
      </c>
      <c r="C6" s="865"/>
      <c r="D6" s="865"/>
      <c r="E6" s="865"/>
      <c r="F6" s="866"/>
      <c r="G6" s="130" t="s">
        <v>41</v>
      </c>
      <c r="H6" s="130" t="str">
        <f>PRESUPUESTO!D7</f>
        <v>M3</v>
      </c>
    </row>
    <row r="7" spans="1:8" ht="45" customHeight="1">
      <c r="A7" s="82"/>
      <c r="B7" s="867"/>
      <c r="C7" s="868"/>
      <c r="D7" s="868"/>
      <c r="E7" s="868"/>
      <c r="F7" s="869"/>
      <c r="G7" s="82"/>
      <c r="H7" s="83"/>
    </row>
    <row r="8" spans="1:8" ht="12.75" customHeight="1">
      <c r="A8" s="82" t="s">
        <v>42</v>
      </c>
      <c r="B8" s="82"/>
      <c r="C8" s="83"/>
      <c r="D8" s="83"/>
      <c r="E8" s="83"/>
      <c r="F8" s="83"/>
      <c r="G8" s="83"/>
      <c r="H8" s="83"/>
    </row>
    <row r="9" spans="1:8" ht="12.75" customHeight="1">
      <c r="A9" s="882" t="s">
        <v>43</v>
      </c>
      <c r="B9" s="640"/>
      <c r="C9" s="716"/>
      <c r="D9" s="87" t="s">
        <v>44</v>
      </c>
      <c r="E9" s="88" t="s">
        <v>45</v>
      </c>
      <c r="F9" s="87" t="s">
        <v>46</v>
      </c>
      <c r="G9" s="89" t="s">
        <v>47</v>
      </c>
      <c r="H9" s="90"/>
    </row>
    <row r="10" spans="1:8" ht="12.75" customHeight="1">
      <c r="A10" s="883" t="s">
        <v>74</v>
      </c>
      <c r="B10" s="675"/>
      <c r="C10" s="676"/>
      <c r="D10" s="91"/>
      <c r="E10" s="97">
        <f>EQUIPO!$C$4</f>
        <v>9205</v>
      </c>
      <c r="F10" s="97">
        <v>1.2</v>
      </c>
      <c r="G10" s="93">
        <f t="shared" ref="G10:G11" si="0">+E10/F10</f>
        <v>7670.8333333333339</v>
      </c>
      <c r="H10" s="94"/>
    </row>
    <row r="11" spans="1:8" ht="12.75" customHeight="1">
      <c r="A11" s="891" t="s">
        <v>75</v>
      </c>
      <c r="B11" s="892"/>
      <c r="C11" s="893"/>
      <c r="D11" s="95"/>
      <c r="E11" s="97">
        <f>EQUIPO!$C$5</f>
        <v>6575</v>
      </c>
      <c r="F11" s="97">
        <f>F10</f>
        <v>1.2</v>
      </c>
      <c r="G11" s="93">
        <f t="shared" si="0"/>
        <v>5479.166666666667</v>
      </c>
      <c r="H11" s="94"/>
    </row>
    <row r="12" spans="1:8" ht="12.75" customHeight="1">
      <c r="A12" s="883" t="s">
        <v>76</v>
      </c>
      <c r="B12" s="675"/>
      <c r="C12" s="676"/>
      <c r="D12" s="95"/>
      <c r="E12" s="96">
        <f>+H37</f>
        <v>86737.345000000016</v>
      </c>
      <c r="F12" s="97">
        <v>0.08</v>
      </c>
      <c r="G12" s="93">
        <f>E12*F12</f>
        <v>6938.9876000000013</v>
      </c>
      <c r="H12" s="94"/>
    </row>
    <row r="13" spans="1:8" ht="12.75" customHeight="1">
      <c r="A13" s="885"/>
      <c r="B13" s="643"/>
      <c r="C13" s="679"/>
      <c r="D13" s="98"/>
      <c r="E13" s="99"/>
      <c r="F13" s="100"/>
      <c r="G13" s="101"/>
      <c r="H13" s="102"/>
    </row>
    <row r="14" spans="1:8" ht="12.75" customHeight="1">
      <c r="A14" s="150"/>
      <c r="B14" s="83"/>
      <c r="C14" s="83"/>
      <c r="D14" s="83"/>
      <c r="E14" s="83"/>
      <c r="F14" s="83"/>
      <c r="G14" s="103" t="s">
        <v>49</v>
      </c>
      <c r="H14" s="104">
        <f>SUM(G10:G13)</f>
        <v>20088.9876</v>
      </c>
    </row>
    <row r="15" spans="1:8" ht="12.75" customHeight="1">
      <c r="A15" s="890" t="s">
        <v>50</v>
      </c>
      <c r="B15" s="875"/>
      <c r="C15" s="83"/>
      <c r="D15" s="83"/>
      <c r="E15" s="83"/>
      <c r="F15" s="83"/>
      <c r="G15" s="83"/>
      <c r="H15" s="151"/>
    </row>
    <row r="16" spans="1:8" ht="12.75" customHeight="1">
      <c r="A16" s="152" t="s">
        <v>43</v>
      </c>
      <c r="B16" s="153"/>
      <c r="C16" s="87"/>
      <c r="D16" s="87" t="s">
        <v>51</v>
      </c>
      <c r="E16" s="87" t="s">
        <v>52</v>
      </c>
      <c r="F16" s="87" t="s">
        <v>53</v>
      </c>
      <c r="G16" s="89" t="s">
        <v>47</v>
      </c>
      <c r="H16" s="90"/>
    </row>
    <row r="17" spans="1:12" ht="12.75" customHeight="1">
      <c r="A17" s="131" t="s">
        <v>77</v>
      </c>
      <c r="B17" s="132"/>
      <c r="C17" s="133"/>
      <c r="D17" s="91" t="s">
        <v>72</v>
      </c>
      <c r="E17" s="92">
        <f>+'APU 3'!E19</f>
        <v>113616</v>
      </c>
      <c r="F17" s="109">
        <f>0.56*1.03*0.6</f>
        <v>0.34608000000000005</v>
      </c>
      <c r="G17" s="93">
        <f t="shared" ref="G17:G20" si="1">E17*F17</f>
        <v>39320.225280000006</v>
      </c>
      <c r="H17" s="94"/>
      <c r="I17" s="83"/>
    </row>
    <row r="18" spans="1:12" ht="12.75" customHeight="1">
      <c r="A18" s="131" t="s">
        <v>78</v>
      </c>
      <c r="B18" s="132"/>
      <c r="C18" s="133"/>
      <c r="D18" s="95" t="s">
        <v>72</v>
      </c>
      <c r="E18" s="92">
        <f>+'APU 3'!E20</f>
        <v>113616</v>
      </c>
      <c r="F18" s="135">
        <f>0.84*1.03*0.6</f>
        <v>0.51911999999999991</v>
      </c>
      <c r="G18" s="93">
        <f t="shared" si="1"/>
        <v>58980.337919999991</v>
      </c>
      <c r="H18" s="94"/>
      <c r="I18" s="83"/>
    </row>
    <row r="19" spans="1:12" ht="12.75" customHeight="1">
      <c r="A19" s="131" t="s">
        <v>81</v>
      </c>
      <c r="B19" s="132"/>
      <c r="C19" s="133"/>
      <c r="D19" s="95" t="s">
        <v>72</v>
      </c>
      <c r="E19" s="96">
        <f>+MATERIALES!C9</f>
        <v>115720</v>
      </c>
      <c r="F19" s="135">
        <f>0.4</f>
        <v>0.4</v>
      </c>
      <c r="G19" s="93">
        <f t="shared" si="1"/>
        <v>46288</v>
      </c>
      <c r="H19" s="94"/>
      <c r="I19" s="83"/>
    </row>
    <row r="20" spans="1:12" ht="12.75" customHeight="1">
      <c r="A20" s="131" t="s">
        <v>293</v>
      </c>
      <c r="B20" s="573"/>
      <c r="C20" s="133"/>
      <c r="D20" s="574" t="s">
        <v>16</v>
      </c>
      <c r="E20" s="575">
        <f>+MATERIALES!$C$3</f>
        <v>90</v>
      </c>
      <c r="F20" s="576">
        <f>180*0.6</f>
        <v>108</v>
      </c>
      <c r="G20" s="93">
        <f t="shared" si="1"/>
        <v>9720</v>
      </c>
      <c r="H20" s="94"/>
      <c r="I20" s="577"/>
      <c r="J20" s="577"/>
      <c r="K20" s="577"/>
      <c r="L20" s="577"/>
    </row>
    <row r="21" spans="1:12" ht="12.75" customHeight="1">
      <c r="A21" s="131"/>
      <c r="B21" s="132"/>
      <c r="C21" s="133"/>
      <c r="D21" s="95"/>
      <c r="E21" s="96"/>
      <c r="F21" s="135"/>
      <c r="G21" s="93"/>
      <c r="H21" s="94"/>
      <c r="I21" s="83"/>
    </row>
    <row r="22" spans="1:12" ht="12.75" customHeight="1">
      <c r="A22" s="106"/>
      <c r="B22" s="107"/>
      <c r="C22" s="108"/>
      <c r="D22" s="91"/>
      <c r="E22" s="92"/>
      <c r="F22" s="109"/>
      <c r="G22" s="93"/>
      <c r="H22" s="94"/>
      <c r="I22" s="83"/>
    </row>
    <row r="23" spans="1:12" ht="12.75" customHeight="1">
      <c r="A23" s="110"/>
      <c r="B23" s="111"/>
      <c r="C23" s="112"/>
      <c r="D23" s="98"/>
      <c r="E23" s="99"/>
      <c r="F23" s="100"/>
      <c r="G23" s="101"/>
      <c r="H23" s="102"/>
      <c r="I23" s="83"/>
    </row>
    <row r="24" spans="1:12" ht="12.75" customHeight="1">
      <c r="A24" s="150"/>
      <c r="B24" s="83"/>
      <c r="C24" s="83"/>
      <c r="D24" s="83"/>
      <c r="E24" s="83"/>
      <c r="F24" s="83"/>
      <c r="G24" s="103" t="s">
        <v>49</v>
      </c>
      <c r="H24" s="104">
        <f>SUM(G17:G23)</f>
        <v>154308.5632</v>
      </c>
      <c r="I24" s="105"/>
    </row>
    <row r="25" spans="1:12" ht="12.75" customHeight="1">
      <c r="A25" s="890" t="s">
        <v>54</v>
      </c>
      <c r="B25" s="875"/>
      <c r="C25" s="83"/>
      <c r="D25" s="83"/>
      <c r="E25" s="83"/>
      <c r="F25" s="83"/>
      <c r="G25" s="83"/>
      <c r="H25" s="151"/>
      <c r="I25" s="83"/>
    </row>
    <row r="26" spans="1:12" ht="12.75" customHeight="1">
      <c r="A26" s="882" t="s">
        <v>55</v>
      </c>
      <c r="B26" s="716"/>
      <c r="C26" s="87" t="s">
        <v>82</v>
      </c>
      <c r="D26" s="87" t="s">
        <v>57</v>
      </c>
      <c r="E26" s="87" t="s">
        <v>58</v>
      </c>
      <c r="F26" s="87" t="s">
        <v>59</v>
      </c>
      <c r="G26" s="116" t="s">
        <v>47</v>
      </c>
      <c r="H26" s="90"/>
      <c r="I26" s="83"/>
    </row>
    <row r="27" spans="1:12" ht="12.75" customHeight="1">
      <c r="A27" s="883"/>
      <c r="B27" s="676"/>
      <c r="C27" s="97"/>
      <c r="D27" s="117"/>
      <c r="E27" s="117"/>
      <c r="F27" s="118"/>
      <c r="G27" s="97"/>
      <c r="H27" s="94"/>
      <c r="I27" s="83"/>
    </row>
    <row r="28" spans="1:12" ht="12.75" customHeight="1">
      <c r="A28" s="883"/>
      <c r="B28" s="676"/>
      <c r="C28" s="97"/>
      <c r="D28" s="117"/>
      <c r="E28" s="117"/>
      <c r="F28" s="118"/>
      <c r="G28" s="97"/>
      <c r="H28" s="94"/>
      <c r="I28" s="83"/>
    </row>
    <row r="29" spans="1:12" ht="12.75" customHeight="1">
      <c r="A29" s="106"/>
      <c r="B29" s="107"/>
      <c r="C29" s="97"/>
      <c r="D29" s="117"/>
      <c r="E29" s="117"/>
      <c r="F29" s="118"/>
      <c r="G29" s="97"/>
      <c r="H29" s="94"/>
      <c r="I29" s="83"/>
    </row>
    <row r="30" spans="1:12" ht="12.75" customHeight="1">
      <c r="A30" s="889"/>
      <c r="B30" s="679"/>
      <c r="C30" s="122"/>
      <c r="D30" s="122"/>
      <c r="E30" s="122"/>
      <c r="F30" s="122"/>
      <c r="G30" s="154"/>
      <c r="H30" s="94"/>
      <c r="I30" s="83"/>
    </row>
    <row r="31" spans="1:12" ht="12.75" customHeight="1">
      <c r="A31" s="150"/>
      <c r="B31" s="83"/>
      <c r="C31" s="83"/>
      <c r="D31" s="83"/>
      <c r="E31" s="83"/>
      <c r="F31" s="83"/>
      <c r="G31" s="103" t="s">
        <v>49</v>
      </c>
      <c r="H31" s="104">
        <f>SUM(G27:G30)</f>
        <v>0</v>
      </c>
      <c r="I31" s="83"/>
    </row>
    <row r="32" spans="1:12" ht="12.75" customHeight="1">
      <c r="A32" s="890" t="s">
        <v>61</v>
      </c>
      <c r="B32" s="709"/>
      <c r="C32" s="875"/>
      <c r="D32" s="83"/>
      <c r="E32" s="83"/>
      <c r="F32" s="83"/>
      <c r="G32" s="83"/>
      <c r="H32" s="151"/>
      <c r="I32" s="83"/>
    </row>
    <row r="33" spans="1:9" ht="12.75" customHeight="1">
      <c r="A33" s="882" t="s">
        <v>62</v>
      </c>
      <c r="B33" s="716"/>
      <c r="C33" s="87" t="s">
        <v>63</v>
      </c>
      <c r="D33" s="87" t="s">
        <v>64</v>
      </c>
      <c r="E33" s="88" t="s">
        <v>65</v>
      </c>
      <c r="F33" s="123" t="s">
        <v>46</v>
      </c>
      <c r="G33" s="89" t="s">
        <v>47</v>
      </c>
      <c r="H33" s="90"/>
      <c r="I33" s="83"/>
    </row>
    <row r="34" spans="1:9" ht="12.75" customHeight="1">
      <c r="A34" s="883" t="s">
        <v>66</v>
      </c>
      <c r="B34" s="676"/>
      <c r="C34" s="124">
        <f>2*'APU 1'!K28</f>
        <v>94900</v>
      </c>
      <c r="D34" s="125">
        <f>+'APU 1'!$D$29</f>
        <v>1.8100000000000003</v>
      </c>
      <c r="E34" s="97">
        <f>+D34*C34</f>
        <v>171769.00000000003</v>
      </c>
      <c r="F34" s="97">
        <v>0.505</v>
      </c>
      <c r="G34" s="126">
        <f>+E34*F34-6</f>
        <v>86737.345000000016</v>
      </c>
      <c r="H34" s="94"/>
      <c r="I34" s="105"/>
    </row>
    <row r="35" spans="1:9" ht="12.75" customHeight="1">
      <c r="A35" s="894"/>
      <c r="B35" s="676"/>
      <c r="C35" s="92"/>
      <c r="D35" s="91"/>
      <c r="E35" s="92"/>
      <c r="F35" s="97"/>
      <c r="G35" s="93"/>
      <c r="H35" s="94"/>
      <c r="I35" s="83"/>
    </row>
    <row r="36" spans="1:9" ht="12.75" customHeight="1">
      <c r="A36" s="889"/>
      <c r="B36" s="679"/>
      <c r="C36" s="112"/>
      <c r="D36" s="112"/>
      <c r="E36" s="112"/>
      <c r="F36" s="112"/>
      <c r="G36" s="111"/>
      <c r="H36" s="102"/>
      <c r="I36" s="83"/>
    </row>
    <row r="37" spans="1:9" ht="12.75" customHeight="1">
      <c r="A37" s="83"/>
      <c r="B37" s="83"/>
      <c r="C37" s="83"/>
      <c r="D37" s="83"/>
      <c r="E37" s="83"/>
      <c r="F37" s="83"/>
      <c r="G37" s="103" t="s">
        <v>49</v>
      </c>
      <c r="H37" s="104">
        <f>SUM(G34:G36)</f>
        <v>86737.345000000016</v>
      </c>
      <c r="I37" s="83"/>
    </row>
    <row r="38" spans="1:9" ht="12.75" customHeight="1">
      <c r="A38" s="83"/>
      <c r="B38" s="83"/>
      <c r="C38" s="83"/>
      <c r="D38" s="83"/>
      <c r="E38" s="83"/>
      <c r="F38" s="83"/>
      <c r="G38" s="128"/>
      <c r="H38" s="83"/>
      <c r="I38" s="83"/>
    </row>
    <row r="39" spans="1:9" ht="12.75" customHeight="1">
      <c r="A39" s="83"/>
      <c r="B39" s="83"/>
      <c r="C39" s="83"/>
      <c r="D39" s="83"/>
      <c r="E39" s="895" t="s">
        <v>67</v>
      </c>
      <c r="F39" s="632"/>
      <c r="G39" s="633"/>
      <c r="H39" s="104">
        <f>ROUND((H14+H24+H31+H37),0)</f>
        <v>261135</v>
      </c>
      <c r="I39" s="83"/>
    </row>
    <row r="40" spans="1:9" ht="12.75" customHeight="1">
      <c r="A40" s="28"/>
      <c r="B40" s="28"/>
      <c r="C40" s="28"/>
      <c r="D40" s="28"/>
      <c r="E40" s="46"/>
      <c r="F40" s="78"/>
      <c r="G40" s="78"/>
      <c r="H40" s="80"/>
      <c r="I40" s="26"/>
    </row>
    <row r="41" spans="1:9" ht="12.75" customHeight="1">
      <c r="A41" s="28"/>
      <c r="B41" s="28"/>
      <c r="C41" s="28"/>
      <c r="D41" s="28"/>
      <c r="E41" s="872" t="s">
        <v>68</v>
      </c>
      <c r="F41" s="633"/>
      <c r="G41" s="81">
        <f>+'APU 1'!G36</f>
        <v>0.34499999999999997</v>
      </c>
      <c r="H41" s="79">
        <f>ROUND((H39*(1+G41)),0)</f>
        <v>351227</v>
      </c>
      <c r="I41" s="105"/>
    </row>
  </sheetData>
  <mergeCells count="23">
    <mergeCell ref="A34:B34"/>
    <mergeCell ref="A35:B35"/>
    <mergeCell ref="A36:B36"/>
    <mergeCell ref="E39:G39"/>
    <mergeCell ref="E41:F41"/>
    <mergeCell ref="A9:C9"/>
    <mergeCell ref="A10:C10"/>
    <mergeCell ref="A30:B30"/>
    <mergeCell ref="A32:C32"/>
    <mergeCell ref="A33:B33"/>
    <mergeCell ref="A12:C12"/>
    <mergeCell ref="A13:C13"/>
    <mergeCell ref="A15:B15"/>
    <mergeCell ref="A25:B25"/>
    <mergeCell ref="A26:B26"/>
    <mergeCell ref="A27:B27"/>
    <mergeCell ref="A28:B28"/>
    <mergeCell ref="A11:C11"/>
    <mergeCell ref="A1:B3"/>
    <mergeCell ref="C1:F1"/>
    <mergeCell ref="G1:H3"/>
    <mergeCell ref="C2:F3"/>
    <mergeCell ref="B6:F7"/>
  </mergeCells>
  <pageMargins left="0.7" right="0.7" top="0.75" bottom="0.75" header="0" footer="0"/>
  <pageSetup scale="8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BE4D5"/>
    <pageSetUpPr fitToPage="1"/>
  </sheetPr>
  <dimension ref="A1:L39"/>
  <sheetViews>
    <sheetView view="pageBreakPreview" topLeftCell="A8" zoomScale="85" zoomScaleNormal="100" zoomScaleSheetLayoutView="85" workbookViewId="0">
      <selection activeCell="F32" sqref="F32"/>
    </sheetView>
  </sheetViews>
  <sheetFormatPr baseColWidth="10" defaultColWidth="14.5" defaultRowHeight="15" customHeight="1"/>
  <cols>
    <col min="1" max="1" width="11.5" customWidth="1"/>
    <col min="2" max="2" width="14.83203125" customWidth="1"/>
    <col min="3" max="4" width="11.5" customWidth="1"/>
    <col min="5" max="5" width="11.83203125" customWidth="1"/>
    <col min="6" max="6" width="15.6640625" customWidth="1"/>
    <col min="7" max="7" width="11.5" customWidth="1"/>
    <col min="8" max="8" width="14.5" customWidth="1"/>
    <col min="9" max="26" width="11.5" customWidth="1"/>
  </cols>
  <sheetData>
    <row r="1" spans="1:8" ht="22.5" customHeight="1">
      <c r="A1" s="879"/>
      <c r="B1" s="723"/>
      <c r="C1" s="880" t="s">
        <v>39</v>
      </c>
      <c r="D1" s="734"/>
      <c r="E1" s="734"/>
      <c r="F1" s="735"/>
      <c r="G1" s="879" t="str">
        <f>+'APU 4'!G1:H3</f>
        <v>MUNICIPIO DE RISARALDA</v>
      </c>
      <c r="H1" s="723"/>
    </row>
    <row r="2" spans="1:8" ht="12.75" customHeight="1">
      <c r="A2" s="860"/>
      <c r="B2" s="725"/>
      <c r="C2" s="879" t="str">
        <f>+'APU 3'!C2:F3</f>
        <v>CONSTRUCCIÓN DE PLACA HUELLAS CON APOYO DE LA COMUNIDAD Y EL COMITÉ DE CAFETEROS EN ZONA RURAL DEL MUNICIPIO DE RISARALDA</v>
      </c>
      <c r="D2" s="703"/>
      <c r="E2" s="703"/>
      <c r="F2" s="723"/>
      <c r="G2" s="860"/>
      <c r="H2" s="725"/>
    </row>
    <row r="3" spans="1:8" ht="47.25" customHeight="1">
      <c r="A3" s="861"/>
      <c r="B3" s="862"/>
      <c r="C3" s="861"/>
      <c r="D3" s="700"/>
      <c r="E3" s="700"/>
      <c r="F3" s="862"/>
      <c r="G3" s="861"/>
      <c r="H3" s="862"/>
    </row>
    <row r="4" spans="1:8" ht="12.75" customHeight="1">
      <c r="A4" s="85"/>
      <c r="B4" s="82"/>
      <c r="C4" s="83"/>
      <c r="D4" s="83"/>
      <c r="E4" s="82"/>
      <c r="F4" s="83"/>
      <c r="G4" s="130"/>
      <c r="H4" s="130"/>
    </row>
    <row r="5" spans="1:8" ht="12.75" customHeight="1">
      <c r="A5" s="155" t="s">
        <v>40</v>
      </c>
      <c r="B5" s="82">
        <f>PRESUPUESTO!B8</f>
        <v>5</v>
      </c>
      <c r="C5" s="83"/>
      <c r="D5" s="83"/>
      <c r="E5" s="82"/>
      <c r="F5" s="83"/>
      <c r="G5" s="130"/>
      <c r="H5" s="130"/>
    </row>
    <row r="6" spans="1:8" ht="24" customHeight="1">
      <c r="A6" s="146"/>
      <c r="B6" s="896" t="str">
        <f>PRESUPUESTO!C8</f>
        <v>Sardinel en concreto clase D. Incluye preparación e instalación de concreto. Incluye formaleta. Incluye agregados. No incluye suministro de cemento. No incluye mano de obra no calificada.</v>
      </c>
      <c r="C6" s="632"/>
      <c r="D6" s="632"/>
      <c r="E6" s="632"/>
      <c r="F6" s="633"/>
      <c r="G6" s="130" t="s">
        <v>41</v>
      </c>
      <c r="H6" s="130" t="str">
        <f>PRESUPUESTO!D8</f>
        <v>ML</v>
      </c>
    </row>
    <row r="7" spans="1:8" ht="12.75" customHeight="1">
      <c r="A7" s="82"/>
      <c r="B7" s="85"/>
      <c r="C7" s="85"/>
      <c r="D7" s="85"/>
      <c r="E7" s="85"/>
      <c r="F7" s="85"/>
      <c r="G7" s="82"/>
      <c r="H7" s="83"/>
    </row>
    <row r="8" spans="1:8" ht="12.75" customHeight="1">
      <c r="A8" s="82" t="s">
        <v>42</v>
      </c>
      <c r="B8" s="82"/>
      <c r="C8" s="83"/>
      <c r="D8" s="83"/>
      <c r="E8" s="83"/>
      <c r="F8" s="83"/>
      <c r="G8" s="83"/>
      <c r="H8" s="83"/>
    </row>
    <row r="9" spans="1:8" ht="12.75" customHeight="1">
      <c r="A9" s="882" t="s">
        <v>43</v>
      </c>
      <c r="B9" s="640"/>
      <c r="C9" s="716"/>
      <c r="D9" s="87" t="s">
        <v>44</v>
      </c>
      <c r="E9" s="88" t="s">
        <v>45</v>
      </c>
      <c r="F9" s="87" t="s">
        <v>46</v>
      </c>
      <c r="G9" s="89" t="s">
        <v>47</v>
      </c>
      <c r="H9" s="90"/>
    </row>
    <row r="10" spans="1:8" ht="13.5" customHeight="1">
      <c r="A10" s="883" t="s">
        <v>74</v>
      </c>
      <c r="B10" s="675"/>
      <c r="C10" s="676"/>
      <c r="D10" s="91"/>
      <c r="E10" s="97">
        <f>EQUIPO!$C$4</f>
        <v>9205</v>
      </c>
      <c r="F10" s="97">
        <v>6</v>
      </c>
      <c r="G10" s="93">
        <f t="shared" ref="G10:G11" si="0">+E10/F10</f>
        <v>1534.1666666666667</v>
      </c>
      <c r="H10" s="94"/>
    </row>
    <row r="11" spans="1:8" ht="12.75" customHeight="1">
      <c r="A11" s="883" t="s">
        <v>75</v>
      </c>
      <c r="B11" s="675"/>
      <c r="C11" s="676"/>
      <c r="D11" s="95"/>
      <c r="E11" s="97">
        <f>EQUIPO!$C$5</f>
        <v>6575</v>
      </c>
      <c r="F11" s="97">
        <f>F10</f>
        <v>6</v>
      </c>
      <c r="G11" s="93">
        <f t="shared" si="0"/>
        <v>1095.8333333333333</v>
      </c>
      <c r="H11" s="94"/>
    </row>
    <row r="12" spans="1:8" ht="13.5" customHeight="1">
      <c r="A12" s="883" t="s">
        <v>76</v>
      </c>
      <c r="B12" s="675"/>
      <c r="C12" s="676"/>
      <c r="D12" s="95"/>
      <c r="E12" s="96">
        <f>+H35</f>
        <v>21881.401273885356</v>
      </c>
      <c r="F12" s="97">
        <v>0.08</v>
      </c>
      <c r="G12" s="93">
        <f>E12*F12</f>
        <v>1750.5121019108285</v>
      </c>
      <c r="H12" s="94"/>
    </row>
    <row r="13" spans="1:8" ht="12.75" customHeight="1">
      <c r="A13" s="883"/>
      <c r="B13" s="675"/>
      <c r="C13" s="676"/>
      <c r="D13" s="97"/>
      <c r="E13" s="97"/>
      <c r="F13" s="97"/>
      <c r="G13" s="93"/>
      <c r="H13" s="94"/>
    </row>
    <row r="14" spans="1:8" ht="12.75" customHeight="1">
      <c r="A14" s="83"/>
      <c r="B14" s="83"/>
      <c r="C14" s="83"/>
      <c r="D14" s="83"/>
      <c r="E14" s="83"/>
      <c r="F14" s="83"/>
      <c r="G14" s="103" t="s">
        <v>49</v>
      </c>
      <c r="H14" s="104">
        <f>SUM(G10:G13)</f>
        <v>4380.5121019108283</v>
      </c>
    </row>
    <row r="15" spans="1:8" ht="12.75" customHeight="1">
      <c r="A15" s="884" t="s">
        <v>50</v>
      </c>
      <c r="B15" s="709"/>
      <c r="C15" s="875"/>
      <c r="D15" s="83"/>
      <c r="E15" s="83"/>
      <c r="F15" s="83"/>
      <c r="G15" s="83"/>
      <c r="H15" s="83"/>
    </row>
    <row r="16" spans="1:8" ht="12.75" customHeight="1">
      <c r="A16" s="882" t="s">
        <v>43</v>
      </c>
      <c r="B16" s="640"/>
      <c r="C16" s="716"/>
      <c r="D16" s="87" t="s">
        <v>51</v>
      </c>
      <c r="E16" s="87" t="s">
        <v>52</v>
      </c>
      <c r="F16" s="87" t="s">
        <v>53</v>
      </c>
      <c r="G16" s="89" t="s">
        <v>47</v>
      </c>
      <c r="H16" s="90"/>
    </row>
    <row r="17" spans="1:12" ht="12.75" customHeight="1">
      <c r="A17" s="131" t="s">
        <v>77</v>
      </c>
      <c r="B17" s="132"/>
      <c r="C17" s="133"/>
      <c r="D17" s="91" t="s">
        <v>72</v>
      </c>
      <c r="E17" s="92">
        <f>+'APU 3'!E19</f>
        <v>113616</v>
      </c>
      <c r="F17" s="109">
        <f>0.2*0.15*0.56*1.03</f>
        <v>1.7304000000000003E-2</v>
      </c>
      <c r="G17" s="93">
        <f t="shared" ref="G17:G20" si="1">E17*F17</f>
        <v>1966.0112640000004</v>
      </c>
      <c r="H17" s="94"/>
    </row>
    <row r="18" spans="1:12" ht="12.75" customHeight="1">
      <c r="A18" s="131" t="s">
        <v>78</v>
      </c>
      <c r="B18" s="132"/>
      <c r="C18" s="133"/>
      <c r="D18" s="95" t="s">
        <v>72</v>
      </c>
      <c r="E18" s="92">
        <f>+'APU 3'!E20</f>
        <v>113616</v>
      </c>
      <c r="F18" s="109">
        <f>0.2*0.15*0.84*1.03</f>
        <v>2.5955999999999996E-2</v>
      </c>
      <c r="G18" s="93">
        <f t="shared" si="1"/>
        <v>2949.0168959999996</v>
      </c>
      <c r="H18" s="94"/>
    </row>
    <row r="19" spans="1:12" ht="12.75" customHeight="1">
      <c r="A19" s="131" t="s">
        <v>79</v>
      </c>
      <c r="B19" s="132"/>
      <c r="C19" s="133"/>
      <c r="D19" s="95" t="s">
        <v>20</v>
      </c>
      <c r="E19" s="96">
        <f>+'APU 3'!E21</f>
        <v>26300</v>
      </c>
      <c r="F19" s="135">
        <v>0.3</v>
      </c>
      <c r="G19" s="93">
        <f t="shared" si="1"/>
        <v>7890</v>
      </c>
      <c r="H19" s="94"/>
    </row>
    <row r="20" spans="1:12" ht="12.75" customHeight="1">
      <c r="A20" s="131" t="s">
        <v>293</v>
      </c>
      <c r="B20" s="573"/>
      <c r="C20" s="133"/>
      <c r="D20" s="574" t="s">
        <v>16</v>
      </c>
      <c r="E20" s="575">
        <f>+MATERIALES!$C$3</f>
        <v>90</v>
      </c>
      <c r="F20" s="576">
        <f>180*0.2*0.15</f>
        <v>5.3999999999999995</v>
      </c>
      <c r="G20" s="93">
        <f t="shared" si="1"/>
        <v>485.99999999999994</v>
      </c>
      <c r="H20" s="94"/>
      <c r="I20" s="577"/>
      <c r="J20" s="577"/>
      <c r="K20" s="577"/>
      <c r="L20" s="577"/>
    </row>
    <row r="21" spans="1:12" ht="12.75" customHeight="1">
      <c r="A21" s="131"/>
      <c r="B21" s="132"/>
      <c r="C21" s="133"/>
      <c r="D21" s="95"/>
      <c r="E21" s="96"/>
      <c r="F21" s="109"/>
      <c r="G21" s="93"/>
      <c r="H21" s="94"/>
    </row>
    <row r="22" spans="1:12" ht="12.75" customHeight="1">
      <c r="A22" s="110"/>
      <c r="B22" s="111"/>
      <c r="C22" s="112"/>
      <c r="D22" s="98"/>
      <c r="E22" s="99"/>
      <c r="F22" s="100"/>
      <c r="G22" s="101"/>
      <c r="H22" s="102"/>
    </row>
    <row r="23" spans="1:12" ht="12.75" customHeight="1">
      <c r="A23" s="83"/>
      <c r="B23" s="83"/>
      <c r="C23" s="83"/>
      <c r="D23" s="83"/>
      <c r="E23" s="83"/>
      <c r="F23" s="83"/>
      <c r="G23" s="103" t="s">
        <v>49</v>
      </c>
      <c r="H23" s="104">
        <f>SUM(G17:G21)</f>
        <v>13291.02816</v>
      </c>
    </row>
    <row r="24" spans="1:12" ht="12.75" customHeight="1">
      <c r="A24" s="884" t="s">
        <v>54</v>
      </c>
      <c r="B24" s="709"/>
      <c r="C24" s="875"/>
      <c r="D24" s="83"/>
      <c r="E24" s="83"/>
      <c r="F24" s="83"/>
      <c r="G24" s="83"/>
      <c r="H24" s="83"/>
    </row>
    <row r="25" spans="1:12" ht="12.75" customHeight="1">
      <c r="A25" s="113" t="s">
        <v>55</v>
      </c>
      <c r="B25" s="114"/>
      <c r="C25" s="115" t="s">
        <v>56</v>
      </c>
      <c r="D25" s="87" t="s">
        <v>57</v>
      </c>
      <c r="E25" s="87" t="s">
        <v>58</v>
      </c>
      <c r="F25" s="87" t="s">
        <v>59</v>
      </c>
      <c r="G25" s="116" t="s">
        <v>47</v>
      </c>
      <c r="H25" s="90"/>
    </row>
    <row r="26" spans="1:12" ht="12.75" customHeight="1">
      <c r="A26" s="883"/>
      <c r="B26" s="676"/>
      <c r="C26" s="97"/>
      <c r="D26" s="117"/>
      <c r="E26" s="117"/>
      <c r="F26" s="118"/>
      <c r="G26" s="97"/>
      <c r="H26" s="94"/>
    </row>
    <row r="27" spans="1:12" ht="12.75" customHeight="1">
      <c r="A27" s="106"/>
      <c r="B27" s="107"/>
      <c r="C27" s="97"/>
      <c r="D27" s="117"/>
      <c r="E27" s="117"/>
      <c r="F27" s="118"/>
      <c r="G27" s="97"/>
      <c r="H27" s="94"/>
    </row>
    <row r="28" spans="1:12" ht="12.75" customHeight="1">
      <c r="A28" s="121"/>
      <c r="B28" s="122"/>
      <c r="C28" s="98"/>
      <c r="D28" s="99"/>
      <c r="E28" s="100"/>
      <c r="F28" s="101"/>
      <c r="G28" s="98"/>
      <c r="H28" s="94"/>
    </row>
    <row r="29" spans="1:12" ht="12.75" customHeight="1">
      <c r="A29" s="83"/>
      <c r="B29" s="83"/>
      <c r="C29" s="83"/>
      <c r="D29" s="83"/>
      <c r="E29" s="83"/>
      <c r="F29" s="83"/>
      <c r="G29" s="103" t="s">
        <v>49</v>
      </c>
      <c r="H29" s="104">
        <f>SUM(G26:G28)</f>
        <v>0</v>
      </c>
    </row>
    <row r="30" spans="1:12" ht="12.75" customHeight="1">
      <c r="A30" s="884" t="s">
        <v>61</v>
      </c>
      <c r="B30" s="709"/>
      <c r="C30" s="875"/>
      <c r="D30" s="83"/>
      <c r="E30" s="83"/>
      <c r="F30" s="83"/>
      <c r="G30" s="83"/>
      <c r="H30" s="83"/>
    </row>
    <row r="31" spans="1:12" ht="12.75" customHeight="1">
      <c r="A31" s="882" t="s">
        <v>62</v>
      </c>
      <c r="B31" s="716"/>
      <c r="C31" s="123" t="s">
        <v>63</v>
      </c>
      <c r="D31" s="87" t="s">
        <v>64</v>
      </c>
      <c r="E31" s="88" t="s">
        <v>65</v>
      </c>
      <c r="F31" s="123" t="s">
        <v>46</v>
      </c>
      <c r="G31" s="89" t="s">
        <v>47</v>
      </c>
      <c r="H31" s="90"/>
    </row>
    <row r="32" spans="1:12" ht="12.75" customHeight="1">
      <c r="A32" s="106" t="s">
        <v>66</v>
      </c>
      <c r="B32" s="107"/>
      <c r="C32" s="124">
        <f>'APU 1'!K28*2</f>
        <v>94900</v>
      </c>
      <c r="D32" s="125">
        <f>+'APU 1'!$D$29</f>
        <v>1.8100000000000003</v>
      </c>
      <c r="E32" s="97">
        <f>+D32*C32</f>
        <v>171769.00000000003</v>
      </c>
      <c r="F32" s="97">
        <v>7.85</v>
      </c>
      <c r="G32" s="126">
        <f>+E32/F32</f>
        <v>21881.401273885356</v>
      </c>
      <c r="H32" s="94"/>
    </row>
    <row r="33" spans="1:8" ht="12.75" customHeight="1">
      <c r="A33" s="106"/>
      <c r="B33" s="107"/>
      <c r="C33" s="92"/>
      <c r="D33" s="91"/>
      <c r="E33" s="92"/>
      <c r="F33" s="97"/>
      <c r="G33" s="93"/>
      <c r="H33" s="94"/>
    </row>
    <row r="34" spans="1:8" ht="12.75" customHeight="1">
      <c r="A34" s="121"/>
      <c r="B34" s="127"/>
      <c r="C34" s="99"/>
      <c r="D34" s="112"/>
      <c r="E34" s="112"/>
      <c r="F34" s="112"/>
      <c r="G34" s="111"/>
      <c r="H34" s="102"/>
    </row>
    <row r="35" spans="1:8" ht="12.75" customHeight="1">
      <c r="A35" s="83"/>
      <c r="B35" s="83"/>
      <c r="C35" s="83"/>
      <c r="D35" s="83"/>
      <c r="E35" s="83"/>
      <c r="F35" s="83"/>
      <c r="G35" s="103" t="s">
        <v>49</v>
      </c>
      <c r="H35" s="104">
        <f>SUM(G32:G34)</f>
        <v>21881.401273885356</v>
      </c>
    </row>
    <row r="36" spans="1:8" ht="12.75" customHeight="1">
      <c r="A36" s="83"/>
      <c r="B36" s="83"/>
      <c r="C36" s="83"/>
      <c r="D36" s="83"/>
      <c r="E36" s="83"/>
      <c r="F36" s="83"/>
      <c r="G36" s="128"/>
      <c r="H36" s="83"/>
    </row>
    <row r="37" spans="1:8" ht="12.75" customHeight="1">
      <c r="A37" s="83"/>
      <c r="B37" s="83"/>
      <c r="C37" s="83"/>
      <c r="D37" s="83"/>
      <c r="E37" s="103" t="s">
        <v>83</v>
      </c>
      <c r="F37" s="128"/>
      <c r="G37" s="128"/>
      <c r="H37" s="104">
        <f>ROUND((H14+H23+H29+H35),0)</f>
        <v>39553</v>
      </c>
    </row>
    <row r="38" spans="1:8" ht="12.75" customHeight="1">
      <c r="A38" s="28"/>
      <c r="B38" s="28"/>
      <c r="C38" s="28"/>
      <c r="D38" s="28"/>
      <c r="E38" s="46"/>
      <c r="F38" s="78"/>
      <c r="G38" s="78"/>
      <c r="H38" s="80"/>
    </row>
    <row r="39" spans="1:8" ht="12.75" customHeight="1">
      <c r="A39" s="28"/>
      <c r="B39" s="28"/>
      <c r="C39" s="28"/>
      <c r="D39" s="28"/>
      <c r="E39" s="872" t="s">
        <v>68</v>
      </c>
      <c r="F39" s="633"/>
      <c r="G39" s="81">
        <f>+'APU 1'!G36</f>
        <v>0.34499999999999997</v>
      </c>
      <c r="H39" s="79">
        <f>ROUND((H37*(1+G39)),0)</f>
        <v>53199</v>
      </c>
    </row>
  </sheetData>
  <mergeCells count="17">
    <mergeCell ref="A9:C9"/>
    <mergeCell ref="A10:C10"/>
    <mergeCell ref="A30:C30"/>
    <mergeCell ref="A31:B31"/>
    <mergeCell ref="E39:F39"/>
    <mergeCell ref="A11:C11"/>
    <mergeCell ref="A12:C12"/>
    <mergeCell ref="A13:C13"/>
    <mergeCell ref="A15:C15"/>
    <mergeCell ref="A16:C16"/>
    <mergeCell ref="A24:C24"/>
    <mergeCell ref="A26:B26"/>
    <mergeCell ref="A1:B3"/>
    <mergeCell ref="C1:F1"/>
    <mergeCell ref="G1:H3"/>
    <mergeCell ref="C2:F3"/>
    <mergeCell ref="B6:F6"/>
  </mergeCells>
  <pageMargins left="0.7" right="0.7" top="0.75" bottom="0.75" header="0" footer="0"/>
  <pageSetup scale="82" fitToHeight="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BE4D5"/>
    <pageSetUpPr fitToPage="1"/>
  </sheetPr>
  <dimension ref="A1:H42"/>
  <sheetViews>
    <sheetView view="pageBreakPreview" topLeftCell="A7" zoomScale="85" zoomScaleNormal="100" zoomScaleSheetLayoutView="85" workbookViewId="0">
      <selection activeCell="F30" sqref="F30"/>
    </sheetView>
  </sheetViews>
  <sheetFormatPr baseColWidth="10" defaultColWidth="14.5" defaultRowHeight="15" customHeight="1"/>
  <cols>
    <col min="1" max="1" width="11.5" customWidth="1"/>
    <col min="2" max="2" width="12.5" customWidth="1"/>
    <col min="3" max="3" width="16.83203125" customWidth="1"/>
    <col min="4" max="4" width="12.5" customWidth="1"/>
    <col min="5" max="5" width="11.5" customWidth="1"/>
    <col min="6" max="6" width="12.33203125" customWidth="1"/>
    <col min="7" max="26" width="11.5" customWidth="1"/>
  </cols>
  <sheetData>
    <row r="1" spans="1:8" ht="22.5" customHeight="1">
      <c r="A1" s="879"/>
      <c r="B1" s="723"/>
      <c r="C1" s="880" t="s">
        <v>39</v>
      </c>
      <c r="D1" s="734"/>
      <c r="E1" s="734"/>
      <c r="F1" s="735"/>
      <c r="G1" s="879" t="str">
        <f>DATOS!C4</f>
        <v>MUNICIPIO DE RISARALDA</v>
      </c>
      <c r="H1" s="723"/>
    </row>
    <row r="2" spans="1:8" ht="12.75" customHeight="1">
      <c r="A2" s="860"/>
      <c r="B2" s="725"/>
      <c r="C2" s="879" t="str">
        <f>DATOS!C2</f>
        <v>CONSTRUCCIÓN DE PLACA HUELLAS CON APOYO DE LA COMUNIDAD Y EL COMITÉ DE CAFETEROS EN ZONA RURAL DEL MUNICIPIO DE RISARALDA</v>
      </c>
      <c r="D2" s="703"/>
      <c r="E2" s="703"/>
      <c r="F2" s="723"/>
      <c r="G2" s="860"/>
      <c r="H2" s="725"/>
    </row>
    <row r="3" spans="1:8" ht="47.25" customHeight="1">
      <c r="A3" s="861"/>
      <c r="B3" s="862"/>
      <c r="C3" s="861"/>
      <c r="D3" s="700"/>
      <c r="E3" s="700"/>
      <c r="F3" s="862"/>
      <c r="G3" s="861"/>
      <c r="H3" s="862"/>
    </row>
    <row r="4" spans="1:8" ht="12.75" customHeight="1">
      <c r="A4" s="85"/>
      <c r="B4" s="83"/>
      <c r="C4" s="83"/>
      <c r="D4" s="83"/>
      <c r="E4" s="83"/>
      <c r="F4" s="83"/>
      <c r="G4" s="83"/>
      <c r="H4" s="83"/>
    </row>
    <row r="5" spans="1:8" ht="12.75" customHeight="1">
      <c r="A5" s="86" t="s">
        <v>40</v>
      </c>
      <c r="B5" s="82">
        <f>PRESUPUESTO!B9</f>
        <v>6</v>
      </c>
      <c r="C5" s="83"/>
      <c r="D5" s="83"/>
      <c r="E5" s="82"/>
      <c r="F5" s="83"/>
      <c r="G5" s="130"/>
      <c r="H5" s="130"/>
    </row>
    <row r="6" spans="1:8" ht="12.75" customHeight="1">
      <c r="A6" s="83"/>
      <c r="B6" s="897" t="str">
        <f>PRESUPUESTO!C9</f>
        <v>Suministro, transporte e instalacion de acero de refuerzo Fy=60000 PSI. No incluye mano de obra no calificada.</v>
      </c>
      <c r="C6" s="865"/>
      <c r="D6" s="865"/>
      <c r="E6" s="865"/>
      <c r="F6" s="866"/>
      <c r="G6" s="130" t="s">
        <v>41</v>
      </c>
      <c r="H6" s="130" t="str">
        <f>PRESUPUESTO!D9</f>
        <v>KG</v>
      </c>
    </row>
    <row r="7" spans="1:8" ht="12.75" customHeight="1">
      <c r="A7" s="82"/>
      <c r="B7" s="867"/>
      <c r="C7" s="868"/>
      <c r="D7" s="868"/>
      <c r="E7" s="868"/>
      <c r="F7" s="869"/>
      <c r="G7" s="82"/>
      <c r="H7" s="83"/>
    </row>
    <row r="8" spans="1:8" ht="12.75" customHeight="1">
      <c r="A8" s="82" t="s">
        <v>42</v>
      </c>
      <c r="B8" s="82"/>
      <c r="C8" s="83"/>
      <c r="D8" s="83"/>
      <c r="E8" s="83"/>
      <c r="F8" s="83"/>
      <c r="G8" s="83"/>
      <c r="H8" s="83"/>
    </row>
    <row r="9" spans="1:8" ht="12.75" customHeight="1">
      <c r="A9" s="882" t="s">
        <v>43</v>
      </c>
      <c r="B9" s="640"/>
      <c r="C9" s="716"/>
      <c r="D9" s="87" t="s">
        <v>44</v>
      </c>
      <c r="E9" s="88" t="s">
        <v>45</v>
      </c>
      <c r="F9" s="87" t="s">
        <v>46</v>
      </c>
      <c r="G9" s="89" t="s">
        <v>47</v>
      </c>
      <c r="H9" s="90"/>
    </row>
    <row r="10" spans="1:8" ht="12.75" customHeight="1">
      <c r="A10" s="883" t="s">
        <v>76</v>
      </c>
      <c r="B10" s="675"/>
      <c r="C10" s="676"/>
      <c r="D10" s="95"/>
      <c r="E10" s="96">
        <f>H33</f>
        <v>1808.0947368421055</v>
      </c>
      <c r="F10" s="97">
        <v>0.08</v>
      </c>
      <c r="G10" s="93">
        <f>E10*F10</f>
        <v>144.64757894736843</v>
      </c>
      <c r="H10" s="94"/>
    </row>
    <row r="11" spans="1:8" ht="12.75" customHeight="1">
      <c r="A11" s="883"/>
      <c r="B11" s="675"/>
      <c r="C11" s="676"/>
      <c r="D11" s="95"/>
      <c r="E11" s="96"/>
      <c r="F11" s="97"/>
      <c r="G11" s="93"/>
      <c r="H11" s="94"/>
    </row>
    <row r="12" spans="1:8" ht="12.75" customHeight="1">
      <c r="A12" s="883"/>
      <c r="B12" s="675"/>
      <c r="C12" s="676"/>
      <c r="D12" s="95"/>
      <c r="E12" s="96"/>
      <c r="F12" s="97"/>
      <c r="G12" s="93"/>
      <c r="H12" s="94"/>
    </row>
    <row r="13" spans="1:8" ht="12.75" customHeight="1">
      <c r="A13" s="885"/>
      <c r="B13" s="643"/>
      <c r="C13" s="679"/>
      <c r="D13" s="98"/>
      <c r="E13" s="99"/>
      <c r="F13" s="100"/>
      <c r="G13" s="101"/>
      <c r="H13" s="102"/>
    </row>
    <row r="14" spans="1:8" ht="12.75" customHeight="1">
      <c r="A14" s="83"/>
      <c r="B14" s="83"/>
      <c r="C14" s="83"/>
      <c r="D14" s="83"/>
      <c r="E14" s="83"/>
      <c r="F14" s="83"/>
      <c r="G14" s="103" t="s">
        <v>49</v>
      </c>
      <c r="H14" s="104">
        <f>SUM(G10:G13)</f>
        <v>144.64757894736843</v>
      </c>
    </row>
    <row r="15" spans="1:8" ht="12.75" customHeight="1">
      <c r="A15" s="884" t="s">
        <v>50</v>
      </c>
      <c r="B15" s="709"/>
      <c r="C15" s="875"/>
      <c r="D15" s="83"/>
      <c r="E15" s="83"/>
      <c r="F15" s="83"/>
      <c r="G15" s="83"/>
      <c r="H15" s="83"/>
    </row>
    <row r="16" spans="1:8" ht="12.75" customHeight="1">
      <c r="A16" s="882" t="s">
        <v>43</v>
      </c>
      <c r="B16" s="640"/>
      <c r="C16" s="716"/>
      <c r="D16" s="87" t="s">
        <v>51</v>
      </c>
      <c r="E16" s="87" t="s">
        <v>52</v>
      </c>
      <c r="F16" s="87" t="s">
        <v>53</v>
      </c>
      <c r="G16" s="89" t="s">
        <v>47</v>
      </c>
      <c r="H16" s="90"/>
    </row>
    <row r="17" spans="1:8" ht="12.75" customHeight="1">
      <c r="A17" s="898" t="s">
        <v>87</v>
      </c>
      <c r="B17" s="675"/>
      <c r="C17" s="676"/>
      <c r="D17" s="156" t="s">
        <v>86</v>
      </c>
      <c r="E17" s="157">
        <f>+MATERIALES!C2</f>
        <v>6838</v>
      </c>
      <c r="F17" s="158">
        <v>1.03</v>
      </c>
      <c r="G17" s="157">
        <f t="shared" ref="G17:G18" si="0">E17*F17</f>
        <v>7043.14</v>
      </c>
      <c r="H17" s="159"/>
    </row>
    <row r="18" spans="1:8" ht="12.75" customHeight="1">
      <c r="A18" s="131" t="s">
        <v>85</v>
      </c>
      <c r="B18" s="132"/>
      <c r="C18" s="133"/>
      <c r="D18" s="156" t="s">
        <v>86</v>
      </c>
      <c r="E18" s="166">
        <f>+MATERIALES!C4</f>
        <v>8942</v>
      </c>
      <c r="F18" s="158">
        <v>0.06</v>
      </c>
      <c r="G18" s="157">
        <f t="shared" si="0"/>
        <v>536.52</v>
      </c>
      <c r="H18" s="159"/>
    </row>
    <row r="19" spans="1:8" ht="12.75" customHeight="1">
      <c r="A19" s="136"/>
      <c r="B19" s="137"/>
      <c r="C19" s="138"/>
      <c r="D19" s="161"/>
      <c r="E19" s="162"/>
      <c r="F19" s="163"/>
      <c r="G19" s="164"/>
      <c r="H19" s="165"/>
    </row>
    <row r="20" spans="1:8" ht="12.75" customHeight="1">
      <c r="A20" s="83"/>
      <c r="B20" s="83"/>
      <c r="C20" s="83"/>
      <c r="D20" s="83"/>
      <c r="E20" s="83"/>
      <c r="F20" s="83"/>
      <c r="G20" s="103" t="s">
        <v>49</v>
      </c>
      <c r="H20" s="104">
        <f>SUM(G17:G18)</f>
        <v>7579.66</v>
      </c>
    </row>
    <row r="21" spans="1:8" ht="12.75" customHeight="1">
      <c r="A21" s="884" t="s">
        <v>54</v>
      </c>
      <c r="B21" s="709"/>
      <c r="C21" s="875"/>
      <c r="D21" s="83"/>
      <c r="E21" s="83"/>
      <c r="F21" s="83"/>
      <c r="G21" s="83"/>
      <c r="H21" s="83"/>
    </row>
    <row r="22" spans="1:8" ht="12.75" customHeight="1">
      <c r="A22" s="113" t="s">
        <v>55</v>
      </c>
      <c r="B22" s="114"/>
      <c r="C22" s="115" t="s">
        <v>56</v>
      </c>
      <c r="D22" s="87" t="s">
        <v>57</v>
      </c>
      <c r="E22" s="87" t="s">
        <v>58</v>
      </c>
      <c r="F22" s="87" t="s">
        <v>59</v>
      </c>
      <c r="G22" s="116" t="s">
        <v>47</v>
      </c>
      <c r="H22" s="90"/>
    </row>
    <row r="23" spans="1:8" ht="12.75" customHeight="1">
      <c r="A23" s="883"/>
      <c r="B23" s="676"/>
      <c r="C23" s="109"/>
      <c r="D23" s="117"/>
      <c r="E23" s="117"/>
      <c r="F23" s="118"/>
      <c r="G23" s="97"/>
      <c r="H23" s="94"/>
    </row>
    <row r="24" spans="1:8" ht="12.75" customHeight="1">
      <c r="A24" s="106"/>
      <c r="B24" s="107"/>
      <c r="C24" s="109"/>
      <c r="D24" s="117"/>
      <c r="E24" s="117"/>
      <c r="F24" s="118"/>
      <c r="G24" s="97"/>
      <c r="H24" s="94"/>
    </row>
    <row r="25" spans="1:8" ht="12.75" customHeight="1">
      <c r="A25" s="121"/>
      <c r="B25" s="122"/>
      <c r="C25" s="98"/>
      <c r="D25" s="99"/>
      <c r="E25" s="100"/>
      <c r="F25" s="101"/>
      <c r="G25" s="98"/>
      <c r="H25" s="94"/>
    </row>
    <row r="26" spans="1:8" ht="12.75" customHeight="1">
      <c r="A26" s="83"/>
      <c r="B26" s="83"/>
      <c r="C26" s="83"/>
      <c r="D26" s="83"/>
      <c r="E26" s="83"/>
      <c r="F26" s="83"/>
      <c r="G26" s="103" t="s">
        <v>49</v>
      </c>
      <c r="H26" s="104">
        <f>SUM(G23:G25)</f>
        <v>0</v>
      </c>
    </row>
    <row r="27" spans="1:8" ht="12.75" customHeight="1">
      <c r="A27" s="884" t="s">
        <v>61</v>
      </c>
      <c r="B27" s="709"/>
      <c r="C27" s="875"/>
      <c r="D27" s="83"/>
      <c r="E27" s="83"/>
      <c r="F27" s="83"/>
      <c r="G27" s="83"/>
      <c r="H27" s="83"/>
    </row>
    <row r="28" spans="1:8" ht="12.75" customHeight="1">
      <c r="A28" s="882" t="s">
        <v>62</v>
      </c>
      <c r="B28" s="716"/>
      <c r="C28" s="123" t="s">
        <v>63</v>
      </c>
      <c r="D28" s="87" t="s">
        <v>64</v>
      </c>
      <c r="E28" s="88" t="s">
        <v>65</v>
      </c>
      <c r="F28" s="123" t="s">
        <v>46</v>
      </c>
      <c r="G28" s="89" t="s">
        <v>47</v>
      </c>
      <c r="H28" s="90"/>
    </row>
    <row r="29" spans="1:8" ht="12.75" customHeight="1">
      <c r="A29" s="106" t="s">
        <v>66</v>
      </c>
      <c r="B29" s="107"/>
      <c r="C29" s="124">
        <f>'APU 1'!K28*2</f>
        <v>94900</v>
      </c>
      <c r="D29" s="125">
        <f>+'APU 1'!$D$29</f>
        <v>1.8100000000000003</v>
      </c>
      <c r="E29" s="97">
        <f>D29*C29</f>
        <v>171769.00000000003</v>
      </c>
      <c r="F29" s="97">
        <v>95</v>
      </c>
      <c r="G29" s="126">
        <f>E29/F29</f>
        <v>1808.0947368421055</v>
      </c>
      <c r="H29" s="94"/>
    </row>
    <row r="30" spans="1:8" ht="12.75" customHeight="1">
      <c r="A30" s="106"/>
      <c r="B30" s="107"/>
      <c r="C30" s="92"/>
      <c r="D30" s="91"/>
      <c r="E30" s="92"/>
      <c r="F30" s="97"/>
      <c r="G30" s="93"/>
      <c r="H30" s="94"/>
    </row>
    <row r="31" spans="1:8" ht="12.75" customHeight="1">
      <c r="A31" s="106"/>
      <c r="B31" s="107"/>
      <c r="C31" s="92"/>
      <c r="D31" s="91"/>
      <c r="E31" s="92"/>
      <c r="F31" s="97"/>
      <c r="G31" s="93"/>
      <c r="H31" s="94"/>
    </row>
    <row r="32" spans="1:8" ht="12.75" customHeight="1">
      <c r="A32" s="121"/>
      <c r="B32" s="127"/>
      <c r="C32" s="99"/>
      <c r="D32" s="112"/>
      <c r="E32" s="112"/>
      <c r="F32" s="112"/>
      <c r="G32" s="111"/>
      <c r="H32" s="102"/>
    </row>
    <row r="33" spans="1:8" ht="12.75" customHeight="1">
      <c r="A33" s="83"/>
      <c r="B33" s="83"/>
      <c r="C33" s="83"/>
      <c r="D33" s="83"/>
      <c r="E33" s="83"/>
      <c r="F33" s="83"/>
      <c r="G33" s="103" t="s">
        <v>49</v>
      </c>
      <c r="H33" s="104">
        <f>SUM(G29:G32)</f>
        <v>1808.0947368421055</v>
      </c>
    </row>
    <row r="34" spans="1:8" ht="12.75" customHeight="1">
      <c r="A34" s="83"/>
      <c r="B34" s="83"/>
      <c r="C34" s="83"/>
      <c r="D34" s="83"/>
      <c r="E34" s="83"/>
      <c r="F34" s="83"/>
      <c r="G34" s="83"/>
      <c r="H34" s="103"/>
    </row>
    <row r="35" spans="1:8" ht="12.75" customHeight="1">
      <c r="A35" s="83"/>
      <c r="B35" s="83"/>
      <c r="C35" s="83"/>
      <c r="D35" s="83"/>
      <c r="E35" s="103" t="s">
        <v>67</v>
      </c>
      <c r="F35" s="128"/>
      <c r="G35" s="128"/>
      <c r="H35" s="104">
        <f>ROUND((H14+H20+H26+H33),0)</f>
        <v>9532</v>
      </c>
    </row>
    <row r="36" spans="1:8" ht="12.75" customHeight="1">
      <c r="A36" s="28"/>
      <c r="B36" s="28"/>
      <c r="C36" s="28"/>
      <c r="D36" s="28"/>
      <c r="E36" s="46"/>
      <c r="F36" s="78"/>
      <c r="G36" s="78"/>
      <c r="H36" s="80"/>
    </row>
    <row r="37" spans="1:8" ht="12.75" customHeight="1">
      <c r="A37" s="28"/>
      <c r="B37" s="28"/>
      <c r="C37" s="28"/>
      <c r="D37" s="28"/>
      <c r="E37" s="872" t="s">
        <v>68</v>
      </c>
      <c r="F37" s="633"/>
      <c r="G37" s="81">
        <f>+'APU 1'!G36</f>
        <v>0.34499999999999997</v>
      </c>
      <c r="H37" s="79">
        <f>ROUND((H35*(1+G37)),0)</f>
        <v>12821</v>
      </c>
    </row>
    <row r="38" spans="1:8" ht="12.75" customHeight="1">
      <c r="A38" s="83"/>
      <c r="B38" s="83"/>
      <c r="C38" s="83"/>
      <c r="D38" s="84"/>
      <c r="E38" s="84"/>
      <c r="F38" s="84"/>
      <c r="G38" s="84"/>
      <c r="H38" s="143"/>
    </row>
    <row r="39" spans="1:8" ht="12.75" customHeight="1">
      <c r="A39" s="83"/>
      <c r="B39" s="83"/>
      <c r="C39" s="83"/>
      <c r="D39" s="84"/>
      <c r="E39" s="84"/>
      <c r="F39" s="84"/>
      <c r="G39" s="84"/>
      <c r="H39" s="84"/>
    </row>
    <row r="40" spans="1:8" ht="12.75" customHeight="1">
      <c r="A40" s="82"/>
      <c r="B40" s="83"/>
      <c r="C40" s="84"/>
      <c r="D40" s="84"/>
      <c r="E40" s="887"/>
      <c r="F40" s="632"/>
      <c r="G40" s="633"/>
      <c r="H40" s="145"/>
    </row>
    <row r="41" spans="1:8" ht="12.75" customHeight="1">
      <c r="A41" s="83"/>
      <c r="B41" s="83"/>
      <c r="C41" s="84"/>
      <c r="D41" s="84"/>
      <c r="E41" s="888"/>
      <c r="F41" s="632"/>
      <c r="G41" s="633"/>
      <c r="H41" s="141"/>
    </row>
    <row r="42" spans="1:8" ht="12.75" customHeight="1">
      <c r="A42" s="84"/>
      <c r="B42" s="84"/>
      <c r="C42" s="84"/>
      <c r="D42" s="83"/>
      <c r="E42" s="887"/>
      <c r="F42" s="632"/>
      <c r="G42" s="632"/>
      <c r="H42" s="633"/>
    </row>
  </sheetData>
  <mergeCells count="21">
    <mergeCell ref="E37:F37"/>
    <mergeCell ref="E40:G40"/>
    <mergeCell ref="E41:G41"/>
    <mergeCell ref="E42:H42"/>
    <mergeCell ref="A11:C11"/>
    <mergeCell ref="A12:C12"/>
    <mergeCell ref="A13:C13"/>
    <mergeCell ref="A15:C15"/>
    <mergeCell ref="A16:C16"/>
    <mergeCell ref="A17:C17"/>
    <mergeCell ref="A21:C21"/>
    <mergeCell ref="A9:C9"/>
    <mergeCell ref="A10:C10"/>
    <mergeCell ref="A23:B23"/>
    <mergeCell ref="A27:C27"/>
    <mergeCell ref="A28:B28"/>
    <mergeCell ref="A1:B3"/>
    <mergeCell ref="C1:F1"/>
    <mergeCell ref="G1:H3"/>
    <mergeCell ref="C2:F3"/>
    <mergeCell ref="B6:F7"/>
  </mergeCells>
  <pageMargins left="0.7" right="0.7" top="0.75" bottom="0.75" header="0" footer="0"/>
  <pageSetup scale="8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BE4D5"/>
    <pageSetUpPr fitToPage="1"/>
  </sheetPr>
  <dimension ref="A1:H42"/>
  <sheetViews>
    <sheetView view="pageBreakPreview" topLeftCell="A3" zoomScale="85" zoomScaleNormal="100" zoomScaleSheetLayoutView="85" workbookViewId="0">
      <selection activeCell="F30" sqref="F30"/>
    </sheetView>
  </sheetViews>
  <sheetFormatPr baseColWidth="10" defaultColWidth="14.5" defaultRowHeight="15" customHeight="1"/>
  <cols>
    <col min="1" max="1" width="11.5" customWidth="1"/>
    <col min="2" max="2" width="12.5" customWidth="1"/>
    <col min="3" max="3" width="16.83203125" customWidth="1"/>
    <col min="4" max="4" width="12.5" customWidth="1"/>
    <col min="5" max="5" width="12.5" bestFit="1" customWidth="1"/>
    <col min="6" max="6" width="12.33203125" customWidth="1"/>
    <col min="7" max="7" width="13.33203125" bestFit="1" customWidth="1"/>
    <col min="8" max="8" width="13.6640625" customWidth="1"/>
    <col min="9" max="26" width="11.5" customWidth="1"/>
  </cols>
  <sheetData>
    <row r="1" spans="1:8" ht="22.5" customHeight="1">
      <c r="A1" s="879"/>
      <c r="B1" s="723"/>
      <c r="C1" s="880" t="s">
        <v>39</v>
      </c>
      <c r="D1" s="734"/>
      <c r="E1" s="734"/>
      <c r="F1" s="735"/>
      <c r="G1" s="879" t="str">
        <f>DATOS!C4</f>
        <v>MUNICIPIO DE RISARALDA</v>
      </c>
      <c r="H1" s="723"/>
    </row>
    <row r="2" spans="1:8" ht="12.75" customHeight="1">
      <c r="A2" s="860"/>
      <c r="B2" s="725"/>
      <c r="C2" s="879" t="str">
        <f>DATOS!C2</f>
        <v>CONSTRUCCIÓN DE PLACA HUELLAS CON APOYO DE LA COMUNIDAD Y EL COMITÉ DE CAFETEROS EN ZONA RURAL DEL MUNICIPIO DE RISARALDA</v>
      </c>
      <c r="D2" s="703"/>
      <c r="E2" s="703"/>
      <c r="F2" s="723"/>
      <c r="G2" s="860"/>
      <c r="H2" s="725"/>
    </row>
    <row r="3" spans="1:8" ht="47.25" customHeight="1">
      <c r="A3" s="861"/>
      <c r="B3" s="862"/>
      <c r="C3" s="861"/>
      <c r="D3" s="700"/>
      <c r="E3" s="700"/>
      <c r="F3" s="862"/>
      <c r="G3" s="861"/>
      <c r="H3" s="862"/>
    </row>
    <row r="4" spans="1:8" ht="12.75" customHeight="1">
      <c r="A4" s="85"/>
      <c r="B4" s="83"/>
      <c r="C4" s="83"/>
      <c r="D4" s="83"/>
      <c r="E4" s="83"/>
      <c r="F4" s="83"/>
      <c r="G4" s="83"/>
      <c r="H4" s="83"/>
    </row>
    <row r="5" spans="1:8" ht="12.75" customHeight="1">
      <c r="A5" s="86" t="s">
        <v>40</v>
      </c>
      <c r="B5" s="82">
        <v>7</v>
      </c>
      <c r="C5" s="83"/>
      <c r="D5" s="83"/>
      <c r="E5" s="82"/>
      <c r="F5" s="83"/>
      <c r="G5" s="130"/>
      <c r="H5" s="130"/>
    </row>
    <row r="6" spans="1:8" ht="12.75" customHeight="1">
      <c r="A6" s="83"/>
      <c r="B6" s="897" t="str">
        <f>PRESUPUESTO!C10</f>
        <v>Suministro, transporte e instalacion de malla electrosoldada de 15x15 cm x 5mm. No incluye mano de obra no calificada.</v>
      </c>
      <c r="C6" s="865"/>
      <c r="D6" s="865"/>
      <c r="E6" s="865"/>
      <c r="F6" s="866"/>
      <c r="G6" s="130" t="s">
        <v>41</v>
      </c>
      <c r="H6" s="130" t="str">
        <f>PRESUPUESTO!D10</f>
        <v>M2</v>
      </c>
    </row>
    <row r="7" spans="1:8" ht="12.75" customHeight="1">
      <c r="A7" s="82"/>
      <c r="B7" s="867"/>
      <c r="C7" s="868"/>
      <c r="D7" s="868"/>
      <c r="E7" s="868"/>
      <c r="F7" s="869"/>
      <c r="G7" s="82"/>
      <c r="H7" s="83"/>
    </row>
    <row r="8" spans="1:8" ht="12.75" customHeight="1">
      <c r="A8" s="82" t="s">
        <v>42</v>
      </c>
      <c r="B8" s="82"/>
      <c r="C8" s="83"/>
      <c r="D8" s="83"/>
      <c r="E8" s="83"/>
      <c r="F8" s="83"/>
      <c r="G8" s="83"/>
      <c r="H8" s="83"/>
    </row>
    <row r="9" spans="1:8" ht="12.75" customHeight="1">
      <c r="A9" s="882" t="s">
        <v>43</v>
      </c>
      <c r="B9" s="640"/>
      <c r="C9" s="716"/>
      <c r="D9" s="87" t="s">
        <v>44</v>
      </c>
      <c r="E9" s="88" t="s">
        <v>45</v>
      </c>
      <c r="F9" s="87" t="s">
        <v>46</v>
      </c>
      <c r="G9" s="89" t="s">
        <v>47</v>
      </c>
      <c r="H9" s="90"/>
    </row>
    <row r="10" spans="1:8" ht="12.75" customHeight="1">
      <c r="A10" s="883" t="s">
        <v>76</v>
      </c>
      <c r="B10" s="675"/>
      <c r="C10" s="676"/>
      <c r="D10" s="95"/>
      <c r="E10" s="96">
        <f>H33</f>
        <v>1374.1520000000003</v>
      </c>
      <c r="F10" s="97">
        <v>0.08</v>
      </c>
      <c r="G10" s="93">
        <f>E10*F10</f>
        <v>109.93216000000002</v>
      </c>
      <c r="H10" s="94"/>
    </row>
    <row r="11" spans="1:8" ht="12.75" customHeight="1">
      <c r="A11" s="883"/>
      <c r="B11" s="675"/>
      <c r="C11" s="676"/>
      <c r="D11" s="95"/>
      <c r="E11" s="96"/>
      <c r="F11" s="97"/>
      <c r="G11" s="93"/>
      <c r="H11" s="94"/>
    </row>
    <row r="12" spans="1:8" ht="12.75" customHeight="1">
      <c r="A12" s="883"/>
      <c r="B12" s="675"/>
      <c r="C12" s="676"/>
      <c r="D12" s="95"/>
      <c r="E12" s="96"/>
      <c r="F12" s="97"/>
      <c r="G12" s="93"/>
      <c r="H12" s="94"/>
    </row>
    <row r="13" spans="1:8" ht="12.75" customHeight="1">
      <c r="A13" s="885"/>
      <c r="B13" s="643"/>
      <c r="C13" s="679"/>
      <c r="D13" s="98"/>
      <c r="E13" s="99"/>
      <c r="F13" s="100"/>
      <c r="G13" s="101"/>
      <c r="H13" s="102"/>
    </row>
    <row r="14" spans="1:8" ht="12.75" customHeight="1">
      <c r="A14" s="83"/>
      <c r="B14" s="83"/>
      <c r="C14" s="83"/>
      <c r="D14" s="83"/>
      <c r="E14" s="83"/>
      <c r="F14" s="83"/>
      <c r="G14" s="103" t="s">
        <v>49</v>
      </c>
      <c r="H14" s="104">
        <f>SUM(G10:G13)</f>
        <v>109.93216000000002</v>
      </c>
    </row>
    <row r="15" spans="1:8" ht="12.75" customHeight="1">
      <c r="A15" s="884" t="s">
        <v>50</v>
      </c>
      <c r="B15" s="709"/>
      <c r="C15" s="875"/>
      <c r="D15" s="83"/>
      <c r="E15" s="83"/>
      <c r="F15" s="83"/>
      <c r="G15" s="83"/>
      <c r="H15" s="83"/>
    </row>
    <row r="16" spans="1:8" ht="12.75" customHeight="1">
      <c r="A16" s="882" t="s">
        <v>43</v>
      </c>
      <c r="B16" s="640"/>
      <c r="C16" s="716"/>
      <c r="D16" s="87" t="s">
        <v>51</v>
      </c>
      <c r="E16" s="87" t="s">
        <v>52</v>
      </c>
      <c r="F16" s="87" t="s">
        <v>53</v>
      </c>
      <c r="G16" s="89" t="s">
        <v>47</v>
      </c>
      <c r="H16" s="90"/>
    </row>
    <row r="17" spans="1:8" ht="12.75" customHeight="1">
      <c r="A17" s="898" t="s">
        <v>84</v>
      </c>
      <c r="B17" s="675"/>
      <c r="C17" s="676"/>
      <c r="D17" s="156" t="s">
        <v>20</v>
      </c>
      <c r="E17" s="157">
        <f>+MATERIALES!C7</f>
        <v>17906.382978723403</v>
      </c>
      <c r="F17" s="158">
        <v>1.1000000000000001</v>
      </c>
      <c r="G17" s="157">
        <f t="shared" ref="G17:G18" si="0">E17*F17</f>
        <v>19697.021276595744</v>
      </c>
      <c r="H17" s="159"/>
    </row>
    <row r="18" spans="1:8" ht="12.75" customHeight="1">
      <c r="A18" s="131" t="s">
        <v>85</v>
      </c>
      <c r="B18" s="132"/>
      <c r="C18" s="133"/>
      <c r="D18" s="156" t="s">
        <v>86</v>
      </c>
      <c r="E18" s="160">
        <f>+'APU 6'!E18</f>
        <v>8942</v>
      </c>
      <c r="F18" s="158">
        <v>0.03</v>
      </c>
      <c r="G18" s="157">
        <f t="shared" si="0"/>
        <v>268.26</v>
      </c>
      <c r="H18" s="159"/>
    </row>
    <row r="19" spans="1:8" ht="12.75" customHeight="1">
      <c r="A19" s="136"/>
      <c r="B19" s="137"/>
      <c r="C19" s="138"/>
      <c r="D19" s="161"/>
      <c r="E19" s="162"/>
      <c r="F19" s="163"/>
      <c r="G19" s="164"/>
      <c r="H19" s="165"/>
    </row>
    <row r="20" spans="1:8" ht="12.75" customHeight="1">
      <c r="A20" s="83"/>
      <c r="B20" s="83"/>
      <c r="C20" s="83"/>
      <c r="D20" s="83"/>
      <c r="E20" s="83"/>
      <c r="F20" s="83"/>
      <c r="G20" s="103" t="s">
        <v>49</v>
      </c>
      <c r="H20" s="104">
        <f>SUM(G17:G18)</f>
        <v>19965.281276595742</v>
      </c>
    </row>
    <row r="21" spans="1:8" ht="12.75" customHeight="1">
      <c r="A21" s="884" t="s">
        <v>54</v>
      </c>
      <c r="B21" s="709"/>
      <c r="C21" s="875"/>
      <c r="D21" s="83"/>
      <c r="E21" s="83"/>
      <c r="F21" s="83"/>
      <c r="G21" s="83"/>
      <c r="H21" s="83"/>
    </row>
    <row r="22" spans="1:8" ht="12.75" customHeight="1">
      <c r="A22" s="113" t="s">
        <v>55</v>
      </c>
      <c r="B22" s="114"/>
      <c r="C22" s="115" t="s">
        <v>56</v>
      </c>
      <c r="D22" s="87" t="s">
        <v>57</v>
      </c>
      <c r="E22" s="87" t="s">
        <v>58</v>
      </c>
      <c r="F22" s="87" t="s">
        <v>59</v>
      </c>
      <c r="G22" s="116" t="s">
        <v>47</v>
      </c>
      <c r="H22" s="90"/>
    </row>
    <row r="23" spans="1:8" ht="12.75" customHeight="1">
      <c r="A23" s="883"/>
      <c r="B23" s="676"/>
      <c r="C23" s="109"/>
      <c r="D23" s="117"/>
      <c r="E23" s="117"/>
      <c r="F23" s="118"/>
      <c r="G23" s="97"/>
      <c r="H23" s="94"/>
    </row>
    <row r="24" spans="1:8" ht="12.75" customHeight="1">
      <c r="A24" s="106"/>
      <c r="B24" s="107"/>
      <c r="C24" s="109"/>
      <c r="D24" s="117"/>
      <c r="E24" s="117"/>
      <c r="F24" s="118"/>
      <c r="G24" s="97"/>
      <c r="H24" s="94"/>
    </row>
    <row r="25" spans="1:8" ht="12.75" customHeight="1">
      <c r="A25" s="121"/>
      <c r="B25" s="122"/>
      <c r="C25" s="98"/>
      <c r="D25" s="99"/>
      <c r="E25" s="100"/>
      <c r="F25" s="101"/>
      <c r="G25" s="98"/>
      <c r="H25" s="94"/>
    </row>
    <row r="26" spans="1:8" ht="12.75" customHeight="1">
      <c r="A26" s="83"/>
      <c r="B26" s="83"/>
      <c r="C26" s="83"/>
      <c r="D26" s="83"/>
      <c r="E26" s="83"/>
      <c r="F26" s="83"/>
      <c r="G26" s="103" t="s">
        <v>49</v>
      </c>
      <c r="H26" s="104">
        <f>SUM(G23:G25)</f>
        <v>0</v>
      </c>
    </row>
    <row r="27" spans="1:8" ht="12.75" customHeight="1">
      <c r="A27" s="884" t="s">
        <v>61</v>
      </c>
      <c r="B27" s="709"/>
      <c r="C27" s="875"/>
      <c r="D27" s="83"/>
      <c r="E27" s="83"/>
      <c r="F27" s="83"/>
      <c r="G27" s="83"/>
      <c r="H27" s="83"/>
    </row>
    <row r="28" spans="1:8" ht="12.75" customHeight="1">
      <c r="A28" s="882" t="s">
        <v>62</v>
      </c>
      <c r="B28" s="716"/>
      <c r="C28" s="123" t="s">
        <v>63</v>
      </c>
      <c r="D28" s="87" t="s">
        <v>64</v>
      </c>
      <c r="E28" s="88" t="s">
        <v>65</v>
      </c>
      <c r="F28" s="123" t="s">
        <v>46</v>
      </c>
      <c r="G28" s="89" t="s">
        <v>47</v>
      </c>
      <c r="H28" s="90"/>
    </row>
    <row r="29" spans="1:8" ht="12.75" customHeight="1">
      <c r="A29" s="106" t="s">
        <v>66</v>
      </c>
      <c r="B29" s="107"/>
      <c r="C29" s="124">
        <f>'APU 1'!K28*2</f>
        <v>94900</v>
      </c>
      <c r="D29" s="125">
        <f>+'APU 1'!$D$29</f>
        <v>1.8100000000000003</v>
      </c>
      <c r="E29" s="97">
        <f>D29*C29</f>
        <v>171769.00000000003</v>
      </c>
      <c r="F29" s="97">
        <v>125</v>
      </c>
      <c r="G29" s="126">
        <f>E29/F29</f>
        <v>1374.1520000000003</v>
      </c>
      <c r="H29" s="94"/>
    </row>
    <row r="30" spans="1:8" ht="12.75" customHeight="1">
      <c r="A30" s="106"/>
      <c r="B30" s="107"/>
      <c r="C30" s="92"/>
      <c r="D30" s="91"/>
      <c r="E30" s="92"/>
      <c r="F30" s="97"/>
      <c r="G30" s="93"/>
      <c r="H30" s="94"/>
    </row>
    <row r="31" spans="1:8" ht="12.75" customHeight="1">
      <c r="A31" s="106"/>
      <c r="B31" s="107"/>
      <c r="C31" s="92"/>
      <c r="D31" s="91"/>
      <c r="E31" s="92"/>
      <c r="F31" s="97"/>
      <c r="G31" s="93"/>
      <c r="H31" s="94"/>
    </row>
    <row r="32" spans="1:8" ht="12.75" customHeight="1">
      <c r="A32" s="121"/>
      <c r="B32" s="127"/>
      <c r="C32" s="99"/>
      <c r="D32" s="112"/>
      <c r="E32" s="112"/>
      <c r="F32" s="112"/>
      <c r="G32" s="111"/>
      <c r="H32" s="102"/>
    </row>
    <row r="33" spans="1:8" ht="12.75" customHeight="1">
      <c r="A33" s="83"/>
      <c r="B33" s="83"/>
      <c r="C33" s="83"/>
      <c r="D33" s="83"/>
      <c r="E33" s="83"/>
      <c r="F33" s="83"/>
      <c r="G33" s="103" t="s">
        <v>49</v>
      </c>
      <c r="H33" s="104">
        <f>SUM(G29:G32)</f>
        <v>1374.1520000000003</v>
      </c>
    </row>
    <row r="34" spans="1:8" ht="12.75" customHeight="1">
      <c r="A34" s="83"/>
      <c r="B34" s="83"/>
      <c r="C34" s="83"/>
      <c r="D34" s="83"/>
      <c r="E34" s="83"/>
      <c r="F34" s="83"/>
      <c r="G34" s="83"/>
      <c r="H34" s="103"/>
    </row>
    <row r="35" spans="1:8" ht="12.75" customHeight="1">
      <c r="A35" s="83"/>
      <c r="B35" s="83"/>
      <c r="C35" s="83"/>
      <c r="D35" s="83"/>
      <c r="E35" s="103" t="s">
        <v>67</v>
      </c>
      <c r="F35" s="128"/>
      <c r="G35" s="128"/>
      <c r="H35" s="104">
        <f>ROUND((H14+H20+H26+H33),0)</f>
        <v>21449</v>
      </c>
    </row>
    <row r="36" spans="1:8" ht="12.75" customHeight="1">
      <c r="A36" s="28"/>
      <c r="B36" s="28"/>
      <c r="C36" s="28"/>
      <c r="D36" s="28"/>
      <c r="E36" s="46"/>
      <c r="F36" s="78"/>
      <c r="G36" s="78"/>
      <c r="H36" s="80"/>
    </row>
    <row r="37" spans="1:8" ht="12.75" customHeight="1">
      <c r="A37" s="28"/>
      <c r="B37" s="28"/>
      <c r="C37" s="28"/>
      <c r="D37" s="28"/>
      <c r="E37" s="872" t="s">
        <v>68</v>
      </c>
      <c r="F37" s="633"/>
      <c r="G37" s="81">
        <f>+'APU 1'!G36</f>
        <v>0.34499999999999997</v>
      </c>
      <c r="H37" s="79">
        <f>ROUND((H35*(1+G37)),0)</f>
        <v>28849</v>
      </c>
    </row>
    <row r="38" spans="1:8" ht="12.75" customHeight="1">
      <c r="A38" s="83"/>
      <c r="B38" s="83"/>
      <c r="C38" s="83"/>
      <c r="D38" s="84"/>
      <c r="E38" s="84"/>
      <c r="F38" s="84"/>
      <c r="G38" s="84"/>
      <c r="H38" s="143"/>
    </row>
    <row r="39" spans="1:8" ht="12.75" customHeight="1">
      <c r="A39" s="83"/>
      <c r="B39" s="83"/>
      <c r="C39" s="83"/>
      <c r="D39" s="84"/>
      <c r="E39" s="84"/>
      <c r="F39" s="84"/>
      <c r="G39" s="84"/>
      <c r="H39" s="84"/>
    </row>
    <row r="40" spans="1:8" ht="12.75" customHeight="1">
      <c r="A40" s="82"/>
      <c r="B40" s="83"/>
      <c r="C40" s="84"/>
      <c r="D40" s="84"/>
      <c r="E40" s="887"/>
      <c r="F40" s="632"/>
      <c r="G40" s="633"/>
      <c r="H40" s="145"/>
    </row>
    <row r="41" spans="1:8" ht="12.75" customHeight="1">
      <c r="A41" s="83"/>
      <c r="B41" s="83"/>
      <c r="C41" s="84"/>
      <c r="D41" s="84"/>
      <c r="E41" s="888"/>
      <c r="F41" s="632"/>
      <c r="G41" s="633"/>
      <c r="H41" s="141"/>
    </row>
    <row r="42" spans="1:8" ht="12.75" customHeight="1">
      <c r="A42" s="84"/>
      <c r="B42" s="84"/>
      <c r="C42" s="84"/>
      <c r="D42" s="83"/>
      <c r="E42" s="887"/>
      <c r="F42" s="632"/>
      <c r="G42" s="632"/>
      <c r="H42" s="633"/>
    </row>
  </sheetData>
  <mergeCells count="21">
    <mergeCell ref="E37:F37"/>
    <mergeCell ref="E40:G40"/>
    <mergeCell ref="E41:G41"/>
    <mergeCell ref="E42:H42"/>
    <mergeCell ref="A11:C11"/>
    <mergeCell ref="A12:C12"/>
    <mergeCell ref="A13:C13"/>
    <mergeCell ref="A15:C15"/>
    <mergeCell ref="A16:C16"/>
    <mergeCell ref="A17:C17"/>
    <mergeCell ref="A21:C21"/>
    <mergeCell ref="A9:C9"/>
    <mergeCell ref="A10:C10"/>
    <mergeCell ref="A23:B23"/>
    <mergeCell ref="A27:C27"/>
    <mergeCell ref="A28:B28"/>
    <mergeCell ref="A1:B3"/>
    <mergeCell ref="C1:F1"/>
    <mergeCell ref="G1:H3"/>
    <mergeCell ref="C2:F3"/>
    <mergeCell ref="B6:F7"/>
  </mergeCells>
  <pageMargins left="0.7" right="0.7" top="0.75" bottom="0.75" header="0" footer="0"/>
  <pageSetup scale="8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BE4D5"/>
    <pageSetUpPr fitToPage="1"/>
  </sheetPr>
  <dimension ref="A1:M40"/>
  <sheetViews>
    <sheetView view="pageBreakPreview" topLeftCell="A6" zoomScale="81" zoomScaleNormal="100" workbookViewId="0">
      <selection activeCell="F26" sqref="F26"/>
    </sheetView>
  </sheetViews>
  <sheetFormatPr baseColWidth="10" defaultColWidth="14.5" defaultRowHeight="15" customHeight="1"/>
  <cols>
    <col min="1" max="1" width="11.5" customWidth="1"/>
    <col min="2" max="2" width="15.5" customWidth="1"/>
    <col min="3" max="3" width="14" customWidth="1"/>
    <col min="4" max="26" width="11.5" customWidth="1"/>
  </cols>
  <sheetData>
    <row r="1" spans="1:8" ht="22.5" customHeight="1">
      <c r="A1" s="879"/>
      <c r="B1" s="723"/>
      <c r="C1" s="880" t="s">
        <v>39</v>
      </c>
      <c r="D1" s="734"/>
      <c r="E1" s="734"/>
      <c r="F1" s="735"/>
      <c r="G1" s="879" t="str">
        <f>DATOS!C4</f>
        <v>MUNICIPIO DE RISARALDA</v>
      </c>
      <c r="H1" s="723"/>
    </row>
    <row r="2" spans="1:8" ht="12.75" customHeight="1">
      <c r="A2" s="860"/>
      <c r="B2" s="725"/>
      <c r="C2" s="879" t="str">
        <f>DATOS!C2</f>
        <v>CONSTRUCCIÓN DE PLACA HUELLAS CON APOYO DE LA COMUNIDAD Y EL COMITÉ DE CAFETEROS EN ZONA RURAL DEL MUNICIPIO DE RISARALDA</v>
      </c>
      <c r="D2" s="703"/>
      <c r="E2" s="703"/>
      <c r="F2" s="723"/>
      <c r="G2" s="860"/>
      <c r="H2" s="725"/>
    </row>
    <row r="3" spans="1:8" ht="47.25" customHeight="1">
      <c r="A3" s="861"/>
      <c r="B3" s="862"/>
      <c r="C3" s="861"/>
      <c r="D3" s="700"/>
      <c r="E3" s="700"/>
      <c r="F3" s="862"/>
      <c r="G3" s="861"/>
      <c r="H3" s="862"/>
    </row>
    <row r="4" spans="1:8" ht="12.75" customHeight="1">
      <c r="A4" s="85"/>
      <c r="B4" s="83"/>
      <c r="C4" s="83"/>
      <c r="D4" s="83"/>
      <c r="E4" s="83"/>
      <c r="F4" s="83"/>
      <c r="G4" s="83"/>
      <c r="H4" s="83"/>
    </row>
    <row r="5" spans="1:8" ht="12.75" customHeight="1">
      <c r="A5" s="86" t="s">
        <v>40</v>
      </c>
      <c r="B5" s="82">
        <v>8</v>
      </c>
      <c r="C5" s="83"/>
      <c r="D5" s="83"/>
      <c r="E5" s="82"/>
      <c r="F5" s="83"/>
      <c r="G5" s="130"/>
      <c r="H5" s="130"/>
    </row>
    <row r="6" spans="1:8" ht="12.75" customHeight="1">
      <c r="A6" s="83"/>
      <c r="B6" s="886" t="str">
        <f>+PRESUPUESTO!C11</f>
        <v>Sobreacarreo de materiales en vehiculo automotor de tracción 4x4. No incluye mano de obra no calificada para cargue y descargue.</v>
      </c>
      <c r="C6" s="865"/>
      <c r="D6" s="865"/>
      <c r="E6" s="865"/>
      <c r="F6" s="866"/>
      <c r="G6" s="130" t="s">
        <v>41</v>
      </c>
      <c r="H6" s="130" t="s">
        <v>88</v>
      </c>
    </row>
    <row r="7" spans="1:8" ht="33" customHeight="1">
      <c r="A7" s="82"/>
      <c r="B7" s="867"/>
      <c r="C7" s="868"/>
      <c r="D7" s="868"/>
      <c r="E7" s="868"/>
      <c r="F7" s="869"/>
      <c r="G7" s="82"/>
      <c r="H7" s="83"/>
    </row>
    <row r="8" spans="1:8" ht="12.75" customHeight="1">
      <c r="A8" s="82" t="s">
        <v>42</v>
      </c>
      <c r="B8" s="82"/>
      <c r="C8" s="83"/>
      <c r="D8" s="83"/>
      <c r="E8" s="83"/>
      <c r="F8" s="83"/>
      <c r="G8" s="83"/>
      <c r="H8" s="83"/>
    </row>
    <row r="9" spans="1:8" ht="12.75" customHeight="1">
      <c r="A9" s="882" t="s">
        <v>43</v>
      </c>
      <c r="B9" s="640"/>
      <c r="C9" s="716"/>
      <c r="D9" s="87" t="s">
        <v>44</v>
      </c>
      <c r="E9" s="88" t="s">
        <v>45</v>
      </c>
      <c r="F9" s="87" t="s">
        <v>46</v>
      </c>
      <c r="G9" s="89" t="s">
        <v>47</v>
      </c>
      <c r="H9" s="90"/>
    </row>
    <row r="10" spans="1:8" ht="13.5" customHeight="1">
      <c r="A10" s="167" t="s">
        <v>76</v>
      </c>
      <c r="B10" s="148"/>
      <c r="C10" s="149"/>
      <c r="D10" s="95"/>
      <c r="E10" s="96">
        <f>+H36</f>
        <v>0</v>
      </c>
      <c r="F10" s="97">
        <v>0.08</v>
      </c>
      <c r="G10" s="93">
        <f>E10*F10</f>
        <v>0</v>
      </c>
      <c r="H10" s="94"/>
    </row>
    <row r="11" spans="1:8" ht="12.75" customHeight="1">
      <c r="A11" s="147"/>
      <c r="B11" s="148"/>
      <c r="C11" s="149"/>
      <c r="D11" s="95"/>
      <c r="E11" s="97"/>
      <c r="F11" s="97"/>
      <c r="G11" s="93"/>
      <c r="H11" s="94"/>
    </row>
    <row r="12" spans="1:8" ht="13.5" customHeight="1">
      <c r="A12" s="147"/>
      <c r="B12" s="148"/>
      <c r="C12" s="149"/>
      <c r="D12" s="95"/>
      <c r="E12" s="96"/>
      <c r="F12" s="97"/>
      <c r="G12" s="93"/>
      <c r="H12" s="94"/>
    </row>
    <row r="13" spans="1:8" ht="12.75" customHeight="1">
      <c r="A13" s="885"/>
      <c r="B13" s="643"/>
      <c r="C13" s="679"/>
      <c r="D13" s="98"/>
      <c r="E13" s="99"/>
      <c r="F13" s="100"/>
      <c r="G13" s="101"/>
      <c r="H13" s="102"/>
    </row>
    <row r="14" spans="1:8" ht="12.75" customHeight="1">
      <c r="A14" s="150"/>
      <c r="B14" s="83"/>
      <c r="C14" s="83"/>
      <c r="D14" s="83"/>
      <c r="E14" s="83"/>
      <c r="F14" s="83"/>
      <c r="G14" s="103" t="s">
        <v>49</v>
      </c>
      <c r="H14" s="104">
        <f>SUM(G10:G13)</f>
        <v>0</v>
      </c>
    </row>
    <row r="15" spans="1:8" ht="12.75" customHeight="1">
      <c r="A15" s="890" t="s">
        <v>50</v>
      </c>
      <c r="B15" s="875"/>
      <c r="C15" s="83"/>
      <c r="D15" s="83"/>
      <c r="E15" s="83"/>
      <c r="F15" s="83"/>
      <c r="G15" s="83"/>
      <c r="H15" s="151"/>
    </row>
    <row r="16" spans="1:8" ht="12.75" customHeight="1">
      <c r="A16" s="152" t="s">
        <v>43</v>
      </c>
      <c r="B16" s="153"/>
      <c r="C16" s="87"/>
      <c r="D16" s="87" t="s">
        <v>51</v>
      </c>
      <c r="E16" s="87" t="s">
        <v>52</v>
      </c>
      <c r="F16" s="87" t="s">
        <v>53</v>
      </c>
      <c r="G16" s="89" t="s">
        <v>47</v>
      </c>
      <c r="H16" s="90"/>
    </row>
    <row r="17" spans="1:9" ht="12.75" customHeight="1">
      <c r="A17" s="131"/>
      <c r="B17" s="132"/>
      <c r="C17" s="133"/>
      <c r="D17" s="91"/>
      <c r="E17" s="92"/>
      <c r="F17" s="109"/>
      <c r="G17" s="93"/>
      <c r="H17" s="94"/>
      <c r="I17" s="83"/>
    </row>
    <row r="18" spans="1:9" ht="12.75" customHeight="1">
      <c r="A18" s="131"/>
      <c r="B18" s="132"/>
      <c r="C18" s="133"/>
      <c r="D18" s="95"/>
      <c r="E18" s="96"/>
      <c r="F18" s="135"/>
      <c r="G18" s="93"/>
      <c r="H18" s="94"/>
      <c r="I18" s="83"/>
    </row>
    <row r="19" spans="1:9" ht="12.75" customHeight="1">
      <c r="A19" s="131"/>
      <c r="B19" s="132"/>
      <c r="C19" s="133"/>
      <c r="D19" s="95"/>
      <c r="E19" s="96"/>
      <c r="F19" s="135"/>
      <c r="G19" s="93"/>
      <c r="H19" s="94"/>
      <c r="I19" s="83"/>
    </row>
    <row r="20" spans="1:9" ht="12.75" customHeight="1">
      <c r="A20" s="131"/>
      <c r="B20" s="132"/>
      <c r="C20" s="133"/>
      <c r="D20" s="95"/>
      <c r="E20" s="96"/>
      <c r="F20" s="135"/>
      <c r="G20" s="93"/>
      <c r="H20" s="94"/>
      <c r="I20" s="83"/>
    </row>
    <row r="21" spans="1:9" ht="12.75" customHeight="1">
      <c r="A21" s="106"/>
      <c r="B21" s="107"/>
      <c r="C21" s="108"/>
      <c r="D21" s="91"/>
      <c r="E21" s="92"/>
      <c r="F21" s="109"/>
      <c r="G21" s="93"/>
      <c r="H21" s="94"/>
      <c r="I21" s="83"/>
    </row>
    <row r="22" spans="1:9" ht="12.75" customHeight="1">
      <c r="A22" s="110"/>
      <c r="B22" s="111"/>
      <c r="C22" s="112"/>
      <c r="D22" s="98"/>
      <c r="E22" s="99"/>
      <c r="F22" s="100"/>
      <c r="G22" s="101"/>
      <c r="H22" s="102"/>
      <c r="I22" s="83"/>
    </row>
    <row r="23" spans="1:9" ht="12.75" customHeight="1">
      <c r="A23" s="150"/>
      <c r="B23" s="83"/>
      <c r="C23" s="83"/>
      <c r="D23" s="83"/>
      <c r="E23" s="83"/>
      <c r="F23" s="83"/>
      <c r="G23" s="103" t="s">
        <v>49</v>
      </c>
      <c r="H23" s="104">
        <f>SUM(G17:G22)</f>
        <v>0</v>
      </c>
      <c r="I23" s="105"/>
    </row>
    <row r="24" spans="1:9" ht="12.75" customHeight="1">
      <c r="A24" s="890" t="s">
        <v>54</v>
      </c>
      <c r="B24" s="875"/>
      <c r="C24" s="83"/>
      <c r="D24" s="83"/>
      <c r="E24" s="83"/>
      <c r="F24" s="83"/>
      <c r="G24" s="83"/>
      <c r="H24" s="151"/>
      <c r="I24" s="83"/>
    </row>
    <row r="25" spans="1:9" ht="12.75" customHeight="1">
      <c r="A25" s="882" t="s">
        <v>55</v>
      </c>
      <c r="B25" s="716"/>
      <c r="C25" s="87" t="s">
        <v>82</v>
      </c>
      <c r="D25" s="87" t="s">
        <v>57</v>
      </c>
      <c r="E25" s="87" t="s">
        <v>58</v>
      </c>
      <c r="F25" s="87" t="s">
        <v>59</v>
      </c>
      <c r="G25" s="116" t="s">
        <v>47</v>
      </c>
      <c r="H25" s="90"/>
      <c r="I25" s="83"/>
    </row>
    <row r="26" spans="1:9" ht="12.75" customHeight="1">
      <c r="A26" s="883" t="s">
        <v>89</v>
      </c>
      <c r="B26" s="676"/>
      <c r="C26" s="97">
        <v>1</v>
      </c>
      <c r="D26" s="117">
        <v>1</v>
      </c>
      <c r="E26" s="117">
        <f>C26*D26</f>
        <v>1</v>
      </c>
      <c r="F26" s="118">
        <f>+EQUIPO!C2</f>
        <v>31596.82</v>
      </c>
      <c r="G26" s="97">
        <f>E26*F26</f>
        <v>31596.82</v>
      </c>
      <c r="H26" s="94"/>
      <c r="I26" s="83"/>
    </row>
    <row r="27" spans="1:9" ht="12.75" customHeight="1">
      <c r="A27" s="883"/>
      <c r="B27" s="676"/>
      <c r="C27" s="97"/>
      <c r="D27" s="117"/>
      <c r="E27" s="117"/>
      <c r="F27" s="118"/>
      <c r="G27" s="97"/>
      <c r="H27" s="94"/>
      <c r="I27" s="83"/>
    </row>
    <row r="28" spans="1:9" ht="12.75" customHeight="1">
      <c r="A28" s="106"/>
      <c r="B28" s="107"/>
      <c r="C28" s="97"/>
      <c r="D28" s="117"/>
      <c r="E28" s="117"/>
      <c r="F28" s="118"/>
      <c r="G28" s="97"/>
      <c r="H28" s="94"/>
      <c r="I28" s="83"/>
    </row>
    <row r="29" spans="1:9" ht="12.75" customHeight="1">
      <c r="A29" s="889"/>
      <c r="B29" s="679"/>
      <c r="C29" s="122"/>
      <c r="D29" s="122"/>
      <c r="E29" s="122"/>
      <c r="F29" s="122"/>
      <c r="G29" s="154"/>
      <c r="H29" s="94"/>
      <c r="I29" s="83"/>
    </row>
    <row r="30" spans="1:9" ht="12.75" customHeight="1">
      <c r="A30" s="150"/>
      <c r="B30" s="83"/>
      <c r="C30" s="83"/>
      <c r="D30" s="83"/>
      <c r="E30" s="83"/>
      <c r="F30" s="83"/>
      <c r="G30" s="103" t="s">
        <v>49</v>
      </c>
      <c r="H30" s="104">
        <f>SUM(G26:G29)</f>
        <v>31596.82</v>
      </c>
      <c r="I30" s="83"/>
    </row>
    <row r="31" spans="1:9" ht="12.75" customHeight="1">
      <c r="A31" s="890" t="s">
        <v>61</v>
      </c>
      <c r="B31" s="709"/>
      <c r="C31" s="875"/>
      <c r="D31" s="83"/>
      <c r="E31" s="83"/>
      <c r="F31" s="83"/>
      <c r="G31" s="83"/>
      <c r="H31" s="151"/>
      <c r="I31" s="83"/>
    </row>
    <row r="32" spans="1:9" ht="12.75" customHeight="1">
      <c r="A32" s="882" t="s">
        <v>62</v>
      </c>
      <c r="B32" s="716"/>
      <c r="C32" s="87" t="s">
        <v>63</v>
      </c>
      <c r="D32" s="87" t="s">
        <v>64</v>
      </c>
      <c r="E32" s="88" t="s">
        <v>65</v>
      </c>
      <c r="F32" s="123" t="s">
        <v>46</v>
      </c>
      <c r="G32" s="89" t="s">
        <v>47</v>
      </c>
      <c r="H32" s="90"/>
      <c r="I32" s="83"/>
    </row>
    <row r="33" spans="1:13" ht="12.75" customHeight="1">
      <c r="A33" s="883"/>
      <c r="B33" s="676"/>
      <c r="C33" s="124"/>
      <c r="D33" s="125"/>
      <c r="E33" s="97"/>
      <c r="F33" s="97"/>
      <c r="G33" s="126"/>
      <c r="H33" s="94"/>
      <c r="I33" s="105"/>
      <c r="J33" s="83"/>
      <c r="K33" s="83"/>
      <c r="L33" s="83"/>
      <c r="M33" s="83"/>
    </row>
    <row r="34" spans="1:13" ht="12.75" customHeight="1">
      <c r="A34" s="894"/>
      <c r="B34" s="676"/>
      <c r="C34" s="92"/>
      <c r="D34" s="91"/>
      <c r="E34" s="92"/>
      <c r="F34" s="97"/>
      <c r="G34" s="93"/>
      <c r="H34" s="94"/>
      <c r="I34" s="83"/>
      <c r="J34" s="83"/>
      <c r="K34" s="83"/>
      <c r="L34" s="83"/>
      <c r="M34" s="83"/>
    </row>
    <row r="35" spans="1:13" ht="12.75" customHeight="1">
      <c r="A35" s="889"/>
      <c r="B35" s="679"/>
      <c r="C35" s="112"/>
      <c r="D35" s="112"/>
      <c r="E35" s="112"/>
      <c r="F35" s="112"/>
      <c r="G35" s="111"/>
      <c r="H35" s="102"/>
      <c r="I35" s="83"/>
      <c r="J35" s="83"/>
      <c r="K35" s="83"/>
      <c r="L35" s="83"/>
      <c r="M35" s="83"/>
    </row>
    <row r="36" spans="1:13" ht="12.75" customHeight="1">
      <c r="A36" s="83"/>
      <c r="B36" s="83"/>
      <c r="C36" s="83"/>
      <c r="D36" s="83"/>
      <c r="E36" s="83"/>
      <c r="F36" s="83"/>
      <c r="G36" s="103" t="s">
        <v>49</v>
      </c>
      <c r="H36" s="104">
        <f>SUM(G33:G35)</f>
        <v>0</v>
      </c>
      <c r="I36" s="83"/>
      <c r="J36" s="83"/>
      <c r="K36" s="83"/>
      <c r="L36" s="83"/>
      <c r="M36" s="83"/>
    </row>
    <row r="37" spans="1:13" ht="12.75" customHeight="1">
      <c r="A37" s="83"/>
      <c r="B37" s="83"/>
      <c r="C37" s="83"/>
      <c r="D37" s="83"/>
      <c r="E37" s="83"/>
      <c r="F37" s="83"/>
      <c r="G37" s="128"/>
      <c r="H37" s="83"/>
      <c r="I37" s="83"/>
      <c r="J37" s="83"/>
      <c r="K37" s="83"/>
      <c r="L37" s="83"/>
      <c r="M37" s="83"/>
    </row>
    <row r="38" spans="1:13" ht="12.75" customHeight="1">
      <c r="A38" s="83"/>
      <c r="B38" s="83"/>
      <c r="C38" s="83"/>
      <c r="D38" s="83"/>
      <c r="E38" s="895" t="s">
        <v>67</v>
      </c>
      <c r="F38" s="632"/>
      <c r="G38" s="633"/>
      <c r="H38" s="104">
        <f>H30</f>
        <v>31596.82</v>
      </c>
      <c r="I38" s="134"/>
      <c r="J38" s="83"/>
      <c r="K38" s="83"/>
      <c r="L38" s="134"/>
      <c r="M38" s="83"/>
    </row>
    <row r="39" spans="1:13" ht="12.75" customHeight="1">
      <c r="A39" s="28"/>
      <c r="B39" s="28"/>
      <c r="C39" s="28"/>
      <c r="D39" s="28"/>
      <c r="E39" s="46"/>
      <c r="F39" s="78"/>
      <c r="G39" s="78"/>
      <c r="H39" s="80"/>
      <c r="I39" s="26"/>
      <c r="J39" s="26"/>
      <c r="K39" s="26"/>
      <c r="L39" s="168"/>
      <c r="M39" s="26"/>
    </row>
    <row r="40" spans="1:13" ht="12.75" customHeight="1">
      <c r="A40" s="28"/>
      <c r="B40" s="28"/>
      <c r="C40" s="28"/>
      <c r="D40" s="28"/>
      <c r="E40" s="872" t="s">
        <v>68</v>
      </c>
      <c r="F40" s="633"/>
      <c r="G40" s="81">
        <f>+'APU 1'!G36</f>
        <v>0.34499999999999997</v>
      </c>
      <c r="H40" s="79">
        <f>ROUND((H38*(1+G40)),0)</f>
        <v>42498</v>
      </c>
      <c r="I40" s="105"/>
      <c r="J40" s="26"/>
      <c r="K40" s="26"/>
      <c r="L40" s="26"/>
      <c r="M40" s="26"/>
    </row>
  </sheetData>
  <mergeCells count="20">
    <mergeCell ref="A35:B35"/>
    <mergeCell ref="E38:G38"/>
    <mergeCell ref="E40:F40"/>
    <mergeCell ref="A15:B15"/>
    <mergeCell ref="A24:B24"/>
    <mergeCell ref="A25:B25"/>
    <mergeCell ref="A26:B26"/>
    <mergeCell ref="A27:B27"/>
    <mergeCell ref="A29:B29"/>
    <mergeCell ref="A31:C31"/>
    <mergeCell ref="A9:C9"/>
    <mergeCell ref="A13:C13"/>
    <mergeCell ref="A32:B32"/>
    <mergeCell ref="A33:B33"/>
    <mergeCell ref="A34:B34"/>
    <mergeCell ref="A1:B3"/>
    <mergeCell ref="C1:F1"/>
    <mergeCell ref="G1:H3"/>
    <mergeCell ref="C2:F3"/>
    <mergeCell ref="B6:F7"/>
  </mergeCells>
  <pageMargins left="0.7" right="0.7" top="0.75" bottom="0.75" header="0" footer="0"/>
  <pageSetup scale="8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E52D3-20EE-45B5-A148-FC53E055C8CC}">
  <sheetPr>
    <tabColor rgb="FFFBE4D5"/>
  </sheetPr>
  <dimension ref="A1:K37"/>
  <sheetViews>
    <sheetView view="pageBreakPreview" topLeftCell="A9" zoomScale="104" zoomScaleNormal="100" workbookViewId="0">
      <selection activeCell="F30" sqref="F30"/>
    </sheetView>
  </sheetViews>
  <sheetFormatPr baseColWidth="10" defaultColWidth="14.5" defaultRowHeight="15" customHeight="1"/>
  <cols>
    <col min="1" max="1" width="11.5" customWidth="1"/>
    <col min="2" max="2" width="12.5" customWidth="1"/>
    <col min="3" max="3" width="16" customWidth="1"/>
    <col min="4" max="26" width="11.5" customWidth="1"/>
  </cols>
  <sheetData>
    <row r="1" spans="1:8" ht="22.5" customHeight="1">
      <c r="A1" s="859"/>
      <c r="B1" s="723"/>
      <c r="C1" s="863" t="s">
        <v>39</v>
      </c>
      <c r="D1" s="734"/>
      <c r="E1" s="734"/>
      <c r="F1" s="735"/>
      <c r="G1" s="859" t="str">
        <f>DATOS!C4</f>
        <v>MUNICIPIO DE RISARALDA</v>
      </c>
      <c r="H1" s="723"/>
    </row>
    <row r="2" spans="1:8" ht="12.75" customHeight="1">
      <c r="A2" s="860"/>
      <c r="B2" s="725"/>
      <c r="C2" s="859" t="str">
        <f>DATOS!C2</f>
        <v>CONSTRUCCIÓN DE PLACA HUELLAS CON APOYO DE LA COMUNIDAD Y EL COMITÉ DE CAFETEROS EN ZONA RURAL DEL MUNICIPIO DE RISARALDA</v>
      </c>
      <c r="D2" s="703"/>
      <c r="E2" s="703"/>
      <c r="F2" s="723"/>
      <c r="G2" s="860"/>
      <c r="H2" s="725"/>
    </row>
    <row r="3" spans="1:8" ht="47.25" customHeight="1">
      <c r="A3" s="861"/>
      <c r="B3" s="862"/>
      <c r="C3" s="861"/>
      <c r="D3" s="700"/>
      <c r="E3" s="700"/>
      <c r="F3" s="862"/>
      <c r="G3" s="861"/>
      <c r="H3" s="862"/>
    </row>
    <row r="4" spans="1:8" ht="12.75" customHeight="1">
      <c r="A4" s="27"/>
      <c r="B4" s="28"/>
      <c r="C4" s="28"/>
      <c r="D4" s="28"/>
      <c r="E4" s="28"/>
      <c r="F4" s="28"/>
      <c r="G4" s="28"/>
      <c r="H4" s="28"/>
    </row>
    <row r="5" spans="1:8" ht="12.75" customHeight="1">
      <c r="A5" s="29" t="s">
        <v>40</v>
      </c>
      <c r="B5" s="30">
        <v>9</v>
      </c>
      <c r="C5" s="28"/>
      <c r="D5" s="26"/>
      <c r="E5" s="30"/>
      <c r="F5" s="26"/>
      <c r="G5" s="31"/>
      <c r="H5" s="31"/>
    </row>
    <row r="6" spans="1:8" ht="12.75" customHeight="1">
      <c r="A6" s="26"/>
      <c r="B6" s="864" t="str">
        <f>PRESUPUESTO!C4</f>
        <v>Excavaciones varias en material común. No incluye mano de obra no calificada.</v>
      </c>
      <c r="C6" s="865"/>
      <c r="D6" s="865"/>
      <c r="E6" s="865"/>
      <c r="F6" s="866"/>
      <c r="G6" s="31" t="s">
        <v>41</v>
      </c>
      <c r="H6" s="31" t="str">
        <f>PRESUPUESTO!D4</f>
        <v>M3</v>
      </c>
    </row>
    <row r="7" spans="1:8" ht="12.75" customHeight="1">
      <c r="A7" s="30"/>
      <c r="B7" s="867"/>
      <c r="C7" s="868"/>
      <c r="D7" s="868"/>
      <c r="E7" s="868"/>
      <c r="F7" s="869"/>
      <c r="G7" s="30"/>
      <c r="H7" s="28"/>
    </row>
    <row r="8" spans="1:8" ht="12.75" customHeight="1" thickBot="1">
      <c r="A8" s="30" t="s">
        <v>42</v>
      </c>
      <c r="B8" s="30"/>
      <c r="C8" s="28"/>
      <c r="D8" s="28"/>
      <c r="E8" s="28"/>
      <c r="F8" s="28"/>
      <c r="G8" s="28"/>
      <c r="H8" s="28"/>
    </row>
    <row r="9" spans="1:8" ht="12.75" customHeight="1">
      <c r="A9" s="870" t="s">
        <v>43</v>
      </c>
      <c r="B9" s="640"/>
      <c r="C9" s="716"/>
      <c r="D9" s="32" t="s">
        <v>44</v>
      </c>
      <c r="E9" s="33" t="s">
        <v>45</v>
      </c>
      <c r="F9" s="32" t="s">
        <v>46</v>
      </c>
      <c r="G9" s="34" t="s">
        <v>47</v>
      </c>
      <c r="H9" s="35"/>
    </row>
    <row r="10" spans="1:8" ht="12.75" customHeight="1">
      <c r="A10" s="871" t="s">
        <v>48</v>
      </c>
      <c r="B10" s="675"/>
      <c r="C10" s="676"/>
      <c r="D10" s="36"/>
      <c r="E10" s="37">
        <f>H32</f>
        <v>26426.000000000004</v>
      </c>
      <c r="F10" s="38">
        <v>0.08</v>
      </c>
      <c r="G10" s="39">
        <f>E10*F10</f>
        <v>2114.0800000000004</v>
      </c>
      <c r="H10" s="40"/>
    </row>
    <row r="11" spans="1:8" ht="12.75" customHeight="1">
      <c r="A11" s="871" t="s">
        <v>328</v>
      </c>
      <c r="B11" s="675"/>
      <c r="C11" s="676"/>
      <c r="D11" s="36"/>
      <c r="E11" s="37">
        <f>+EQUIPO!C6</f>
        <v>18750</v>
      </c>
      <c r="F11" s="38">
        <v>7</v>
      </c>
      <c r="G11" s="39">
        <f>E11*F11</f>
        <v>131250</v>
      </c>
      <c r="H11" s="40"/>
    </row>
    <row r="12" spans="1:8" ht="12.75" customHeight="1" thickBot="1">
      <c r="A12" s="873"/>
      <c r="B12" s="643"/>
      <c r="C12" s="679"/>
      <c r="D12" s="41"/>
      <c r="E12" s="42"/>
      <c r="F12" s="43"/>
      <c r="G12" s="44"/>
      <c r="H12" s="45"/>
    </row>
    <row r="13" spans="1:8" ht="12.75" customHeight="1" thickBot="1">
      <c r="A13" s="28"/>
      <c r="B13" s="28"/>
      <c r="C13" s="28"/>
      <c r="D13" s="28"/>
      <c r="E13" s="28"/>
      <c r="F13" s="28"/>
      <c r="G13" s="46" t="s">
        <v>49</v>
      </c>
      <c r="H13" s="47">
        <f>SUM(G10:G12)</f>
        <v>133364.07999999999</v>
      </c>
    </row>
    <row r="14" spans="1:8" ht="12.75" customHeight="1" thickBot="1">
      <c r="A14" s="30" t="s">
        <v>50</v>
      </c>
      <c r="B14" s="30"/>
      <c r="C14" s="28"/>
      <c r="D14" s="28"/>
      <c r="E14" s="28"/>
      <c r="F14" s="28"/>
      <c r="G14" s="28"/>
      <c r="H14" s="28"/>
    </row>
    <row r="15" spans="1:8" ht="12.75" customHeight="1">
      <c r="A15" s="870" t="s">
        <v>43</v>
      </c>
      <c r="B15" s="640"/>
      <c r="C15" s="716"/>
      <c r="D15" s="32" t="s">
        <v>51</v>
      </c>
      <c r="E15" s="32" t="s">
        <v>52</v>
      </c>
      <c r="F15" s="32" t="s">
        <v>53</v>
      </c>
      <c r="G15" s="34" t="s">
        <v>47</v>
      </c>
      <c r="H15" s="35"/>
    </row>
    <row r="16" spans="1:8" ht="12.75" customHeight="1">
      <c r="A16" s="48"/>
      <c r="B16" s="49"/>
      <c r="C16" s="50"/>
      <c r="D16" s="51"/>
      <c r="E16" s="52"/>
      <c r="F16" s="53"/>
      <c r="G16" s="39"/>
      <c r="H16" s="40"/>
    </row>
    <row r="17" spans="1:11" ht="12.75" customHeight="1">
      <c r="A17" s="48"/>
      <c r="B17" s="49"/>
      <c r="C17" s="50"/>
      <c r="D17" s="51"/>
      <c r="E17" s="52"/>
      <c r="F17" s="53"/>
      <c r="G17" s="39"/>
      <c r="H17" s="40"/>
      <c r="I17" s="26"/>
      <c r="J17" s="26"/>
      <c r="K17" s="26"/>
    </row>
    <row r="18" spans="1:11" ht="12.75" customHeight="1">
      <c r="A18" s="48"/>
      <c r="B18" s="49"/>
      <c r="C18" s="50"/>
      <c r="D18" s="36"/>
      <c r="E18" s="37"/>
      <c r="F18" s="54"/>
      <c r="G18" s="55"/>
      <c r="H18" s="40"/>
      <c r="I18" s="26"/>
      <c r="J18" s="26"/>
      <c r="K18" s="26"/>
    </row>
    <row r="19" spans="1:11" ht="12.75" customHeight="1" thickBot="1">
      <c r="A19" s="56"/>
      <c r="B19" s="57"/>
      <c r="C19" s="58"/>
      <c r="D19" s="41"/>
      <c r="E19" s="42"/>
      <c r="F19" s="43"/>
      <c r="G19" s="44"/>
      <c r="H19" s="45"/>
      <c r="I19" s="26"/>
      <c r="J19" s="26"/>
      <c r="K19" s="26"/>
    </row>
    <row r="20" spans="1:11" ht="12.75" customHeight="1" thickBot="1">
      <c r="A20" s="28"/>
      <c r="B20" s="28"/>
      <c r="C20" s="28"/>
      <c r="D20" s="28"/>
      <c r="E20" s="28"/>
      <c r="F20" s="28"/>
      <c r="G20" s="46" t="s">
        <v>49</v>
      </c>
      <c r="H20" s="47">
        <f>SUM(G16:G19)</f>
        <v>0</v>
      </c>
      <c r="I20" s="26"/>
      <c r="J20" s="26"/>
      <c r="K20" s="26"/>
    </row>
    <row r="21" spans="1:11" ht="12.75" customHeight="1" thickBot="1">
      <c r="A21" s="874" t="s">
        <v>54</v>
      </c>
      <c r="B21" s="709"/>
      <c r="C21" s="709"/>
      <c r="D21" s="875"/>
      <c r="E21" s="28"/>
      <c r="F21" s="28"/>
      <c r="G21" s="28"/>
      <c r="H21" s="28"/>
      <c r="I21" s="26"/>
      <c r="J21" s="26"/>
      <c r="K21" s="26"/>
    </row>
    <row r="22" spans="1:11" ht="12.75" customHeight="1">
      <c r="A22" s="59" t="s">
        <v>55</v>
      </c>
      <c r="B22" s="60"/>
      <c r="C22" s="61" t="s">
        <v>56</v>
      </c>
      <c r="D22" s="32" t="s">
        <v>57</v>
      </c>
      <c r="E22" s="32" t="s">
        <v>58</v>
      </c>
      <c r="F22" s="32" t="s">
        <v>59</v>
      </c>
      <c r="G22" s="62" t="s">
        <v>47</v>
      </c>
      <c r="H22" s="35"/>
      <c r="I22" s="26"/>
      <c r="J22" s="26"/>
      <c r="K22" s="26"/>
    </row>
    <row r="23" spans="1:11" ht="12.75" customHeight="1">
      <c r="A23" s="876" t="s">
        <v>329</v>
      </c>
      <c r="B23" s="877"/>
      <c r="C23" s="63">
        <v>1.3</v>
      </c>
      <c r="D23" s="63">
        <v>15</v>
      </c>
      <c r="E23" s="63">
        <f>C23*D23</f>
        <v>19.5</v>
      </c>
      <c r="F23" s="64">
        <f>+EQUIPO!C7</f>
        <v>1800</v>
      </c>
      <c r="G23" s="38">
        <f>E23*F23</f>
        <v>35100</v>
      </c>
      <c r="H23" s="40"/>
      <c r="I23" s="26"/>
      <c r="J23" s="26"/>
      <c r="K23" s="26"/>
    </row>
    <row r="24" spans="1:11" ht="12.75" customHeight="1">
      <c r="A24" s="878"/>
      <c r="B24" s="877"/>
      <c r="C24" s="65"/>
      <c r="D24" s="51"/>
      <c r="E24" s="66"/>
      <c r="F24" s="38"/>
      <c r="G24" s="38"/>
      <c r="H24" s="40"/>
      <c r="I24" s="26"/>
      <c r="J24" s="26"/>
      <c r="K24" s="26"/>
    </row>
    <row r="25" spans="1:11" ht="12.75" customHeight="1" thickBot="1">
      <c r="A25" s="67"/>
      <c r="B25" s="68"/>
      <c r="C25" s="41"/>
      <c r="D25" s="42"/>
      <c r="E25" s="43"/>
      <c r="F25" s="44"/>
      <c r="G25" s="41"/>
      <c r="H25" s="40"/>
      <c r="I25" s="26"/>
      <c r="J25" s="26"/>
      <c r="K25" s="26"/>
    </row>
    <row r="26" spans="1:11" ht="12.75" customHeight="1" thickBot="1">
      <c r="A26" s="28"/>
      <c r="B26" s="28"/>
      <c r="C26" s="28"/>
      <c r="D26" s="28"/>
      <c r="E26" s="28"/>
      <c r="F26" s="28"/>
      <c r="G26" s="46" t="s">
        <v>49</v>
      </c>
      <c r="H26" s="47">
        <f>SUM(G23:G25)</f>
        <v>35100</v>
      </c>
      <c r="I26" s="26"/>
      <c r="J26" s="26"/>
      <c r="K26" s="26"/>
    </row>
    <row r="27" spans="1:11" ht="12.75" customHeight="1" thickBot="1">
      <c r="A27" s="874" t="s">
        <v>61</v>
      </c>
      <c r="B27" s="709"/>
      <c r="C27" s="875"/>
      <c r="D27" s="28"/>
      <c r="E27" s="28"/>
      <c r="F27" s="28"/>
      <c r="G27" s="28"/>
      <c r="H27" s="28"/>
      <c r="I27" s="26"/>
      <c r="J27" s="26"/>
      <c r="K27" s="26"/>
    </row>
    <row r="28" spans="1:11" ht="12.75" customHeight="1">
      <c r="A28" s="870" t="s">
        <v>62</v>
      </c>
      <c r="B28" s="716"/>
      <c r="C28" s="71" t="s">
        <v>63</v>
      </c>
      <c r="D28" s="32" t="s">
        <v>64</v>
      </c>
      <c r="E28" s="33" t="s">
        <v>65</v>
      </c>
      <c r="F28" s="71" t="s">
        <v>46</v>
      </c>
      <c r="G28" s="34" t="s">
        <v>47</v>
      </c>
      <c r="H28" s="35"/>
      <c r="I28" s="26"/>
      <c r="J28" s="26"/>
      <c r="K28" s="26"/>
    </row>
    <row r="29" spans="1:11" ht="12.75" customHeight="1">
      <c r="A29" s="48" t="s">
        <v>66</v>
      </c>
      <c r="B29" s="49"/>
      <c r="C29" s="124">
        <f>'APU 1'!$K$28*2</f>
        <v>94900</v>
      </c>
      <c r="D29" s="74">
        <f>+'ANALISIS FACTOR PRESTACIONAL'!C23+1</f>
        <v>1.8100000000000003</v>
      </c>
      <c r="E29" s="38">
        <f>+D29*C29</f>
        <v>171769.00000000003</v>
      </c>
      <c r="F29" s="38">
        <v>6.5</v>
      </c>
      <c r="G29" s="75">
        <f>+E29/F29</f>
        <v>26426.000000000004</v>
      </c>
      <c r="H29" s="40"/>
      <c r="I29" s="26"/>
      <c r="J29" s="26"/>
      <c r="K29" s="26"/>
    </row>
    <row r="30" spans="1:11" ht="12.75" customHeight="1">
      <c r="A30" s="48"/>
      <c r="B30" s="49"/>
      <c r="C30" s="52"/>
      <c r="D30" s="51"/>
      <c r="E30" s="52"/>
      <c r="F30" s="38"/>
      <c r="G30" s="39"/>
      <c r="H30" s="40"/>
      <c r="I30" s="26"/>
      <c r="J30" s="26"/>
      <c r="K30" s="26"/>
    </row>
    <row r="31" spans="1:11" ht="12.75" customHeight="1" thickBot="1">
      <c r="A31" s="67"/>
      <c r="B31" s="76"/>
      <c r="C31" s="42"/>
      <c r="D31" s="58"/>
      <c r="E31" s="77"/>
      <c r="F31" s="58"/>
      <c r="G31" s="57"/>
      <c r="H31" s="45"/>
      <c r="I31" s="26"/>
      <c r="J31" s="26"/>
      <c r="K31" s="26"/>
    </row>
    <row r="32" spans="1:11" ht="12.75" customHeight="1" thickBot="1">
      <c r="A32" s="28"/>
      <c r="B32" s="28"/>
      <c r="C32" s="28"/>
      <c r="D32" s="28"/>
      <c r="E32" s="28"/>
      <c r="F32" s="28"/>
      <c r="G32" s="46" t="s">
        <v>49</v>
      </c>
      <c r="H32" s="47">
        <f>SUM(G29:G31)</f>
        <v>26426.000000000004</v>
      </c>
      <c r="I32" s="26"/>
      <c r="J32" s="26"/>
      <c r="K32" s="26"/>
    </row>
    <row r="33" spans="1:8" ht="12.75" customHeight="1" thickBot="1">
      <c r="A33" s="28"/>
      <c r="B33" s="28"/>
      <c r="C33" s="28"/>
      <c r="D33" s="28"/>
      <c r="E33" s="28"/>
      <c r="F33" s="28"/>
      <c r="G33" s="78"/>
      <c r="H33" s="28"/>
    </row>
    <row r="34" spans="1:8" ht="12.75" customHeight="1" thickBot="1">
      <c r="A34" s="28"/>
      <c r="B34" s="28"/>
      <c r="C34" s="28"/>
      <c r="D34" s="28"/>
      <c r="E34" s="872" t="s">
        <v>67</v>
      </c>
      <c r="F34" s="632"/>
      <c r="G34" s="633"/>
      <c r="H34" s="79">
        <f>ROUND((H13+H20+H26+H32),0)</f>
        <v>194890</v>
      </c>
    </row>
    <row r="35" spans="1:8" ht="12.75" customHeight="1" thickBot="1">
      <c r="A35" s="28"/>
      <c r="B35" s="28"/>
      <c r="C35" s="28"/>
      <c r="D35" s="28"/>
      <c r="E35" s="46"/>
      <c r="F35" s="78"/>
      <c r="G35" s="78"/>
      <c r="H35" s="80"/>
    </row>
    <row r="36" spans="1:8" ht="12.75" customHeight="1" thickBot="1">
      <c r="A36" s="28"/>
      <c r="B36" s="28"/>
      <c r="C36" s="28"/>
      <c r="D36" s="28"/>
      <c r="E36" s="872" t="s">
        <v>68</v>
      </c>
      <c r="F36" s="633"/>
      <c r="G36" s="81">
        <f>+'APU 1'!G36</f>
        <v>0.34499999999999997</v>
      </c>
      <c r="H36" s="79">
        <f>ROUND((H34*(1+G36)),0)</f>
        <v>262127</v>
      </c>
    </row>
    <row r="37" spans="1:8" ht="11.25" customHeight="1">
      <c r="A37" s="26"/>
      <c r="B37" s="26"/>
      <c r="C37" s="26"/>
      <c r="D37" s="26"/>
      <c r="E37" s="26"/>
      <c r="F37" s="26"/>
      <c r="G37" s="26"/>
      <c r="H37" s="26"/>
    </row>
  </sheetData>
  <mergeCells count="17">
    <mergeCell ref="A23:B23"/>
    <mergeCell ref="A1:B3"/>
    <mergeCell ref="C1:F1"/>
    <mergeCell ref="G1:H3"/>
    <mergeCell ref="C2:F3"/>
    <mergeCell ref="B6:F7"/>
    <mergeCell ref="A9:C9"/>
    <mergeCell ref="A10:C10"/>
    <mergeCell ref="A11:C11"/>
    <mergeCell ref="A12:C12"/>
    <mergeCell ref="A15:C15"/>
    <mergeCell ref="A21:D21"/>
    <mergeCell ref="A24:B24"/>
    <mergeCell ref="A27:C27"/>
    <mergeCell ref="A28:B28"/>
    <mergeCell ref="E34:G34"/>
    <mergeCell ref="E36:F36"/>
  </mergeCells>
  <pageMargins left="0.7" right="0.7" top="0.75" bottom="0.75" header="0" footer="0"/>
  <pageSetup scale="9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AC8B2-F198-4AA7-9F17-0281044659CC}">
  <sheetPr>
    <tabColor rgb="FFFBE4D5"/>
  </sheetPr>
  <dimension ref="A1:K36"/>
  <sheetViews>
    <sheetView view="pageBreakPreview" zoomScale="104" zoomScaleNormal="100" workbookViewId="0">
      <selection activeCell="J34" sqref="J34"/>
    </sheetView>
  </sheetViews>
  <sheetFormatPr baseColWidth="10" defaultColWidth="14.5" defaultRowHeight="15" customHeight="1"/>
  <cols>
    <col min="1" max="1" width="11.5" customWidth="1"/>
    <col min="2" max="2" width="12.5" customWidth="1"/>
    <col min="3" max="3" width="16" customWidth="1"/>
    <col min="4" max="26" width="11.5" customWidth="1"/>
  </cols>
  <sheetData>
    <row r="1" spans="1:8" ht="22.5" customHeight="1">
      <c r="A1" s="859"/>
      <c r="B1" s="723"/>
      <c r="C1" s="863" t="s">
        <v>39</v>
      </c>
      <c r="D1" s="734"/>
      <c r="E1" s="734"/>
      <c r="F1" s="735"/>
      <c r="G1" s="859" t="str">
        <f>DATOS!C4</f>
        <v>MUNICIPIO DE RISARALDA</v>
      </c>
      <c r="H1" s="723"/>
    </row>
    <row r="2" spans="1:8" ht="12.75" customHeight="1">
      <c r="A2" s="860"/>
      <c r="B2" s="725"/>
      <c r="C2" s="859" t="str">
        <f>DATOS!C2</f>
        <v>CONSTRUCCIÓN DE PLACA HUELLAS CON APOYO DE LA COMUNIDAD Y EL COMITÉ DE CAFETEROS EN ZONA RURAL DEL MUNICIPIO DE RISARALDA</v>
      </c>
      <c r="D2" s="703"/>
      <c r="E2" s="703"/>
      <c r="F2" s="723"/>
      <c r="G2" s="860"/>
      <c r="H2" s="725"/>
    </row>
    <row r="3" spans="1:8" ht="47.25" customHeight="1">
      <c r="A3" s="861"/>
      <c r="B3" s="862"/>
      <c r="C3" s="861"/>
      <c r="D3" s="700"/>
      <c r="E3" s="700"/>
      <c r="F3" s="862"/>
      <c r="G3" s="861"/>
      <c r="H3" s="862"/>
    </row>
    <row r="4" spans="1:8" ht="12.75" customHeight="1">
      <c r="A4" s="27"/>
      <c r="B4" s="28"/>
      <c r="C4" s="28"/>
      <c r="D4" s="28"/>
      <c r="E4" s="28"/>
      <c r="F4" s="28"/>
      <c r="G4" s="28"/>
      <c r="H4" s="28"/>
    </row>
    <row r="5" spans="1:8" ht="12.75" customHeight="1">
      <c r="A5" s="29" t="s">
        <v>40</v>
      </c>
      <c r="B5" s="30">
        <v>10</v>
      </c>
      <c r="C5" s="28"/>
      <c r="D5" s="26"/>
      <c r="E5" s="30"/>
      <c r="F5" s="26"/>
      <c r="G5" s="31"/>
      <c r="H5" s="31"/>
    </row>
    <row r="6" spans="1:8" ht="12.75" customHeight="1">
      <c r="A6" s="26"/>
      <c r="B6" s="864" t="str">
        <f>PRESUPUESTO!C14</f>
        <v>Aporte de mano de obra no calificada por la comunidad del tramo a intervenir</v>
      </c>
      <c r="C6" s="865"/>
      <c r="D6" s="865"/>
      <c r="E6" s="865"/>
      <c r="F6" s="866"/>
      <c r="G6" s="31" t="s">
        <v>41</v>
      </c>
      <c r="H6" s="31" t="str">
        <f>PRESUPUESTO!D14</f>
        <v>ML</v>
      </c>
    </row>
    <row r="7" spans="1:8" ht="12.75" customHeight="1">
      <c r="A7" s="30"/>
      <c r="B7" s="867"/>
      <c r="C7" s="868"/>
      <c r="D7" s="868"/>
      <c r="E7" s="868"/>
      <c r="F7" s="869"/>
      <c r="G7" s="30"/>
      <c r="H7" s="28"/>
    </row>
    <row r="8" spans="1:8" ht="12.75" customHeight="1" thickBot="1">
      <c r="A8" s="30" t="s">
        <v>42</v>
      </c>
      <c r="B8" s="30"/>
      <c r="C8" s="28"/>
      <c r="D8" s="28"/>
      <c r="E8" s="28"/>
      <c r="F8" s="28"/>
      <c r="G8" s="28"/>
      <c r="H8" s="28"/>
    </row>
    <row r="9" spans="1:8" ht="12.75" customHeight="1">
      <c r="A9" s="870" t="s">
        <v>43</v>
      </c>
      <c r="B9" s="640"/>
      <c r="C9" s="716"/>
      <c r="D9" s="32" t="s">
        <v>44</v>
      </c>
      <c r="E9" s="33" t="s">
        <v>45</v>
      </c>
      <c r="F9" s="32" t="s">
        <v>46</v>
      </c>
      <c r="G9" s="34" t="s">
        <v>47</v>
      </c>
      <c r="H9" s="35"/>
    </row>
    <row r="10" spans="1:8" ht="12.75" customHeight="1">
      <c r="A10" s="871"/>
      <c r="B10" s="675"/>
      <c r="C10" s="676"/>
      <c r="D10" s="36"/>
      <c r="E10" s="37"/>
      <c r="F10" s="38"/>
      <c r="G10" s="39"/>
      <c r="H10" s="40"/>
    </row>
    <row r="11" spans="1:8" ht="12.75" customHeight="1">
      <c r="A11" s="871"/>
      <c r="B11" s="675"/>
      <c r="C11" s="676"/>
      <c r="D11" s="36"/>
      <c r="E11" s="37"/>
      <c r="F11" s="38"/>
      <c r="G11" s="39"/>
      <c r="H11" s="40"/>
    </row>
    <row r="12" spans="1:8" ht="12.75" customHeight="1" thickBot="1">
      <c r="A12" s="873"/>
      <c r="B12" s="643"/>
      <c r="C12" s="679"/>
      <c r="D12" s="41"/>
      <c r="E12" s="42"/>
      <c r="F12" s="43"/>
      <c r="G12" s="44"/>
      <c r="H12" s="45"/>
    </row>
    <row r="13" spans="1:8" ht="12.75" customHeight="1" thickBot="1">
      <c r="A13" s="28"/>
      <c r="B13" s="28"/>
      <c r="C13" s="28"/>
      <c r="D13" s="28"/>
      <c r="E13" s="28"/>
      <c r="F13" s="28"/>
      <c r="G13" s="46" t="s">
        <v>49</v>
      </c>
      <c r="H13" s="47">
        <f>SUM(G10:G12)</f>
        <v>0</v>
      </c>
    </row>
    <row r="14" spans="1:8" ht="12.75" customHeight="1" thickBot="1">
      <c r="A14" s="30" t="s">
        <v>50</v>
      </c>
      <c r="B14" s="30"/>
      <c r="C14" s="28"/>
      <c r="D14" s="28"/>
      <c r="E14" s="28"/>
      <c r="F14" s="28"/>
      <c r="G14" s="28"/>
      <c r="H14" s="28"/>
    </row>
    <row r="15" spans="1:8" ht="12.75" customHeight="1">
      <c r="A15" s="870" t="s">
        <v>43</v>
      </c>
      <c r="B15" s="640"/>
      <c r="C15" s="716"/>
      <c r="D15" s="32" t="s">
        <v>51</v>
      </c>
      <c r="E15" s="32" t="s">
        <v>52</v>
      </c>
      <c r="F15" s="32" t="s">
        <v>53</v>
      </c>
      <c r="G15" s="34" t="s">
        <v>47</v>
      </c>
      <c r="H15" s="35"/>
    </row>
    <row r="16" spans="1:8" ht="12.75" customHeight="1">
      <c r="A16" s="48"/>
      <c r="B16" s="49"/>
      <c r="C16" s="50"/>
      <c r="D16" s="51"/>
      <c r="E16" s="52"/>
      <c r="F16" s="53"/>
      <c r="G16" s="39"/>
      <c r="H16" s="40"/>
    </row>
    <row r="17" spans="1:11" ht="12.75" customHeight="1">
      <c r="A17" s="48"/>
      <c r="B17" s="49"/>
      <c r="C17" s="50"/>
      <c r="D17" s="51"/>
      <c r="E17" s="52"/>
      <c r="F17" s="53"/>
      <c r="G17" s="39"/>
      <c r="H17" s="40"/>
      <c r="I17" s="26"/>
      <c r="J17" s="26"/>
      <c r="K17" s="26"/>
    </row>
    <row r="18" spans="1:11" ht="12.75" customHeight="1">
      <c r="A18" s="48"/>
      <c r="B18" s="49"/>
      <c r="C18" s="50"/>
      <c r="D18" s="36"/>
      <c r="E18" s="37"/>
      <c r="F18" s="54"/>
      <c r="G18" s="55"/>
      <c r="H18" s="40"/>
      <c r="I18" s="26"/>
      <c r="J18" s="26"/>
      <c r="K18" s="26"/>
    </row>
    <row r="19" spans="1:11" ht="12.75" customHeight="1" thickBot="1">
      <c r="A19" s="56"/>
      <c r="B19" s="57"/>
      <c r="C19" s="58"/>
      <c r="D19" s="41"/>
      <c r="E19" s="42"/>
      <c r="F19" s="43"/>
      <c r="G19" s="44"/>
      <c r="H19" s="45"/>
      <c r="I19" s="26"/>
      <c r="J19" s="26"/>
      <c r="K19" s="26"/>
    </row>
    <row r="20" spans="1:11" ht="12.75" customHeight="1" thickBot="1">
      <c r="A20" s="28"/>
      <c r="B20" s="28"/>
      <c r="C20" s="28"/>
      <c r="D20" s="28"/>
      <c r="E20" s="28"/>
      <c r="F20" s="28"/>
      <c r="G20" s="46" t="s">
        <v>49</v>
      </c>
      <c r="H20" s="47">
        <f>SUM(G16:G19)</f>
        <v>0</v>
      </c>
      <c r="I20" s="26"/>
      <c r="J20" s="26"/>
      <c r="K20" s="26"/>
    </row>
    <row r="21" spans="1:11" ht="12.75" customHeight="1" thickBot="1">
      <c r="A21" s="874" t="s">
        <v>54</v>
      </c>
      <c r="B21" s="709"/>
      <c r="C21" s="709"/>
      <c r="D21" s="875"/>
      <c r="E21" s="28"/>
      <c r="F21" s="28"/>
      <c r="G21" s="28"/>
      <c r="H21" s="28"/>
      <c r="I21" s="26"/>
      <c r="J21" s="26"/>
      <c r="K21" s="26"/>
    </row>
    <row r="22" spans="1:11" ht="12.75" customHeight="1">
      <c r="A22" s="59" t="s">
        <v>55</v>
      </c>
      <c r="B22" s="60"/>
      <c r="C22" s="61" t="s">
        <v>56</v>
      </c>
      <c r="D22" s="32" t="s">
        <v>57</v>
      </c>
      <c r="E22" s="32" t="s">
        <v>58</v>
      </c>
      <c r="F22" s="32" t="s">
        <v>59</v>
      </c>
      <c r="G22" s="62" t="s">
        <v>47</v>
      </c>
      <c r="H22" s="35"/>
      <c r="I22" s="26"/>
      <c r="J22" s="26"/>
      <c r="K22" s="26"/>
    </row>
    <row r="23" spans="1:11" ht="12.75" customHeight="1">
      <c r="A23" s="876"/>
      <c r="B23" s="877"/>
      <c r="C23" s="63"/>
      <c r="D23" s="63"/>
      <c r="E23" s="63"/>
      <c r="F23" s="64"/>
      <c r="G23" s="38"/>
      <c r="H23" s="40"/>
      <c r="I23" s="26"/>
      <c r="J23" s="26"/>
      <c r="K23" s="26"/>
    </row>
    <row r="24" spans="1:11" ht="12.75" customHeight="1">
      <c r="A24" s="878"/>
      <c r="B24" s="877"/>
      <c r="C24" s="65"/>
      <c r="D24" s="51"/>
      <c r="E24" s="66"/>
      <c r="F24" s="38"/>
      <c r="G24" s="38"/>
      <c r="H24" s="40"/>
      <c r="I24" s="26"/>
      <c r="J24" s="26"/>
      <c r="K24" s="26"/>
    </row>
    <row r="25" spans="1:11" ht="12.75" customHeight="1" thickBot="1">
      <c r="A25" s="67"/>
      <c r="B25" s="68"/>
      <c r="C25" s="41"/>
      <c r="D25" s="42"/>
      <c r="E25" s="43"/>
      <c r="F25" s="44"/>
      <c r="G25" s="41"/>
      <c r="H25" s="40"/>
      <c r="I25" s="26"/>
      <c r="J25" s="26"/>
      <c r="K25" s="26"/>
    </row>
    <row r="26" spans="1:11" ht="12.75" customHeight="1" thickBot="1">
      <c r="A26" s="28"/>
      <c r="B26" s="28"/>
      <c r="C26" s="28"/>
      <c r="D26" s="28"/>
      <c r="E26" s="28"/>
      <c r="F26" s="28"/>
      <c r="G26" s="46" t="s">
        <v>49</v>
      </c>
      <c r="H26" s="47">
        <f>SUM(G23:G25)</f>
        <v>0</v>
      </c>
      <c r="I26" s="26"/>
      <c r="J26" s="26"/>
      <c r="K26" s="69" t="s">
        <v>60</v>
      </c>
    </row>
    <row r="27" spans="1:11" ht="12.75" customHeight="1" thickBot="1">
      <c r="A27" s="874" t="s">
        <v>61</v>
      </c>
      <c r="B27" s="709"/>
      <c r="C27" s="875"/>
      <c r="D27" s="28"/>
      <c r="E27" s="28"/>
      <c r="F27" s="28"/>
      <c r="G27" s="28"/>
      <c r="H27" s="28"/>
      <c r="I27" s="26"/>
      <c r="J27" s="26"/>
      <c r="K27" s="70">
        <v>1423500</v>
      </c>
    </row>
    <row r="28" spans="1:11" ht="12.75" customHeight="1" thickBot="1">
      <c r="A28" s="870" t="s">
        <v>62</v>
      </c>
      <c r="B28" s="716"/>
      <c r="C28" s="71" t="s">
        <v>63</v>
      </c>
      <c r="D28" s="32" t="s">
        <v>64</v>
      </c>
      <c r="E28" s="33" t="s">
        <v>65</v>
      </c>
      <c r="F28" s="71" t="s">
        <v>46</v>
      </c>
      <c r="G28" s="34" t="s">
        <v>47</v>
      </c>
      <c r="H28" s="35"/>
      <c r="I28" s="26"/>
      <c r="J28" s="26"/>
      <c r="K28" s="72">
        <f>K27/30</f>
        <v>47450</v>
      </c>
    </row>
    <row r="29" spans="1:11" ht="12.75" customHeight="1">
      <c r="A29" s="48" t="s">
        <v>285</v>
      </c>
      <c r="B29" s="49"/>
      <c r="C29" s="73">
        <f>(K28*6)</f>
        <v>284700</v>
      </c>
      <c r="D29" s="125">
        <f>+'APU 1'!$D$29</f>
        <v>1.8100000000000003</v>
      </c>
      <c r="E29" s="38">
        <f>+D29*C29</f>
        <v>515307.00000000006</v>
      </c>
      <c r="F29" s="38">
        <v>40</v>
      </c>
      <c r="G29" s="75">
        <f>+E29*F29</f>
        <v>20612280.000000004</v>
      </c>
      <c r="H29" s="40"/>
      <c r="I29" s="26"/>
      <c r="J29" s="26"/>
      <c r="K29" s="26"/>
    </row>
    <row r="30" spans="1:11" ht="12.75" customHeight="1">
      <c r="A30" s="48"/>
      <c r="B30" s="49"/>
      <c r="C30" s="52"/>
      <c r="D30" s="51"/>
      <c r="E30" s="52"/>
      <c r="F30" s="38"/>
      <c r="G30" s="39"/>
      <c r="H30" s="40"/>
      <c r="I30" s="26"/>
      <c r="J30" s="26"/>
      <c r="K30" s="26"/>
    </row>
    <row r="31" spans="1:11" ht="12.75" customHeight="1" thickBot="1">
      <c r="A31" s="67"/>
      <c r="B31" s="76"/>
      <c r="C31" s="42"/>
      <c r="D31" s="58"/>
      <c r="E31" s="77"/>
      <c r="F31" s="58"/>
      <c r="G31" s="57"/>
      <c r="H31" s="45"/>
      <c r="I31" s="26"/>
      <c r="J31" s="26"/>
      <c r="K31" s="26"/>
    </row>
    <row r="32" spans="1:11" ht="12.75" customHeight="1" thickBot="1">
      <c r="A32" s="28"/>
      <c r="B32" s="28"/>
      <c r="C32" s="28"/>
      <c r="D32" s="28"/>
      <c r="E32" s="28"/>
      <c r="F32" s="28"/>
      <c r="G32" s="46" t="s">
        <v>49</v>
      </c>
      <c r="H32" s="47">
        <f>SUM(G29:G31)</f>
        <v>20612280.000000004</v>
      </c>
      <c r="I32" s="26"/>
      <c r="J32" s="26"/>
      <c r="K32" s="26"/>
    </row>
    <row r="33" spans="1:8" ht="12.75" customHeight="1" thickBot="1">
      <c r="A33" s="28"/>
      <c r="B33" s="28"/>
      <c r="C33" s="28"/>
      <c r="D33" s="28"/>
      <c r="E33" s="28"/>
      <c r="F33" s="28"/>
      <c r="G33" s="78"/>
      <c r="H33" s="28"/>
    </row>
    <row r="34" spans="1:8" ht="12.75" customHeight="1" thickBot="1">
      <c r="A34" s="28"/>
      <c r="B34" s="28"/>
      <c r="C34" s="28"/>
      <c r="D34" s="28"/>
      <c r="E34" s="872" t="s">
        <v>67</v>
      </c>
      <c r="F34" s="632"/>
      <c r="G34" s="633"/>
      <c r="H34" s="79">
        <f>ROUND((H13+H20+H26+H32),0)</f>
        <v>20612280</v>
      </c>
    </row>
    <row r="35" spans="1:8" ht="12.75" customHeight="1" thickBot="1">
      <c r="A35" s="28"/>
      <c r="B35" s="28"/>
      <c r="C35" s="28"/>
      <c r="D35" s="28"/>
      <c r="E35" s="872" t="s">
        <v>333</v>
      </c>
      <c r="F35" s="632"/>
      <c r="G35" s="633"/>
      <c r="H35" s="79">
        <f>H34/80</f>
        <v>257653.5</v>
      </c>
    </row>
    <row r="36" spans="1:8" ht="6" customHeight="1">
      <c r="A36" s="28"/>
      <c r="B36" s="28"/>
      <c r="C36" s="28"/>
      <c r="D36" s="28"/>
      <c r="E36" s="46"/>
      <c r="F36" s="78"/>
      <c r="G36" s="78"/>
      <c r="H36" s="80"/>
    </row>
  </sheetData>
  <mergeCells count="17">
    <mergeCell ref="A15:C15"/>
    <mergeCell ref="A21:D21"/>
    <mergeCell ref="A23:B23"/>
    <mergeCell ref="E35:G35"/>
    <mergeCell ref="A9:C9"/>
    <mergeCell ref="A24:B24"/>
    <mergeCell ref="A27:C27"/>
    <mergeCell ref="A28:B28"/>
    <mergeCell ref="E34:G34"/>
    <mergeCell ref="A10:C10"/>
    <mergeCell ref="A11:C11"/>
    <mergeCell ref="A12:C12"/>
    <mergeCell ref="A1:B3"/>
    <mergeCell ref="C1:F1"/>
    <mergeCell ref="G1:H3"/>
    <mergeCell ref="C2:F3"/>
    <mergeCell ref="B6:F7"/>
  </mergeCells>
  <pageMargins left="0.7" right="0.7" top="0.75" bottom="0.75" header="0" footer="0"/>
  <pageSetup scale="92"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BDD6EE"/>
    <pageSetUpPr fitToPage="1"/>
  </sheetPr>
  <dimension ref="A1:O37"/>
  <sheetViews>
    <sheetView view="pageBreakPreview" topLeftCell="A2" zoomScale="70" zoomScaleNormal="100" zoomScaleSheetLayoutView="70" workbookViewId="0">
      <selection activeCell="M26" sqref="M26"/>
    </sheetView>
  </sheetViews>
  <sheetFormatPr baseColWidth="10" defaultColWidth="14.5" defaultRowHeight="15" customHeight="1"/>
  <cols>
    <col min="1" max="1" width="1" customWidth="1"/>
    <col min="2" max="7" width="11.5" customWidth="1"/>
    <col min="8" max="8" width="31.5" customWidth="1"/>
    <col min="9" max="9" width="10.5" customWidth="1"/>
    <col min="10" max="10" width="9.83203125" customWidth="1"/>
    <col min="11" max="11" width="9" customWidth="1"/>
    <col min="12" max="12" width="13" customWidth="1"/>
    <col min="13" max="13" width="13.5" customWidth="1"/>
    <col min="14" max="14" width="11.5" customWidth="1"/>
    <col min="15" max="15" width="17" customWidth="1"/>
    <col min="16" max="17" width="11.5" customWidth="1"/>
    <col min="18" max="26" width="10.6640625" customWidth="1"/>
  </cols>
  <sheetData>
    <row r="1" spans="1:15" ht="12" customHeight="1">
      <c r="A1" s="362"/>
      <c r="B1" s="362"/>
      <c r="C1" s="362"/>
      <c r="D1" s="362"/>
      <c r="E1" s="362"/>
      <c r="F1" s="362"/>
      <c r="G1" s="362"/>
      <c r="H1" s="362"/>
      <c r="I1" s="362"/>
      <c r="J1" s="362"/>
      <c r="K1" s="362"/>
      <c r="L1" s="362"/>
      <c r="M1" s="362"/>
      <c r="N1" s="362"/>
      <c r="O1" s="362"/>
    </row>
    <row r="2" spans="1:15" ht="21" customHeight="1">
      <c r="A2" s="362"/>
      <c r="B2" s="899"/>
      <c r="C2" s="900"/>
      <c r="D2" s="902" t="s">
        <v>283</v>
      </c>
      <c r="E2" s="666"/>
      <c r="F2" s="666"/>
      <c r="G2" s="666"/>
      <c r="H2" s="666"/>
      <c r="I2" s="666"/>
      <c r="J2" s="666"/>
      <c r="K2" s="668"/>
      <c r="L2" s="903"/>
      <c r="M2" s="668"/>
      <c r="N2" s="362"/>
      <c r="O2" s="362"/>
    </row>
    <row r="3" spans="1:15" ht="39.75" customHeight="1">
      <c r="A3" s="362"/>
      <c r="B3" s="726"/>
      <c r="C3" s="901"/>
      <c r="D3" s="726"/>
      <c r="E3" s="670"/>
      <c r="F3" s="670"/>
      <c r="G3" s="670"/>
      <c r="H3" s="670"/>
      <c r="I3" s="670"/>
      <c r="J3" s="670"/>
      <c r="K3" s="672"/>
      <c r="L3" s="671"/>
      <c r="M3" s="672"/>
      <c r="N3" s="362"/>
      <c r="O3" s="362"/>
    </row>
    <row r="4" spans="1:15" ht="12" customHeight="1">
      <c r="A4" s="362"/>
      <c r="B4" s="904" t="s">
        <v>224</v>
      </c>
      <c r="C4" s="905"/>
      <c r="D4" s="906" t="str">
        <f>DATOS!C4</f>
        <v>MUNICIPIO DE RISARALDA</v>
      </c>
      <c r="E4" s="640"/>
      <c r="F4" s="640"/>
      <c r="G4" s="640"/>
      <c r="H4" s="640"/>
      <c r="I4" s="640"/>
      <c r="J4" s="640"/>
      <c r="K4" s="640"/>
      <c r="L4" s="640"/>
      <c r="M4" s="641"/>
      <c r="N4" s="362"/>
      <c r="O4" s="362"/>
    </row>
    <row r="5" spans="1:15" ht="36.75" customHeight="1">
      <c r="A5" s="362"/>
      <c r="B5" s="907" t="s">
        <v>225</v>
      </c>
      <c r="C5" s="908"/>
      <c r="D5" s="909" t="str">
        <f>+PRESUPUESTO!B2</f>
        <v>CONSTRUCCIÓN DE PLACA HUELLAS CON APOYO DE LA COMUNIDAD Y EL COMITÉ DE CAFETEROS EN ZONA RURAL DEL MUNICIPIO DE RISARALDA</v>
      </c>
      <c r="E5" s="675"/>
      <c r="F5" s="675"/>
      <c r="G5" s="675"/>
      <c r="H5" s="675"/>
      <c r="I5" s="675"/>
      <c r="J5" s="675"/>
      <c r="K5" s="675"/>
      <c r="L5" s="675"/>
      <c r="M5" s="707"/>
      <c r="N5" s="362"/>
      <c r="O5" s="362"/>
    </row>
    <row r="6" spans="1:15" ht="12" customHeight="1">
      <c r="A6" s="362"/>
      <c r="B6" s="363" t="s">
        <v>226</v>
      </c>
      <c r="C6" s="364" t="s">
        <v>51</v>
      </c>
      <c r="D6" s="916" t="s">
        <v>43</v>
      </c>
      <c r="E6" s="675"/>
      <c r="F6" s="675"/>
      <c r="G6" s="675"/>
      <c r="H6" s="676"/>
      <c r="I6" s="911" t="s">
        <v>227</v>
      </c>
      <c r="J6" s="734"/>
      <c r="K6" s="735"/>
      <c r="L6" s="911" t="s">
        <v>228</v>
      </c>
      <c r="M6" s="917"/>
      <c r="N6" s="362"/>
      <c r="O6" s="362"/>
    </row>
    <row r="7" spans="1:15" ht="33.75" customHeight="1">
      <c r="A7" s="362"/>
      <c r="B7" s="365">
        <f>+PRESUPUESTO!$B$4</f>
        <v>1</v>
      </c>
      <c r="C7" s="366" t="str">
        <f>+PRESUPUESTO!$D$4</f>
        <v>M3</v>
      </c>
      <c r="D7" s="918" t="str">
        <f>+PRESUPUESTO!$C$4</f>
        <v>Excavaciones varias en material común. No incluye mano de obra no calificada.</v>
      </c>
      <c r="E7" s="643"/>
      <c r="F7" s="643"/>
      <c r="G7" s="643"/>
      <c r="H7" s="679"/>
      <c r="I7" s="910" t="s">
        <v>229</v>
      </c>
      <c r="J7" s="643"/>
      <c r="K7" s="679"/>
      <c r="L7" s="919">
        <f>+DATOS!C5</f>
        <v>45779</v>
      </c>
      <c r="M7" s="644"/>
      <c r="N7" s="362"/>
      <c r="O7" s="362"/>
    </row>
    <row r="8" spans="1:15" ht="15.75" customHeight="1">
      <c r="A8" s="362"/>
      <c r="B8" s="920" t="s">
        <v>230</v>
      </c>
      <c r="C8" s="865"/>
      <c r="D8" s="865"/>
      <c r="E8" s="865"/>
      <c r="F8" s="865"/>
      <c r="G8" s="921"/>
      <c r="H8" s="922" t="s">
        <v>231</v>
      </c>
      <c r="I8" s="911" t="s">
        <v>232</v>
      </c>
      <c r="J8" s="734"/>
      <c r="K8" s="735"/>
      <c r="L8" s="914" t="s">
        <v>233</v>
      </c>
      <c r="M8" s="915" t="s">
        <v>234</v>
      </c>
      <c r="N8" s="362"/>
      <c r="O8" s="362"/>
    </row>
    <row r="9" spans="1:15" ht="36" customHeight="1">
      <c r="A9" s="362"/>
      <c r="B9" s="726"/>
      <c r="C9" s="670"/>
      <c r="D9" s="670"/>
      <c r="E9" s="670"/>
      <c r="F9" s="670"/>
      <c r="G9" s="672"/>
      <c r="H9" s="712"/>
      <c r="I9" s="367" t="s">
        <v>235</v>
      </c>
      <c r="J9" s="367" t="s">
        <v>236</v>
      </c>
      <c r="K9" s="367" t="s">
        <v>237</v>
      </c>
      <c r="L9" s="714"/>
      <c r="M9" s="718"/>
      <c r="N9" s="362"/>
      <c r="O9" s="362"/>
    </row>
    <row r="10" spans="1:15" ht="12" customHeight="1">
      <c r="A10" s="362"/>
      <c r="B10" s="368"/>
      <c r="C10" s="369"/>
      <c r="D10" s="369"/>
      <c r="E10" s="369"/>
      <c r="F10" s="369"/>
      <c r="G10" s="370"/>
      <c r="H10" s="923" t="s">
        <v>238</v>
      </c>
      <c r="I10" s="734"/>
      <c r="J10" s="734"/>
      <c r="K10" s="734"/>
      <c r="L10" s="734"/>
      <c r="M10" s="917"/>
      <c r="N10" s="371"/>
      <c r="O10" s="372" t="s">
        <v>239</v>
      </c>
    </row>
    <row r="11" spans="1:15" ht="16.5" customHeight="1">
      <c r="A11" s="362"/>
      <c r="B11" s="373"/>
      <c r="C11" s="362"/>
      <c r="D11" s="362"/>
      <c r="E11" s="362"/>
      <c r="F11" s="362"/>
      <c r="G11" s="374"/>
      <c r="H11" s="375" t="s">
        <v>240</v>
      </c>
      <c r="I11" s="376"/>
      <c r="J11" s="376"/>
      <c r="K11" s="376"/>
      <c r="L11" s="377"/>
      <c r="M11" s="378"/>
      <c r="N11" s="362"/>
      <c r="O11" s="372">
        <f>5*80</f>
        <v>400</v>
      </c>
    </row>
    <row r="12" spans="1:15" ht="12" customHeight="1">
      <c r="A12" s="362"/>
      <c r="B12" s="373"/>
      <c r="C12" s="362"/>
      <c r="D12" s="362"/>
      <c r="E12" s="362"/>
      <c r="F12" s="362"/>
      <c r="G12" s="374"/>
      <c r="H12" s="379" t="s">
        <v>323</v>
      </c>
      <c r="I12" s="376">
        <f>+O18</f>
        <v>4.0999999999999996</v>
      </c>
      <c r="J12" s="376">
        <v>0.2</v>
      </c>
      <c r="K12" s="376">
        <v>65</v>
      </c>
      <c r="L12" s="377">
        <v>1</v>
      </c>
      <c r="M12" s="378">
        <f t="shared" ref="M12:M14" si="0">+I12*J12*K12*L12</f>
        <v>53.3</v>
      </c>
      <c r="N12" s="362"/>
      <c r="O12" s="380"/>
    </row>
    <row r="13" spans="1:15" ht="12" customHeight="1">
      <c r="A13" s="362"/>
      <c r="B13" s="373"/>
      <c r="C13" s="362"/>
      <c r="D13" s="362"/>
      <c r="E13" s="362"/>
      <c r="F13" s="362"/>
      <c r="G13" s="374"/>
      <c r="H13" s="379" t="s">
        <v>324</v>
      </c>
      <c r="I13" s="376">
        <f>+O18</f>
        <v>4.0999999999999996</v>
      </c>
      <c r="J13" s="376">
        <v>0.15</v>
      </c>
      <c r="K13" s="376">
        <v>80</v>
      </c>
      <c r="L13" s="377">
        <v>1</v>
      </c>
      <c r="M13" s="378">
        <f t="shared" si="0"/>
        <v>49.199999999999989</v>
      </c>
      <c r="N13" s="362"/>
      <c r="O13" s="372" t="s">
        <v>241</v>
      </c>
    </row>
    <row r="14" spans="1:15" ht="12" customHeight="1" thickBot="1">
      <c r="A14" s="362"/>
      <c r="B14" s="373"/>
      <c r="C14" s="362"/>
      <c r="D14" s="362"/>
      <c r="E14" s="362"/>
      <c r="F14" s="362"/>
      <c r="G14" s="374"/>
      <c r="H14" s="379" t="s">
        <v>325</v>
      </c>
      <c r="I14" s="376">
        <f>+O18</f>
        <v>4.0999999999999996</v>
      </c>
      <c r="J14" s="376">
        <f>+J13</f>
        <v>0.15</v>
      </c>
      <c r="K14" s="382">
        <v>50</v>
      </c>
      <c r="L14" s="377">
        <v>1</v>
      </c>
      <c r="M14" s="378">
        <f t="shared" si="0"/>
        <v>30.749999999999993</v>
      </c>
      <c r="N14" s="362"/>
      <c r="O14" s="381">
        <v>1</v>
      </c>
    </row>
    <row r="15" spans="1:15" ht="12" customHeight="1">
      <c r="A15" s="362"/>
      <c r="B15" s="373"/>
      <c r="C15" s="362"/>
      <c r="D15" s="362"/>
      <c r="E15" s="362"/>
      <c r="F15" s="362"/>
      <c r="G15" s="374"/>
      <c r="H15" s="379"/>
      <c r="I15" s="376"/>
      <c r="J15" s="376"/>
      <c r="K15" s="376"/>
      <c r="L15" s="377"/>
      <c r="M15" s="378"/>
      <c r="N15" s="362"/>
      <c r="O15" s="362"/>
    </row>
    <row r="16" spans="1:15" ht="12" customHeight="1" thickBot="1">
      <c r="A16" s="362"/>
      <c r="B16" s="373"/>
      <c r="C16" s="362"/>
      <c r="D16" s="362"/>
      <c r="E16" s="362"/>
      <c r="F16" s="362"/>
      <c r="G16" s="374"/>
      <c r="H16" s="375" t="s">
        <v>242</v>
      </c>
      <c r="I16" s="376"/>
      <c r="J16" s="382"/>
      <c r="K16" s="382"/>
      <c r="L16" s="383"/>
      <c r="M16" s="378"/>
      <c r="N16" s="362"/>
      <c r="O16" s="362"/>
    </row>
    <row r="17" spans="1:15" ht="12" customHeight="1" thickBot="1">
      <c r="A17" s="362"/>
      <c r="B17" s="373"/>
      <c r="C17" s="362"/>
      <c r="D17" s="362"/>
      <c r="E17" s="362"/>
      <c r="F17" s="362"/>
      <c r="G17" s="374"/>
      <c r="H17" s="379" t="str">
        <f>+H12</f>
        <v>Quiebra de Santa Barbara</v>
      </c>
      <c r="I17" s="376">
        <v>0.2</v>
      </c>
      <c r="J17" s="382">
        <f>0.3-J12</f>
        <v>9.9999999999999978E-2</v>
      </c>
      <c r="K17" s="382">
        <f>$O$18-0.7*2</f>
        <v>2.6999999999999997</v>
      </c>
      <c r="L17" s="383">
        <f>EVEN(((($K$12-1.5*2)/2.8)))</f>
        <v>24</v>
      </c>
      <c r="M17" s="378">
        <f t="shared" ref="M17:M19" si="1">+I17*J17*K17*L17</f>
        <v>1.2959999999999996</v>
      </c>
      <c r="N17" s="362"/>
      <c r="O17" s="372" t="s">
        <v>243</v>
      </c>
    </row>
    <row r="18" spans="1:15" ht="12" customHeight="1" thickBot="1">
      <c r="A18" s="362"/>
      <c r="B18" s="373"/>
      <c r="C18" s="362"/>
      <c r="D18" s="362"/>
      <c r="E18" s="362"/>
      <c r="F18" s="362"/>
      <c r="G18" s="374"/>
      <c r="H18" s="379" t="str">
        <f>+H13</f>
        <v>Guacaica Baja</v>
      </c>
      <c r="I18" s="376">
        <v>0.2</v>
      </c>
      <c r="J18" s="382">
        <f>0.3-J13</f>
        <v>0.15</v>
      </c>
      <c r="K18" s="382">
        <f>$O$18-0.7*2</f>
        <v>2.6999999999999997</v>
      </c>
      <c r="L18" s="383">
        <f>EVEN(((($K$13-1.5*2)/2.8)))</f>
        <v>28</v>
      </c>
      <c r="M18" s="378">
        <f t="shared" si="1"/>
        <v>2.2679999999999998</v>
      </c>
      <c r="N18" s="362"/>
      <c r="O18" s="381">
        <v>4.0999999999999996</v>
      </c>
    </row>
    <row r="19" spans="1:15" ht="12" customHeight="1">
      <c r="A19" s="362"/>
      <c r="B19" s="373"/>
      <c r="C19" s="362"/>
      <c r="D19" s="362"/>
      <c r="E19" s="362"/>
      <c r="F19" s="362"/>
      <c r="G19" s="374"/>
      <c r="H19" s="379" t="str">
        <f>+H14</f>
        <v>La Esmeralda</v>
      </c>
      <c r="I19" s="376">
        <v>0.2</v>
      </c>
      <c r="J19" s="382">
        <f>0.3-J14</f>
        <v>0.15</v>
      </c>
      <c r="K19" s="382">
        <f>$O$18-0.7*2</f>
        <v>2.6999999999999997</v>
      </c>
      <c r="L19" s="383">
        <f>EVEN(((($K$14-1.5*2)/2.8)))</f>
        <v>18</v>
      </c>
      <c r="M19" s="378">
        <f t="shared" si="1"/>
        <v>1.4579999999999997</v>
      </c>
      <c r="N19" s="362"/>
    </row>
    <row r="20" spans="1:15" ht="12" customHeight="1">
      <c r="A20" s="362"/>
      <c r="B20" s="373"/>
      <c r="C20" s="362"/>
      <c r="D20" s="362"/>
      <c r="E20" s="362"/>
      <c r="F20" s="362"/>
      <c r="G20" s="374"/>
      <c r="H20" s="379"/>
      <c r="I20" s="376"/>
      <c r="J20" s="382"/>
      <c r="K20" s="382"/>
      <c r="L20" s="383"/>
      <c r="M20" s="378"/>
      <c r="N20" s="362"/>
      <c r="O20" s="380"/>
    </row>
    <row r="21" spans="1:15" ht="12" customHeight="1">
      <c r="A21" s="362"/>
      <c r="B21" s="373"/>
      <c r="C21" s="362"/>
      <c r="D21" s="362"/>
      <c r="E21" s="362"/>
      <c r="F21" s="362"/>
      <c r="G21" s="374"/>
      <c r="H21" s="375" t="s">
        <v>244</v>
      </c>
      <c r="I21" s="376"/>
      <c r="J21" s="384"/>
      <c r="K21" s="382"/>
      <c r="L21" s="383"/>
      <c r="M21" s="378"/>
      <c r="N21" s="362"/>
      <c r="O21" s="362"/>
    </row>
    <row r="22" spans="1:15" ht="12" customHeight="1">
      <c r="A22" s="362"/>
      <c r="B22" s="373"/>
      <c r="C22" s="362"/>
      <c r="D22" s="362"/>
      <c r="E22" s="362"/>
      <c r="F22" s="362"/>
      <c r="G22" s="374"/>
      <c r="H22" s="379" t="str">
        <f>+H17</f>
        <v>Quiebra de Santa Barbara</v>
      </c>
      <c r="I22" s="376">
        <v>0.7</v>
      </c>
      <c r="J22" s="384">
        <f t="shared" ref="J22:J24" si="2">+(0.1+0.15)/2</f>
        <v>0.125</v>
      </c>
      <c r="K22" s="382">
        <f>+K12</f>
        <v>65</v>
      </c>
      <c r="L22" s="383">
        <v>2</v>
      </c>
      <c r="M22" s="378">
        <f t="shared" ref="M22:M24" si="3">+I22*J22*K22*L22</f>
        <v>11.375</v>
      </c>
      <c r="N22" s="362"/>
      <c r="O22" s="372" t="s">
        <v>245</v>
      </c>
    </row>
    <row r="23" spans="1:15" ht="12" customHeight="1">
      <c r="A23" s="362"/>
      <c r="B23" s="373"/>
      <c r="C23" s="362"/>
      <c r="D23" s="362"/>
      <c r="E23" s="362"/>
      <c r="F23" s="362"/>
      <c r="G23" s="374"/>
      <c r="H23" s="379" t="str">
        <f>+H18</f>
        <v>Guacaica Baja</v>
      </c>
      <c r="I23" s="376">
        <v>0.7</v>
      </c>
      <c r="J23" s="384">
        <f t="shared" si="2"/>
        <v>0.125</v>
      </c>
      <c r="K23" s="382">
        <f>+K13</f>
        <v>80</v>
      </c>
      <c r="L23" s="383">
        <v>2</v>
      </c>
      <c r="M23" s="378">
        <f t="shared" si="3"/>
        <v>14</v>
      </c>
      <c r="N23" s="362"/>
      <c r="O23" s="381">
        <v>0.15</v>
      </c>
    </row>
    <row r="24" spans="1:15" ht="12" customHeight="1">
      <c r="A24" s="362"/>
      <c r="B24" s="373"/>
      <c r="C24" s="362"/>
      <c r="D24" s="362"/>
      <c r="E24" s="362"/>
      <c r="F24" s="362"/>
      <c r="G24" s="374"/>
      <c r="H24" s="379" t="str">
        <f>+H19</f>
        <v>La Esmeralda</v>
      </c>
      <c r="I24" s="376">
        <v>0.7</v>
      </c>
      <c r="J24" s="384">
        <f t="shared" si="2"/>
        <v>0.125</v>
      </c>
      <c r="K24" s="382">
        <f>+K14</f>
        <v>50</v>
      </c>
      <c r="L24" s="383">
        <v>2</v>
      </c>
      <c r="M24" s="378">
        <f t="shared" si="3"/>
        <v>8.75</v>
      </c>
      <c r="N24" s="362"/>
      <c r="O24" s="362"/>
    </row>
    <row r="25" spans="1:15" ht="12" customHeight="1">
      <c r="A25" s="362"/>
      <c r="B25" s="373"/>
      <c r="C25" s="362"/>
      <c r="D25" s="362"/>
      <c r="E25" s="362"/>
      <c r="F25" s="362"/>
      <c r="G25" s="374"/>
      <c r="H25" s="379"/>
      <c r="I25" s="376"/>
      <c r="J25" s="384"/>
      <c r="K25" s="382"/>
      <c r="L25" s="383"/>
      <c r="M25" s="378"/>
      <c r="N25" s="362"/>
      <c r="O25" s="362"/>
    </row>
    <row r="26" spans="1:15" ht="27" customHeight="1">
      <c r="A26" s="362"/>
      <c r="B26" s="373"/>
      <c r="C26" s="362"/>
      <c r="D26" s="362"/>
      <c r="E26" s="362"/>
      <c r="F26" s="362"/>
      <c r="G26" s="374"/>
      <c r="H26" s="375" t="s">
        <v>246</v>
      </c>
      <c r="I26" s="376"/>
      <c r="J26" s="384"/>
      <c r="K26" s="382"/>
      <c r="L26" s="383"/>
      <c r="M26" s="378"/>
      <c r="N26" s="362"/>
      <c r="O26" s="362"/>
    </row>
    <row r="27" spans="1:15" ht="12" customHeight="1" thickBot="1">
      <c r="A27" s="362"/>
      <c r="B27" s="373"/>
      <c r="C27" s="362"/>
      <c r="D27" s="362"/>
      <c r="E27" s="362"/>
      <c r="F27" s="362"/>
      <c r="G27" s="374"/>
      <c r="H27" s="379" t="str">
        <f>+H12</f>
        <v>Quiebra de Santa Barbara</v>
      </c>
      <c r="I27" s="376">
        <v>0.6</v>
      </c>
      <c r="J27" s="384">
        <v>1</v>
      </c>
      <c r="K27" s="382">
        <v>20</v>
      </c>
      <c r="L27" s="383">
        <v>1</v>
      </c>
      <c r="M27" s="378">
        <f t="shared" ref="M27:M29" si="4">+I27*J27*K27*L27</f>
        <v>12</v>
      </c>
      <c r="N27" s="362"/>
      <c r="O27" s="362"/>
    </row>
    <row r="28" spans="1:15" ht="12" customHeight="1" thickBot="1">
      <c r="A28" s="362"/>
      <c r="B28" s="373"/>
      <c r="C28" s="362"/>
      <c r="D28" s="362"/>
      <c r="E28" s="362"/>
      <c r="F28" s="362"/>
      <c r="G28" s="374"/>
      <c r="H28" s="379" t="str">
        <f>+H13</f>
        <v>Guacaica Baja</v>
      </c>
      <c r="I28" s="376">
        <v>0.5</v>
      </c>
      <c r="J28" s="384">
        <v>0.7</v>
      </c>
      <c r="K28" s="382">
        <v>15</v>
      </c>
      <c r="L28" s="383">
        <v>1</v>
      </c>
      <c r="M28" s="378">
        <f t="shared" si="4"/>
        <v>5.25</v>
      </c>
      <c r="N28" s="362"/>
      <c r="O28" s="372" t="s">
        <v>247</v>
      </c>
    </row>
    <row r="29" spans="1:15" ht="12" customHeight="1" thickBot="1">
      <c r="A29" s="362"/>
      <c r="B29" s="373"/>
      <c r="C29" s="362"/>
      <c r="D29" s="385"/>
      <c r="E29" s="385"/>
      <c r="F29" s="362"/>
      <c r="G29" s="386"/>
      <c r="H29" s="379" t="str">
        <f>+H14</f>
        <v>La Esmeralda</v>
      </c>
      <c r="I29" s="376">
        <f t="shared" ref="I29" si="5">+I28</f>
        <v>0.5</v>
      </c>
      <c r="J29" s="384">
        <v>0.8</v>
      </c>
      <c r="K29" s="382">
        <v>10</v>
      </c>
      <c r="L29" s="383">
        <v>1</v>
      </c>
      <c r="M29" s="378">
        <f t="shared" si="4"/>
        <v>4</v>
      </c>
      <c r="N29" s="362"/>
      <c r="O29" s="381" t="s">
        <v>248</v>
      </c>
    </row>
    <row r="30" spans="1:15" ht="12" customHeight="1">
      <c r="A30" s="362"/>
      <c r="B30" s="373"/>
      <c r="C30" s="362"/>
      <c r="D30" s="385"/>
      <c r="E30" s="385"/>
      <c r="F30" s="362"/>
      <c r="G30" s="386"/>
      <c r="H30" s="379"/>
      <c r="I30" s="376"/>
      <c r="J30" s="384"/>
      <c r="K30" s="382"/>
      <c r="L30" s="383"/>
      <c r="M30" s="378"/>
      <c r="N30" s="362"/>
      <c r="O30" s="362"/>
    </row>
    <row r="31" spans="1:15" ht="12" customHeight="1">
      <c r="A31" s="362"/>
      <c r="B31" s="373"/>
      <c r="C31" s="362"/>
      <c r="D31" s="385"/>
      <c r="E31" s="385"/>
      <c r="F31" s="362"/>
      <c r="G31" s="386"/>
      <c r="H31" s="387" t="s">
        <v>249</v>
      </c>
      <c r="I31" s="388"/>
      <c r="J31" s="389"/>
      <c r="K31" s="390"/>
      <c r="L31" s="391"/>
      <c r="M31" s="392"/>
      <c r="N31" s="362"/>
      <c r="O31" s="362"/>
    </row>
    <row r="32" spans="1:15" ht="12" customHeight="1" thickBot="1">
      <c r="A32" s="362"/>
      <c r="B32" s="437"/>
      <c r="C32" s="438"/>
      <c r="D32" s="438"/>
      <c r="E32" s="438"/>
      <c r="F32" s="439"/>
      <c r="G32" s="440"/>
      <c r="H32" s="441" t="s">
        <v>250</v>
      </c>
      <c r="I32" s="397">
        <v>0.9</v>
      </c>
      <c r="J32" s="384">
        <v>0.15</v>
      </c>
      <c r="K32" s="382">
        <v>15</v>
      </c>
      <c r="L32" s="383">
        <v>1</v>
      </c>
      <c r="M32" s="378">
        <f>+I32*J32*K32*L32</f>
        <v>2.0250000000000004</v>
      </c>
      <c r="N32" s="398"/>
      <c r="O32" s="372" t="s">
        <v>251</v>
      </c>
    </row>
    <row r="33" spans="1:15" ht="12" customHeight="1" thickBot="1">
      <c r="A33" s="362"/>
      <c r="B33" s="442"/>
      <c r="C33" s="443"/>
      <c r="D33" s="443"/>
      <c r="E33" s="443"/>
      <c r="F33" s="443"/>
      <c r="G33" s="443"/>
      <c r="H33" s="444"/>
      <c r="I33" s="379"/>
      <c r="J33" s="399"/>
      <c r="K33" s="399"/>
      <c r="L33" s="399"/>
      <c r="M33" s="400"/>
      <c r="N33" s="362"/>
      <c r="O33" s="381">
        <v>2</v>
      </c>
    </row>
    <row r="34" spans="1:15" ht="12" customHeight="1">
      <c r="A34" s="362"/>
      <c r="B34" s="445"/>
      <c r="C34" s="439"/>
      <c r="D34" s="439"/>
      <c r="E34" s="439"/>
      <c r="F34" s="439"/>
      <c r="G34" s="439"/>
      <c r="H34" s="446"/>
      <c r="I34" s="379"/>
      <c r="J34" s="399"/>
      <c r="K34" s="399"/>
      <c r="L34" s="399"/>
      <c r="M34" s="402"/>
      <c r="N34" s="362"/>
      <c r="O34" s="362"/>
    </row>
    <row r="35" spans="1:15" ht="12" customHeight="1" thickBot="1">
      <c r="A35" s="362"/>
      <c r="B35" s="445"/>
      <c r="C35" s="439"/>
      <c r="D35" s="439"/>
      <c r="E35" s="439"/>
      <c r="F35" s="439"/>
      <c r="G35" s="439"/>
      <c r="H35" s="447"/>
      <c r="I35" s="403"/>
      <c r="J35" s="404"/>
      <c r="K35" s="404"/>
      <c r="L35" s="404"/>
      <c r="M35" s="405"/>
      <c r="N35" s="362"/>
      <c r="O35" s="362"/>
    </row>
    <row r="36" spans="1:15" ht="12" customHeight="1" thickBot="1">
      <c r="A36" s="362"/>
      <c r="B36" s="448"/>
      <c r="C36" s="449"/>
      <c r="D36" s="449"/>
      <c r="E36" s="449"/>
      <c r="F36" s="449"/>
      <c r="G36" s="449"/>
      <c r="H36" s="450"/>
      <c r="I36" s="912" t="s">
        <v>252</v>
      </c>
      <c r="J36" s="637"/>
      <c r="K36" s="637"/>
      <c r="L36" s="638"/>
      <c r="M36" s="407">
        <f>ROUND((SUM(M10:M35)),2)</f>
        <v>195.67</v>
      </c>
      <c r="N36" s="362"/>
      <c r="O36" s="362"/>
    </row>
    <row r="37" spans="1:15" ht="12" customHeight="1">
      <c r="A37" s="362"/>
      <c r="B37" s="362"/>
      <c r="C37" s="362"/>
      <c r="D37" s="362"/>
      <c r="E37" s="362"/>
      <c r="F37" s="362"/>
      <c r="G37" s="362"/>
      <c r="H37" s="362"/>
      <c r="I37" s="362"/>
      <c r="J37" s="362"/>
      <c r="K37" s="362"/>
      <c r="L37" s="913"/>
      <c r="M37" s="633"/>
      <c r="N37" s="362"/>
      <c r="O37" s="362"/>
    </row>
  </sheetData>
  <mergeCells count="21">
    <mergeCell ref="L37:M37"/>
    <mergeCell ref="L8:L9"/>
    <mergeCell ref="M8:M9"/>
    <mergeCell ref="D6:H6"/>
    <mergeCell ref="I6:K6"/>
    <mergeCell ref="L6:M6"/>
    <mergeCell ref="D7:H7"/>
    <mergeCell ref="L7:M7"/>
    <mergeCell ref="B8:G9"/>
    <mergeCell ref="H8:H9"/>
    <mergeCell ref="H10:M10"/>
    <mergeCell ref="B5:C5"/>
    <mergeCell ref="D5:M5"/>
    <mergeCell ref="I7:K7"/>
    <mergeCell ref="I8:K8"/>
    <mergeCell ref="I36:L36"/>
    <mergeCell ref="B2:C3"/>
    <mergeCell ref="D2:K3"/>
    <mergeCell ref="L2:M3"/>
    <mergeCell ref="B4:C4"/>
    <mergeCell ref="D4:M4"/>
  </mergeCells>
  <printOptions horizontalCentered="1"/>
  <pageMargins left="0" right="0.39370078740157483" top="0.19685039370078741" bottom="0.19685039370078741" header="0" footer="0"/>
  <pageSetup scale="77" orientation="landscape" r:id="rId1"/>
  <headerFooter>
    <oddFooter>&amp;R&amp;A</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BDD6EE"/>
    <pageSetUpPr fitToPage="1"/>
  </sheetPr>
  <dimension ref="B1:M22"/>
  <sheetViews>
    <sheetView view="pageBreakPreview" topLeftCell="C1" zoomScaleNormal="100" zoomScaleSheetLayoutView="100" workbookViewId="0">
      <selection activeCell="J13" sqref="J13"/>
    </sheetView>
  </sheetViews>
  <sheetFormatPr baseColWidth="10" defaultColWidth="14.5" defaultRowHeight="15" customHeight="1"/>
  <cols>
    <col min="1" max="1" width="1.5" customWidth="1"/>
    <col min="2" max="4" width="11.5" customWidth="1"/>
    <col min="5" max="5" width="16" customWidth="1"/>
    <col min="6" max="7" width="11.5" customWidth="1"/>
    <col min="8" max="8" width="28.33203125" customWidth="1"/>
    <col min="9" max="9" width="7.5" customWidth="1"/>
    <col min="10" max="11" width="12.1640625" customWidth="1"/>
    <col min="12" max="12" width="13" customWidth="1"/>
    <col min="13" max="13" width="13.5" customWidth="1"/>
    <col min="14" max="15" width="11.5" customWidth="1"/>
    <col min="16" max="26" width="10.6640625" customWidth="1"/>
  </cols>
  <sheetData>
    <row r="1" spans="2:13" ht="12" customHeight="1">
      <c r="B1" s="362"/>
      <c r="C1" s="362"/>
      <c r="D1" s="362"/>
      <c r="E1" s="362"/>
      <c r="F1" s="362"/>
      <c r="G1" s="362"/>
      <c r="H1" s="362"/>
      <c r="I1" s="362"/>
      <c r="J1" s="362"/>
      <c r="K1" s="362"/>
      <c r="L1" s="362"/>
      <c r="M1" s="362"/>
    </row>
    <row r="2" spans="2:13" ht="15" customHeight="1">
      <c r="B2" s="899"/>
      <c r="C2" s="900"/>
      <c r="D2" s="902" t="s">
        <v>283</v>
      </c>
      <c r="E2" s="666"/>
      <c r="F2" s="666"/>
      <c r="G2" s="666"/>
      <c r="H2" s="666"/>
      <c r="I2" s="666"/>
      <c r="J2" s="666"/>
      <c r="K2" s="668"/>
      <c r="L2" s="903"/>
      <c r="M2" s="668"/>
    </row>
    <row r="3" spans="2:13" ht="15.75" customHeight="1">
      <c r="B3" s="726"/>
      <c r="C3" s="901"/>
      <c r="D3" s="726"/>
      <c r="E3" s="670"/>
      <c r="F3" s="670"/>
      <c r="G3" s="670"/>
      <c r="H3" s="670"/>
      <c r="I3" s="670"/>
      <c r="J3" s="670"/>
      <c r="K3" s="672"/>
      <c r="L3" s="671"/>
      <c r="M3" s="672"/>
    </row>
    <row r="4" spans="2:13" ht="12" customHeight="1">
      <c r="B4" s="924" t="str">
        <f>+'1 CANT MC-AM 01'!B4:C4</f>
        <v xml:space="preserve"> Contratante: </v>
      </c>
      <c r="C4" s="905"/>
      <c r="D4" s="906" t="str">
        <f>DATOS!C4</f>
        <v>MUNICIPIO DE RISARALDA</v>
      </c>
      <c r="E4" s="640"/>
      <c r="F4" s="640"/>
      <c r="G4" s="640"/>
      <c r="H4" s="640"/>
      <c r="I4" s="640"/>
      <c r="J4" s="640"/>
      <c r="K4" s="640"/>
      <c r="L4" s="640"/>
      <c r="M4" s="641"/>
    </row>
    <row r="5" spans="2:13" ht="36.75" customHeight="1">
      <c r="B5" s="907" t="s">
        <v>225</v>
      </c>
      <c r="C5" s="908"/>
      <c r="D5" s="909" t="str">
        <f>+PRESUPUESTO!B2</f>
        <v>CONSTRUCCIÓN DE PLACA HUELLAS CON APOYO DE LA COMUNIDAD Y EL COMITÉ DE CAFETEROS EN ZONA RURAL DEL MUNICIPIO DE RISARALDA</v>
      </c>
      <c r="E5" s="675"/>
      <c r="F5" s="675"/>
      <c r="G5" s="675"/>
      <c r="H5" s="675"/>
      <c r="I5" s="675"/>
      <c r="J5" s="675"/>
      <c r="K5" s="675"/>
      <c r="L5" s="675"/>
      <c r="M5" s="707"/>
    </row>
    <row r="6" spans="2:13" ht="12" customHeight="1">
      <c r="B6" s="363" t="s">
        <v>226</v>
      </c>
      <c r="C6" s="364" t="s">
        <v>51</v>
      </c>
      <c r="D6" s="916" t="s">
        <v>43</v>
      </c>
      <c r="E6" s="675"/>
      <c r="F6" s="675"/>
      <c r="G6" s="675"/>
      <c r="H6" s="676"/>
      <c r="I6" s="911" t="s">
        <v>227</v>
      </c>
      <c r="J6" s="734"/>
      <c r="K6" s="735"/>
      <c r="L6" s="911" t="s">
        <v>228</v>
      </c>
      <c r="M6" s="917"/>
    </row>
    <row r="7" spans="2:13" ht="36.75" customHeight="1">
      <c r="B7" s="365">
        <f>+PRESUPUESTO!$B$5</f>
        <v>2</v>
      </c>
      <c r="C7" s="366" t="str">
        <f>+PRESUPUESTO!$D$5</f>
        <v>M3</v>
      </c>
      <c r="D7" s="918" t="str">
        <f>+PRESUPUESTO!$C$5</f>
        <v>Suministro, transporte e instalacion de afirmado compactado. No incluye mano de obra no calificada.</v>
      </c>
      <c r="E7" s="643"/>
      <c r="F7" s="643"/>
      <c r="G7" s="643"/>
      <c r="H7" s="679"/>
      <c r="I7" s="910" t="s">
        <v>229</v>
      </c>
      <c r="J7" s="643"/>
      <c r="K7" s="679"/>
      <c r="L7" s="919">
        <f>+DATOS!C5</f>
        <v>45779</v>
      </c>
      <c r="M7" s="644"/>
    </row>
    <row r="8" spans="2:13" ht="15.75" customHeight="1">
      <c r="B8" s="920" t="s">
        <v>230</v>
      </c>
      <c r="C8" s="865"/>
      <c r="D8" s="865"/>
      <c r="E8" s="865"/>
      <c r="F8" s="865"/>
      <c r="G8" s="921"/>
      <c r="H8" s="922" t="s">
        <v>231</v>
      </c>
      <c r="I8" s="911" t="s">
        <v>232</v>
      </c>
      <c r="J8" s="734"/>
      <c r="K8" s="735"/>
      <c r="L8" s="914" t="s">
        <v>233</v>
      </c>
      <c r="M8" s="915" t="s">
        <v>234</v>
      </c>
    </row>
    <row r="9" spans="2:13" ht="39.75" customHeight="1">
      <c r="B9" s="726"/>
      <c r="C9" s="670"/>
      <c r="D9" s="670"/>
      <c r="E9" s="670"/>
      <c r="F9" s="670"/>
      <c r="G9" s="672"/>
      <c r="H9" s="712"/>
      <c r="I9" s="367" t="s">
        <v>235</v>
      </c>
      <c r="J9" s="367" t="s">
        <v>236</v>
      </c>
      <c r="K9" s="367" t="s">
        <v>237</v>
      </c>
      <c r="L9" s="714"/>
      <c r="M9" s="718"/>
    </row>
    <row r="10" spans="2:13" ht="12" customHeight="1">
      <c r="B10" s="368"/>
      <c r="C10" s="369"/>
      <c r="D10" s="369"/>
      <c r="E10" s="369"/>
      <c r="F10" s="369"/>
      <c r="G10" s="370"/>
      <c r="H10" s="375" t="s">
        <v>253</v>
      </c>
      <c r="I10" s="376"/>
      <c r="J10" s="376"/>
      <c r="K10" s="376"/>
      <c r="L10" s="377"/>
      <c r="M10" s="378"/>
    </row>
    <row r="11" spans="2:13" ht="12" customHeight="1">
      <c r="B11" s="373"/>
      <c r="C11" s="362"/>
      <c r="D11" s="362"/>
      <c r="E11" s="362"/>
      <c r="F11" s="362"/>
      <c r="G11" s="374"/>
      <c r="H11" s="379" t="str">
        <f>+'1 CANT MC-AM 01'!H12</f>
        <v>Quiebra de Santa Barbara</v>
      </c>
      <c r="I11" s="376">
        <f>+'1 CANT MC-AM 01'!$O$18</f>
        <v>4.0999999999999996</v>
      </c>
      <c r="J11" s="376">
        <v>0.15</v>
      </c>
      <c r="K11" s="376">
        <f>+'1 CANT MC-AM 01'!K12</f>
        <v>65</v>
      </c>
      <c r="L11" s="377">
        <f>+'1 CANT MC-AM 01'!$O$14</f>
        <v>1</v>
      </c>
      <c r="M11" s="378">
        <f t="shared" ref="M11:M13" si="0">+I11*J11*K11*L11</f>
        <v>39.974999999999994</v>
      </c>
    </row>
    <row r="12" spans="2:13" ht="12" customHeight="1">
      <c r="B12" s="373"/>
      <c r="C12" s="362"/>
      <c r="D12" s="362"/>
      <c r="E12" s="362"/>
      <c r="F12" s="362"/>
      <c r="G12" s="374"/>
      <c r="H12" s="379" t="str">
        <f>+'1 CANT MC-AM 01'!H13</f>
        <v>Guacaica Baja</v>
      </c>
      <c r="I12" s="376">
        <f>+'1 CANT MC-AM 01'!$O$18</f>
        <v>4.0999999999999996</v>
      </c>
      <c r="J12" s="376">
        <v>0.15</v>
      </c>
      <c r="K12" s="376">
        <f>+'1 CANT MC-AM 01'!K13</f>
        <v>80</v>
      </c>
      <c r="L12" s="377">
        <f>+'1 CANT MC-AM 01'!$O$14</f>
        <v>1</v>
      </c>
      <c r="M12" s="378">
        <f t="shared" si="0"/>
        <v>49.199999999999989</v>
      </c>
    </row>
    <row r="13" spans="2:13" ht="12" customHeight="1">
      <c r="B13" s="373"/>
      <c r="C13" s="362"/>
      <c r="D13" s="362"/>
      <c r="E13" s="362"/>
      <c r="F13" s="362"/>
      <c r="G13" s="374"/>
      <c r="H13" s="379" t="str">
        <f>+'1 CANT MC-AM 01'!H14</f>
        <v>La Esmeralda</v>
      </c>
      <c r="I13" s="376">
        <f>+'1 CANT MC-AM 01'!$O$18</f>
        <v>4.0999999999999996</v>
      </c>
      <c r="J13" s="376">
        <v>0.15</v>
      </c>
      <c r="K13" s="376">
        <f>+'1 CANT MC-AM 01'!K14</f>
        <v>50</v>
      </c>
      <c r="L13" s="377">
        <f>+'1 CANT MC-AM 01'!$O$14</f>
        <v>1</v>
      </c>
      <c r="M13" s="378">
        <f t="shared" si="0"/>
        <v>30.749999999999993</v>
      </c>
    </row>
    <row r="14" spans="2:13" ht="12" customHeight="1">
      <c r="B14" s="373"/>
      <c r="C14" s="362"/>
      <c r="D14" s="362"/>
      <c r="E14" s="362"/>
      <c r="F14" s="362"/>
      <c r="G14" s="374"/>
      <c r="H14" s="379"/>
      <c r="I14" s="399"/>
      <c r="J14" s="399"/>
      <c r="K14" s="399"/>
      <c r="L14" s="399"/>
      <c r="M14" s="408"/>
    </row>
    <row r="15" spans="2:13" ht="12" customHeight="1">
      <c r="B15" s="373"/>
      <c r="C15" s="362"/>
      <c r="D15" s="362"/>
      <c r="E15" s="362"/>
      <c r="F15" s="362"/>
      <c r="G15" s="374"/>
      <c r="H15" s="375" t="s">
        <v>254</v>
      </c>
      <c r="I15" s="379"/>
      <c r="J15" s="399"/>
      <c r="K15" s="399"/>
      <c r="L15" s="399"/>
      <c r="M15" s="408"/>
    </row>
    <row r="16" spans="2:13" ht="12" customHeight="1">
      <c r="B16" s="373"/>
      <c r="C16" s="362"/>
      <c r="D16" s="362"/>
      <c r="E16" s="362"/>
      <c r="F16" s="362"/>
      <c r="G16" s="374"/>
      <c r="H16" s="379" t="str">
        <f>+'1 CANT MC-AM 01'!H32</f>
        <v>Todos los tramos</v>
      </c>
      <c r="I16" s="376">
        <v>0.9</v>
      </c>
      <c r="J16" s="376">
        <v>0.15</v>
      </c>
      <c r="K16" s="376">
        <f>+'1 CANT MC-AM 01'!K32</f>
        <v>15</v>
      </c>
      <c r="L16" s="377">
        <f>+'1 CANT MC-AM 01'!$O$14</f>
        <v>1</v>
      </c>
      <c r="M16" s="378">
        <f>+I16*J16*K16*L16</f>
        <v>2.0250000000000004</v>
      </c>
    </row>
    <row r="17" spans="2:13" ht="12" customHeight="1">
      <c r="B17" s="393"/>
      <c r="C17" s="395"/>
      <c r="D17" s="395"/>
      <c r="E17" s="395"/>
      <c r="F17" s="395"/>
      <c r="G17" s="396"/>
      <c r="H17" s="362"/>
      <c r="I17" s="399"/>
      <c r="J17" s="399"/>
      <c r="K17" s="399"/>
      <c r="L17" s="399"/>
      <c r="M17" s="408"/>
    </row>
    <row r="18" spans="2:13" ht="12" customHeight="1">
      <c r="B18" s="368"/>
      <c r="C18" s="369"/>
      <c r="D18" s="369"/>
      <c r="E18" s="369"/>
      <c r="F18" s="369"/>
      <c r="G18" s="409"/>
      <c r="H18" s="370"/>
      <c r="I18" s="379"/>
      <c r="J18" s="399"/>
      <c r="K18" s="399"/>
      <c r="L18" s="399"/>
      <c r="M18" s="400"/>
    </row>
    <row r="19" spans="2:13" ht="12" customHeight="1">
      <c r="B19" s="410"/>
      <c r="C19" s="385"/>
      <c r="D19" s="385"/>
      <c r="E19" s="385"/>
      <c r="F19" s="362"/>
      <c r="G19" s="385"/>
      <c r="H19" s="401"/>
      <c r="I19" s="379"/>
      <c r="J19" s="399"/>
      <c r="K19" s="399"/>
      <c r="L19" s="399"/>
      <c r="M19" s="402"/>
    </row>
    <row r="20" spans="2:13" ht="12" customHeight="1">
      <c r="B20" s="410"/>
      <c r="C20" s="362"/>
      <c r="D20" s="362"/>
      <c r="E20" s="362"/>
      <c r="F20" s="362"/>
      <c r="G20" s="385"/>
      <c r="H20" s="374"/>
      <c r="I20" s="403"/>
      <c r="J20" s="404"/>
      <c r="K20" s="404"/>
      <c r="L20" s="404"/>
      <c r="M20" s="405"/>
    </row>
    <row r="21" spans="2:13" ht="12" customHeight="1">
      <c r="B21" s="393"/>
      <c r="C21" s="394"/>
      <c r="D21" s="394"/>
      <c r="E21" s="394"/>
      <c r="F21" s="395"/>
      <c r="G21" s="395"/>
      <c r="H21" s="406"/>
      <c r="I21" s="925" t="s">
        <v>252</v>
      </c>
      <c r="J21" s="637"/>
      <c r="K21" s="637"/>
      <c r="L21" s="638"/>
      <c r="M21" s="407">
        <f>ROUND((SUM(M10:M20)),2)</f>
        <v>121.95</v>
      </c>
    </row>
    <row r="22" spans="2:13" ht="12" customHeight="1">
      <c r="B22" s="362"/>
      <c r="C22" s="362"/>
      <c r="D22" s="362"/>
      <c r="E22" s="362"/>
      <c r="F22" s="362"/>
      <c r="G22" s="362"/>
      <c r="H22" s="362"/>
      <c r="I22" s="362"/>
      <c r="J22" s="362"/>
      <c r="K22" s="362"/>
      <c r="L22" s="913"/>
      <c r="M22" s="633"/>
    </row>
  </sheetData>
  <mergeCells count="20">
    <mergeCell ref="L22:M22"/>
    <mergeCell ref="L8:L9"/>
    <mergeCell ref="M8:M9"/>
    <mergeCell ref="D6:H6"/>
    <mergeCell ref="I6:K6"/>
    <mergeCell ref="L6:M6"/>
    <mergeCell ref="D7:H7"/>
    <mergeCell ref="L7:M7"/>
    <mergeCell ref="B8:G9"/>
    <mergeCell ref="H8:H9"/>
    <mergeCell ref="B5:C5"/>
    <mergeCell ref="D5:M5"/>
    <mergeCell ref="I7:K7"/>
    <mergeCell ref="I8:K8"/>
    <mergeCell ref="I21:L21"/>
    <mergeCell ref="B2:C3"/>
    <mergeCell ref="D2:K3"/>
    <mergeCell ref="L2:M3"/>
    <mergeCell ref="B4:C4"/>
    <mergeCell ref="D4:M4"/>
  </mergeCells>
  <printOptions horizontalCentered="1"/>
  <pageMargins left="0" right="0.39370078740157483" top="0.19685039370078741" bottom="0.19685039370078741" header="0" footer="0"/>
  <pageSetup scale="76" orientation="landscape" r:id="rId1"/>
  <headerFooter>
    <oddFooter>&amp;R&amp;A</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BDD6EE"/>
    <pageSetUpPr fitToPage="1"/>
  </sheetPr>
  <dimension ref="B2:M38"/>
  <sheetViews>
    <sheetView view="pageBreakPreview" topLeftCell="A7" zoomScaleNormal="100" zoomScaleSheetLayoutView="100" workbookViewId="0">
      <selection activeCell="L33" sqref="L33"/>
    </sheetView>
  </sheetViews>
  <sheetFormatPr baseColWidth="10" defaultColWidth="14.5" defaultRowHeight="15" customHeight="1"/>
  <cols>
    <col min="1" max="1" width="5" customWidth="1"/>
    <col min="2" max="2" width="6.33203125" customWidth="1"/>
    <col min="3" max="3" width="7.5" customWidth="1"/>
    <col min="4" max="4" width="9.1640625" customWidth="1"/>
    <col min="5" max="7" width="11.5" customWidth="1"/>
    <col min="8" max="8" width="27.5" customWidth="1"/>
    <col min="9" max="9" width="10.5" customWidth="1"/>
    <col min="10" max="10" width="9.83203125" customWidth="1"/>
    <col min="11" max="11" width="9" customWidth="1"/>
    <col min="12" max="12" width="13" customWidth="1"/>
    <col min="13" max="13" width="13.5" customWidth="1"/>
    <col min="14" max="15" width="11.5" customWidth="1"/>
    <col min="16" max="26" width="10.6640625" customWidth="1"/>
  </cols>
  <sheetData>
    <row r="2" spans="2:13" ht="15" customHeight="1">
      <c r="B2" s="899"/>
      <c r="C2" s="900"/>
      <c r="D2" s="902" t="s">
        <v>283</v>
      </c>
      <c r="E2" s="666"/>
      <c r="F2" s="666"/>
      <c r="G2" s="666"/>
      <c r="H2" s="666"/>
      <c r="I2" s="666"/>
      <c r="J2" s="666"/>
      <c r="K2" s="668"/>
      <c r="L2" s="903"/>
      <c r="M2" s="668"/>
    </row>
    <row r="3" spans="2:13" ht="60.5" customHeight="1">
      <c r="B3" s="726"/>
      <c r="C3" s="901"/>
      <c r="D3" s="726"/>
      <c r="E3" s="670"/>
      <c r="F3" s="670"/>
      <c r="G3" s="670"/>
      <c r="H3" s="670"/>
      <c r="I3" s="670"/>
      <c r="J3" s="670"/>
      <c r="K3" s="672"/>
      <c r="L3" s="671"/>
      <c r="M3" s="672"/>
    </row>
    <row r="4" spans="2:13" ht="12" customHeight="1">
      <c r="B4" s="924" t="str">
        <f>+'2 CANT MC-AM 01'!B4:C4</f>
        <v xml:space="preserve"> Contratante: </v>
      </c>
      <c r="C4" s="905"/>
      <c r="D4" s="906" t="str">
        <f>DATOS!C4</f>
        <v>MUNICIPIO DE RISARALDA</v>
      </c>
      <c r="E4" s="640"/>
      <c r="F4" s="640"/>
      <c r="G4" s="640"/>
      <c r="H4" s="640"/>
      <c r="I4" s="640"/>
      <c r="J4" s="640"/>
      <c r="K4" s="640"/>
      <c r="L4" s="640"/>
      <c r="M4" s="641"/>
    </row>
    <row r="5" spans="2:13" ht="36.75" customHeight="1">
      <c r="B5" s="907" t="s">
        <v>225</v>
      </c>
      <c r="C5" s="908"/>
      <c r="D5" s="909" t="str">
        <f>+PRESUPUESTO!B2</f>
        <v>CONSTRUCCIÓN DE PLACA HUELLAS CON APOYO DE LA COMUNIDAD Y EL COMITÉ DE CAFETEROS EN ZONA RURAL DEL MUNICIPIO DE RISARALDA</v>
      </c>
      <c r="E5" s="675"/>
      <c r="F5" s="675"/>
      <c r="G5" s="675"/>
      <c r="H5" s="675"/>
      <c r="I5" s="675"/>
      <c r="J5" s="675"/>
      <c r="K5" s="675"/>
      <c r="L5" s="675"/>
      <c r="M5" s="707"/>
    </row>
    <row r="6" spans="2:13" ht="12" customHeight="1">
      <c r="B6" s="363" t="s">
        <v>226</v>
      </c>
      <c r="C6" s="364" t="s">
        <v>51</v>
      </c>
      <c r="D6" s="916" t="s">
        <v>43</v>
      </c>
      <c r="E6" s="675"/>
      <c r="F6" s="675"/>
      <c r="G6" s="675"/>
      <c r="H6" s="676"/>
      <c r="I6" s="911" t="s">
        <v>227</v>
      </c>
      <c r="J6" s="734"/>
      <c r="K6" s="735"/>
      <c r="L6" s="911" t="s">
        <v>228</v>
      </c>
      <c r="M6" s="917"/>
    </row>
    <row r="7" spans="2:13" ht="55.5" customHeight="1">
      <c r="B7" s="365">
        <f>+PRESUPUESTO!$B$6</f>
        <v>3</v>
      </c>
      <c r="C7" s="366" t="str">
        <f>+PRESUPUESTO!$D$6</f>
        <v>M3</v>
      </c>
      <c r="D7" s="918" t="str">
        <f>PRESUPUESTO!C6</f>
        <v>Concreto clase D: Concreto de 3000 PSI. Incluye preparación e instalación de concreto en placas, vigas y cunetas. Incluye formaleta. Incluye agregados. No incluye suministro de cemento. No incluye mano de obra no calificada.</v>
      </c>
      <c r="E7" s="643"/>
      <c r="F7" s="643"/>
      <c r="G7" s="643"/>
      <c r="H7" s="679"/>
      <c r="I7" s="910" t="s">
        <v>229</v>
      </c>
      <c r="J7" s="643"/>
      <c r="K7" s="679"/>
      <c r="L7" s="919">
        <f>+DATOS!C5</f>
        <v>45779</v>
      </c>
      <c r="M7" s="644"/>
    </row>
    <row r="8" spans="2:13" ht="15.75" customHeight="1">
      <c r="B8" s="920" t="s">
        <v>230</v>
      </c>
      <c r="C8" s="865"/>
      <c r="D8" s="865"/>
      <c r="E8" s="865"/>
      <c r="F8" s="865"/>
      <c r="G8" s="921"/>
      <c r="H8" s="922" t="s">
        <v>231</v>
      </c>
      <c r="I8" s="911" t="s">
        <v>232</v>
      </c>
      <c r="J8" s="734"/>
      <c r="K8" s="735"/>
      <c r="L8" s="914" t="s">
        <v>233</v>
      </c>
      <c r="M8" s="915" t="s">
        <v>234</v>
      </c>
    </row>
    <row r="9" spans="2:13" ht="12" customHeight="1">
      <c r="B9" s="726"/>
      <c r="C9" s="670"/>
      <c r="D9" s="670"/>
      <c r="E9" s="670"/>
      <c r="F9" s="670"/>
      <c r="G9" s="672"/>
      <c r="H9" s="712"/>
      <c r="I9" s="367" t="s">
        <v>235</v>
      </c>
      <c r="J9" s="367" t="s">
        <v>236</v>
      </c>
      <c r="K9" s="367" t="s">
        <v>237</v>
      </c>
      <c r="L9" s="714"/>
      <c r="M9" s="718"/>
    </row>
    <row r="10" spans="2:13" ht="12" customHeight="1">
      <c r="B10" s="373"/>
      <c r="C10" s="362"/>
      <c r="D10" s="362"/>
      <c r="E10" s="362"/>
      <c r="F10" s="362"/>
      <c r="G10" s="374"/>
      <c r="H10" s="411" t="s">
        <v>255</v>
      </c>
      <c r="I10" s="376"/>
      <c r="J10" s="376"/>
      <c r="K10" s="376"/>
      <c r="L10" s="377"/>
      <c r="M10" s="378"/>
    </row>
    <row r="11" spans="2:13" ht="12" customHeight="1">
      <c r="B11" s="373"/>
      <c r="C11" s="362"/>
      <c r="D11" s="362"/>
      <c r="E11" s="362"/>
      <c r="F11" s="362"/>
      <c r="G11" s="374"/>
      <c r="H11" s="412" t="str">
        <f>+'1 CANT MC-AM 01'!H12</f>
        <v>Quiebra de Santa Barbara</v>
      </c>
      <c r="I11" s="376">
        <v>0.9</v>
      </c>
      <c r="J11" s="376">
        <f>+'1 CANT MC-AM 01'!$O$23</f>
        <v>0.15</v>
      </c>
      <c r="K11" s="376">
        <f>(('1 CANT MC-AM 01'!K12-K26*L26)-((L16)*0.2))</f>
        <v>57.2</v>
      </c>
      <c r="L11" s="377">
        <v>2</v>
      </c>
      <c r="M11" s="378">
        <f t="shared" ref="M11:M13" si="0">+I11*J11*K11*L11</f>
        <v>15.444000000000003</v>
      </c>
    </row>
    <row r="12" spans="2:13" ht="12" customHeight="1">
      <c r="B12" s="373"/>
      <c r="C12" s="362"/>
      <c r="D12" s="362"/>
      <c r="E12" s="362"/>
      <c r="F12" s="362"/>
      <c r="G12" s="374"/>
      <c r="H12" s="412" t="str">
        <f>+'1 CANT MC-AM 01'!H13</f>
        <v>Guacaica Baja</v>
      </c>
      <c r="I12" s="376">
        <v>0.9</v>
      </c>
      <c r="J12" s="376">
        <f>+'1 CANT MC-AM 01'!$O$23</f>
        <v>0.15</v>
      </c>
      <c r="K12" s="376">
        <f>(('1 CANT MC-AM 01'!K13-K27*L27)-((L17)*0.2))</f>
        <v>71.400000000000006</v>
      </c>
      <c r="L12" s="377">
        <v>2</v>
      </c>
      <c r="M12" s="378">
        <f t="shared" si="0"/>
        <v>19.278000000000002</v>
      </c>
    </row>
    <row r="13" spans="2:13" ht="12" customHeight="1">
      <c r="B13" s="373"/>
      <c r="C13" s="362"/>
      <c r="D13" s="362"/>
      <c r="E13" s="362"/>
      <c r="F13" s="362"/>
      <c r="G13" s="374"/>
      <c r="H13" s="412" t="str">
        <f>+'1 CANT MC-AM 01'!H14</f>
        <v>La Esmeralda</v>
      </c>
      <c r="I13" s="376">
        <v>0.9</v>
      </c>
      <c r="J13" s="376">
        <f>+'1 CANT MC-AM 01'!$O$23</f>
        <v>0.15</v>
      </c>
      <c r="K13" s="376">
        <f>(('1 CANT MC-AM 01'!K14-K28*L28)-((L18)*0.2))</f>
        <v>43.4</v>
      </c>
      <c r="L13" s="377">
        <v>2</v>
      </c>
      <c r="M13" s="378">
        <f t="shared" si="0"/>
        <v>11.718</v>
      </c>
    </row>
    <row r="14" spans="2:13" ht="12" customHeight="1">
      <c r="B14" s="373"/>
      <c r="C14" s="362"/>
      <c r="D14" s="362"/>
      <c r="E14" s="362"/>
      <c r="F14" s="362"/>
      <c r="G14" s="374"/>
      <c r="H14" s="412"/>
      <c r="I14" s="376"/>
      <c r="J14" s="376"/>
      <c r="K14" s="376"/>
      <c r="L14" s="377"/>
      <c r="M14" s="378"/>
    </row>
    <row r="15" spans="2:13" ht="12" customHeight="1">
      <c r="B15" s="373"/>
      <c r="C15" s="362"/>
      <c r="D15" s="362"/>
      <c r="E15" s="362"/>
      <c r="F15" s="362"/>
      <c r="G15" s="374"/>
      <c r="H15" s="411" t="s">
        <v>256</v>
      </c>
      <c r="I15" s="376"/>
      <c r="J15" s="376"/>
      <c r="K15" s="376"/>
      <c r="L15" s="377"/>
      <c r="M15" s="378"/>
    </row>
    <row r="16" spans="2:13" ht="12" customHeight="1">
      <c r="B16" s="373"/>
      <c r="C16" s="362"/>
      <c r="D16" s="362"/>
      <c r="E16" s="362"/>
      <c r="F16" s="362"/>
      <c r="G16" s="374"/>
      <c r="H16" s="412" t="str">
        <f>+H11</f>
        <v>Quiebra de Santa Barbara</v>
      </c>
      <c r="I16" s="376">
        <v>0.2</v>
      </c>
      <c r="J16" s="376">
        <v>0.3</v>
      </c>
      <c r="K16" s="376">
        <v>2.7</v>
      </c>
      <c r="L16" s="377">
        <f>'1 CANT MC-AM 01'!L17</f>
        <v>24</v>
      </c>
      <c r="M16" s="378">
        <f t="shared" ref="M16:M18" si="1">+I16*J16*K16*L16</f>
        <v>3.8879999999999999</v>
      </c>
    </row>
    <row r="17" spans="2:13" ht="12" customHeight="1">
      <c r="B17" s="373"/>
      <c r="C17" s="362"/>
      <c r="D17" s="362"/>
      <c r="E17" s="362"/>
      <c r="F17" s="362"/>
      <c r="G17" s="374"/>
      <c r="H17" s="412" t="str">
        <f>+H12</f>
        <v>Guacaica Baja</v>
      </c>
      <c r="I17" s="376">
        <v>0.2</v>
      </c>
      <c r="J17" s="376">
        <v>0.3</v>
      </c>
      <c r="K17" s="376">
        <v>2.7</v>
      </c>
      <c r="L17" s="377">
        <f>'1 CANT MC-AM 01'!L18</f>
        <v>28</v>
      </c>
      <c r="M17" s="378">
        <f t="shared" si="1"/>
        <v>4.5360000000000005</v>
      </c>
    </row>
    <row r="18" spans="2:13" ht="12" customHeight="1">
      <c r="B18" s="373"/>
      <c r="C18" s="362"/>
      <c r="D18" s="362"/>
      <c r="E18" s="362"/>
      <c r="F18" s="362"/>
      <c r="G18" s="374"/>
      <c r="H18" s="412" t="str">
        <f>+H13</f>
        <v>La Esmeralda</v>
      </c>
      <c r="I18" s="376">
        <v>0.2</v>
      </c>
      <c r="J18" s="376">
        <v>0.3</v>
      </c>
      <c r="K18" s="376">
        <v>2.7</v>
      </c>
      <c r="L18" s="377">
        <f>'1 CANT MC-AM 01'!L19</f>
        <v>18</v>
      </c>
      <c r="M18" s="378">
        <f t="shared" si="1"/>
        <v>2.9159999999999999</v>
      </c>
    </row>
    <row r="19" spans="2:13" ht="12" customHeight="1">
      <c r="B19" s="373"/>
      <c r="C19" s="362"/>
      <c r="D19" s="362"/>
      <c r="E19" s="362"/>
      <c r="F19" s="362"/>
      <c r="G19" s="374"/>
      <c r="H19" s="412"/>
      <c r="I19" s="376"/>
      <c r="J19" s="376"/>
      <c r="K19" s="376"/>
      <c r="L19" s="377"/>
      <c r="M19" s="378"/>
    </row>
    <row r="20" spans="2:13" ht="12" customHeight="1">
      <c r="B20" s="373"/>
      <c r="C20" s="362"/>
      <c r="D20" s="362"/>
      <c r="E20" s="362"/>
      <c r="F20" s="362"/>
      <c r="G20" s="374"/>
      <c r="H20" s="411" t="s">
        <v>257</v>
      </c>
      <c r="I20" s="376"/>
      <c r="J20" s="376"/>
      <c r="K20" s="376"/>
      <c r="L20" s="377"/>
      <c r="M20" s="378"/>
    </row>
    <row r="21" spans="2:13" ht="12" customHeight="1">
      <c r="B21" s="373"/>
      <c r="C21" s="362"/>
      <c r="D21" s="362"/>
      <c r="E21" s="362"/>
      <c r="F21" s="362"/>
      <c r="G21" s="374"/>
      <c r="H21" s="412" t="str">
        <f>+H11</f>
        <v>Quiebra de Santa Barbara</v>
      </c>
      <c r="I21" s="376">
        <v>0.7</v>
      </c>
      <c r="J21" s="376">
        <v>0.1</v>
      </c>
      <c r="K21" s="376">
        <f>+'1 CANT MC-AM 01'!K12</f>
        <v>65</v>
      </c>
      <c r="L21" s="377">
        <f>2*'1 CANT MC-AM 01'!$O$14</f>
        <v>2</v>
      </c>
      <c r="M21" s="378">
        <f t="shared" ref="M21:M23" si="2">+I21*J21*K21*L21</f>
        <v>9.1</v>
      </c>
    </row>
    <row r="22" spans="2:13" ht="12" customHeight="1">
      <c r="B22" s="373"/>
      <c r="C22" s="362"/>
      <c r="D22" s="362"/>
      <c r="E22" s="362"/>
      <c r="F22" s="362"/>
      <c r="G22" s="374"/>
      <c r="H22" s="412" t="str">
        <f>+H12</f>
        <v>Guacaica Baja</v>
      </c>
      <c r="I22" s="376">
        <v>0.7</v>
      </c>
      <c r="J22" s="376">
        <f>+J21</f>
        <v>0.1</v>
      </c>
      <c r="K22" s="376">
        <f>+'1 CANT MC-AM 01'!K13</f>
        <v>80</v>
      </c>
      <c r="L22" s="377">
        <f>2*'1 CANT MC-AM 01'!$O$14</f>
        <v>2</v>
      </c>
      <c r="M22" s="378">
        <f t="shared" si="2"/>
        <v>11.2</v>
      </c>
    </row>
    <row r="23" spans="2:13" ht="12" customHeight="1">
      <c r="B23" s="373"/>
      <c r="C23" s="362"/>
      <c r="D23" s="362"/>
      <c r="E23" s="362"/>
      <c r="F23" s="362"/>
      <c r="G23" s="374"/>
      <c r="H23" s="412" t="str">
        <f>+H13</f>
        <v>La Esmeralda</v>
      </c>
      <c r="I23" s="376">
        <v>0.7</v>
      </c>
      <c r="J23" s="376">
        <f>+J22</f>
        <v>0.1</v>
      </c>
      <c r="K23" s="376">
        <f>+'1 CANT MC-AM 01'!K14</f>
        <v>50</v>
      </c>
      <c r="L23" s="377">
        <f>2*'1 CANT MC-AM 01'!$O$14</f>
        <v>2</v>
      </c>
      <c r="M23" s="378">
        <f t="shared" si="2"/>
        <v>6.9999999999999991</v>
      </c>
    </row>
    <row r="24" spans="2:13" ht="12" customHeight="1">
      <c r="B24" s="373"/>
      <c r="C24" s="362"/>
      <c r="D24" s="362"/>
      <c r="E24" s="362"/>
      <c r="F24" s="362"/>
      <c r="G24" s="374"/>
      <c r="H24" s="412"/>
      <c r="I24" s="376"/>
      <c r="J24" s="376"/>
      <c r="K24" s="376"/>
      <c r="L24" s="377"/>
      <c r="M24" s="378"/>
    </row>
    <row r="25" spans="2:13" ht="12" customHeight="1">
      <c r="B25" s="373"/>
      <c r="C25" s="362"/>
      <c r="D25" s="362"/>
      <c r="E25" s="362"/>
      <c r="F25" s="362"/>
      <c r="G25" s="374"/>
      <c r="H25" s="411" t="s">
        <v>258</v>
      </c>
      <c r="I25" s="376"/>
      <c r="J25" s="376"/>
      <c r="K25" s="376"/>
      <c r="L25" s="377"/>
      <c r="M25" s="378"/>
    </row>
    <row r="26" spans="2:13" ht="12" customHeight="1">
      <c r="B26" s="373"/>
      <c r="C26" s="362"/>
      <c r="D26" s="362"/>
      <c r="E26" s="362"/>
      <c r="F26" s="362"/>
      <c r="G26" s="374"/>
      <c r="H26" s="412" t="str">
        <f>+H11</f>
        <v>Quiebra de Santa Barbara</v>
      </c>
      <c r="I26" s="376">
        <v>2.7</v>
      </c>
      <c r="J26" s="376">
        <v>0.15</v>
      </c>
      <c r="K26" s="376">
        <v>1.5</v>
      </c>
      <c r="L26" s="377">
        <v>2</v>
      </c>
      <c r="M26" s="378">
        <f t="shared" ref="M26:M28" si="3">+I26*J26*K26*L26</f>
        <v>1.2150000000000001</v>
      </c>
    </row>
    <row r="27" spans="2:13" ht="12" customHeight="1">
      <c r="B27" s="373"/>
      <c r="C27" s="362"/>
      <c r="D27" s="362"/>
      <c r="E27" s="362"/>
      <c r="F27" s="362"/>
      <c r="G27" s="374"/>
      <c r="H27" s="412" t="str">
        <f>+H12</f>
        <v>Guacaica Baja</v>
      </c>
      <c r="I27" s="376">
        <v>2.7</v>
      </c>
      <c r="J27" s="376">
        <v>0.15</v>
      </c>
      <c r="K27" s="376">
        <v>1.5</v>
      </c>
      <c r="L27" s="377">
        <v>2</v>
      </c>
      <c r="M27" s="378">
        <f t="shared" si="3"/>
        <v>1.2150000000000001</v>
      </c>
    </row>
    <row r="28" spans="2:13" ht="12" customHeight="1">
      <c r="B28" s="373"/>
      <c r="C28" s="362"/>
      <c r="D28" s="362"/>
      <c r="E28" s="362"/>
      <c r="F28" s="362"/>
      <c r="G28" s="374"/>
      <c r="H28" s="412" t="str">
        <f>+H13</f>
        <v>La Esmeralda</v>
      </c>
      <c r="I28" s="376">
        <v>2.7</v>
      </c>
      <c r="J28" s="376">
        <v>0.15</v>
      </c>
      <c r="K28" s="376">
        <v>1.5</v>
      </c>
      <c r="L28" s="377">
        <v>2</v>
      </c>
      <c r="M28" s="378">
        <f t="shared" si="3"/>
        <v>1.2150000000000001</v>
      </c>
    </row>
    <row r="29" spans="2:13" ht="12" customHeight="1">
      <c r="B29" s="413"/>
      <c r="C29" s="414"/>
      <c r="D29" s="369"/>
      <c r="E29" s="369"/>
      <c r="F29" s="369"/>
      <c r="G29" s="409"/>
      <c r="H29" s="415"/>
      <c r="I29" s="416"/>
      <c r="J29" s="399"/>
      <c r="K29" s="399"/>
      <c r="L29" s="399"/>
      <c r="M29" s="400"/>
    </row>
    <row r="30" spans="2:13" ht="12" customHeight="1">
      <c r="B30" s="417"/>
      <c r="C30" s="418"/>
      <c r="D30" s="380"/>
      <c r="E30" s="380"/>
      <c r="F30" s="380"/>
      <c r="G30" s="380"/>
      <c r="H30" s="419"/>
      <c r="I30" s="416"/>
      <c r="J30" s="399"/>
      <c r="K30" s="399"/>
      <c r="L30" s="399"/>
      <c r="M30" s="400"/>
    </row>
    <row r="31" spans="2:13" ht="12" customHeight="1">
      <c r="B31" s="373"/>
      <c r="C31" s="362"/>
      <c r="D31" s="362"/>
      <c r="E31" s="362"/>
      <c r="F31" s="380"/>
      <c r="G31" s="362"/>
      <c r="H31" s="374"/>
      <c r="I31" s="416"/>
      <c r="J31" s="399"/>
      <c r="K31" s="399"/>
      <c r="L31" s="399"/>
      <c r="M31" s="400"/>
    </row>
    <row r="32" spans="2:13" ht="12" customHeight="1">
      <c r="B32" s="373"/>
      <c r="C32" s="362"/>
      <c r="D32" s="362"/>
      <c r="E32" s="362"/>
      <c r="F32" s="362"/>
      <c r="G32" s="362"/>
      <c r="H32" s="420"/>
      <c r="I32" s="416"/>
      <c r="J32" s="399"/>
      <c r="K32" s="399"/>
      <c r="L32" s="399"/>
      <c r="M32" s="400"/>
    </row>
    <row r="33" spans="2:13" ht="12" customHeight="1">
      <c r="B33" s="373"/>
      <c r="C33" s="362"/>
      <c r="D33" s="385"/>
      <c r="E33" s="385"/>
      <c r="F33" s="362"/>
      <c r="G33" s="380"/>
      <c r="H33" s="419"/>
      <c r="I33" s="416"/>
      <c r="J33" s="399"/>
      <c r="K33" s="399"/>
      <c r="L33" s="399"/>
      <c r="M33" s="400"/>
    </row>
    <row r="34" spans="2:13" ht="12" customHeight="1">
      <c r="B34" s="373"/>
      <c r="C34" s="362"/>
      <c r="D34" s="362"/>
      <c r="E34" s="362"/>
      <c r="F34" s="362"/>
      <c r="G34" s="385"/>
      <c r="H34" s="374"/>
      <c r="I34" s="379"/>
      <c r="J34" s="399"/>
      <c r="K34" s="399"/>
      <c r="L34" s="399"/>
      <c r="M34" s="400"/>
    </row>
    <row r="35" spans="2:13" ht="12" customHeight="1">
      <c r="B35" s="410"/>
      <c r="C35" s="385"/>
      <c r="D35" s="385"/>
      <c r="E35" s="385"/>
      <c r="F35" s="362"/>
      <c r="G35" s="385"/>
      <c r="H35" s="401"/>
      <c r="I35" s="379"/>
      <c r="J35" s="399"/>
      <c r="K35" s="399"/>
      <c r="L35" s="399"/>
      <c r="M35" s="402"/>
    </row>
    <row r="36" spans="2:13" ht="12" customHeight="1">
      <c r="B36" s="410"/>
      <c r="C36" s="362"/>
      <c r="D36" s="362"/>
      <c r="E36" s="362"/>
      <c r="F36" s="362"/>
      <c r="G36" s="385"/>
      <c r="H36" s="374"/>
      <c r="I36" s="403"/>
      <c r="J36" s="404"/>
      <c r="K36" s="404"/>
      <c r="L36" s="404"/>
      <c r="M36" s="405"/>
    </row>
    <row r="37" spans="2:13" ht="12" customHeight="1">
      <c r="B37" s="393"/>
      <c r="C37" s="394"/>
      <c r="D37" s="394"/>
      <c r="E37" s="394"/>
      <c r="F37" s="395"/>
      <c r="G37" s="395"/>
      <c r="H37" s="406"/>
      <c r="I37" s="925" t="s">
        <v>252</v>
      </c>
      <c r="J37" s="637"/>
      <c r="K37" s="637"/>
      <c r="L37" s="638"/>
      <c r="M37" s="407">
        <f>ROUND((SUM(M10:M36)),2)</f>
        <v>88.73</v>
      </c>
    </row>
    <row r="38" spans="2:13" ht="12" customHeight="1">
      <c r="B38" s="362"/>
      <c r="C38" s="362"/>
      <c r="D38" s="362"/>
      <c r="E38" s="362"/>
      <c r="F38" s="362"/>
      <c r="G38" s="362"/>
      <c r="H38" s="362"/>
      <c r="I38" s="362"/>
      <c r="J38" s="362"/>
      <c r="K38" s="362"/>
      <c r="L38" s="913"/>
      <c r="M38" s="633"/>
    </row>
  </sheetData>
  <mergeCells count="20">
    <mergeCell ref="L38:M38"/>
    <mergeCell ref="L8:L9"/>
    <mergeCell ref="M8:M9"/>
    <mergeCell ref="D6:H6"/>
    <mergeCell ref="I6:K6"/>
    <mergeCell ref="L6:M6"/>
    <mergeCell ref="D7:H7"/>
    <mergeCell ref="L7:M7"/>
    <mergeCell ref="B8:G9"/>
    <mergeCell ref="H8:H9"/>
    <mergeCell ref="B5:C5"/>
    <mergeCell ref="D5:M5"/>
    <mergeCell ref="I7:K7"/>
    <mergeCell ref="I8:K8"/>
    <mergeCell ref="I37:L37"/>
    <mergeCell ref="B2:C3"/>
    <mergeCell ref="D2:K3"/>
    <mergeCell ref="L2:M3"/>
    <mergeCell ref="B4:C4"/>
    <mergeCell ref="D4:M4"/>
  </mergeCells>
  <printOptions horizontalCentered="1"/>
  <pageMargins left="0" right="0.39370078740157483" top="0.19685039370078741" bottom="0.19685039370078741" header="0" footer="0"/>
  <pageSetup scale="86" orientation="landscape" r:id="rId1"/>
  <headerFooter>
    <oddFooter>&amp;R&amp;A</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BDD6EE"/>
    <pageSetUpPr fitToPage="1"/>
  </sheetPr>
  <dimension ref="B2:M26"/>
  <sheetViews>
    <sheetView view="pageBreakPreview" zoomScaleNormal="100" zoomScaleSheetLayoutView="100" workbookViewId="0">
      <selection activeCell="K11" sqref="K11"/>
    </sheetView>
  </sheetViews>
  <sheetFormatPr baseColWidth="10" defaultColWidth="14.5" defaultRowHeight="15" customHeight="1"/>
  <cols>
    <col min="1" max="1" width="5" customWidth="1"/>
    <col min="2" max="7" width="11.5" customWidth="1"/>
    <col min="8" max="8" width="24.5" customWidth="1"/>
    <col min="9" max="9" width="10.5" customWidth="1"/>
    <col min="10" max="10" width="9.83203125" customWidth="1"/>
    <col min="11" max="11" width="9" customWidth="1"/>
    <col min="12" max="12" width="13" customWidth="1"/>
    <col min="13" max="13" width="13.5" customWidth="1"/>
    <col min="14" max="15" width="11.5" customWidth="1"/>
    <col min="16" max="26" width="10.6640625" customWidth="1"/>
  </cols>
  <sheetData>
    <row r="2" spans="2:13" ht="15" customHeight="1">
      <c r="B2" s="899"/>
      <c r="C2" s="900"/>
      <c r="D2" s="902" t="s">
        <v>283</v>
      </c>
      <c r="E2" s="666"/>
      <c r="F2" s="666"/>
      <c r="G2" s="666"/>
      <c r="H2" s="666"/>
      <c r="I2" s="666"/>
      <c r="J2" s="666"/>
      <c r="K2" s="668"/>
      <c r="L2" s="903"/>
      <c r="M2" s="668"/>
    </row>
    <row r="3" spans="2:13" ht="15.75" customHeight="1">
      <c r="B3" s="726"/>
      <c r="C3" s="901"/>
      <c r="D3" s="726"/>
      <c r="E3" s="670"/>
      <c r="F3" s="670"/>
      <c r="G3" s="670"/>
      <c r="H3" s="670"/>
      <c r="I3" s="670"/>
      <c r="J3" s="670"/>
      <c r="K3" s="672"/>
      <c r="L3" s="671"/>
      <c r="M3" s="672"/>
    </row>
    <row r="4" spans="2:13" ht="12" customHeight="1">
      <c r="B4" s="924" t="str">
        <f>+'3 CANT MC-AM 01'!B4:C4</f>
        <v xml:space="preserve"> Contratante: </v>
      </c>
      <c r="C4" s="905"/>
      <c r="D4" s="906" t="str">
        <f>DATOS!C4</f>
        <v>MUNICIPIO DE RISARALDA</v>
      </c>
      <c r="E4" s="640"/>
      <c r="F4" s="640"/>
      <c r="G4" s="640"/>
      <c r="H4" s="640"/>
      <c r="I4" s="640"/>
      <c r="J4" s="640"/>
      <c r="K4" s="640"/>
      <c r="L4" s="640"/>
      <c r="M4" s="641"/>
    </row>
    <row r="5" spans="2:13" ht="36.75" customHeight="1">
      <c r="B5" s="907" t="s">
        <v>225</v>
      </c>
      <c r="C5" s="908"/>
      <c r="D5" s="909" t="str">
        <f>+PRESUPUESTO!B2</f>
        <v>CONSTRUCCIÓN DE PLACA HUELLAS CON APOYO DE LA COMUNIDAD Y EL COMITÉ DE CAFETEROS EN ZONA RURAL DEL MUNICIPIO DE RISARALDA</v>
      </c>
      <c r="E5" s="675"/>
      <c r="F5" s="675"/>
      <c r="G5" s="675"/>
      <c r="H5" s="675"/>
      <c r="I5" s="675"/>
      <c r="J5" s="675"/>
      <c r="K5" s="675"/>
      <c r="L5" s="675"/>
      <c r="M5" s="707"/>
    </row>
    <row r="6" spans="2:13" ht="12" customHeight="1">
      <c r="B6" s="363" t="s">
        <v>226</v>
      </c>
      <c r="C6" s="364" t="s">
        <v>51</v>
      </c>
      <c r="D6" s="916" t="s">
        <v>43</v>
      </c>
      <c r="E6" s="675"/>
      <c r="F6" s="675"/>
      <c r="G6" s="675"/>
      <c r="H6" s="676"/>
      <c r="I6" s="911" t="s">
        <v>227</v>
      </c>
      <c r="J6" s="734"/>
      <c r="K6" s="735"/>
      <c r="L6" s="911" t="s">
        <v>228</v>
      </c>
      <c r="M6" s="917"/>
    </row>
    <row r="7" spans="2:13" ht="54" customHeight="1">
      <c r="B7" s="365">
        <f>+PRESUPUESTO!$B$7</f>
        <v>4</v>
      </c>
      <c r="C7" s="366" t="str">
        <f>+PRESUPUESTO!$D$7</f>
        <v>M3</v>
      </c>
      <c r="D7" s="918" t="str">
        <f>+PRESUPUESTO!$C$7</f>
        <v>Concreto clase G: 60% concreto clase D y 40% Piedra. Incluye preparación e instalación de concreto en enrocados. Incluye agregados. No incluye suministro de cemento. No incluye mano de obra no calificada.</v>
      </c>
      <c r="E7" s="643"/>
      <c r="F7" s="643"/>
      <c r="G7" s="643"/>
      <c r="H7" s="679"/>
      <c r="I7" s="910" t="s">
        <v>229</v>
      </c>
      <c r="J7" s="643"/>
      <c r="K7" s="679"/>
      <c r="L7" s="919">
        <f>+DATOS!C5</f>
        <v>45779</v>
      </c>
      <c r="M7" s="644"/>
    </row>
    <row r="8" spans="2:13" ht="15.75" customHeight="1">
      <c r="B8" s="920" t="s">
        <v>230</v>
      </c>
      <c r="C8" s="865"/>
      <c r="D8" s="865"/>
      <c r="E8" s="865"/>
      <c r="F8" s="865"/>
      <c r="G8" s="921"/>
      <c r="H8" s="922" t="s">
        <v>231</v>
      </c>
      <c r="I8" s="911" t="s">
        <v>232</v>
      </c>
      <c r="J8" s="734"/>
      <c r="K8" s="735"/>
      <c r="L8" s="914" t="s">
        <v>233</v>
      </c>
      <c r="M8" s="915" t="s">
        <v>234</v>
      </c>
    </row>
    <row r="9" spans="2:13" ht="12" customHeight="1">
      <c r="B9" s="726"/>
      <c r="C9" s="670"/>
      <c r="D9" s="670"/>
      <c r="E9" s="670"/>
      <c r="F9" s="670"/>
      <c r="G9" s="672"/>
      <c r="H9" s="712"/>
      <c r="I9" s="367" t="s">
        <v>235</v>
      </c>
      <c r="J9" s="367" t="s">
        <v>236</v>
      </c>
      <c r="K9" s="367" t="s">
        <v>237</v>
      </c>
      <c r="L9" s="714"/>
      <c r="M9" s="718"/>
    </row>
    <row r="10" spans="2:13" ht="12" customHeight="1">
      <c r="B10" s="368"/>
      <c r="C10" s="369"/>
      <c r="D10" s="369"/>
      <c r="E10" s="369"/>
      <c r="F10" s="369"/>
      <c r="G10" s="370"/>
      <c r="H10" s="375" t="s">
        <v>259</v>
      </c>
      <c r="I10" s="376"/>
      <c r="J10" s="376"/>
      <c r="K10" s="376"/>
      <c r="L10" s="377"/>
      <c r="M10" s="378"/>
    </row>
    <row r="11" spans="2:13" ht="12" customHeight="1">
      <c r="B11" s="373"/>
      <c r="C11" s="362"/>
      <c r="D11" s="362"/>
      <c r="E11" s="362"/>
      <c r="F11" s="362"/>
      <c r="G11" s="374"/>
      <c r="H11" s="379" t="str">
        <f>+'1 CANT MC-AM 01'!H12</f>
        <v>Quiebra de Santa Barbara</v>
      </c>
      <c r="I11" s="376">
        <v>0.9</v>
      </c>
      <c r="J11" s="376">
        <f>+'1 CANT MC-AM 01'!$O$23</f>
        <v>0.15</v>
      </c>
      <c r="K11" s="376">
        <f>+'3 CANT MC-AM 01'!K11</f>
        <v>57.2</v>
      </c>
      <c r="L11" s="377">
        <v>1</v>
      </c>
      <c r="M11" s="378">
        <f t="shared" ref="M11:M13" si="0">+I11*J11*K11*L11</f>
        <v>7.7220000000000013</v>
      </c>
    </row>
    <row r="12" spans="2:13" ht="12" customHeight="1">
      <c r="B12" s="373"/>
      <c r="C12" s="362"/>
      <c r="D12" s="362"/>
      <c r="E12" s="362"/>
      <c r="F12" s="362"/>
      <c r="G12" s="374"/>
      <c r="H12" s="379" t="str">
        <f>+'1 CANT MC-AM 01'!H13</f>
        <v>Guacaica Baja</v>
      </c>
      <c r="I12" s="376">
        <v>0.9</v>
      </c>
      <c r="J12" s="376">
        <f>+'1 CANT MC-AM 01'!$O$23</f>
        <v>0.15</v>
      </c>
      <c r="K12" s="376">
        <f>+'3 CANT MC-AM 01'!K12</f>
        <v>71.400000000000006</v>
      </c>
      <c r="L12" s="377">
        <v>1</v>
      </c>
      <c r="M12" s="378">
        <f t="shared" si="0"/>
        <v>9.6390000000000011</v>
      </c>
    </row>
    <row r="13" spans="2:13" ht="12" customHeight="1">
      <c r="B13" s="373"/>
      <c r="C13" s="362"/>
      <c r="D13" s="362"/>
      <c r="E13" s="362"/>
      <c r="F13" s="362"/>
      <c r="G13" s="374"/>
      <c r="H13" s="379" t="str">
        <f>+'1 CANT MC-AM 01'!H14</f>
        <v>La Esmeralda</v>
      </c>
      <c r="I13" s="376">
        <v>0.9</v>
      </c>
      <c r="J13" s="376">
        <f>+'1 CANT MC-AM 01'!$O$23</f>
        <v>0.15</v>
      </c>
      <c r="K13" s="376">
        <f>+'3 CANT MC-AM 01'!K13</f>
        <v>43.4</v>
      </c>
      <c r="L13" s="377">
        <v>1</v>
      </c>
      <c r="M13" s="378">
        <f t="shared" si="0"/>
        <v>5.859</v>
      </c>
    </row>
    <row r="14" spans="2:13" ht="12" customHeight="1">
      <c r="B14" s="373"/>
      <c r="C14" s="362"/>
      <c r="D14" s="362"/>
      <c r="E14" s="362"/>
      <c r="F14" s="362"/>
      <c r="G14" s="374"/>
      <c r="H14" s="362"/>
      <c r="I14" s="421"/>
      <c r="J14" s="376"/>
      <c r="K14" s="376"/>
      <c r="L14" s="377"/>
      <c r="M14" s="378"/>
    </row>
    <row r="15" spans="2:13" ht="12" customHeight="1">
      <c r="B15" s="373"/>
      <c r="C15" s="362"/>
      <c r="D15" s="362"/>
      <c r="E15" s="362"/>
      <c r="F15" s="362"/>
      <c r="G15" s="374"/>
      <c r="H15" s="375" t="s">
        <v>260</v>
      </c>
      <c r="I15" s="421"/>
      <c r="J15" s="376"/>
      <c r="K15" s="376"/>
      <c r="L15" s="377"/>
      <c r="M15" s="378"/>
    </row>
    <row r="16" spans="2:13" ht="12" customHeight="1">
      <c r="B16" s="393"/>
      <c r="C16" s="395"/>
      <c r="D16" s="395"/>
      <c r="E16" s="395"/>
      <c r="F16" s="395"/>
      <c r="G16" s="396"/>
      <c r="H16" s="379" t="str">
        <f>+'1 CANT MC-AM 01'!H32</f>
        <v>Todos los tramos</v>
      </c>
      <c r="I16" s="376">
        <v>0.9</v>
      </c>
      <c r="J16" s="376">
        <f>+'1 CANT MC-AM 01'!$O$23</f>
        <v>0.15</v>
      </c>
      <c r="K16" s="376">
        <f>+'1 CANT MC-AM 01'!K32</f>
        <v>15</v>
      </c>
      <c r="L16" s="377">
        <v>1</v>
      </c>
      <c r="M16" s="378">
        <f>+I16*J16*K16*L16</f>
        <v>2.0250000000000004</v>
      </c>
    </row>
    <row r="17" spans="2:13" ht="12" customHeight="1">
      <c r="B17" s="413"/>
      <c r="C17" s="414"/>
      <c r="D17" s="369"/>
      <c r="E17" s="369"/>
      <c r="F17" s="369"/>
      <c r="G17" s="409"/>
      <c r="H17" s="415"/>
      <c r="I17" s="416"/>
      <c r="J17" s="399"/>
      <c r="K17" s="399"/>
      <c r="L17" s="399"/>
      <c r="M17" s="400"/>
    </row>
    <row r="18" spans="2:13" ht="12" customHeight="1">
      <c r="B18" s="417"/>
      <c r="C18" s="418"/>
      <c r="D18" s="380"/>
      <c r="E18" s="380"/>
      <c r="F18" s="380"/>
      <c r="G18" s="380"/>
      <c r="H18" s="419"/>
      <c r="I18" s="416"/>
      <c r="J18" s="399"/>
      <c r="K18" s="399"/>
      <c r="L18" s="399"/>
      <c r="M18" s="400"/>
    </row>
    <row r="19" spans="2:13" ht="12" customHeight="1">
      <c r="B19" s="373"/>
      <c r="C19" s="362"/>
      <c r="D19" s="362"/>
      <c r="E19" s="362"/>
      <c r="F19" s="380"/>
      <c r="G19" s="362"/>
      <c r="H19" s="374"/>
      <c r="I19" s="416"/>
      <c r="J19" s="399"/>
      <c r="K19" s="399"/>
      <c r="L19" s="399"/>
      <c r="M19" s="400"/>
    </row>
    <row r="20" spans="2:13" ht="12" customHeight="1">
      <c r="B20" s="373"/>
      <c r="C20" s="362"/>
      <c r="D20" s="362"/>
      <c r="E20" s="362"/>
      <c r="F20" s="362"/>
      <c r="G20" s="362"/>
      <c r="H20" s="420"/>
      <c r="I20" s="416"/>
      <c r="J20" s="399"/>
      <c r="K20" s="399"/>
      <c r="L20" s="399"/>
      <c r="M20" s="400"/>
    </row>
    <row r="21" spans="2:13" ht="12" customHeight="1">
      <c r="B21" s="373"/>
      <c r="C21" s="362"/>
      <c r="D21" s="385"/>
      <c r="E21" s="385"/>
      <c r="F21" s="362"/>
      <c r="G21" s="380"/>
      <c r="H21" s="419"/>
      <c r="I21" s="416"/>
      <c r="J21" s="399"/>
      <c r="K21" s="399"/>
      <c r="L21" s="399"/>
      <c r="M21" s="400"/>
    </row>
    <row r="22" spans="2:13" ht="12" customHeight="1">
      <c r="B22" s="373"/>
      <c r="C22" s="362"/>
      <c r="D22" s="362"/>
      <c r="E22" s="362"/>
      <c r="F22" s="362"/>
      <c r="G22" s="385"/>
      <c r="H22" s="374"/>
      <c r="I22" s="379"/>
      <c r="J22" s="399"/>
      <c r="K22" s="399"/>
      <c r="L22" s="399"/>
      <c r="M22" s="400"/>
    </row>
    <row r="23" spans="2:13" ht="12" customHeight="1">
      <c r="B23" s="410"/>
      <c r="C23" s="385"/>
      <c r="D23" s="385"/>
      <c r="E23" s="385"/>
      <c r="F23" s="362"/>
      <c r="G23" s="385"/>
      <c r="H23" s="401"/>
      <c r="I23" s="379"/>
      <c r="J23" s="399"/>
      <c r="K23" s="399"/>
      <c r="L23" s="399"/>
      <c r="M23" s="402"/>
    </row>
    <row r="24" spans="2:13" ht="12" customHeight="1">
      <c r="B24" s="410"/>
      <c r="C24" s="362"/>
      <c r="D24" s="362"/>
      <c r="E24" s="362"/>
      <c r="F24" s="362"/>
      <c r="G24" s="385"/>
      <c r="H24" s="374"/>
      <c r="I24" s="403"/>
      <c r="J24" s="404"/>
      <c r="K24" s="404"/>
      <c r="L24" s="404"/>
      <c r="M24" s="405"/>
    </row>
    <row r="25" spans="2:13" ht="12" customHeight="1">
      <c r="B25" s="393"/>
      <c r="C25" s="394"/>
      <c r="D25" s="394"/>
      <c r="E25" s="394"/>
      <c r="F25" s="395"/>
      <c r="G25" s="395"/>
      <c r="H25" s="406"/>
      <c r="I25" s="925" t="s">
        <v>252</v>
      </c>
      <c r="J25" s="637"/>
      <c r="K25" s="637"/>
      <c r="L25" s="638"/>
      <c r="M25" s="407">
        <f>ROUND((SUM(M10:M24)),2)</f>
        <v>25.25</v>
      </c>
    </row>
    <row r="26" spans="2:13" ht="12" customHeight="1">
      <c r="B26" s="362"/>
      <c r="C26" s="362"/>
      <c r="D26" s="362"/>
      <c r="E26" s="362"/>
      <c r="F26" s="362"/>
      <c r="G26" s="362"/>
      <c r="H26" s="362"/>
      <c r="I26" s="362"/>
      <c r="J26" s="362"/>
      <c r="K26" s="362"/>
      <c r="L26" s="913"/>
      <c r="M26" s="633"/>
    </row>
  </sheetData>
  <mergeCells count="20">
    <mergeCell ref="L26:M26"/>
    <mergeCell ref="L8:L9"/>
    <mergeCell ref="M8:M9"/>
    <mergeCell ref="D6:H6"/>
    <mergeCell ref="I6:K6"/>
    <mergeCell ref="L6:M6"/>
    <mergeCell ref="D7:H7"/>
    <mergeCell ref="L7:M7"/>
    <mergeCell ref="B8:G9"/>
    <mergeCell ref="H8:H9"/>
    <mergeCell ref="B5:C5"/>
    <mergeCell ref="D5:M5"/>
    <mergeCell ref="I7:K7"/>
    <mergeCell ref="I8:K8"/>
    <mergeCell ref="I25:L25"/>
    <mergeCell ref="B2:C3"/>
    <mergeCell ref="D2:K3"/>
    <mergeCell ref="L2:M3"/>
    <mergeCell ref="B4:C4"/>
    <mergeCell ref="D4:M4"/>
  </mergeCells>
  <printOptions horizontalCentered="1"/>
  <pageMargins left="0" right="0.39370078740157483" top="0.19685039370078741" bottom="0.19685039370078741" header="0" footer="0"/>
  <pageSetup scale="81" orientation="landscape" r:id="rId1"/>
  <headerFooter>
    <oddFooter>&amp;R&amp;A</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BDD6EE"/>
    <pageSetUpPr fitToPage="1"/>
  </sheetPr>
  <dimension ref="B2:M24"/>
  <sheetViews>
    <sheetView view="pageBreakPreview" zoomScale="115" zoomScaleNormal="100" zoomScaleSheetLayoutView="115" workbookViewId="0">
      <selection activeCell="J17" sqref="J17"/>
    </sheetView>
  </sheetViews>
  <sheetFormatPr baseColWidth="10" defaultColWidth="14.5" defaultRowHeight="15" customHeight="1"/>
  <cols>
    <col min="1" max="1" width="5" customWidth="1"/>
    <col min="2" max="7" width="11.5" customWidth="1"/>
    <col min="8" max="8" width="24.5" customWidth="1"/>
    <col min="9" max="9" width="10.5" customWidth="1"/>
    <col min="10" max="10" width="9.83203125" customWidth="1"/>
    <col min="11" max="11" width="9" customWidth="1"/>
    <col min="12" max="12" width="13" customWidth="1"/>
    <col min="13" max="13" width="13.5" customWidth="1"/>
    <col min="14" max="15" width="11.5" customWidth="1"/>
    <col min="16" max="26" width="10.6640625" customWidth="1"/>
  </cols>
  <sheetData>
    <row r="2" spans="2:13" ht="15" customHeight="1">
      <c r="B2" s="899"/>
      <c r="C2" s="900"/>
      <c r="D2" s="902" t="s">
        <v>283</v>
      </c>
      <c r="E2" s="666"/>
      <c r="F2" s="666"/>
      <c r="G2" s="666"/>
      <c r="H2" s="666"/>
      <c r="I2" s="666"/>
      <c r="J2" s="666"/>
      <c r="K2" s="668"/>
      <c r="L2" s="903"/>
      <c r="M2" s="668"/>
    </row>
    <row r="3" spans="2:13" ht="15.75" customHeight="1">
      <c r="B3" s="726"/>
      <c r="C3" s="901"/>
      <c r="D3" s="726"/>
      <c r="E3" s="670"/>
      <c r="F3" s="670"/>
      <c r="G3" s="670"/>
      <c r="H3" s="670"/>
      <c r="I3" s="670"/>
      <c r="J3" s="670"/>
      <c r="K3" s="672"/>
      <c r="L3" s="671"/>
      <c r="M3" s="672"/>
    </row>
    <row r="4" spans="2:13" ht="12" customHeight="1">
      <c r="B4" s="924" t="str">
        <f>+'4 CANT MC-AM 01'!B4:C4</f>
        <v xml:space="preserve"> Contratante: </v>
      </c>
      <c r="C4" s="905"/>
      <c r="D4" s="906" t="str">
        <f>DATOS!C4</f>
        <v>MUNICIPIO DE RISARALDA</v>
      </c>
      <c r="E4" s="640"/>
      <c r="F4" s="640"/>
      <c r="G4" s="640"/>
      <c r="H4" s="640"/>
      <c r="I4" s="640"/>
      <c r="J4" s="640"/>
      <c r="K4" s="640"/>
      <c r="L4" s="640"/>
      <c r="M4" s="641"/>
    </row>
    <row r="5" spans="2:13" ht="36.75" customHeight="1">
      <c r="B5" s="907" t="s">
        <v>225</v>
      </c>
      <c r="C5" s="908"/>
      <c r="D5" s="909" t="str">
        <f>+PRESUPUESTO!B2</f>
        <v>CONSTRUCCIÓN DE PLACA HUELLAS CON APOYO DE LA COMUNIDAD Y EL COMITÉ DE CAFETEROS EN ZONA RURAL DEL MUNICIPIO DE RISARALDA</v>
      </c>
      <c r="E5" s="675"/>
      <c r="F5" s="675"/>
      <c r="G5" s="675"/>
      <c r="H5" s="675"/>
      <c r="I5" s="675"/>
      <c r="J5" s="675"/>
      <c r="K5" s="675"/>
      <c r="L5" s="675"/>
      <c r="M5" s="707"/>
    </row>
    <row r="6" spans="2:13" ht="12" customHeight="1">
      <c r="B6" s="363" t="s">
        <v>226</v>
      </c>
      <c r="C6" s="364" t="s">
        <v>51</v>
      </c>
      <c r="D6" s="916" t="s">
        <v>43</v>
      </c>
      <c r="E6" s="675"/>
      <c r="F6" s="675"/>
      <c r="G6" s="675"/>
      <c r="H6" s="676"/>
      <c r="I6" s="911" t="s">
        <v>227</v>
      </c>
      <c r="J6" s="734"/>
      <c r="K6" s="735"/>
      <c r="L6" s="911" t="s">
        <v>228</v>
      </c>
      <c r="M6" s="917"/>
    </row>
    <row r="7" spans="2:13" ht="60" customHeight="1">
      <c r="B7" s="365">
        <f>+PRESUPUESTO!$B$8</f>
        <v>5</v>
      </c>
      <c r="C7" s="366" t="str">
        <f>+PRESUPUESTO!$D$8</f>
        <v>ML</v>
      </c>
      <c r="D7" s="918" t="str">
        <f>+PRESUPUESTO!$C$8</f>
        <v>Sardinel en concreto clase D. Incluye preparación e instalación de concreto. Incluye formaleta. Incluye agregados. No incluye suministro de cemento. No incluye mano de obra no calificada.</v>
      </c>
      <c r="E7" s="643"/>
      <c r="F7" s="643"/>
      <c r="G7" s="643"/>
      <c r="H7" s="679"/>
      <c r="I7" s="910" t="s">
        <v>229</v>
      </c>
      <c r="J7" s="643"/>
      <c r="K7" s="679"/>
      <c r="L7" s="919">
        <f>+DATOS!C5</f>
        <v>45779</v>
      </c>
      <c r="M7" s="644"/>
    </row>
    <row r="8" spans="2:13" ht="15.75" customHeight="1">
      <c r="B8" s="920" t="s">
        <v>230</v>
      </c>
      <c r="C8" s="865"/>
      <c r="D8" s="865"/>
      <c r="E8" s="865"/>
      <c r="F8" s="865"/>
      <c r="G8" s="921"/>
      <c r="H8" s="922" t="s">
        <v>231</v>
      </c>
      <c r="I8" s="911" t="s">
        <v>232</v>
      </c>
      <c r="J8" s="734"/>
      <c r="K8" s="735"/>
      <c r="L8" s="914" t="s">
        <v>233</v>
      </c>
      <c r="M8" s="915" t="s">
        <v>234</v>
      </c>
    </row>
    <row r="9" spans="2:13" ht="12" customHeight="1">
      <c r="B9" s="726"/>
      <c r="C9" s="670"/>
      <c r="D9" s="670"/>
      <c r="E9" s="670"/>
      <c r="F9" s="670"/>
      <c r="G9" s="672"/>
      <c r="H9" s="712"/>
      <c r="I9" s="367" t="s">
        <v>235</v>
      </c>
      <c r="J9" s="367" t="s">
        <v>236</v>
      </c>
      <c r="K9" s="367" t="s">
        <v>237</v>
      </c>
      <c r="L9" s="714"/>
      <c r="M9" s="718"/>
    </row>
    <row r="10" spans="2:13" ht="12" customHeight="1">
      <c r="B10" s="373"/>
      <c r="C10" s="362"/>
      <c r="D10" s="362"/>
      <c r="E10" s="362"/>
      <c r="F10" s="362"/>
      <c r="G10" s="374"/>
      <c r="H10" s="411" t="s">
        <v>261</v>
      </c>
      <c r="I10" s="376"/>
      <c r="J10" s="376"/>
      <c r="K10" s="376"/>
      <c r="L10" s="377"/>
      <c r="M10" s="378"/>
    </row>
    <row r="11" spans="2:13" ht="12" customHeight="1">
      <c r="B11" s="373"/>
      <c r="C11" s="362"/>
      <c r="D11" s="362"/>
      <c r="E11" s="362"/>
      <c r="F11" s="362"/>
      <c r="G11" s="374"/>
      <c r="H11" s="412" t="str">
        <f>+'1 CANT MC-AM 01'!H12</f>
        <v>Quiebra de Santa Barbara</v>
      </c>
      <c r="I11" s="376"/>
      <c r="J11" s="376"/>
      <c r="K11" s="376">
        <f>+'1 CANT MC-AM 01'!K12</f>
        <v>65</v>
      </c>
      <c r="L11" s="377">
        <v>2</v>
      </c>
      <c r="M11" s="378">
        <f t="shared" ref="M11:M13" si="0">+K11*L11</f>
        <v>130</v>
      </c>
    </row>
    <row r="12" spans="2:13" ht="12" customHeight="1">
      <c r="B12" s="373"/>
      <c r="C12" s="362"/>
      <c r="D12" s="362"/>
      <c r="E12" s="362"/>
      <c r="F12" s="362"/>
      <c r="G12" s="374"/>
      <c r="H12" s="412" t="str">
        <f>+'1 CANT MC-AM 01'!H13</f>
        <v>Guacaica Baja</v>
      </c>
      <c r="I12" s="376"/>
      <c r="J12" s="376"/>
      <c r="K12" s="376">
        <f>+'1 CANT MC-AM 01'!K13</f>
        <v>80</v>
      </c>
      <c r="L12" s="377">
        <v>2</v>
      </c>
      <c r="M12" s="378">
        <f t="shared" si="0"/>
        <v>160</v>
      </c>
    </row>
    <row r="13" spans="2:13" ht="12" customHeight="1">
      <c r="B13" s="373"/>
      <c r="C13" s="362"/>
      <c r="D13" s="362"/>
      <c r="E13" s="362"/>
      <c r="F13" s="362"/>
      <c r="G13" s="374"/>
      <c r="H13" s="412" t="str">
        <f>+'1 CANT MC-AM 01'!H14</f>
        <v>La Esmeralda</v>
      </c>
      <c r="I13" s="376"/>
      <c r="J13" s="376"/>
      <c r="K13" s="376">
        <f>+'1 CANT MC-AM 01'!K14</f>
        <v>50</v>
      </c>
      <c r="L13" s="377">
        <v>2</v>
      </c>
      <c r="M13" s="378">
        <f t="shared" si="0"/>
        <v>100</v>
      </c>
    </row>
    <row r="14" spans="2:13" ht="12" customHeight="1" thickBot="1">
      <c r="B14" s="393"/>
      <c r="C14" s="395"/>
      <c r="D14" s="395"/>
      <c r="E14" s="395"/>
      <c r="F14" s="395"/>
      <c r="G14" s="396"/>
      <c r="H14" s="412"/>
      <c r="I14" s="399"/>
      <c r="J14" s="399"/>
      <c r="K14" s="399"/>
      <c r="L14" s="399"/>
      <c r="M14" s="408"/>
    </row>
    <row r="15" spans="2:13" ht="12" customHeight="1">
      <c r="B15" s="413"/>
      <c r="C15" s="414"/>
      <c r="D15" s="369"/>
      <c r="E15" s="369"/>
      <c r="F15" s="369"/>
      <c r="G15" s="409"/>
      <c r="H15" s="415"/>
      <c r="I15" s="416"/>
      <c r="J15" s="399"/>
      <c r="K15" s="399"/>
      <c r="L15" s="399"/>
      <c r="M15" s="400"/>
    </row>
    <row r="16" spans="2:13" ht="12" customHeight="1">
      <c r="B16" s="417"/>
      <c r="C16" s="418"/>
      <c r="D16" s="380"/>
      <c r="E16" s="380"/>
      <c r="F16" s="380"/>
      <c r="G16" s="380"/>
      <c r="H16" s="419"/>
      <c r="I16" s="416"/>
      <c r="J16" s="399"/>
      <c r="K16" s="399"/>
      <c r="L16" s="399"/>
      <c r="M16" s="400"/>
    </row>
    <row r="17" spans="2:13" ht="12" customHeight="1">
      <c r="B17" s="373"/>
      <c r="C17" s="362"/>
      <c r="D17" s="362"/>
      <c r="E17" s="362"/>
      <c r="F17" s="380"/>
      <c r="G17" s="362"/>
      <c r="H17" s="374"/>
      <c r="I17" s="416"/>
      <c r="J17" s="399"/>
      <c r="K17" s="399"/>
      <c r="L17" s="399"/>
      <c r="M17" s="400"/>
    </row>
    <row r="18" spans="2:13" ht="12" customHeight="1">
      <c r="B18" s="373"/>
      <c r="C18" s="362"/>
      <c r="D18" s="362"/>
      <c r="E18" s="362"/>
      <c r="F18" s="362"/>
      <c r="G18" s="362"/>
      <c r="H18" s="420"/>
      <c r="I18" s="416"/>
      <c r="J18" s="399"/>
      <c r="K18" s="399"/>
      <c r="L18" s="399"/>
      <c r="M18" s="400"/>
    </row>
    <row r="19" spans="2:13" ht="12" customHeight="1">
      <c r="B19" s="373"/>
      <c r="C19" s="362"/>
      <c r="D19" s="385"/>
      <c r="E19" s="385"/>
      <c r="F19" s="362"/>
      <c r="G19" s="380"/>
      <c r="H19" s="419"/>
      <c r="I19" s="416"/>
      <c r="J19" s="399"/>
      <c r="K19" s="399"/>
      <c r="L19" s="399"/>
      <c r="M19" s="400"/>
    </row>
    <row r="20" spans="2:13" ht="12" customHeight="1">
      <c r="B20" s="373"/>
      <c r="C20" s="362"/>
      <c r="D20" s="362"/>
      <c r="E20" s="362"/>
      <c r="F20" s="362"/>
      <c r="G20" s="385"/>
      <c r="H20" s="374"/>
      <c r="I20" s="379"/>
      <c r="J20" s="399"/>
      <c r="K20" s="399"/>
      <c r="L20" s="399"/>
      <c r="M20" s="400"/>
    </row>
    <row r="21" spans="2:13" ht="12" customHeight="1">
      <c r="B21" s="410"/>
      <c r="C21" s="385"/>
      <c r="D21" s="385"/>
      <c r="E21" s="385"/>
      <c r="F21" s="362"/>
      <c r="G21" s="385"/>
      <c r="H21" s="401"/>
      <c r="I21" s="379"/>
      <c r="J21" s="399"/>
      <c r="K21" s="399"/>
      <c r="L21" s="399"/>
      <c r="M21" s="402"/>
    </row>
    <row r="22" spans="2:13" ht="12" customHeight="1">
      <c r="B22" s="410"/>
      <c r="C22" s="362"/>
      <c r="D22" s="362"/>
      <c r="E22" s="362"/>
      <c r="F22" s="362"/>
      <c r="G22" s="385"/>
      <c r="H22" s="374"/>
      <c r="I22" s="403"/>
      <c r="J22" s="404"/>
      <c r="K22" s="404"/>
      <c r="L22" s="404"/>
      <c r="M22" s="405"/>
    </row>
    <row r="23" spans="2:13" ht="12" customHeight="1">
      <c r="B23" s="393"/>
      <c r="C23" s="394"/>
      <c r="D23" s="394"/>
      <c r="E23" s="394"/>
      <c r="F23" s="395"/>
      <c r="G23" s="395"/>
      <c r="H23" s="406"/>
      <c r="I23" s="925" t="s">
        <v>252</v>
      </c>
      <c r="J23" s="637"/>
      <c r="K23" s="637"/>
      <c r="L23" s="638"/>
      <c r="M23" s="407">
        <f>ROUND((SUM(M10:M22)),2)</f>
        <v>390</v>
      </c>
    </row>
    <row r="24" spans="2:13" ht="12" customHeight="1">
      <c r="B24" s="362"/>
      <c r="C24" s="362"/>
      <c r="D24" s="362"/>
      <c r="E24" s="362"/>
      <c r="F24" s="362"/>
      <c r="G24" s="362"/>
      <c r="H24" s="362"/>
      <c r="I24" s="362"/>
      <c r="J24" s="362"/>
      <c r="K24" s="362"/>
      <c r="L24" s="913"/>
      <c r="M24" s="633"/>
    </row>
  </sheetData>
  <mergeCells count="20">
    <mergeCell ref="L24:M24"/>
    <mergeCell ref="L8:L9"/>
    <mergeCell ref="M8:M9"/>
    <mergeCell ref="D6:H6"/>
    <mergeCell ref="I6:K6"/>
    <mergeCell ref="L6:M6"/>
    <mergeCell ref="D7:H7"/>
    <mergeCell ref="L7:M7"/>
    <mergeCell ref="B8:G9"/>
    <mergeCell ref="H8:H9"/>
    <mergeCell ref="B5:C5"/>
    <mergeCell ref="D5:M5"/>
    <mergeCell ref="I7:K7"/>
    <mergeCell ref="I8:K8"/>
    <mergeCell ref="I23:L23"/>
    <mergeCell ref="B2:C3"/>
    <mergeCell ref="D2:K3"/>
    <mergeCell ref="L2:M3"/>
    <mergeCell ref="B4:C4"/>
    <mergeCell ref="D4:M4"/>
  </mergeCells>
  <printOptions horizontalCentered="1"/>
  <pageMargins left="0" right="0.39370078740157483" top="0.19685039370078741" bottom="0.19685039370078741" header="0" footer="0"/>
  <pageSetup scale="81" orientation="landscape" r:id="rId1"/>
  <headerFooter>
    <oddFooter>&amp;R&amp;A</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BDD6EE"/>
    <pageSetUpPr fitToPage="1"/>
  </sheetPr>
  <dimension ref="B2:N30"/>
  <sheetViews>
    <sheetView view="pageBreakPreview" topLeftCell="A4" zoomScaleNormal="100" zoomScaleSheetLayoutView="100" workbookViewId="0">
      <selection activeCell="K21" sqref="K21"/>
    </sheetView>
  </sheetViews>
  <sheetFormatPr baseColWidth="10" defaultColWidth="14.5" defaultRowHeight="15" customHeight="1"/>
  <cols>
    <col min="1" max="1" width="5" customWidth="1"/>
    <col min="2" max="7" width="11.5" customWidth="1"/>
    <col min="8" max="8" width="25.1640625" customWidth="1"/>
    <col min="9" max="9" width="10.6640625" customWidth="1"/>
    <col min="10" max="10" width="9.83203125" customWidth="1"/>
    <col min="11" max="11" width="9" customWidth="1"/>
    <col min="12" max="12" width="13" customWidth="1"/>
    <col min="13" max="13" width="13.5" customWidth="1"/>
    <col min="14" max="14" width="7.83203125" bestFit="1" customWidth="1"/>
    <col min="15" max="26" width="10.6640625" customWidth="1"/>
  </cols>
  <sheetData>
    <row r="2" spans="2:13" ht="15" customHeight="1">
      <c r="B2" s="899"/>
      <c r="C2" s="900"/>
      <c r="D2" s="902" t="s">
        <v>283</v>
      </c>
      <c r="E2" s="666"/>
      <c r="F2" s="666"/>
      <c r="G2" s="666"/>
      <c r="H2" s="666"/>
      <c r="I2" s="666"/>
      <c r="J2" s="666"/>
      <c r="K2" s="668"/>
      <c r="L2" s="903"/>
      <c r="M2" s="668"/>
    </row>
    <row r="3" spans="2:13" ht="15.75" customHeight="1">
      <c r="B3" s="726"/>
      <c r="C3" s="901"/>
      <c r="D3" s="726"/>
      <c r="E3" s="670"/>
      <c r="F3" s="670"/>
      <c r="G3" s="670"/>
      <c r="H3" s="670"/>
      <c r="I3" s="670"/>
      <c r="J3" s="670"/>
      <c r="K3" s="672"/>
      <c r="L3" s="671"/>
      <c r="M3" s="672"/>
    </row>
    <row r="4" spans="2:13" ht="12" customHeight="1">
      <c r="B4" s="924" t="str">
        <f>+'5 CANT MC-AM 01'!B4:C4</f>
        <v xml:space="preserve"> Contratante: </v>
      </c>
      <c r="C4" s="905"/>
      <c r="D4" s="906" t="str">
        <f>DATOS!C4</f>
        <v>MUNICIPIO DE RISARALDA</v>
      </c>
      <c r="E4" s="640"/>
      <c r="F4" s="640"/>
      <c r="G4" s="640"/>
      <c r="H4" s="640"/>
      <c r="I4" s="640"/>
      <c r="J4" s="640"/>
      <c r="K4" s="640"/>
      <c r="L4" s="640"/>
      <c r="M4" s="641"/>
    </row>
    <row r="5" spans="2:13" ht="36.75" customHeight="1">
      <c r="B5" s="907" t="s">
        <v>225</v>
      </c>
      <c r="C5" s="908"/>
      <c r="D5" s="909" t="str">
        <f>+PRESUPUESTO!B2</f>
        <v>CONSTRUCCIÓN DE PLACA HUELLAS CON APOYO DE LA COMUNIDAD Y EL COMITÉ DE CAFETEROS EN ZONA RURAL DEL MUNICIPIO DE RISARALDA</v>
      </c>
      <c r="E5" s="675"/>
      <c r="F5" s="675"/>
      <c r="G5" s="675"/>
      <c r="H5" s="675"/>
      <c r="I5" s="675"/>
      <c r="J5" s="675"/>
      <c r="K5" s="675"/>
      <c r="L5" s="675"/>
      <c r="M5" s="707"/>
    </row>
    <row r="6" spans="2:13" ht="12" customHeight="1">
      <c r="B6" s="363" t="s">
        <v>226</v>
      </c>
      <c r="C6" s="364" t="s">
        <v>51</v>
      </c>
      <c r="D6" s="916" t="s">
        <v>43</v>
      </c>
      <c r="E6" s="675"/>
      <c r="F6" s="675"/>
      <c r="G6" s="675"/>
      <c r="H6" s="676"/>
      <c r="I6" s="911" t="s">
        <v>227</v>
      </c>
      <c r="J6" s="734"/>
      <c r="K6" s="735"/>
      <c r="L6" s="911" t="s">
        <v>228</v>
      </c>
      <c r="M6" s="917"/>
    </row>
    <row r="7" spans="2:13" ht="29.25" customHeight="1">
      <c r="B7" s="365">
        <f>PRESUPUESTO!B9</f>
        <v>6</v>
      </c>
      <c r="C7" s="366" t="str">
        <f>PRESUPUESTO!D9</f>
        <v>KG</v>
      </c>
      <c r="D7" s="918" t="str">
        <f>PRESUPUESTO!C9</f>
        <v>Suministro, transporte e instalacion de acero de refuerzo Fy=60000 PSI. No incluye mano de obra no calificada.</v>
      </c>
      <c r="E7" s="643"/>
      <c r="F7" s="643"/>
      <c r="G7" s="643"/>
      <c r="H7" s="679"/>
      <c r="I7" s="910" t="s">
        <v>229</v>
      </c>
      <c r="J7" s="643"/>
      <c r="K7" s="679"/>
      <c r="L7" s="919">
        <f>+DATOS!C5</f>
        <v>45779</v>
      </c>
      <c r="M7" s="644"/>
    </row>
    <row r="8" spans="2:13" ht="15.75" customHeight="1">
      <c r="B8" s="920" t="s">
        <v>230</v>
      </c>
      <c r="C8" s="865"/>
      <c r="D8" s="865"/>
      <c r="E8" s="865"/>
      <c r="F8" s="865"/>
      <c r="G8" s="921"/>
      <c r="H8" s="922" t="s">
        <v>231</v>
      </c>
      <c r="I8" s="911" t="s">
        <v>232</v>
      </c>
      <c r="J8" s="734"/>
      <c r="K8" s="735"/>
      <c r="L8" s="914" t="s">
        <v>233</v>
      </c>
      <c r="M8" s="915" t="s">
        <v>234</v>
      </c>
    </row>
    <row r="9" spans="2:13" ht="45" customHeight="1">
      <c r="B9" s="726"/>
      <c r="C9" s="670"/>
      <c r="D9" s="670"/>
      <c r="E9" s="670"/>
      <c r="F9" s="670"/>
      <c r="G9" s="672"/>
      <c r="H9" s="712"/>
      <c r="I9" s="367" t="s">
        <v>262</v>
      </c>
      <c r="J9" s="367" t="s">
        <v>263</v>
      </c>
      <c r="K9" s="367" t="s">
        <v>288</v>
      </c>
      <c r="L9" s="714"/>
      <c r="M9" s="718"/>
    </row>
    <row r="10" spans="2:13" ht="12" customHeight="1">
      <c r="B10" s="373"/>
      <c r="C10" s="362"/>
      <c r="D10" s="362"/>
      <c r="E10" s="362"/>
      <c r="F10" s="362"/>
      <c r="G10" s="362"/>
      <c r="H10" s="926" t="s">
        <v>265</v>
      </c>
      <c r="I10" s="675"/>
      <c r="J10" s="675"/>
      <c r="K10" s="675"/>
      <c r="L10" s="675"/>
      <c r="M10" s="707"/>
    </row>
    <row r="11" spans="2:13" ht="12" customHeight="1">
      <c r="B11" s="373"/>
      <c r="C11" s="362"/>
      <c r="D11" s="362"/>
      <c r="E11" s="362"/>
      <c r="F11" s="362"/>
      <c r="G11" s="362"/>
      <c r="H11" s="422" t="s">
        <v>266</v>
      </c>
      <c r="I11" s="423"/>
      <c r="J11" s="424"/>
      <c r="K11" s="376"/>
      <c r="L11" s="377"/>
      <c r="M11" s="378"/>
    </row>
    <row r="12" spans="2:13" ht="12" customHeight="1">
      <c r="B12" s="373"/>
      <c r="C12" s="362"/>
      <c r="D12" s="362"/>
      <c r="E12" s="362"/>
      <c r="F12" s="362"/>
      <c r="G12" s="362"/>
      <c r="H12" s="412" t="str">
        <f>+'1 CANT MC-AM 01'!H12</f>
        <v>Quiebra de Santa Barbara</v>
      </c>
      <c r="I12" s="423">
        <v>0.25</v>
      </c>
      <c r="J12" s="424">
        <v>0.25</v>
      </c>
      <c r="K12" s="376">
        <f>2.7+0.15+0.15</f>
        <v>3</v>
      </c>
      <c r="L12" s="377">
        <f>+'1 CANT MC-AM 01'!L17*4</f>
        <v>96</v>
      </c>
      <c r="M12" s="378">
        <f t="shared" ref="M12:M14" si="0">+J12*K12*L12*2</f>
        <v>144</v>
      </c>
    </row>
    <row r="13" spans="2:13" ht="12" customHeight="1">
      <c r="B13" s="373"/>
      <c r="C13" s="362"/>
      <c r="D13" s="362"/>
      <c r="E13" s="362"/>
      <c r="F13" s="362"/>
      <c r="G13" s="362"/>
      <c r="H13" s="412" t="str">
        <f>+'1 CANT MC-AM 01'!H13</f>
        <v>Guacaica Baja</v>
      </c>
      <c r="I13" s="423">
        <v>0.25</v>
      </c>
      <c r="J13" s="424">
        <v>0.25</v>
      </c>
      <c r="K13" s="376">
        <f>+K12</f>
        <v>3</v>
      </c>
      <c r="L13" s="377">
        <f>+'1 CANT MC-AM 01'!L18*4</f>
        <v>112</v>
      </c>
      <c r="M13" s="378">
        <f t="shared" si="0"/>
        <v>168</v>
      </c>
    </row>
    <row r="14" spans="2:13" ht="12" customHeight="1">
      <c r="B14" s="373"/>
      <c r="C14" s="362"/>
      <c r="D14" s="362"/>
      <c r="E14" s="362"/>
      <c r="F14" s="362"/>
      <c r="G14" s="362"/>
      <c r="H14" s="412" t="str">
        <f>+'1 CANT MC-AM 01'!H14</f>
        <v>La Esmeralda</v>
      </c>
      <c r="I14" s="423">
        <v>0.25</v>
      </c>
      <c r="J14" s="424">
        <v>0.25</v>
      </c>
      <c r="K14" s="376">
        <f>+K13</f>
        <v>3</v>
      </c>
      <c r="L14" s="377">
        <f>+'1 CANT MC-AM 01'!L19*4</f>
        <v>72</v>
      </c>
      <c r="M14" s="378">
        <f t="shared" si="0"/>
        <v>108</v>
      </c>
    </row>
    <row r="15" spans="2:13" ht="12" customHeight="1">
      <c r="B15" s="373"/>
      <c r="C15" s="362"/>
      <c r="D15" s="362"/>
      <c r="E15" s="362"/>
      <c r="F15" s="362"/>
      <c r="G15" s="362"/>
      <c r="H15" s="425"/>
      <c r="I15" s="423"/>
      <c r="J15" s="424"/>
      <c r="K15" s="376"/>
      <c r="L15" s="377"/>
      <c r="M15" s="378"/>
    </row>
    <row r="16" spans="2:13" ht="12" customHeight="1">
      <c r="B16" s="373"/>
      <c r="C16" s="362"/>
      <c r="D16" s="362"/>
      <c r="E16" s="362"/>
      <c r="F16" s="362"/>
      <c r="G16" s="362"/>
      <c r="H16" s="422" t="s">
        <v>267</v>
      </c>
      <c r="I16" s="423"/>
      <c r="J16" s="424"/>
      <c r="K16" s="376"/>
      <c r="L16" s="377"/>
      <c r="M16" s="378"/>
    </row>
    <row r="17" spans="2:14" ht="12" customHeight="1">
      <c r="B17" s="373"/>
      <c r="C17" s="362"/>
      <c r="D17" s="362"/>
      <c r="E17" s="362"/>
      <c r="F17" s="362"/>
      <c r="G17" s="362"/>
      <c r="H17" s="412" t="str">
        <f>+H12</f>
        <v>Quiebra de Santa Barbara</v>
      </c>
      <c r="I17" s="423">
        <v>0.25</v>
      </c>
      <c r="J17" s="424">
        <v>0.25</v>
      </c>
      <c r="K17" s="376">
        <f>0.1+0.15+0.1+0.15+0.1</f>
        <v>0.6</v>
      </c>
      <c r="L17" s="377">
        <f>(2.7/0.2+1)*(L12/4)</f>
        <v>348</v>
      </c>
      <c r="M17" s="378">
        <f t="shared" ref="M17:M19" si="1">+J17*K17*L17</f>
        <v>52.199999999999996</v>
      </c>
      <c r="N17" s="460"/>
    </row>
    <row r="18" spans="2:14" ht="12" customHeight="1">
      <c r="B18" s="373"/>
      <c r="C18" s="362"/>
      <c r="D18" s="362"/>
      <c r="E18" s="362"/>
      <c r="F18" s="362"/>
      <c r="G18" s="362"/>
      <c r="H18" s="412" t="str">
        <f>+H13</f>
        <v>Guacaica Baja</v>
      </c>
      <c r="I18" s="423">
        <v>0.25</v>
      </c>
      <c r="J18" s="424">
        <v>0.25</v>
      </c>
      <c r="K18" s="376">
        <f t="shared" ref="K18:K19" si="2">0.1+0.15+0.1+0.15+0.1</f>
        <v>0.6</v>
      </c>
      <c r="L18" s="377">
        <f>(2.7/0.2+1)*(L13/4)</f>
        <v>406</v>
      </c>
      <c r="M18" s="378">
        <f t="shared" si="1"/>
        <v>60.9</v>
      </c>
    </row>
    <row r="19" spans="2:14" ht="12" customHeight="1">
      <c r="B19" s="373"/>
      <c r="C19" s="362"/>
      <c r="D19" s="362"/>
      <c r="E19" s="362"/>
      <c r="F19" s="362"/>
      <c r="G19" s="362"/>
      <c r="H19" s="412" t="str">
        <f>+H14</f>
        <v>La Esmeralda</v>
      </c>
      <c r="I19" s="423">
        <v>0.25</v>
      </c>
      <c r="J19" s="424">
        <v>0.25</v>
      </c>
      <c r="K19" s="376">
        <f t="shared" si="2"/>
        <v>0.6</v>
      </c>
      <c r="L19" s="377">
        <f>(2.7/0.2+1)*(L14/4)</f>
        <v>261</v>
      </c>
      <c r="M19" s="378">
        <f t="shared" si="1"/>
        <v>39.15</v>
      </c>
    </row>
    <row r="20" spans="2:14" ht="12" customHeight="1" thickBot="1">
      <c r="B20" s="373"/>
      <c r="C20" s="362"/>
      <c r="D20" s="362"/>
      <c r="E20" s="362"/>
      <c r="F20" s="362"/>
      <c r="G20" s="362"/>
      <c r="H20" s="425"/>
      <c r="I20" s="423"/>
      <c r="J20" s="376"/>
      <c r="K20" s="376"/>
      <c r="L20" s="377"/>
      <c r="M20" s="378"/>
    </row>
    <row r="21" spans="2:14" ht="12" customHeight="1">
      <c r="B21" s="413"/>
      <c r="C21" s="414"/>
      <c r="D21" s="369"/>
      <c r="E21" s="369"/>
      <c r="F21" s="369"/>
      <c r="G21" s="409"/>
      <c r="H21" s="415"/>
      <c r="I21" s="426"/>
      <c r="J21" s="427"/>
      <c r="K21" s="427"/>
      <c r="L21" s="427"/>
      <c r="M21" s="428"/>
    </row>
    <row r="22" spans="2:14" ht="12" customHeight="1">
      <c r="B22" s="417"/>
      <c r="C22" s="418"/>
      <c r="D22" s="380"/>
      <c r="E22" s="380"/>
      <c r="F22" s="380"/>
      <c r="G22" s="380"/>
      <c r="H22" s="419"/>
      <c r="I22" s="416"/>
      <c r="J22" s="399"/>
      <c r="K22" s="399"/>
      <c r="L22" s="399"/>
      <c r="M22" s="400"/>
    </row>
    <row r="23" spans="2:14" ht="12" customHeight="1">
      <c r="B23" s="373"/>
      <c r="C23" s="362"/>
      <c r="D23" s="362"/>
      <c r="E23" s="362"/>
      <c r="F23" s="380"/>
      <c r="G23" s="362"/>
      <c r="H23" s="374"/>
      <c r="I23" s="416"/>
      <c r="J23" s="399"/>
      <c r="K23" s="399"/>
      <c r="L23" s="399"/>
      <c r="M23" s="400"/>
    </row>
    <row r="24" spans="2:14" ht="12" customHeight="1">
      <c r="B24" s="373"/>
      <c r="C24" s="362"/>
      <c r="D24" s="362"/>
      <c r="E24" s="362"/>
      <c r="F24" s="362"/>
      <c r="G24" s="362"/>
      <c r="H24" s="420"/>
      <c r="I24" s="416"/>
      <c r="J24" s="399"/>
      <c r="K24" s="399"/>
      <c r="L24" s="399"/>
      <c r="M24" s="400"/>
    </row>
    <row r="25" spans="2:14" ht="12" customHeight="1">
      <c r="B25" s="373"/>
      <c r="C25" s="362"/>
      <c r="D25" s="385"/>
      <c r="E25" s="385"/>
      <c r="F25" s="362"/>
      <c r="G25" s="380"/>
      <c r="H25" s="419"/>
      <c r="I25" s="416"/>
      <c r="J25" s="399"/>
      <c r="K25" s="399"/>
      <c r="L25" s="399"/>
      <c r="M25" s="400"/>
    </row>
    <row r="26" spans="2:14" ht="12" customHeight="1">
      <c r="B26" s="373"/>
      <c r="C26" s="362"/>
      <c r="D26" s="362"/>
      <c r="E26" s="362"/>
      <c r="F26" s="362"/>
      <c r="G26" s="385"/>
      <c r="H26" s="374"/>
      <c r="I26" s="379"/>
      <c r="J26" s="399"/>
      <c r="K26" s="399"/>
      <c r="L26" s="399"/>
      <c r="M26" s="400"/>
    </row>
    <row r="27" spans="2:14" ht="12" customHeight="1">
      <c r="B27" s="410"/>
      <c r="C27" s="385"/>
      <c r="D27" s="385"/>
      <c r="E27" s="385"/>
      <c r="F27" s="362"/>
      <c r="G27" s="385"/>
      <c r="H27" s="401"/>
      <c r="I27" s="379"/>
      <c r="J27" s="399"/>
      <c r="K27" s="399"/>
      <c r="L27" s="399"/>
      <c r="M27" s="402"/>
    </row>
    <row r="28" spans="2:14" ht="12" customHeight="1">
      <c r="B28" s="410"/>
      <c r="C28" s="362"/>
      <c r="D28" s="362"/>
      <c r="E28" s="362"/>
      <c r="F28" s="362"/>
      <c r="G28" s="385"/>
      <c r="H28" s="374"/>
      <c r="I28" s="403"/>
      <c r="J28" s="404"/>
      <c r="K28" s="404"/>
      <c r="L28" s="404"/>
      <c r="M28" s="405"/>
    </row>
    <row r="29" spans="2:14" ht="12" customHeight="1">
      <c r="B29" s="393"/>
      <c r="C29" s="394"/>
      <c r="D29" s="394"/>
      <c r="E29" s="394"/>
      <c r="F29" s="395"/>
      <c r="G29" s="395"/>
      <c r="H29" s="406"/>
      <c r="I29" s="925" t="s">
        <v>252</v>
      </c>
      <c r="J29" s="637"/>
      <c r="K29" s="637"/>
      <c r="L29" s="638"/>
      <c r="M29" s="407">
        <f>ROUND((SUM(M11:M28)),2)</f>
        <v>572.25</v>
      </c>
    </row>
    <row r="30" spans="2:14" ht="12" customHeight="1">
      <c r="B30" s="362"/>
      <c r="C30" s="362"/>
      <c r="D30" s="362"/>
      <c r="E30" s="362"/>
      <c r="F30" s="362"/>
      <c r="G30" s="362"/>
      <c r="H30" s="362"/>
      <c r="I30" s="362"/>
      <c r="J30" s="362"/>
      <c r="K30" s="362"/>
      <c r="L30" s="913"/>
      <c r="M30" s="633"/>
    </row>
  </sheetData>
  <mergeCells count="21">
    <mergeCell ref="L30:M30"/>
    <mergeCell ref="L8:L9"/>
    <mergeCell ref="M8:M9"/>
    <mergeCell ref="D6:H6"/>
    <mergeCell ref="I6:K6"/>
    <mergeCell ref="L6:M6"/>
    <mergeCell ref="D7:H7"/>
    <mergeCell ref="L7:M7"/>
    <mergeCell ref="B8:G9"/>
    <mergeCell ref="H8:H9"/>
    <mergeCell ref="H10:M10"/>
    <mergeCell ref="B5:C5"/>
    <mergeCell ref="D5:M5"/>
    <mergeCell ref="I7:K7"/>
    <mergeCell ref="I8:K8"/>
    <mergeCell ref="I29:L29"/>
    <mergeCell ref="B2:C3"/>
    <mergeCell ref="D2:K3"/>
    <mergeCell ref="L2:M3"/>
    <mergeCell ref="B4:C4"/>
    <mergeCell ref="D4:M4"/>
  </mergeCells>
  <printOptions horizontalCentered="1"/>
  <pageMargins left="0" right="0.39370078740157483" top="0.19685039370078741" bottom="0.19685039370078741" header="0" footer="0"/>
  <pageSetup scale="81" orientation="landscape" r:id="rId1"/>
  <headerFooter>
    <oddFooter>&amp;R&amp;A</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BDD6EE"/>
    <pageSetUpPr fitToPage="1"/>
  </sheetPr>
  <dimension ref="A1:N37"/>
  <sheetViews>
    <sheetView view="pageBreakPreview" topLeftCell="A5" zoomScaleNormal="100" zoomScaleSheetLayoutView="100" workbookViewId="0">
      <selection activeCell="H22" sqref="H22:M22"/>
    </sheetView>
  </sheetViews>
  <sheetFormatPr baseColWidth="10" defaultColWidth="14.5" defaultRowHeight="15" customHeight="1"/>
  <cols>
    <col min="1" max="1" width="1.1640625" customWidth="1"/>
    <col min="2" max="7" width="11.5" customWidth="1"/>
    <col min="8" max="8" width="25.1640625" customWidth="1"/>
    <col min="9" max="9" width="10.6640625" customWidth="1"/>
    <col min="10" max="10" width="9.83203125" customWidth="1"/>
    <col min="11" max="11" width="9" customWidth="1"/>
    <col min="12" max="12" width="13" customWidth="1"/>
    <col min="13" max="13" width="13.5" customWidth="1"/>
    <col min="14" max="14" width="5.6640625" customWidth="1"/>
    <col min="15" max="26" width="10.6640625" customWidth="1"/>
  </cols>
  <sheetData>
    <row r="1" spans="1:14" ht="12" customHeight="1">
      <c r="A1" s="362"/>
      <c r="B1" s="362"/>
      <c r="C1" s="362"/>
      <c r="D1" s="362"/>
      <c r="E1" s="362"/>
      <c r="F1" s="362"/>
      <c r="G1" s="362"/>
      <c r="H1" s="362"/>
      <c r="I1" s="362"/>
      <c r="J1" s="362"/>
      <c r="K1" s="362"/>
      <c r="L1" s="362"/>
      <c r="M1" s="362"/>
    </row>
    <row r="2" spans="1:14" ht="15" customHeight="1">
      <c r="A2" s="362"/>
      <c r="B2" s="899"/>
      <c r="C2" s="900"/>
      <c r="D2" s="902" t="s">
        <v>283</v>
      </c>
      <c r="E2" s="666"/>
      <c r="F2" s="666"/>
      <c r="G2" s="666"/>
      <c r="H2" s="666"/>
      <c r="I2" s="666"/>
      <c r="J2" s="666"/>
      <c r="K2" s="668"/>
      <c r="L2" s="903"/>
      <c r="M2" s="668"/>
    </row>
    <row r="3" spans="1:14" ht="15.75" customHeight="1">
      <c r="A3" s="362"/>
      <c r="B3" s="726"/>
      <c r="C3" s="901"/>
      <c r="D3" s="726"/>
      <c r="E3" s="670"/>
      <c r="F3" s="670"/>
      <c r="G3" s="670"/>
      <c r="H3" s="670"/>
      <c r="I3" s="670"/>
      <c r="J3" s="670"/>
      <c r="K3" s="672"/>
      <c r="L3" s="671"/>
      <c r="M3" s="672"/>
    </row>
    <row r="4" spans="1:14" ht="12" customHeight="1">
      <c r="A4" s="362"/>
      <c r="B4" s="924" t="str">
        <f>+'5 CANT MC-AM 01'!B4:C4</f>
        <v xml:space="preserve"> Contratante: </v>
      </c>
      <c r="C4" s="905"/>
      <c r="D4" s="906" t="str">
        <f>DATOS!C4</f>
        <v>MUNICIPIO DE RISARALDA</v>
      </c>
      <c r="E4" s="640"/>
      <c r="F4" s="640"/>
      <c r="G4" s="640"/>
      <c r="H4" s="640"/>
      <c r="I4" s="640"/>
      <c r="J4" s="640"/>
      <c r="K4" s="640"/>
      <c r="L4" s="640"/>
      <c r="M4" s="641"/>
    </row>
    <row r="5" spans="1:14" ht="36.75" customHeight="1">
      <c r="A5" s="362"/>
      <c r="B5" s="907" t="s">
        <v>225</v>
      </c>
      <c r="C5" s="908"/>
      <c r="D5" s="909" t="str">
        <f>+PRESUPUESTO!B2</f>
        <v>CONSTRUCCIÓN DE PLACA HUELLAS CON APOYO DE LA COMUNIDAD Y EL COMITÉ DE CAFETEROS EN ZONA RURAL DEL MUNICIPIO DE RISARALDA</v>
      </c>
      <c r="E5" s="675"/>
      <c r="F5" s="675"/>
      <c r="G5" s="675"/>
      <c r="H5" s="675"/>
      <c r="I5" s="675"/>
      <c r="J5" s="675"/>
      <c r="K5" s="675"/>
      <c r="L5" s="675"/>
      <c r="M5" s="707"/>
    </row>
    <row r="6" spans="1:14" ht="12" customHeight="1">
      <c r="A6" s="362"/>
      <c r="B6" s="363" t="s">
        <v>226</v>
      </c>
      <c r="C6" s="364" t="s">
        <v>51</v>
      </c>
      <c r="D6" s="916" t="s">
        <v>43</v>
      </c>
      <c r="E6" s="675"/>
      <c r="F6" s="675"/>
      <c r="G6" s="675"/>
      <c r="H6" s="676"/>
      <c r="I6" s="911" t="s">
        <v>227</v>
      </c>
      <c r="J6" s="734"/>
      <c r="K6" s="735"/>
      <c r="L6" s="911" t="s">
        <v>228</v>
      </c>
      <c r="M6" s="917"/>
    </row>
    <row r="7" spans="1:14" ht="33.5" customHeight="1">
      <c r="A7" s="362"/>
      <c r="B7" s="365">
        <f>PRESUPUESTO!B10</f>
        <v>7</v>
      </c>
      <c r="C7" s="366" t="str">
        <f>PRESUPUESTO!D10</f>
        <v>M2</v>
      </c>
      <c r="D7" s="918" t="str">
        <f>PRESUPUESTO!C10</f>
        <v>Suministro, transporte e instalacion de malla electrosoldada de 15x15 cm x 5mm. No incluye mano de obra no calificada.</v>
      </c>
      <c r="E7" s="643"/>
      <c r="F7" s="643"/>
      <c r="G7" s="643"/>
      <c r="H7" s="679"/>
      <c r="I7" s="910" t="s">
        <v>229</v>
      </c>
      <c r="J7" s="643"/>
      <c r="K7" s="679"/>
      <c r="L7" s="919">
        <f>+DATOS!C5</f>
        <v>45779</v>
      </c>
      <c r="M7" s="644"/>
    </row>
    <row r="8" spans="1:14" ht="15.75" customHeight="1">
      <c r="A8" s="362"/>
      <c r="B8" s="920" t="s">
        <v>230</v>
      </c>
      <c r="C8" s="865"/>
      <c r="D8" s="865"/>
      <c r="E8" s="865"/>
      <c r="F8" s="865"/>
      <c r="G8" s="921"/>
      <c r="H8" s="922" t="s">
        <v>231</v>
      </c>
      <c r="I8" s="911" t="s">
        <v>232</v>
      </c>
      <c r="J8" s="734"/>
      <c r="K8" s="735"/>
      <c r="L8" s="914" t="s">
        <v>233</v>
      </c>
      <c r="M8" s="915" t="s">
        <v>234</v>
      </c>
    </row>
    <row r="9" spans="1:14" ht="12" customHeight="1">
      <c r="A9" s="362"/>
      <c r="B9" s="726"/>
      <c r="C9" s="670"/>
      <c r="D9" s="670"/>
      <c r="E9" s="670"/>
      <c r="F9" s="670"/>
      <c r="G9" s="672"/>
      <c r="H9" s="712"/>
      <c r="I9" s="367" t="s">
        <v>262</v>
      </c>
      <c r="J9" s="367" t="s">
        <v>263</v>
      </c>
      <c r="K9" s="367" t="s">
        <v>264</v>
      </c>
      <c r="L9" s="714"/>
      <c r="M9" s="718"/>
    </row>
    <row r="10" spans="1:14" ht="12" customHeight="1">
      <c r="A10" s="362"/>
      <c r="B10" s="373"/>
      <c r="C10" s="362"/>
      <c r="D10" s="362"/>
      <c r="E10" s="362"/>
      <c r="F10" s="362"/>
      <c r="G10" s="374"/>
      <c r="H10" s="926" t="s">
        <v>268</v>
      </c>
      <c r="I10" s="675"/>
      <c r="J10" s="675"/>
      <c r="K10" s="675"/>
      <c r="L10" s="675"/>
      <c r="M10" s="707"/>
    </row>
    <row r="11" spans="1:14" ht="12" customHeight="1">
      <c r="A11" s="362"/>
      <c r="B11" s="373"/>
      <c r="C11" s="362"/>
      <c r="D11" s="362"/>
      <c r="E11" s="362"/>
      <c r="F11" s="362"/>
      <c r="G11" s="374"/>
      <c r="H11" s="422" t="s">
        <v>269</v>
      </c>
      <c r="I11" s="423"/>
      <c r="J11" s="424"/>
      <c r="K11" s="376"/>
      <c r="L11" s="377"/>
      <c r="M11" s="378"/>
    </row>
    <row r="12" spans="1:14" ht="12" customHeight="1">
      <c r="A12" s="362"/>
      <c r="B12" s="373"/>
      <c r="C12" s="362"/>
      <c r="D12" s="362"/>
      <c r="E12" s="362"/>
      <c r="F12" s="362"/>
      <c r="G12" s="374"/>
      <c r="H12" s="412" t="str">
        <f>+'1 CANT MC-AM 01'!H12</f>
        <v>Quiebra de Santa Barbara</v>
      </c>
      <c r="I12" s="423" t="s">
        <v>270</v>
      </c>
      <c r="J12" s="424"/>
      <c r="K12" s="376">
        <f>(+'3 CANT MC-AM 01'!K11+'3 CANT MC-AM 01'!L16*0.2)*0.8</f>
        <v>49.6</v>
      </c>
      <c r="L12" s="377">
        <v>2</v>
      </c>
      <c r="M12" s="378">
        <f>K12*L12*1.05</f>
        <v>104.16000000000001</v>
      </c>
      <c r="N12" s="461"/>
    </row>
    <row r="13" spans="1:14" ht="12" customHeight="1">
      <c r="A13" s="362"/>
      <c r="B13" s="373"/>
      <c r="C13" s="362"/>
      <c r="D13" s="362"/>
      <c r="E13" s="362"/>
      <c r="F13" s="362"/>
      <c r="G13" s="374"/>
      <c r="H13" s="412" t="str">
        <f>+'1 CANT MC-AM 01'!H13</f>
        <v>Guacaica Baja</v>
      </c>
      <c r="I13" s="423" t="s">
        <v>270</v>
      </c>
      <c r="J13" s="424"/>
      <c r="K13" s="376">
        <f>(+'3 CANT MC-AM 01'!K12+'3 CANT MC-AM 01'!L17*0.2)*0.8</f>
        <v>61.6</v>
      </c>
      <c r="L13" s="377">
        <v>2</v>
      </c>
      <c r="M13" s="378">
        <f>K13*L13</f>
        <v>123.2</v>
      </c>
    </row>
    <row r="14" spans="1:14" ht="12" customHeight="1">
      <c r="A14" s="362"/>
      <c r="B14" s="373"/>
      <c r="C14" s="362"/>
      <c r="D14" s="362"/>
      <c r="E14" s="362"/>
      <c r="F14" s="362"/>
      <c r="G14" s="374"/>
      <c r="H14" s="412" t="str">
        <f>+'1 CANT MC-AM 01'!H14</f>
        <v>La Esmeralda</v>
      </c>
      <c r="I14" s="423" t="s">
        <v>270</v>
      </c>
      <c r="J14" s="424"/>
      <c r="K14" s="376">
        <f>(+'3 CANT MC-AM 01'!K13+'3 CANT MC-AM 01'!L18*0.2)*0.8</f>
        <v>37.6</v>
      </c>
      <c r="L14" s="377">
        <v>2</v>
      </c>
      <c r="M14" s="378">
        <f>K14*L14*1.05</f>
        <v>78.960000000000008</v>
      </c>
    </row>
    <row r="15" spans="1:14" ht="12" customHeight="1">
      <c r="A15" s="362"/>
      <c r="B15" s="373"/>
      <c r="C15" s="362"/>
      <c r="D15" s="362"/>
      <c r="E15" s="362"/>
      <c r="F15" s="362"/>
      <c r="G15" s="374"/>
      <c r="H15" s="425"/>
      <c r="I15" s="429"/>
      <c r="J15" s="430"/>
      <c r="K15" s="431"/>
      <c r="L15" s="432"/>
      <c r="M15" s="433"/>
    </row>
    <row r="16" spans="1:14" ht="12" customHeight="1">
      <c r="A16" s="362"/>
      <c r="B16" s="373"/>
      <c r="C16" s="362"/>
      <c r="D16" s="362"/>
      <c r="E16" s="362"/>
      <c r="F16" s="362"/>
      <c r="G16" s="374"/>
      <c r="H16" s="926" t="s">
        <v>271</v>
      </c>
      <c r="I16" s="675"/>
      <c r="J16" s="675"/>
      <c r="K16" s="675"/>
      <c r="L16" s="675"/>
      <c r="M16" s="707"/>
    </row>
    <row r="17" spans="1:13" ht="12" customHeight="1">
      <c r="A17" s="362"/>
      <c r="B17" s="373"/>
      <c r="C17" s="362"/>
      <c r="D17" s="362"/>
      <c r="E17" s="362"/>
      <c r="F17" s="362"/>
      <c r="G17" s="374"/>
      <c r="H17" s="422" t="s">
        <v>269</v>
      </c>
      <c r="I17" s="423"/>
      <c r="J17" s="424"/>
      <c r="K17" s="376"/>
      <c r="L17" s="377"/>
      <c r="M17" s="378"/>
    </row>
    <row r="18" spans="1:13" ht="12" customHeight="1">
      <c r="A18" s="362"/>
      <c r="B18" s="373"/>
      <c r="C18" s="362"/>
      <c r="D18" s="362"/>
      <c r="E18" s="362"/>
      <c r="F18" s="362"/>
      <c r="G18" s="374"/>
      <c r="H18" s="412" t="str">
        <f>+H12</f>
        <v>Quiebra de Santa Barbara</v>
      </c>
      <c r="I18" s="423" t="s">
        <v>270</v>
      </c>
      <c r="J18" s="424"/>
      <c r="K18" s="376">
        <f t="shared" ref="K18:K20" si="0">(0.25+0.65)*80*1.05</f>
        <v>75.600000000000009</v>
      </c>
      <c r="L18" s="377">
        <v>2</v>
      </c>
      <c r="M18" s="378">
        <f t="shared" ref="M18:M20" si="1">K18*L18*1.05</f>
        <v>158.76000000000002</v>
      </c>
    </row>
    <row r="19" spans="1:13" ht="12" customHeight="1">
      <c r="A19" s="362"/>
      <c r="B19" s="373"/>
      <c r="C19" s="362"/>
      <c r="D19" s="362"/>
      <c r="E19" s="362"/>
      <c r="F19" s="362"/>
      <c r="G19" s="374"/>
      <c r="H19" s="412" t="str">
        <f>+H13</f>
        <v>Guacaica Baja</v>
      </c>
      <c r="I19" s="423" t="s">
        <v>270</v>
      </c>
      <c r="J19" s="424"/>
      <c r="K19" s="376">
        <f t="shared" si="0"/>
        <v>75.600000000000009</v>
      </c>
      <c r="L19" s="377">
        <v>2</v>
      </c>
      <c r="M19" s="378">
        <f t="shared" si="1"/>
        <v>158.76000000000002</v>
      </c>
    </row>
    <row r="20" spans="1:13" ht="12" customHeight="1">
      <c r="A20" s="362"/>
      <c r="B20" s="373"/>
      <c r="C20" s="362"/>
      <c r="D20" s="362"/>
      <c r="E20" s="362"/>
      <c r="F20" s="362"/>
      <c r="G20" s="374"/>
      <c r="H20" s="412" t="str">
        <f>+H14</f>
        <v>La Esmeralda</v>
      </c>
      <c r="I20" s="423" t="s">
        <v>270</v>
      </c>
      <c r="J20" s="424"/>
      <c r="K20" s="376">
        <f t="shared" si="0"/>
        <v>75.600000000000009</v>
      </c>
      <c r="L20" s="377">
        <v>2</v>
      </c>
      <c r="M20" s="378">
        <f t="shared" si="1"/>
        <v>158.76000000000002</v>
      </c>
    </row>
    <row r="21" spans="1:13" ht="12" customHeight="1">
      <c r="A21" s="362"/>
      <c r="B21" s="373"/>
      <c r="C21" s="362"/>
      <c r="D21" s="362"/>
      <c r="E21" s="362"/>
      <c r="F21" s="362"/>
      <c r="G21" s="374"/>
      <c r="H21" s="412"/>
      <c r="I21" s="423"/>
      <c r="J21" s="376"/>
      <c r="K21" s="376"/>
      <c r="L21" s="377"/>
      <c r="M21" s="378"/>
    </row>
    <row r="22" spans="1:13" ht="12" customHeight="1">
      <c r="A22" s="362"/>
      <c r="B22" s="373"/>
      <c r="C22" s="362"/>
      <c r="D22" s="362"/>
      <c r="E22" s="362"/>
      <c r="F22" s="362"/>
      <c r="G22" s="374"/>
      <c r="H22" s="926" t="s">
        <v>272</v>
      </c>
      <c r="I22" s="675"/>
      <c r="J22" s="675"/>
      <c r="K22" s="675"/>
      <c r="L22" s="675"/>
      <c r="M22" s="707"/>
    </row>
    <row r="23" spans="1:13" ht="12" customHeight="1">
      <c r="A23" s="362"/>
      <c r="B23" s="373"/>
      <c r="C23" s="362"/>
      <c r="D23" s="362"/>
      <c r="E23" s="362"/>
      <c r="F23" s="362"/>
      <c r="G23" s="374"/>
      <c r="H23" s="422" t="s">
        <v>269</v>
      </c>
      <c r="I23" s="423"/>
      <c r="J23" s="424"/>
      <c r="K23" s="376"/>
      <c r="L23" s="377"/>
      <c r="M23" s="378"/>
    </row>
    <row r="24" spans="1:13" ht="12" customHeight="1">
      <c r="A24" s="362"/>
      <c r="B24" s="373"/>
      <c r="C24" s="362"/>
      <c r="D24" s="362"/>
      <c r="E24" s="362"/>
      <c r="F24" s="362"/>
      <c r="G24" s="374"/>
      <c r="H24" s="434" t="str">
        <f>+H12</f>
        <v>Quiebra de Santa Barbara</v>
      </c>
      <c r="I24" s="423" t="s">
        <v>270</v>
      </c>
      <c r="J24" s="376"/>
      <c r="K24" s="376">
        <f t="shared" ref="K24:K26" si="2">2.7*1.5</f>
        <v>4.0500000000000007</v>
      </c>
      <c r="L24" s="377">
        <v>2</v>
      </c>
      <c r="M24" s="378">
        <f t="shared" ref="M24:M26" si="3">K24*L24</f>
        <v>8.1000000000000014</v>
      </c>
    </row>
    <row r="25" spans="1:13" ht="12" customHeight="1">
      <c r="A25" s="362"/>
      <c r="B25" s="373"/>
      <c r="C25" s="362"/>
      <c r="D25" s="362"/>
      <c r="E25" s="362"/>
      <c r="F25" s="362"/>
      <c r="G25" s="374"/>
      <c r="H25" s="434" t="str">
        <f>+H13</f>
        <v>Guacaica Baja</v>
      </c>
      <c r="I25" s="423" t="s">
        <v>270</v>
      </c>
      <c r="J25" s="376"/>
      <c r="K25" s="376">
        <f t="shared" si="2"/>
        <v>4.0500000000000007</v>
      </c>
      <c r="L25" s="377">
        <v>2</v>
      </c>
      <c r="M25" s="378">
        <f t="shared" si="3"/>
        <v>8.1000000000000014</v>
      </c>
    </row>
    <row r="26" spans="1:13" ht="12" customHeight="1">
      <c r="A26" s="362"/>
      <c r="B26" s="373"/>
      <c r="C26" s="362"/>
      <c r="D26" s="362"/>
      <c r="E26" s="362"/>
      <c r="F26" s="362"/>
      <c r="G26" s="374"/>
      <c r="H26" s="434" t="str">
        <f>+H14</f>
        <v>La Esmeralda</v>
      </c>
      <c r="I26" s="423" t="s">
        <v>270</v>
      </c>
      <c r="J26" s="376"/>
      <c r="K26" s="376">
        <f t="shared" si="2"/>
        <v>4.0500000000000007</v>
      </c>
      <c r="L26" s="377">
        <v>2</v>
      </c>
      <c r="M26" s="378">
        <f t="shared" si="3"/>
        <v>8.1000000000000014</v>
      </c>
    </row>
    <row r="27" spans="1:13" ht="12" customHeight="1" thickBot="1">
      <c r="A27" s="362"/>
      <c r="B27" s="393"/>
      <c r="C27" s="395"/>
      <c r="D27" s="395"/>
      <c r="E27" s="395"/>
      <c r="F27" s="395"/>
      <c r="G27" s="396"/>
      <c r="H27" s="373"/>
      <c r="I27" s="399"/>
      <c r="J27" s="399"/>
      <c r="K27" s="399"/>
      <c r="L27" s="399"/>
      <c r="M27" s="408"/>
    </row>
    <row r="28" spans="1:13" ht="12" customHeight="1">
      <c r="A28" s="362"/>
      <c r="B28" s="413"/>
      <c r="C28" s="414"/>
      <c r="D28" s="369"/>
      <c r="E28" s="369"/>
      <c r="F28" s="369"/>
      <c r="G28" s="409"/>
      <c r="H28" s="415"/>
      <c r="I28" s="416"/>
      <c r="J28" s="399"/>
      <c r="K28" s="399"/>
      <c r="L28" s="399"/>
      <c r="M28" s="400"/>
    </row>
    <row r="29" spans="1:13" ht="12" customHeight="1">
      <c r="A29" s="362"/>
      <c r="B29" s="417"/>
      <c r="C29" s="418"/>
      <c r="D29" s="380"/>
      <c r="E29" s="380"/>
      <c r="F29" s="380"/>
      <c r="G29" s="380"/>
      <c r="H29" s="419"/>
      <c r="I29" s="416"/>
      <c r="J29" s="399"/>
      <c r="K29" s="399"/>
      <c r="L29" s="399"/>
      <c r="M29" s="400"/>
    </row>
    <row r="30" spans="1:13" ht="12" customHeight="1">
      <c r="A30" s="362"/>
      <c r="B30" s="373"/>
      <c r="C30" s="362"/>
      <c r="D30" s="362"/>
      <c r="E30" s="362"/>
      <c r="F30" s="380"/>
      <c r="G30" s="362"/>
      <c r="H30" s="374"/>
      <c r="I30" s="416"/>
      <c r="J30" s="399"/>
      <c r="K30" s="399"/>
      <c r="L30" s="399"/>
      <c r="M30" s="400"/>
    </row>
    <row r="31" spans="1:13" ht="12" customHeight="1">
      <c r="A31" s="362"/>
      <c r="B31" s="373"/>
      <c r="C31" s="362"/>
      <c r="D31" s="362"/>
      <c r="E31" s="362"/>
      <c r="F31" s="362"/>
      <c r="G31" s="362"/>
      <c r="H31" s="420"/>
      <c r="I31" s="416"/>
      <c r="J31" s="399"/>
      <c r="K31" s="399"/>
      <c r="L31" s="399"/>
      <c r="M31" s="400"/>
    </row>
    <row r="32" spans="1:13" ht="12" customHeight="1">
      <c r="A32" s="362"/>
      <c r="B32" s="373"/>
      <c r="C32" s="362"/>
      <c r="D32" s="385"/>
      <c r="E32" s="385"/>
      <c r="F32" s="362"/>
      <c r="G32" s="380"/>
      <c r="H32" s="419"/>
      <c r="I32" s="416"/>
      <c r="J32" s="399"/>
      <c r="K32" s="399"/>
      <c r="L32" s="399"/>
      <c r="M32" s="400"/>
    </row>
    <row r="33" spans="1:13" ht="12" customHeight="1">
      <c r="A33" s="362"/>
      <c r="B33" s="373"/>
      <c r="C33" s="362"/>
      <c r="D33" s="362"/>
      <c r="E33" s="362"/>
      <c r="F33" s="362"/>
      <c r="G33" s="385"/>
      <c r="H33" s="374"/>
      <c r="I33" s="379"/>
      <c r="J33" s="399"/>
      <c r="K33" s="399"/>
      <c r="L33" s="399"/>
      <c r="M33" s="400"/>
    </row>
    <row r="34" spans="1:13" ht="12" customHeight="1">
      <c r="A34" s="362"/>
      <c r="B34" s="410"/>
      <c r="C34" s="385"/>
      <c r="D34" s="385"/>
      <c r="E34" s="385"/>
      <c r="F34" s="362"/>
      <c r="G34" s="385"/>
      <c r="H34" s="401"/>
      <c r="I34" s="379"/>
      <c r="J34" s="399"/>
      <c r="K34" s="399"/>
      <c r="L34" s="399"/>
      <c r="M34" s="402"/>
    </row>
    <row r="35" spans="1:13" ht="12" customHeight="1">
      <c r="A35" s="362"/>
      <c r="B35" s="410"/>
      <c r="C35" s="362"/>
      <c r="D35" s="362"/>
      <c r="E35" s="362"/>
      <c r="F35" s="362"/>
      <c r="G35" s="385"/>
      <c r="H35" s="374"/>
      <c r="I35" s="403"/>
      <c r="J35" s="404"/>
      <c r="K35" s="404"/>
      <c r="L35" s="404"/>
      <c r="M35" s="405"/>
    </row>
    <row r="36" spans="1:13" ht="12" customHeight="1">
      <c r="A36" s="362"/>
      <c r="B36" s="393"/>
      <c r="C36" s="394"/>
      <c r="D36" s="394"/>
      <c r="E36" s="394"/>
      <c r="F36" s="395"/>
      <c r="G36" s="395"/>
      <c r="H36" s="406"/>
      <c r="I36" s="925" t="s">
        <v>252</v>
      </c>
      <c r="J36" s="637"/>
      <c r="K36" s="637"/>
      <c r="L36" s="638"/>
      <c r="M36" s="407">
        <f>ROUND((SUM(M10:M35)),2)</f>
        <v>806.9</v>
      </c>
    </row>
    <row r="37" spans="1:13" ht="12" customHeight="1">
      <c r="A37" s="362"/>
      <c r="B37" s="362"/>
      <c r="C37" s="362"/>
      <c r="D37" s="362"/>
      <c r="E37" s="362"/>
      <c r="F37" s="362"/>
      <c r="G37" s="362"/>
      <c r="H37" s="362"/>
      <c r="I37" s="362"/>
      <c r="J37" s="362"/>
      <c r="K37" s="362"/>
      <c r="L37" s="913"/>
      <c r="M37" s="633"/>
    </row>
  </sheetData>
  <mergeCells count="23">
    <mergeCell ref="H16:M16"/>
    <mergeCell ref="H22:M22"/>
    <mergeCell ref="I36:L36"/>
    <mergeCell ref="L37:M37"/>
    <mergeCell ref="D6:H6"/>
    <mergeCell ref="I6:K6"/>
    <mergeCell ref="L6:M6"/>
    <mergeCell ref="D7:H7"/>
    <mergeCell ref="L7:M7"/>
    <mergeCell ref="B8:G9"/>
    <mergeCell ref="H8:H9"/>
    <mergeCell ref="H10:M10"/>
    <mergeCell ref="B5:C5"/>
    <mergeCell ref="D5:M5"/>
    <mergeCell ref="I7:K7"/>
    <mergeCell ref="I8:K8"/>
    <mergeCell ref="L8:L9"/>
    <mergeCell ref="M8:M9"/>
    <mergeCell ref="B2:C3"/>
    <mergeCell ref="D2:K3"/>
    <mergeCell ref="L2:M3"/>
    <mergeCell ref="B4:C4"/>
    <mergeCell ref="D4:M4"/>
  </mergeCells>
  <printOptions horizontalCentered="1"/>
  <pageMargins left="0" right="0.39370078740157483" top="0.19685039370078741" bottom="0.19685039370078741" header="0" footer="0"/>
  <pageSetup scale="80" orientation="landscape" r:id="rId1"/>
  <headerFooter>
    <oddFooter>&amp;R&amp;A</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BDD6EE"/>
    <pageSetUpPr fitToPage="1"/>
  </sheetPr>
  <dimension ref="B2:N28"/>
  <sheetViews>
    <sheetView view="pageBreakPreview" topLeftCell="A4" zoomScaleNormal="100" zoomScaleSheetLayoutView="100" workbookViewId="0">
      <selection activeCell="N17" sqref="N17"/>
    </sheetView>
  </sheetViews>
  <sheetFormatPr baseColWidth="10" defaultColWidth="14.5" defaultRowHeight="15" customHeight="1"/>
  <cols>
    <col min="1" max="1" width="5" customWidth="1"/>
    <col min="2" max="5" width="11.5" customWidth="1"/>
    <col min="6" max="6" width="2" customWidth="1"/>
    <col min="7" max="7" width="5.6640625" customWidth="1"/>
    <col min="8" max="8" width="40.33203125" customWidth="1"/>
    <col min="9" max="9" width="10.5" customWidth="1"/>
    <col min="10" max="10" width="9.83203125" customWidth="1"/>
    <col min="11" max="11" width="8.1640625" customWidth="1"/>
    <col min="12" max="12" width="9" customWidth="1"/>
    <col min="13" max="13" width="13" customWidth="1"/>
    <col min="14" max="14" width="13.5" customWidth="1"/>
    <col min="15" max="16" width="11.5" customWidth="1"/>
    <col min="17" max="26" width="10.6640625" customWidth="1"/>
  </cols>
  <sheetData>
    <row r="2" spans="2:14" ht="15" customHeight="1">
      <c r="B2" s="899"/>
      <c r="C2" s="900"/>
      <c r="D2" s="902" t="s">
        <v>283</v>
      </c>
      <c r="E2" s="666"/>
      <c r="F2" s="666"/>
      <c r="G2" s="666"/>
      <c r="H2" s="666"/>
      <c r="I2" s="666"/>
      <c r="J2" s="666"/>
      <c r="K2" s="666"/>
      <c r="L2" s="668"/>
      <c r="M2" s="903"/>
      <c r="N2" s="668"/>
    </row>
    <row r="3" spans="2:14" ht="15.75" customHeight="1">
      <c r="B3" s="726"/>
      <c r="C3" s="901"/>
      <c r="D3" s="726"/>
      <c r="E3" s="670"/>
      <c r="F3" s="670"/>
      <c r="G3" s="670"/>
      <c r="H3" s="670"/>
      <c r="I3" s="670"/>
      <c r="J3" s="670"/>
      <c r="K3" s="670"/>
      <c r="L3" s="672"/>
      <c r="M3" s="671"/>
      <c r="N3" s="672"/>
    </row>
    <row r="4" spans="2:14" ht="12" customHeight="1">
      <c r="B4" s="924" t="str">
        <f>+'4 CANT MC-AM 01'!B4:C4</f>
        <v xml:space="preserve"> Contratante: </v>
      </c>
      <c r="C4" s="905"/>
      <c r="D4" s="906" t="str">
        <f>DATOS!C4</f>
        <v>MUNICIPIO DE RISARALDA</v>
      </c>
      <c r="E4" s="640"/>
      <c r="F4" s="640"/>
      <c r="G4" s="640"/>
      <c r="H4" s="640"/>
      <c r="I4" s="640"/>
      <c r="J4" s="640"/>
      <c r="K4" s="640"/>
      <c r="L4" s="640"/>
      <c r="M4" s="640"/>
      <c r="N4" s="641"/>
    </row>
    <row r="5" spans="2:14" ht="36.75" customHeight="1">
      <c r="B5" s="907" t="s">
        <v>225</v>
      </c>
      <c r="C5" s="908"/>
      <c r="D5" s="909" t="str">
        <f>+PRESUPUESTO!B2</f>
        <v>CONSTRUCCIÓN DE PLACA HUELLAS CON APOYO DE LA COMUNIDAD Y EL COMITÉ DE CAFETEROS EN ZONA RURAL DEL MUNICIPIO DE RISARALDA</v>
      </c>
      <c r="E5" s="675"/>
      <c r="F5" s="675"/>
      <c r="G5" s="675"/>
      <c r="H5" s="675"/>
      <c r="I5" s="675"/>
      <c r="J5" s="675"/>
      <c r="K5" s="675"/>
      <c r="L5" s="675"/>
      <c r="M5" s="675"/>
      <c r="N5" s="707"/>
    </row>
    <row r="6" spans="2:14" ht="12" customHeight="1">
      <c r="B6" s="363" t="s">
        <v>226</v>
      </c>
      <c r="C6" s="364" t="s">
        <v>51</v>
      </c>
      <c r="D6" s="916" t="s">
        <v>43</v>
      </c>
      <c r="E6" s="675"/>
      <c r="F6" s="675"/>
      <c r="G6" s="675"/>
      <c r="H6" s="676"/>
      <c r="I6" s="911" t="s">
        <v>227</v>
      </c>
      <c r="J6" s="734"/>
      <c r="K6" s="734"/>
      <c r="L6" s="735"/>
      <c r="M6" s="911" t="s">
        <v>228</v>
      </c>
      <c r="N6" s="917"/>
    </row>
    <row r="7" spans="2:14" ht="60" customHeight="1">
      <c r="B7" s="365">
        <f>+PRESUPUESTO!$B$11</f>
        <v>8</v>
      </c>
      <c r="C7" s="366" t="str">
        <f>+PRESUPUESTO!D11</f>
        <v>TON</v>
      </c>
      <c r="D7" s="918" t="str">
        <f>+PRESUPUESTO!C11</f>
        <v>Sobreacarreo de materiales en vehiculo automotor de tracción 4x4. No incluye mano de obra no calificada para cargue y descargue.</v>
      </c>
      <c r="E7" s="643"/>
      <c r="F7" s="643"/>
      <c r="G7" s="643"/>
      <c r="H7" s="679"/>
      <c r="I7" s="910" t="s">
        <v>229</v>
      </c>
      <c r="J7" s="643"/>
      <c r="K7" s="643"/>
      <c r="L7" s="679"/>
      <c r="M7" s="919">
        <f>+'7 CANT MC-AM 01'!L7</f>
        <v>45779</v>
      </c>
      <c r="N7" s="644"/>
    </row>
    <row r="8" spans="2:14" ht="15.75" customHeight="1">
      <c r="B8" s="920" t="s">
        <v>230</v>
      </c>
      <c r="C8" s="865"/>
      <c r="D8" s="865"/>
      <c r="E8" s="865"/>
      <c r="F8" s="865"/>
      <c r="G8" s="921"/>
      <c r="H8" s="922" t="s">
        <v>231</v>
      </c>
      <c r="I8" s="911" t="s">
        <v>232</v>
      </c>
      <c r="J8" s="734"/>
      <c r="K8" s="734"/>
      <c r="L8" s="735"/>
      <c r="M8" s="914" t="s">
        <v>233</v>
      </c>
      <c r="N8" s="915" t="s">
        <v>234</v>
      </c>
    </row>
    <row r="9" spans="2:14" ht="12" customHeight="1">
      <c r="B9" s="726"/>
      <c r="C9" s="670"/>
      <c r="D9" s="670"/>
      <c r="E9" s="670"/>
      <c r="F9" s="670"/>
      <c r="G9" s="672"/>
      <c r="H9" s="712"/>
      <c r="I9" s="367" t="s">
        <v>273</v>
      </c>
      <c r="J9" s="367" t="s">
        <v>274</v>
      </c>
      <c r="K9" s="367" t="s">
        <v>275</v>
      </c>
      <c r="L9" s="367" t="s">
        <v>237</v>
      </c>
      <c r="M9" s="714"/>
      <c r="N9" s="718"/>
    </row>
    <row r="10" spans="2:14" ht="12" customHeight="1">
      <c r="B10" s="373"/>
      <c r="C10" s="362"/>
      <c r="D10" s="362"/>
      <c r="E10" s="362"/>
      <c r="F10" s="362"/>
      <c r="G10" s="374"/>
      <c r="H10" s="412"/>
      <c r="I10" s="376"/>
      <c r="J10" s="376"/>
      <c r="K10" s="376"/>
      <c r="L10" s="376"/>
      <c r="M10" s="377"/>
      <c r="N10" s="378"/>
    </row>
    <row r="11" spans="2:14" ht="12.75" customHeight="1">
      <c r="B11" s="373"/>
      <c r="C11" s="362"/>
      <c r="D11" s="362"/>
      <c r="E11" s="362"/>
      <c r="F11" s="362"/>
      <c r="G11" s="374"/>
      <c r="H11" s="412" t="s">
        <v>276</v>
      </c>
      <c r="I11" s="376"/>
      <c r="J11" s="376">
        <f>+'2 CANT MC-AM 01'!M21</f>
        <v>121.95</v>
      </c>
      <c r="K11" s="376">
        <v>1.6</v>
      </c>
      <c r="L11" s="376"/>
      <c r="M11" s="435">
        <f>+'APU 2'!F17</f>
        <v>1.25</v>
      </c>
      <c r="N11" s="378">
        <f t="shared" ref="N11:N13" si="0">J11*K11*M11</f>
        <v>243.9</v>
      </c>
    </row>
    <row r="12" spans="2:14" ht="12.75" customHeight="1">
      <c r="B12" s="373"/>
      <c r="C12" s="362"/>
      <c r="D12" s="362"/>
      <c r="E12" s="362"/>
      <c r="F12" s="362"/>
      <c r="G12" s="374"/>
      <c r="H12" s="412" t="s">
        <v>277</v>
      </c>
      <c r="I12" s="376"/>
      <c r="J12" s="376">
        <f>+'3 CANT MC-AM 01'!M37</f>
        <v>88.73</v>
      </c>
      <c r="K12" s="376">
        <v>2.4</v>
      </c>
      <c r="L12" s="376"/>
      <c r="M12" s="377">
        <v>1</v>
      </c>
      <c r="N12" s="378">
        <f t="shared" si="0"/>
        <v>212.952</v>
      </c>
    </row>
    <row r="13" spans="2:14" ht="12.75" customHeight="1">
      <c r="B13" s="373"/>
      <c r="C13" s="362"/>
      <c r="D13" s="362"/>
      <c r="E13" s="362"/>
      <c r="F13" s="362"/>
      <c r="G13" s="374"/>
      <c r="H13" s="412" t="s">
        <v>278</v>
      </c>
      <c r="I13" s="376"/>
      <c r="J13" s="376">
        <f>+'4 CANT MC-AM 01'!M25</f>
        <v>25.25</v>
      </c>
      <c r="K13" s="376">
        <v>1.7</v>
      </c>
      <c r="L13" s="376"/>
      <c r="M13" s="377">
        <v>1</v>
      </c>
      <c r="N13" s="378">
        <f t="shared" si="0"/>
        <v>42.924999999999997</v>
      </c>
    </row>
    <row r="14" spans="2:14" ht="12.75" customHeight="1">
      <c r="B14" s="373"/>
      <c r="C14" s="362"/>
      <c r="D14" s="362"/>
      <c r="E14" s="362"/>
      <c r="F14" s="362"/>
      <c r="G14" s="374"/>
      <c r="H14" s="412" t="s">
        <v>279</v>
      </c>
      <c r="I14" s="376">
        <f>0.1*0.15</f>
        <v>1.4999999999999999E-2</v>
      </c>
      <c r="J14" s="376"/>
      <c r="K14" s="376">
        <v>2.4</v>
      </c>
      <c r="L14" s="376">
        <f>+'5 CANT MC-AM 01'!M23</f>
        <v>390</v>
      </c>
      <c r="M14" s="377">
        <v>1</v>
      </c>
      <c r="N14" s="378">
        <f>I14*K14*L14*M14</f>
        <v>14.04</v>
      </c>
    </row>
    <row r="15" spans="2:14" ht="12.75" customHeight="1">
      <c r="B15" s="373"/>
      <c r="C15" s="362"/>
      <c r="D15" s="362"/>
      <c r="E15" s="362"/>
      <c r="F15" s="362"/>
      <c r="G15" s="374"/>
      <c r="H15" s="412" t="s">
        <v>280</v>
      </c>
      <c r="I15" s="376"/>
      <c r="J15" s="376"/>
      <c r="K15" s="436">
        <f>ROUND(+'6 CANT MC-AM 01'!M29/1000,4)</f>
        <v>0.57230000000000003</v>
      </c>
      <c r="L15" s="376"/>
      <c r="M15" s="377">
        <v>1</v>
      </c>
      <c r="N15" s="378">
        <f>+K15*M15</f>
        <v>0.57230000000000003</v>
      </c>
    </row>
    <row r="16" spans="2:14" ht="12.75" customHeight="1">
      <c r="B16" s="373"/>
      <c r="C16" s="362"/>
      <c r="D16" s="362"/>
      <c r="E16" s="362"/>
      <c r="F16" s="362"/>
      <c r="G16" s="374"/>
      <c r="H16" s="412" t="s">
        <v>281</v>
      </c>
      <c r="I16" s="376">
        <f>+'7 CANT MC-AM 01'!M36</f>
        <v>806.9</v>
      </c>
      <c r="J16" s="376"/>
      <c r="K16" s="436">
        <f>ROUND((29.3/14)/1000,4)</f>
        <v>2.0999999999999999E-3</v>
      </c>
      <c r="L16" s="376"/>
      <c r="M16" s="377">
        <v>1</v>
      </c>
      <c r="N16" s="378">
        <f>I16*K16*M16</f>
        <v>1.6944899999999998</v>
      </c>
    </row>
    <row r="17" spans="2:14" ht="12" customHeight="1">
      <c r="B17" s="373"/>
      <c r="C17" s="362"/>
      <c r="D17" s="362"/>
      <c r="E17" s="362"/>
      <c r="F17" s="362"/>
      <c r="G17" s="374"/>
      <c r="H17" s="412" t="s">
        <v>334</v>
      </c>
      <c r="I17" s="376"/>
      <c r="J17" s="376">
        <f>+'9 CANT MC-AM 01'!M21</f>
        <v>13.7</v>
      </c>
      <c r="K17" s="376">
        <v>2.4</v>
      </c>
      <c r="L17" s="376"/>
      <c r="M17" s="377">
        <v>1</v>
      </c>
      <c r="N17" s="378">
        <f t="shared" ref="N17" si="1">J17*K17*M17</f>
        <v>32.879999999999995</v>
      </c>
    </row>
    <row r="18" spans="2:14" ht="12" customHeight="1">
      <c r="B18" s="393"/>
      <c r="C18" s="395"/>
      <c r="D18" s="395"/>
      <c r="E18" s="395"/>
      <c r="F18" s="395"/>
      <c r="G18" s="396"/>
      <c r="H18" s="373"/>
      <c r="I18" s="399"/>
      <c r="J18" s="399"/>
      <c r="K18" s="399"/>
      <c r="L18" s="399"/>
      <c r="M18" s="399"/>
      <c r="N18" s="408"/>
    </row>
    <row r="19" spans="2:14" ht="12" customHeight="1">
      <c r="B19" s="413"/>
      <c r="C19" s="414"/>
      <c r="D19" s="369"/>
      <c r="E19" s="369"/>
      <c r="F19" s="369"/>
      <c r="G19" s="409"/>
      <c r="H19" s="415"/>
      <c r="I19" s="416"/>
      <c r="J19" s="399"/>
      <c r="K19" s="399"/>
      <c r="L19" s="399"/>
      <c r="M19" s="399"/>
      <c r="N19" s="400"/>
    </row>
    <row r="20" spans="2:14" ht="12" customHeight="1">
      <c r="B20" s="417"/>
      <c r="C20" s="418"/>
      <c r="D20" s="380"/>
      <c r="E20" s="380"/>
      <c r="F20" s="380"/>
      <c r="G20" s="380"/>
      <c r="H20" s="419"/>
      <c r="I20" s="416"/>
      <c r="J20" s="399"/>
      <c r="K20" s="399"/>
      <c r="L20" s="399"/>
      <c r="M20" s="399"/>
      <c r="N20" s="400"/>
    </row>
    <row r="21" spans="2:14" ht="12" customHeight="1">
      <c r="B21" s="373"/>
      <c r="C21" s="362"/>
      <c r="D21" s="362"/>
      <c r="E21" s="362"/>
      <c r="F21" s="380"/>
      <c r="G21" s="362"/>
      <c r="H21" s="374"/>
      <c r="I21" s="416"/>
      <c r="J21" s="399"/>
      <c r="K21" s="399"/>
      <c r="L21" s="399"/>
      <c r="M21" s="399"/>
      <c r="N21" s="400"/>
    </row>
    <row r="22" spans="2:14" ht="12" customHeight="1">
      <c r="B22" s="373"/>
      <c r="C22" s="362"/>
      <c r="D22" s="362"/>
      <c r="E22" s="362"/>
      <c r="F22" s="362"/>
      <c r="G22" s="362"/>
      <c r="H22" s="420"/>
      <c r="I22" s="416"/>
      <c r="J22" s="399"/>
      <c r="K22" s="399"/>
      <c r="L22" s="399"/>
      <c r="M22" s="399"/>
      <c r="N22" s="400"/>
    </row>
    <row r="23" spans="2:14" ht="12" customHeight="1">
      <c r="B23" s="373"/>
      <c r="C23" s="362"/>
      <c r="D23" s="385"/>
      <c r="E23" s="385"/>
      <c r="F23" s="362"/>
      <c r="G23" s="380"/>
      <c r="H23" s="419"/>
      <c r="I23" s="416"/>
      <c r="J23" s="399"/>
      <c r="K23" s="399"/>
      <c r="L23" s="399"/>
      <c r="M23" s="399"/>
      <c r="N23" s="400"/>
    </row>
    <row r="24" spans="2:14" ht="12" customHeight="1">
      <c r="B24" s="373"/>
      <c r="C24" s="362"/>
      <c r="D24" s="362"/>
      <c r="E24" s="362"/>
      <c r="F24" s="362"/>
      <c r="G24" s="385"/>
      <c r="H24" s="374"/>
      <c r="I24" s="379"/>
      <c r="J24" s="399"/>
      <c r="K24" s="399"/>
      <c r="L24" s="399"/>
      <c r="M24" s="399"/>
      <c r="N24" s="400"/>
    </row>
    <row r="25" spans="2:14" ht="12" customHeight="1">
      <c r="B25" s="410"/>
      <c r="C25" s="385"/>
      <c r="D25" s="385"/>
      <c r="E25" s="385"/>
      <c r="F25" s="362"/>
      <c r="G25" s="385"/>
      <c r="H25" s="401"/>
      <c r="I25" s="379"/>
      <c r="J25" s="399"/>
      <c r="K25" s="399"/>
      <c r="L25" s="399"/>
      <c r="M25" s="399"/>
      <c r="N25" s="402"/>
    </row>
    <row r="26" spans="2:14" ht="12" customHeight="1">
      <c r="B26" s="410"/>
      <c r="C26" s="362"/>
      <c r="D26" s="362"/>
      <c r="E26" s="362"/>
      <c r="F26" s="362"/>
      <c r="G26" s="385"/>
      <c r="H26" s="374"/>
      <c r="I26" s="403"/>
      <c r="J26" s="404"/>
      <c r="K26" s="404"/>
      <c r="L26" s="404"/>
      <c r="M26" s="404"/>
      <c r="N26" s="405"/>
    </row>
    <row r="27" spans="2:14" ht="12" customHeight="1">
      <c r="B27" s="393"/>
      <c r="C27" s="394"/>
      <c r="D27" s="394"/>
      <c r="E27" s="394"/>
      <c r="F27" s="395"/>
      <c r="G27" s="395"/>
      <c r="H27" s="406"/>
      <c r="I27" s="925" t="s">
        <v>252</v>
      </c>
      <c r="J27" s="637"/>
      <c r="K27" s="637"/>
      <c r="L27" s="637"/>
      <c r="M27" s="638"/>
      <c r="N27" s="407">
        <f>ROUND((SUM(N10:N26)),2)</f>
        <v>548.96</v>
      </c>
    </row>
    <row r="28" spans="2:14" ht="12" customHeight="1">
      <c r="B28" s="362"/>
      <c r="C28" s="362"/>
      <c r="D28" s="362"/>
      <c r="E28" s="362"/>
      <c r="F28" s="362"/>
      <c r="G28" s="362"/>
      <c r="H28" s="362"/>
      <c r="I28" s="362"/>
      <c r="J28" s="362"/>
      <c r="K28" s="362"/>
      <c r="L28" s="362"/>
      <c r="M28" s="913"/>
      <c r="N28" s="633"/>
    </row>
  </sheetData>
  <mergeCells count="20">
    <mergeCell ref="M28:N28"/>
    <mergeCell ref="M8:M9"/>
    <mergeCell ref="N8:N9"/>
    <mergeCell ref="D6:H6"/>
    <mergeCell ref="I6:L6"/>
    <mergeCell ref="M6:N6"/>
    <mergeCell ref="D7:H7"/>
    <mergeCell ref="M7:N7"/>
    <mergeCell ref="B8:G9"/>
    <mergeCell ref="H8:H9"/>
    <mergeCell ref="B5:C5"/>
    <mergeCell ref="D5:N5"/>
    <mergeCell ref="I7:L7"/>
    <mergeCell ref="I8:L8"/>
    <mergeCell ref="I27:M27"/>
    <mergeCell ref="B2:C3"/>
    <mergeCell ref="D2:L3"/>
    <mergeCell ref="M2:N3"/>
    <mergeCell ref="B4:C4"/>
    <mergeCell ref="D4:N4"/>
  </mergeCells>
  <printOptions horizontalCentered="1"/>
  <pageMargins left="0" right="0.39370078740157483" top="0.19685039370078741" bottom="0.19685039370078741" header="0" footer="0"/>
  <pageSetup scale="77" orientation="landscape" r:id="rId1"/>
  <headerFooter>
    <oddFooter>&amp;R&amp;A</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E1A17-0D50-4534-9848-AE08BFC5BF46}">
  <sheetPr>
    <tabColor rgb="FFBDD6EE"/>
    <pageSetUpPr fitToPage="1"/>
  </sheetPr>
  <dimension ref="B1:M22"/>
  <sheetViews>
    <sheetView view="pageBreakPreview" zoomScaleNormal="100" zoomScaleSheetLayoutView="100" workbookViewId="0">
      <selection activeCell="J12" sqref="J12"/>
    </sheetView>
  </sheetViews>
  <sheetFormatPr baseColWidth="10" defaultColWidth="14.5" defaultRowHeight="15" customHeight="1"/>
  <cols>
    <col min="1" max="1" width="1.5" customWidth="1"/>
    <col min="2" max="4" width="11.5" customWidth="1"/>
    <col min="5" max="5" width="16" customWidth="1"/>
    <col min="6" max="7" width="11.5" customWidth="1"/>
    <col min="8" max="8" width="28.33203125" customWidth="1"/>
    <col min="9" max="9" width="7.5" customWidth="1"/>
    <col min="10" max="11" width="12.1640625" customWidth="1"/>
    <col min="12" max="12" width="13" customWidth="1"/>
    <col min="13" max="13" width="13.5" customWidth="1"/>
    <col min="14" max="15" width="11.5" customWidth="1"/>
    <col min="16" max="26" width="10.6640625" customWidth="1"/>
  </cols>
  <sheetData>
    <row r="1" spans="2:13" ht="12" customHeight="1" thickBot="1">
      <c r="B1" s="362"/>
      <c r="C1" s="362"/>
      <c r="D1" s="362"/>
      <c r="E1" s="362"/>
      <c r="F1" s="362"/>
      <c r="G1" s="362"/>
      <c r="H1" s="362"/>
      <c r="I1" s="362"/>
      <c r="J1" s="362"/>
      <c r="K1" s="362"/>
      <c r="L1" s="362"/>
      <c r="M1" s="362"/>
    </row>
    <row r="2" spans="2:13" ht="15" customHeight="1">
      <c r="B2" s="899"/>
      <c r="C2" s="900"/>
      <c r="D2" s="902" t="s">
        <v>283</v>
      </c>
      <c r="E2" s="666"/>
      <c r="F2" s="666"/>
      <c r="G2" s="666"/>
      <c r="H2" s="666"/>
      <c r="I2" s="666"/>
      <c r="J2" s="666"/>
      <c r="K2" s="668"/>
      <c r="L2" s="903"/>
      <c r="M2" s="668"/>
    </row>
    <row r="3" spans="2:13" ht="15.75" customHeight="1" thickBot="1">
      <c r="B3" s="726"/>
      <c r="C3" s="901"/>
      <c r="D3" s="726"/>
      <c r="E3" s="670"/>
      <c r="F3" s="670"/>
      <c r="G3" s="670"/>
      <c r="H3" s="670"/>
      <c r="I3" s="670"/>
      <c r="J3" s="670"/>
      <c r="K3" s="672"/>
      <c r="L3" s="671"/>
      <c r="M3" s="672"/>
    </row>
    <row r="4" spans="2:13" ht="12" customHeight="1">
      <c r="B4" s="924" t="str">
        <f>+'1 CANT MC-AM 01'!B4:C4</f>
        <v xml:space="preserve"> Contratante: </v>
      </c>
      <c r="C4" s="905"/>
      <c r="D4" s="906" t="str">
        <f>DATOS!C4</f>
        <v>MUNICIPIO DE RISARALDA</v>
      </c>
      <c r="E4" s="640"/>
      <c r="F4" s="640"/>
      <c r="G4" s="640"/>
      <c r="H4" s="640"/>
      <c r="I4" s="640"/>
      <c r="J4" s="640"/>
      <c r="K4" s="640"/>
      <c r="L4" s="640"/>
      <c r="M4" s="641"/>
    </row>
    <row r="5" spans="2:13" ht="36.75" customHeight="1">
      <c r="B5" s="907" t="s">
        <v>225</v>
      </c>
      <c r="C5" s="908"/>
      <c r="D5" s="909" t="str">
        <f>+PRESUPUESTO!B2</f>
        <v>CONSTRUCCIÓN DE PLACA HUELLAS CON APOYO DE LA COMUNIDAD Y EL COMITÉ DE CAFETEROS EN ZONA RURAL DEL MUNICIPIO DE RISARALDA</v>
      </c>
      <c r="E5" s="675"/>
      <c r="F5" s="675"/>
      <c r="G5" s="675"/>
      <c r="H5" s="675"/>
      <c r="I5" s="675"/>
      <c r="J5" s="675"/>
      <c r="K5" s="675"/>
      <c r="L5" s="675"/>
      <c r="M5" s="707"/>
    </row>
    <row r="6" spans="2:13" ht="12" customHeight="1">
      <c r="B6" s="363" t="s">
        <v>226</v>
      </c>
      <c r="C6" s="364" t="s">
        <v>51</v>
      </c>
      <c r="D6" s="916" t="s">
        <v>43</v>
      </c>
      <c r="E6" s="675"/>
      <c r="F6" s="675"/>
      <c r="G6" s="675"/>
      <c r="H6" s="676"/>
      <c r="I6" s="911" t="s">
        <v>227</v>
      </c>
      <c r="J6" s="734"/>
      <c r="K6" s="735"/>
      <c r="L6" s="911" t="s">
        <v>228</v>
      </c>
      <c r="M6" s="917"/>
    </row>
    <row r="7" spans="2:13" ht="36.75" customHeight="1" thickBot="1">
      <c r="B7" s="365">
        <v>9</v>
      </c>
      <c r="C7" s="366" t="str">
        <f>+PRESUPUESTO!$D$5</f>
        <v>M3</v>
      </c>
      <c r="D7" s="918" t="str">
        <f>+PRESUPUESTO!$C$5</f>
        <v>Suministro, transporte e instalacion de afirmado compactado. No incluye mano de obra no calificada.</v>
      </c>
      <c r="E7" s="643"/>
      <c r="F7" s="643"/>
      <c r="G7" s="643"/>
      <c r="H7" s="679"/>
      <c r="I7" s="910" t="s">
        <v>229</v>
      </c>
      <c r="J7" s="643"/>
      <c r="K7" s="679"/>
      <c r="L7" s="919">
        <f>+DATOS!C5</f>
        <v>45779</v>
      </c>
      <c r="M7" s="644"/>
    </row>
    <row r="8" spans="2:13" ht="15.75" customHeight="1">
      <c r="B8" s="920" t="s">
        <v>230</v>
      </c>
      <c r="C8" s="865"/>
      <c r="D8" s="865"/>
      <c r="E8" s="865"/>
      <c r="F8" s="865"/>
      <c r="G8" s="921"/>
      <c r="H8" s="922" t="s">
        <v>231</v>
      </c>
      <c r="I8" s="911" t="s">
        <v>232</v>
      </c>
      <c r="J8" s="734"/>
      <c r="K8" s="735"/>
      <c r="L8" s="914" t="s">
        <v>233</v>
      </c>
      <c r="M8" s="915" t="s">
        <v>234</v>
      </c>
    </row>
    <row r="9" spans="2:13" ht="39.75" customHeight="1" thickBot="1">
      <c r="B9" s="726"/>
      <c r="C9" s="670"/>
      <c r="D9" s="670"/>
      <c r="E9" s="670"/>
      <c r="F9" s="670"/>
      <c r="G9" s="672"/>
      <c r="H9" s="712"/>
      <c r="I9" s="367" t="s">
        <v>235</v>
      </c>
      <c r="J9" s="367" t="s">
        <v>236</v>
      </c>
      <c r="K9" s="367" t="s">
        <v>237</v>
      </c>
      <c r="L9" s="714"/>
      <c r="M9" s="718"/>
    </row>
    <row r="10" spans="2:13" ht="12" customHeight="1">
      <c r="B10" s="368"/>
      <c r="C10" s="369"/>
      <c r="D10" s="369"/>
      <c r="E10" s="369"/>
      <c r="F10" s="369"/>
      <c r="G10" s="370"/>
      <c r="H10" s="375"/>
      <c r="I10" s="376"/>
      <c r="J10" s="376"/>
      <c r="K10" s="376"/>
      <c r="L10" s="377"/>
      <c r="M10" s="378"/>
    </row>
    <row r="11" spans="2:13" ht="12" customHeight="1">
      <c r="B11" s="373"/>
      <c r="C11" s="362"/>
      <c r="D11" s="362"/>
      <c r="E11" s="362"/>
      <c r="F11" s="362"/>
      <c r="G11" s="374"/>
      <c r="H11" s="379" t="str">
        <f>+'1 CANT MC-AM 01'!H12</f>
        <v>Quiebra de Santa Barbara</v>
      </c>
      <c r="I11" s="376">
        <v>0.65</v>
      </c>
      <c r="J11" s="376">
        <v>0.17</v>
      </c>
      <c r="K11" s="376">
        <v>62</v>
      </c>
      <c r="L11" s="377">
        <v>2</v>
      </c>
      <c r="M11" s="378">
        <f t="shared" ref="M11" si="0">+I11*J11*K11*L11</f>
        <v>13.702000000000002</v>
      </c>
    </row>
    <row r="12" spans="2:13" ht="12" customHeight="1">
      <c r="B12" s="373"/>
      <c r="C12" s="362"/>
      <c r="D12" s="362"/>
      <c r="E12" s="362"/>
      <c r="F12" s="362"/>
      <c r="G12" s="374"/>
      <c r="H12" s="379"/>
      <c r="I12" s="376"/>
      <c r="J12" s="376"/>
      <c r="K12" s="376"/>
      <c r="L12" s="377"/>
      <c r="M12" s="378"/>
    </row>
    <row r="13" spans="2:13" ht="12" customHeight="1">
      <c r="B13" s="373"/>
      <c r="C13" s="362"/>
      <c r="D13" s="362"/>
      <c r="E13" s="362"/>
      <c r="F13" s="362"/>
      <c r="G13" s="374"/>
      <c r="H13" s="379"/>
      <c r="I13" s="376"/>
      <c r="J13" s="376"/>
      <c r="K13" s="376"/>
      <c r="L13" s="377"/>
      <c r="M13" s="378"/>
    </row>
    <row r="14" spans="2:13" ht="12" customHeight="1">
      <c r="B14" s="373"/>
      <c r="C14" s="362"/>
      <c r="D14" s="362"/>
      <c r="E14" s="362"/>
      <c r="F14" s="362"/>
      <c r="G14" s="374"/>
      <c r="H14" s="379"/>
      <c r="I14" s="399"/>
      <c r="J14" s="399"/>
      <c r="K14" s="399"/>
      <c r="L14" s="399"/>
      <c r="M14" s="408"/>
    </row>
    <row r="15" spans="2:13" ht="12" customHeight="1">
      <c r="B15" s="373"/>
      <c r="C15" s="362"/>
      <c r="D15" s="362"/>
      <c r="E15" s="362"/>
      <c r="F15" s="362"/>
      <c r="G15" s="374"/>
      <c r="H15" s="375"/>
      <c r="I15" s="379"/>
      <c r="J15" s="399"/>
      <c r="K15" s="399"/>
      <c r="L15" s="399"/>
      <c r="M15" s="408"/>
    </row>
    <row r="16" spans="2:13" ht="12" customHeight="1">
      <c r="B16" s="373"/>
      <c r="C16" s="362"/>
      <c r="D16" s="362"/>
      <c r="E16" s="362"/>
      <c r="F16" s="362"/>
      <c r="G16" s="374"/>
      <c r="H16" s="379"/>
      <c r="I16" s="376"/>
      <c r="J16" s="376"/>
      <c r="K16" s="376"/>
      <c r="L16" s="377"/>
      <c r="M16" s="378"/>
    </row>
    <row r="17" spans="2:13" ht="12" customHeight="1" thickBot="1">
      <c r="B17" s="393"/>
      <c r="C17" s="395"/>
      <c r="D17" s="395"/>
      <c r="E17" s="395"/>
      <c r="F17" s="395"/>
      <c r="G17" s="396"/>
      <c r="H17" s="362"/>
      <c r="I17" s="399"/>
      <c r="J17" s="399"/>
      <c r="K17" s="399"/>
      <c r="L17" s="399"/>
      <c r="M17" s="408"/>
    </row>
    <row r="18" spans="2:13" ht="12" customHeight="1">
      <c r="B18" s="368"/>
      <c r="C18" s="369"/>
      <c r="D18" s="369"/>
      <c r="E18" s="369"/>
      <c r="F18" s="369"/>
      <c r="G18" s="409"/>
      <c r="H18" s="370"/>
      <c r="I18" s="379"/>
      <c r="J18" s="399"/>
      <c r="K18" s="399"/>
      <c r="L18" s="399"/>
      <c r="M18" s="400"/>
    </row>
    <row r="19" spans="2:13" ht="12" customHeight="1">
      <c r="B19" s="410"/>
      <c r="C19" s="385"/>
      <c r="D19" s="385"/>
      <c r="E19" s="385"/>
      <c r="F19" s="362"/>
      <c r="G19" s="385"/>
      <c r="H19" s="401"/>
      <c r="I19" s="379"/>
      <c r="J19" s="399"/>
      <c r="K19" s="399"/>
      <c r="L19" s="399"/>
      <c r="M19" s="402"/>
    </row>
    <row r="20" spans="2:13" ht="12" customHeight="1" thickBot="1">
      <c r="B20" s="410"/>
      <c r="C20" s="362"/>
      <c r="D20" s="362"/>
      <c r="E20" s="362"/>
      <c r="F20" s="362"/>
      <c r="G20" s="385"/>
      <c r="H20" s="374"/>
      <c r="I20" s="403"/>
      <c r="J20" s="404"/>
      <c r="K20" s="404"/>
      <c r="L20" s="404"/>
      <c r="M20" s="405"/>
    </row>
    <row r="21" spans="2:13" ht="12" customHeight="1" thickBot="1">
      <c r="B21" s="393"/>
      <c r="C21" s="394"/>
      <c r="D21" s="394"/>
      <c r="E21" s="394"/>
      <c r="F21" s="395"/>
      <c r="G21" s="395"/>
      <c r="H21" s="406"/>
      <c r="I21" s="925" t="s">
        <v>252</v>
      </c>
      <c r="J21" s="637"/>
      <c r="K21" s="637"/>
      <c r="L21" s="638"/>
      <c r="M21" s="407">
        <f>ROUND((SUM(M10:M20)),2)</f>
        <v>13.7</v>
      </c>
    </row>
    <row r="22" spans="2:13" ht="12" customHeight="1">
      <c r="B22" s="362"/>
      <c r="C22" s="362"/>
      <c r="D22" s="362"/>
      <c r="E22" s="362"/>
      <c r="F22" s="362"/>
      <c r="G22" s="362"/>
      <c r="H22" s="362"/>
      <c r="I22" s="362"/>
      <c r="J22" s="362"/>
      <c r="K22" s="362"/>
      <c r="L22" s="913"/>
      <c r="M22" s="633"/>
    </row>
  </sheetData>
  <mergeCells count="20">
    <mergeCell ref="B5:C5"/>
    <mergeCell ref="D5:M5"/>
    <mergeCell ref="B2:C3"/>
    <mergeCell ref="D2:K3"/>
    <mergeCell ref="L2:M3"/>
    <mergeCell ref="B4:C4"/>
    <mergeCell ref="D4:M4"/>
    <mergeCell ref="D6:H6"/>
    <mergeCell ref="I6:K6"/>
    <mergeCell ref="L6:M6"/>
    <mergeCell ref="D7:H7"/>
    <mergeCell ref="I7:K7"/>
    <mergeCell ref="L7:M7"/>
    <mergeCell ref="L22:M22"/>
    <mergeCell ref="B8:G9"/>
    <mergeCell ref="H8:H9"/>
    <mergeCell ref="I8:K8"/>
    <mergeCell ref="L8:L9"/>
    <mergeCell ref="M8:M9"/>
    <mergeCell ref="I21:L21"/>
  </mergeCells>
  <printOptions horizontalCentered="1"/>
  <pageMargins left="0" right="0.39370078740157483" top="0.19685039370078741" bottom="0.19685039370078741" header="0" footer="0"/>
  <pageSetup scale="76" orientation="landscape" r:id="rId1"/>
  <headerFooter>
    <oddFooter>&amp;R&amp;A</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28A94-FA5A-4F2B-9E22-9B749DBE93D3}">
  <sheetPr>
    <tabColor rgb="FFBDD6EE"/>
    <pageSetUpPr fitToPage="1"/>
  </sheetPr>
  <dimension ref="B1:N26"/>
  <sheetViews>
    <sheetView view="pageBreakPreview" zoomScale="98" zoomScaleNormal="100" workbookViewId="0">
      <selection activeCell="K21" sqref="K21"/>
    </sheetView>
  </sheetViews>
  <sheetFormatPr baseColWidth="10" defaultColWidth="14.5" defaultRowHeight="15" customHeight="1"/>
  <cols>
    <col min="1" max="1" width="5" customWidth="1"/>
    <col min="2" max="5" width="11.5" customWidth="1"/>
    <col min="6" max="6" width="2" customWidth="1"/>
    <col min="7" max="7" width="5.6640625" customWidth="1"/>
    <col min="8" max="8" width="40.33203125" customWidth="1"/>
    <col min="9" max="9" width="10.5" customWidth="1"/>
    <col min="10" max="10" width="9.83203125" customWidth="1"/>
    <col min="11" max="11" width="8.1640625" customWidth="1"/>
    <col min="12" max="12" width="9" customWidth="1"/>
    <col min="13" max="13" width="13" customWidth="1"/>
    <col min="14" max="14" width="13.5" customWidth="1"/>
    <col min="15" max="16" width="11.5" customWidth="1"/>
    <col min="17" max="26" width="10.6640625" customWidth="1"/>
  </cols>
  <sheetData>
    <row r="1" spans="2:14" ht="12" customHeight="1" thickBot="1">
      <c r="B1" s="362"/>
      <c r="C1" s="362"/>
      <c r="D1" s="362"/>
      <c r="E1" s="362"/>
      <c r="F1" s="362"/>
      <c r="G1" s="362"/>
      <c r="H1" s="362"/>
      <c r="I1" s="362"/>
      <c r="J1" s="362"/>
      <c r="K1" s="362"/>
      <c r="L1" s="362"/>
      <c r="M1" s="362"/>
      <c r="N1" s="362"/>
    </row>
    <row r="2" spans="2:14" ht="15" customHeight="1">
      <c r="B2" s="899"/>
      <c r="C2" s="900"/>
      <c r="D2" s="902" t="s">
        <v>283</v>
      </c>
      <c r="E2" s="666"/>
      <c r="F2" s="666"/>
      <c r="G2" s="666"/>
      <c r="H2" s="666"/>
      <c r="I2" s="666"/>
      <c r="J2" s="666"/>
      <c r="K2" s="666"/>
      <c r="L2" s="668"/>
      <c r="M2" s="903"/>
      <c r="N2" s="668"/>
    </row>
    <row r="3" spans="2:14" ht="15.75" customHeight="1" thickBot="1">
      <c r="B3" s="726"/>
      <c r="C3" s="901"/>
      <c r="D3" s="726"/>
      <c r="E3" s="670"/>
      <c r="F3" s="670"/>
      <c r="G3" s="670"/>
      <c r="H3" s="670"/>
      <c r="I3" s="670"/>
      <c r="J3" s="670"/>
      <c r="K3" s="670"/>
      <c r="L3" s="672"/>
      <c r="M3" s="671"/>
      <c r="N3" s="672"/>
    </row>
    <row r="4" spans="2:14" ht="12" customHeight="1">
      <c r="B4" s="924" t="str">
        <f>+'4 CANT MC-AM 01'!B4:C4</f>
        <v xml:space="preserve"> Contratante: </v>
      </c>
      <c r="C4" s="905"/>
      <c r="D4" s="906" t="str">
        <f>DATOS!C4</f>
        <v>MUNICIPIO DE RISARALDA</v>
      </c>
      <c r="E4" s="640"/>
      <c r="F4" s="640"/>
      <c r="G4" s="640"/>
      <c r="H4" s="640"/>
      <c r="I4" s="640"/>
      <c r="J4" s="640"/>
      <c r="K4" s="640"/>
      <c r="L4" s="640"/>
      <c r="M4" s="640"/>
      <c r="N4" s="641"/>
    </row>
    <row r="5" spans="2:14" ht="36.75" customHeight="1">
      <c r="B5" s="907" t="s">
        <v>225</v>
      </c>
      <c r="C5" s="908"/>
      <c r="D5" s="909" t="str">
        <f>+PRESUPUESTO!B2</f>
        <v>CONSTRUCCIÓN DE PLACA HUELLAS CON APOYO DE LA COMUNIDAD Y EL COMITÉ DE CAFETEROS EN ZONA RURAL DEL MUNICIPIO DE RISARALDA</v>
      </c>
      <c r="E5" s="675"/>
      <c r="F5" s="675"/>
      <c r="G5" s="675"/>
      <c r="H5" s="675"/>
      <c r="I5" s="675"/>
      <c r="J5" s="675"/>
      <c r="K5" s="675"/>
      <c r="L5" s="675"/>
      <c r="M5" s="675"/>
      <c r="N5" s="707"/>
    </row>
    <row r="6" spans="2:14" ht="12" customHeight="1">
      <c r="B6" s="363" t="s">
        <v>226</v>
      </c>
      <c r="C6" s="364" t="s">
        <v>51</v>
      </c>
      <c r="D6" s="916" t="s">
        <v>43</v>
      </c>
      <c r="E6" s="675"/>
      <c r="F6" s="675"/>
      <c r="G6" s="675"/>
      <c r="H6" s="676"/>
      <c r="I6" s="911" t="s">
        <v>227</v>
      </c>
      <c r="J6" s="734"/>
      <c r="K6" s="734"/>
      <c r="L6" s="735"/>
      <c r="M6" s="911" t="s">
        <v>228</v>
      </c>
      <c r="N6" s="917"/>
    </row>
    <row r="7" spans="2:14" ht="60" customHeight="1" thickBot="1">
      <c r="B7" s="365">
        <v>10</v>
      </c>
      <c r="C7" s="366" t="str">
        <f>+PRESUPUESTO!D14</f>
        <v>ML</v>
      </c>
      <c r="D7" s="918" t="str">
        <f>+PRESUPUESTO!C14</f>
        <v>Aporte de mano de obra no calificada por la comunidad del tramo a intervenir</v>
      </c>
      <c r="E7" s="643"/>
      <c r="F7" s="643"/>
      <c r="G7" s="643"/>
      <c r="H7" s="679"/>
      <c r="I7" s="910" t="s">
        <v>229</v>
      </c>
      <c r="J7" s="643"/>
      <c r="K7" s="643"/>
      <c r="L7" s="679"/>
      <c r="M7" s="919">
        <f>+'7 CANT MC-AM 01'!L7</f>
        <v>45779</v>
      </c>
      <c r="N7" s="644"/>
    </row>
    <row r="8" spans="2:14" ht="15.75" customHeight="1">
      <c r="B8" s="920" t="s">
        <v>230</v>
      </c>
      <c r="C8" s="865"/>
      <c r="D8" s="865"/>
      <c r="E8" s="865"/>
      <c r="F8" s="865"/>
      <c r="G8" s="921"/>
      <c r="H8" s="922" t="s">
        <v>231</v>
      </c>
      <c r="I8" s="911" t="s">
        <v>232</v>
      </c>
      <c r="J8" s="734"/>
      <c r="K8" s="734"/>
      <c r="L8" s="735"/>
      <c r="M8" s="914" t="s">
        <v>233</v>
      </c>
      <c r="N8" s="915" t="s">
        <v>234</v>
      </c>
    </row>
    <row r="9" spans="2:14" ht="12" customHeight="1" thickBot="1">
      <c r="B9" s="726"/>
      <c r="C9" s="670"/>
      <c r="D9" s="670"/>
      <c r="E9" s="670"/>
      <c r="F9" s="670"/>
      <c r="G9" s="672"/>
      <c r="H9" s="712"/>
      <c r="I9" s="367" t="s">
        <v>273</v>
      </c>
      <c r="J9" s="367" t="s">
        <v>274</v>
      </c>
      <c r="K9" s="367" t="s">
        <v>275</v>
      </c>
      <c r="L9" s="367" t="s">
        <v>237</v>
      </c>
      <c r="M9" s="714"/>
      <c r="N9" s="718"/>
    </row>
    <row r="10" spans="2:14" ht="12" customHeight="1">
      <c r="B10" s="373"/>
      <c r="C10" s="362"/>
      <c r="D10" s="362"/>
      <c r="E10" s="362"/>
      <c r="F10" s="362"/>
      <c r="G10" s="374"/>
      <c r="H10" s="412"/>
      <c r="I10" s="376"/>
      <c r="J10" s="376"/>
      <c r="K10" s="376"/>
      <c r="L10" s="376"/>
      <c r="M10" s="377"/>
      <c r="N10" s="378"/>
    </row>
    <row r="11" spans="2:14" ht="12.75" customHeight="1">
      <c r="B11" s="373"/>
      <c r="C11" s="362"/>
      <c r="D11" s="362"/>
      <c r="E11" s="362"/>
      <c r="F11" s="362"/>
      <c r="G11" s="374"/>
      <c r="H11" s="412" t="str">
        <f>+'6 CANT MC-AM 01'!H12</f>
        <v>Quiebra de Santa Barbara</v>
      </c>
      <c r="I11" s="376"/>
      <c r="J11" s="376"/>
      <c r="K11" s="376"/>
      <c r="L11" s="376">
        <f>+'1 CANT MC-AM 01'!K12</f>
        <v>65</v>
      </c>
      <c r="M11" s="435">
        <v>1</v>
      </c>
      <c r="N11" s="378">
        <f>L11*M11</f>
        <v>65</v>
      </c>
    </row>
    <row r="12" spans="2:14" ht="12.75" customHeight="1">
      <c r="B12" s="373"/>
      <c r="C12" s="362"/>
      <c r="D12" s="362"/>
      <c r="E12" s="362"/>
      <c r="F12" s="362"/>
      <c r="G12" s="374"/>
      <c r="H12" s="412" t="str">
        <f>+'6 CANT MC-AM 01'!H13</f>
        <v>Guacaica Baja</v>
      </c>
      <c r="I12" s="376"/>
      <c r="J12" s="376"/>
      <c r="K12" s="376"/>
      <c r="L12" s="376">
        <f>+'1 CANT MC-AM 01'!K13</f>
        <v>80</v>
      </c>
      <c r="M12" s="435">
        <v>1</v>
      </c>
      <c r="N12" s="378">
        <f t="shared" ref="N12:N13" si="0">L12*M12</f>
        <v>80</v>
      </c>
    </row>
    <row r="13" spans="2:14" ht="12.75" customHeight="1">
      <c r="B13" s="373"/>
      <c r="C13" s="362"/>
      <c r="D13" s="362"/>
      <c r="E13" s="362"/>
      <c r="F13" s="362"/>
      <c r="G13" s="374"/>
      <c r="H13" s="412" t="str">
        <f>+'6 CANT MC-AM 01'!H14</f>
        <v>La Esmeralda</v>
      </c>
      <c r="I13" s="376"/>
      <c r="J13" s="376"/>
      <c r="K13" s="376"/>
      <c r="L13" s="376">
        <f>+'1 CANT MC-AM 01'!K14</f>
        <v>50</v>
      </c>
      <c r="M13" s="435">
        <v>1</v>
      </c>
      <c r="N13" s="378">
        <f t="shared" si="0"/>
        <v>50</v>
      </c>
    </row>
    <row r="14" spans="2:14" ht="12.75" customHeight="1">
      <c r="B14" s="373"/>
      <c r="C14" s="362"/>
      <c r="D14" s="362"/>
      <c r="E14" s="362"/>
      <c r="F14" s="362"/>
      <c r="G14" s="374"/>
      <c r="H14" s="412"/>
      <c r="I14" s="376"/>
      <c r="J14" s="376"/>
      <c r="K14" s="436"/>
      <c r="L14" s="376"/>
      <c r="M14" s="377"/>
      <c r="N14" s="378"/>
    </row>
    <row r="15" spans="2:14" ht="12" customHeight="1">
      <c r="B15" s="373"/>
      <c r="C15" s="362"/>
      <c r="D15" s="362"/>
      <c r="E15" s="362"/>
      <c r="F15" s="362"/>
      <c r="G15" s="374"/>
      <c r="H15" s="412"/>
      <c r="I15" s="376"/>
      <c r="J15" s="376"/>
      <c r="K15" s="376"/>
      <c r="L15" s="376"/>
      <c r="M15" s="377"/>
      <c r="N15" s="378"/>
    </row>
    <row r="16" spans="2:14" ht="12" customHeight="1" thickBot="1">
      <c r="B16" s="393"/>
      <c r="C16" s="395"/>
      <c r="D16" s="395"/>
      <c r="E16" s="395"/>
      <c r="F16" s="395"/>
      <c r="G16" s="396"/>
      <c r="H16" s="373"/>
      <c r="I16" s="399"/>
      <c r="J16" s="399"/>
      <c r="K16" s="399"/>
      <c r="L16" s="399"/>
      <c r="M16" s="399"/>
      <c r="N16" s="408"/>
    </row>
    <row r="17" spans="2:14" ht="12" customHeight="1">
      <c r="B17" s="413"/>
      <c r="C17" s="414"/>
      <c r="D17" s="369"/>
      <c r="E17" s="369"/>
      <c r="F17" s="369"/>
      <c r="G17" s="409"/>
      <c r="H17" s="415"/>
      <c r="I17" s="416"/>
      <c r="J17" s="399"/>
      <c r="K17" s="399"/>
      <c r="L17" s="399"/>
      <c r="M17" s="399"/>
      <c r="N17" s="400"/>
    </row>
    <row r="18" spans="2:14" ht="12" customHeight="1">
      <c r="B18" s="417"/>
      <c r="C18" s="418"/>
      <c r="D18" s="380"/>
      <c r="E18" s="380"/>
      <c r="F18" s="380"/>
      <c r="G18" s="380"/>
      <c r="H18" s="419"/>
      <c r="I18" s="416"/>
      <c r="J18" s="399"/>
      <c r="K18" s="399"/>
      <c r="L18" s="399"/>
      <c r="M18" s="399"/>
      <c r="N18" s="400"/>
    </row>
    <row r="19" spans="2:14" ht="12" customHeight="1">
      <c r="B19" s="373"/>
      <c r="C19" s="362"/>
      <c r="D19" s="362"/>
      <c r="E19" s="362"/>
      <c r="F19" s="380"/>
      <c r="G19" s="362"/>
      <c r="H19" s="374"/>
      <c r="I19" s="416"/>
      <c r="J19" s="399"/>
      <c r="K19" s="399"/>
      <c r="L19" s="399"/>
      <c r="M19" s="399"/>
      <c r="N19" s="400"/>
    </row>
    <row r="20" spans="2:14" ht="12" customHeight="1">
      <c r="B20" s="373"/>
      <c r="C20" s="362"/>
      <c r="D20" s="362"/>
      <c r="E20" s="362"/>
      <c r="F20" s="362"/>
      <c r="G20" s="362"/>
      <c r="H20" s="420"/>
      <c r="I20" s="416"/>
      <c r="J20" s="399"/>
      <c r="K20" s="399"/>
      <c r="L20" s="399"/>
      <c r="M20" s="399"/>
      <c r="N20" s="400"/>
    </row>
    <row r="21" spans="2:14" ht="12" customHeight="1">
      <c r="B21" s="373"/>
      <c r="C21" s="362"/>
      <c r="D21" s="385"/>
      <c r="E21" s="385"/>
      <c r="F21" s="362"/>
      <c r="G21" s="380"/>
      <c r="H21" s="419"/>
      <c r="I21" s="416"/>
      <c r="J21" s="399"/>
      <c r="K21" s="399"/>
      <c r="L21" s="399"/>
      <c r="M21" s="399"/>
      <c r="N21" s="400"/>
    </row>
    <row r="22" spans="2:14" ht="12" customHeight="1">
      <c r="B22" s="373"/>
      <c r="C22" s="362"/>
      <c r="D22" s="362"/>
      <c r="E22" s="362"/>
      <c r="F22" s="362"/>
      <c r="G22" s="385"/>
      <c r="H22" s="374"/>
      <c r="I22" s="379"/>
      <c r="J22" s="399"/>
      <c r="K22" s="399"/>
      <c r="L22" s="399"/>
      <c r="M22" s="399"/>
      <c r="N22" s="400"/>
    </row>
    <row r="23" spans="2:14" ht="12" customHeight="1">
      <c r="B23" s="410"/>
      <c r="C23" s="385"/>
      <c r="D23" s="385"/>
      <c r="E23" s="385"/>
      <c r="F23" s="362"/>
      <c r="G23" s="385"/>
      <c r="H23" s="401"/>
      <c r="I23" s="379"/>
      <c r="J23" s="399"/>
      <c r="K23" s="399"/>
      <c r="L23" s="399"/>
      <c r="M23" s="399"/>
      <c r="N23" s="402"/>
    </row>
    <row r="24" spans="2:14" ht="12" customHeight="1" thickBot="1">
      <c r="B24" s="410"/>
      <c r="C24" s="362"/>
      <c r="D24" s="362"/>
      <c r="E24" s="362"/>
      <c r="F24" s="362"/>
      <c r="G24" s="385"/>
      <c r="H24" s="374"/>
      <c r="I24" s="403"/>
      <c r="J24" s="404"/>
      <c r="K24" s="404"/>
      <c r="L24" s="404"/>
      <c r="M24" s="404"/>
      <c r="N24" s="405"/>
    </row>
    <row r="25" spans="2:14" ht="12" customHeight="1" thickBot="1">
      <c r="B25" s="393"/>
      <c r="C25" s="394"/>
      <c r="D25" s="394"/>
      <c r="E25" s="394"/>
      <c r="F25" s="395"/>
      <c r="G25" s="395"/>
      <c r="H25" s="406"/>
      <c r="I25" s="925" t="s">
        <v>252</v>
      </c>
      <c r="J25" s="637"/>
      <c r="K25" s="637"/>
      <c r="L25" s="637"/>
      <c r="M25" s="638"/>
      <c r="N25" s="407">
        <f>ROUND((SUM(N10:N24)),2)</f>
        <v>195</v>
      </c>
    </row>
    <row r="26" spans="2:14" ht="12" customHeight="1">
      <c r="B26" s="362"/>
      <c r="C26" s="362"/>
      <c r="D26" s="362"/>
      <c r="E26" s="362"/>
      <c r="F26" s="362"/>
      <c r="G26" s="362"/>
      <c r="H26" s="362"/>
      <c r="I26" s="362"/>
      <c r="J26" s="362"/>
      <c r="K26" s="362"/>
      <c r="L26" s="362"/>
      <c r="M26" s="913"/>
      <c r="N26" s="633"/>
    </row>
  </sheetData>
  <mergeCells count="20">
    <mergeCell ref="M26:N26"/>
    <mergeCell ref="B8:G9"/>
    <mergeCell ref="H8:H9"/>
    <mergeCell ref="I8:L8"/>
    <mergeCell ref="M8:M9"/>
    <mergeCell ref="N8:N9"/>
    <mergeCell ref="I25:M25"/>
    <mergeCell ref="D6:H6"/>
    <mergeCell ref="I6:L6"/>
    <mergeCell ref="M6:N6"/>
    <mergeCell ref="D7:H7"/>
    <mergeCell ref="I7:L7"/>
    <mergeCell ref="M7:N7"/>
    <mergeCell ref="B5:C5"/>
    <mergeCell ref="D5:N5"/>
    <mergeCell ref="B2:C3"/>
    <mergeCell ref="D2:L3"/>
    <mergeCell ref="M2:N3"/>
    <mergeCell ref="B4:C4"/>
    <mergeCell ref="D4:N4"/>
  </mergeCells>
  <printOptions horizontalCentered="1"/>
  <pageMargins left="0" right="0.39370078740157483" top="0.19685039370078741" bottom="0.19685039370078741" header="0" footer="0"/>
  <pageSetup scale="77" orientation="landscape" r:id="rId1"/>
  <headerFooter>
    <oddFooter>&amp;R&amp;A</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30</vt:i4>
      </vt:variant>
      <vt:variant>
        <vt:lpstr>Rangos con nombre</vt:lpstr>
      </vt:variant>
      <vt:variant>
        <vt:i4>26</vt:i4>
      </vt:variant>
    </vt:vector>
  </HeadingPairs>
  <TitlesOfParts>
    <vt:vector size="56" baseType="lpstr">
      <vt:lpstr>DATOS</vt:lpstr>
      <vt:lpstr>A.I.U.</vt:lpstr>
      <vt:lpstr>PROGRAMACION</vt:lpstr>
      <vt:lpstr>PRESUPUESTO</vt:lpstr>
      <vt:lpstr>PRESUPUESTO OFICIAL (Entidad)</vt:lpstr>
      <vt:lpstr>PROPUESTA ECONOMICA(Proponente)</vt:lpstr>
      <vt:lpstr>INDICAR CÓDIGO DEL ITEM DE PAGO</vt:lpstr>
      <vt:lpstr>MATERIALES</vt:lpstr>
      <vt:lpstr>EQUIPO</vt:lpstr>
      <vt:lpstr>ANALISIS FACTOR PRESTACIONAL</vt:lpstr>
      <vt:lpstr>APU 1</vt:lpstr>
      <vt:lpstr>APU 2</vt:lpstr>
      <vt:lpstr>APU 3</vt:lpstr>
      <vt:lpstr>APU 4</vt:lpstr>
      <vt:lpstr>APU 5</vt:lpstr>
      <vt:lpstr>APU 6</vt:lpstr>
      <vt:lpstr>APU 7</vt:lpstr>
      <vt:lpstr>APU 8</vt:lpstr>
      <vt:lpstr>APU 9</vt:lpstr>
      <vt:lpstr>APU 10</vt:lpstr>
      <vt:lpstr>1 CANT MC-AM 01</vt:lpstr>
      <vt:lpstr>2 CANT MC-AM 01</vt:lpstr>
      <vt:lpstr>3 CANT MC-AM 01</vt:lpstr>
      <vt:lpstr>4 CANT MC-AM 01</vt:lpstr>
      <vt:lpstr>5 CANT MC-AM 01</vt:lpstr>
      <vt:lpstr>6 CANT MC-AM 01</vt:lpstr>
      <vt:lpstr>7 CANT MC-AM 01</vt:lpstr>
      <vt:lpstr>8 CANT MC-AM 01</vt:lpstr>
      <vt:lpstr>9 CANT MC-AM 01</vt:lpstr>
      <vt:lpstr>10 CANT MC-AM 01</vt:lpstr>
      <vt:lpstr>'1 CANT MC-AM 01'!Área_de_impresión</vt:lpstr>
      <vt:lpstr>'10 CANT MC-AM 01'!Área_de_impresión</vt:lpstr>
      <vt:lpstr>'2 CANT MC-AM 01'!Área_de_impresión</vt:lpstr>
      <vt:lpstr>'3 CANT MC-AM 01'!Área_de_impresión</vt:lpstr>
      <vt:lpstr>'4 CANT MC-AM 01'!Área_de_impresión</vt:lpstr>
      <vt:lpstr>'5 CANT MC-AM 01'!Área_de_impresión</vt:lpstr>
      <vt:lpstr>'6 CANT MC-AM 01'!Área_de_impresión</vt:lpstr>
      <vt:lpstr>'7 CANT MC-AM 01'!Área_de_impresión</vt:lpstr>
      <vt:lpstr>'8 CANT MC-AM 01'!Área_de_impresión</vt:lpstr>
      <vt:lpstr>'9 CANT MC-AM 01'!Área_de_impresión</vt:lpstr>
      <vt:lpstr>A.I.U.!Área_de_impresión</vt:lpstr>
      <vt:lpstr>'ANALISIS FACTOR PRESTACIONAL'!Área_de_impresión</vt:lpstr>
      <vt:lpstr>'APU 1'!Área_de_impresión</vt:lpstr>
      <vt:lpstr>'APU 10'!Área_de_impresión</vt:lpstr>
      <vt:lpstr>'APU 2'!Área_de_impresión</vt:lpstr>
      <vt:lpstr>'APU 3'!Área_de_impresión</vt:lpstr>
      <vt:lpstr>'APU 4'!Área_de_impresión</vt:lpstr>
      <vt:lpstr>'APU 5'!Área_de_impresión</vt:lpstr>
      <vt:lpstr>'APU 6'!Área_de_impresión</vt:lpstr>
      <vt:lpstr>'APU 7'!Área_de_impresión</vt:lpstr>
      <vt:lpstr>'APU 8'!Área_de_impresión</vt:lpstr>
      <vt:lpstr>'APU 9'!Área_de_impresión</vt:lpstr>
      <vt:lpstr>'INDICAR CÓDIGO DEL ITEM DE PAGO'!Área_de_impresión</vt:lpstr>
      <vt:lpstr>PRESUPUESTO!Área_de_impresión</vt:lpstr>
      <vt:lpstr>'PRESUPUESTO OFICIAL (Entidad)'!Área_de_impresión</vt:lpstr>
      <vt:lpstr>'PROPUESTA ECONOMICA(Proponente)'!Área_de_impresión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Javier Alexander Lopez Hincapie</cp:lastModifiedBy>
  <cp:lastPrinted>2025-02-11T17:07:33Z</cp:lastPrinted>
  <dcterms:created xsi:type="dcterms:W3CDTF">2018-11-29T11:34:10Z</dcterms:created>
  <dcterms:modified xsi:type="dcterms:W3CDTF">2025-07-17T02:51:31Z</dcterms:modified>
</cp:coreProperties>
</file>