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https://sdht.sharepoint.com/sites/estructuracion-sdo/Documentos compartidos/04. ESTRUCTURACIÓN 13 POLIGONOS/02. CMA 13 POLIGONOS/"/>
    </mc:Choice>
  </mc:AlternateContent>
  <xr:revisionPtr revIDLastSave="91" documentId="8_{FAEAB077-405B-4244-86AE-4018B813BD6F}" xr6:coauthVersionLast="47" xr6:coauthVersionMax="47" xr10:uidLastSave="{9BFD4001-F282-428C-B5B5-72D72C03C533}"/>
  <bookViews>
    <workbookView xWindow="11520" yWindow="0" windowWidth="11520" windowHeight="12360" firstSheet="1" activeTab="1" xr2:uid="{00000000-000D-0000-FFFF-FFFF00000000}"/>
  </bookViews>
  <sheets>
    <sheet name="INDEXACIÓN Y HONORARIOS" sheetId="5" r:id="rId1"/>
    <sheet name="POE Y OFERTA ECONÓMICA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6" i="1" l="1"/>
  <c r="F42" i="1" s="1"/>
  <c r="G36" i="1"/>
  <c r="G42" i="1" s="1"/>
  <c r="G79" i="1"/>
  <c r="G85" i="1"/>
  <c r="L86" i="1"/>
  <c r="L85" i="1"/>
  <c r="L79" i="1"/>
  <c r="L78" i="1"/>
  <c r="L75" i="1"/>
  <c r="L74" i="1"/>
  <c r="L64" i="1"/>
  <c r="L65" i="1"/>
  <c r="L66" i="1"/>
  <c r="L67" i="1"/>
  <c r="L68" i="1"/>
  <c r="L69" i="1"/>
  <c r="L70" i="1"/>
  <c r="L71" i="1"/>
  <c r="L63" i="1"/>
  <c r="L55" i="1"/>
  <c r="L56" i="1"/>
  <c r="L57" i="1"/>
  <c r="L58" i="1"/>
  <c r="L59" i="1"/>
  <c r="L60" i="1"/>
  <c r="L54" i="1"/>
  <c r="L43" i="1"/>
  <c r="L42" i="1"/>
  <c r="L36" i="1"/>
  <c r="L35" i="1"/>
  <c r="L31" i="1"/>
  <c r="L32" i="1"/>
  <c r="L30" i="1"/>
  <c r="L21" i="1"/>
  <c r="L22" i="1"/>
  <c r="L23" i="1"/>
  <c r="L24" i="1"/>
  <c r="L25" i="1"/>
  <c r="L26" i="1"/>
  <c r="L27" i="1"/>
  <c r="L20" i="1"/>
  <c r="L12" i="1"/>
  <c r="L13" i="1"/>
  <c r="L14" i="1"/>
  <c r="L15" i="1"/>
  <c r="L16" i="1"/>
  <c r="L17" i="1"/>
  <c r="L11" i="1"/>
  <c r="M86" i="1" l="1"/>
  <c r="M85" i="1"/>
  <c r="M79" i="1"/>
  <c r="M78" i="1"/>
  <c r="M75" i="1"/>
  <c r="M74" i="1"/>
  <c r="M64" i="1"/>
  <c r="M65" i="1"/>
  <c r="M66" i="1"/>
  <c r="M67" i="1"/>
  <c r="M68" i="1"/>
  <c r="M69" i="1"/>
  <c r="M70" i="1"/>
  <c r="M71" i="1"/>
  <c r="M63" i="1"/>
  <c r="M55" i="1"/>
  <c r="M56" i="1"/>
  <c r="M57" i="1"/>
  <c r="M58" i="1"/>
  <c r="M59" i="1"/>
  <c r="M60" i="1"/>
  <c r="M54" i="1"/>
  <c r="M43" i="1"/>
  <c r="M42" i="1"/>
  <c r="M36" i="1"/>
  <c r="M35" i="1"/>
  <c r="M31" i="1"/>
  <c r="M32" i="1"/>
  <c r="M30" i="1"/>
  <c r="M21" i="1"/>
  <c r="M22" i="1"/>
  <c r="M23" i="1"/>
  <c r="M24" i="1"/>
  <c r="M25" i="1"/>
  <c r="M26" i="1"/>
  <c r="M27" i="1"/>
  <c r="M20" i="1"/>
  <c r="M12" i="1"/>
  <c r="M13" i="1"/>
  <c r="M14" i="1"/>
  <c r="M15" i="1"/>
  <c r="M16" i="1"/>
  <c r="M17" i="1"/>
  <c r="M11" i="1"/>
  <c r="I86" i="1"/>
  <c r="I85" i="1"/>
  <c r="I79" i="1"/>
  <c r="I78" i="1"/>
  <c r="I75" i="1"/>
  <c r="I74" i="1"/>
  <c r="I64" i="1"/>
  <c r="I65" i="1"/>
  <c r="I66" i="1"/>
  <c r="I67" i="1"/>
  <c r="I68" i="1"/>
  <c r="I69" i="1"/>
  <c r="I70" i="1"/>
  <c r="I71" i="1"/>
  <c r="I63" i="1"/>
  <c r="I55" i="1"/>
  <c r="I56" i="1"/>
  <c r="I57" i="1"/>
  <c r="I58" i="1"/>
  <c r="I59" i="1"/>
  <c r="I60" i="1"/>
  <c r="I54" i="1"/>
  <c r="I43" i="1"/>
  <c r="I42" i="1"/>
  <c r="I36" i="1"/>
  <c r="I35" i="1"/>
  <c r="I31" i="1"/>
  <c r="I32" i="1"/>
  <c r="I30" i="1"/>
  <c r="I21" i="1"/>
  <c r="I22" i="1"/>
  <c r="I23" i="1"/>
  <c r="I24" i="1"/>
  <c r="I25" i="1"/>
  <c r="I26" i="1"/>
  <c r="I27" i="1"/>
  <c r="I20" i="1"/>
  <c r="I12" i="1"/>
  <c r="I13" i="1"/>
  <c r="I14" i="1"/>
  <c r="I15" i="1"/>
  <c r="I16" i="1"/>
  <c r="I17" i="1"/>
  <c r="I11" i="1"/>
  <c r="H86" i="1"/>
  <c r="H85" i="1"/>
  <c r="H79" i="1"/>
  <c r="H78" i="1"/>
  <c r="H75" i="1"/>
  <c r="H74" i="1"/>
  <c r="H64" i="1"/>
  <c r="H65" i="1"/>
  <c r="H66" i="1"/>
  <c r="H67" i="1"/>
  <c r="H68" i="1"/>
  <c r="H69" i="1"/>
  <c r="H70" i="1"/>
  <c r="H71" i="1"/>
  <c r="H63" i="1"/>
  <c r="H55" i="1"/>
  <c r="H56" i="1"/>
  <c r="H57" i="1"/>
  <c r="H58" i="1"/>
  <c r="H59" i="1"/>
  <c r="H60" i="1"/>
  <c r="H54" i="1"/>
  <c r="M77" i="1" l="1"/>
  <c r="M73" i="1"/>
  <c r="M62" i="1"/>
  <c r="M53" i="1"/>
  <c r="M10" i="1"/>
  <c r="M29" i="1"/>
  <c r="M19" i="1"/>
  <c r="M34" i="1"/>
  <c r="H35" i="1"/>
  <c r="H31" i="1"/>
  <c r="H32" i="1"/>
  <c r="H30" i="1"/>
  <c r="L82" i="1" l="1"/>
  <c r="L39" i="1"/>
  <c r="I62" i="1"/>
  <c r="I77" i="1"/>
  <c r="I53" i="1"/>
  <c r="I73" i="1"/>
  <c r="H21" i="1"/>
  <c r="H22" i="1"/>
  <c r="H23" i="1"/>
  <c r="H24" i="1"/>
  <c r="H25" i="1"/>
  <c r="H26" i="1"/>
  <c r="H27" i="1"/>
  <c r="H20" i="1"/>
  <c r="H12" i="1"/>
  <c r="H13" i="1"/>
  <c r="H14" i="1"/>
  <c r="H15" i="1"/>
  <c r="H16" i="1"/>
  <c r="H17" i="1"/>
  <c r="H11" i="1"/>
  <c r="H61" i="5"/>
  <c r="H62" i="5"/>
  <c r="H63" i="5"/>
  <c r="H64" i="5"/>
  <c r="H65" i="5"/>
  <c r="H66" i="5"/>
  <c r="H67" i="5"/>
  <c r="G61" i="5"/>
  <c r="G62" i="5"/>
  <c r="G63" i="5"/>
  <c r="G64" i="5"/>
  <c r="G65" i="5"/>
  <c r="G66" i="5"/>
  <c r="G67" i="5"/>
  <c r="H60" i="5"/>
  <c r="G60" i="5"/>
  <c r="C50" i="5"/>
  <c r="C51" i="5"/>
  <c r="C52" i="5"/>
  <c r="C53" i="5"/>
  <c r="C54" i="5"/>
  <c r="C55" i="5"/>
  <c r="M82" i="1" l="1"/>
  <c r="M88" i="1" s="1"/>
  <c r="M39" i="1"/>
  <c r="M45" i="1" s="1"/>
  <c r="I10" i="1"/>
  <c r="H82" i="1"/>
  <c r="I82" i="1" s="1"/>
  <c r="E52" i="5"/>
  <c r="E51" i="5"/>
  <c r="D51" i="5"/>
  <c r="E54" i="5"/>
  <c r="E50" i="5"/>
  <c r="D53" i="5"/>
  <c r="D52" i="5"/>
  <c r="E55" i="5"/>
  <c r="D55" i="5"/>
  <c r="D50" i="5"/>
  <c r="D54" i="5"/>
  <c r="E53" i="5"/>
  <c r="M89" i="1" l="1"/>
  <c r="M90" i="1" s="1"/>
  <c r="M46" i="1"/>
  <c r="M47" i="1" s="1"/>
  <c r="I88" i="1"/>
  <c r="I89" i="1" s="1"/>
  <c r="M92" i="1" l="1"/>
  <c r="I90" i="1"/>
  <c r="I19" i="1" l="1"/>
  <c r="I34" i="1" l="1"/>
  <c r="I29" i="1" l="1"/>
  <c r="H39" i="1" l="1"/>
  <c r="I39" i="1" l="1"/>
  <c r="I45" i="1" s="1"/>
  <c r="I46" i="1" l="1"/>
  <c r="I47" i="1" s="1"/>
  <c r="I92" i="1" l="1"/>
</calcChain>
</file>

<file path=xl/sharedStrings.xml><?xml version="1.0" encoding="utf-8"?>
<sst xmlns="http://schemas.openxmlformats.org/spreadsheetml/2006/main" count="327" uniqueCount="166">
  <si>
    <t>SUBDIRECCIÓN DE OPERACIONES
SUBSECRETARÍA DE COORDINACIÓN OPERATIVA</t>
  </si>
  <si>
    <t>ÍTEM</t>
  </si>
  <si>
    <t>DESCRIPCIÓN</t>
  </si>
  <si>
    <t>%</t>
  </si>
  <si>
    <t>VR. UNITARIO</t>
  </si>
  <si>
    <t xml:space="preserve">VR. PARCIAL </t>
  </si>
  <si>
    <t>MESES</t>
  </si>
  <si>
    <t>DEDICACIÓN</t>
  </si>
  <si>
    <t>SALARIO</t>
  </si>
  <si>
    <t>SUBTOTAL</t>
  </si>
  <si>
    <t>10.01</t>
  </si>
  <si>
    <t>10.02</t>
  </si>
  <si>
    <t>Especialista en diseño arquitectónico</t>
  </si>
  <si>
    <t>10.03</t>
  </si>
  <si>
    <t>Especialista en paisajismo</t>
  </si>
  <si>
    <t>10.04</t>
  </si>
  <si>
    <t xml:space="preserve">Especialista en Vías </t>
  </si>
  <si>
    <t>10.05</t>
  </si>
  <si>
    <t>Especialista en Transporte y Movilidad</t>
  </si>
  <si>
    <t>10.06</t>
  </si>
  <si>
    <t>Especialista en redes eléctricas y Energía Solar</t>
  </si>
  <si>
    <t>10.07</t>
  </si>
  <si>
    <t>Especialista en redes hidrosanitarias. Suds y saneamiento básico</t>
  </si>
  <si>
    <t>PROFESIONALES DE APOYO</t>
  </si>
  <si>
    <t>20.01</t>
  </si>
  <si>
    <t>Especialista en Estructuras</t>
  </si>
  <si>
    <t>20.02</t>
  </si>
  <si>
    <t>Especialista en geotecnia</t>
  </si>
  <si>
    <t>20.03</t>
  </si>
  <si>
    <t>Especialista en gestión ambiental  (construcción sostenible)</t>
  </si>
  <si>
    <t>20.04</t>
  </si>
  <si>
    <t>Ingeniero forestal</t>
  </si>
  <si>
    <t>20.05</t>
  </si>
  <si>
    <t>Arqueólogo</t>
  </si>
  <si>
    <t>20.06</t>
  </si>
  <si>
    <t>Profesional en presupuestos, especificaciones, cantidades, programación y APUS</t>
  </si>
  <si>
    <t>20.07</t>
  </si>
  <si>
    <t>Profesional SST</t>
  </si>
  <si>
    <t>20.08</t>
  </si>
  <si>
    <t>Profesional en gestión social</t>
  </si>
  <si>
    <t>30.01</t>
  </si>
  <si>
    <t>30.02</t>
  </si>
  <si>
    <t>Ingeniero catastral SIG</t>
  </si>
  <si>
    <t>30.03</t>
  </si>
  <si>
    <t>Especialista derecho urbano</t>
  </si>
  <si>
    <t>OTRO PERSONAL</t>
  </si>
  <si>
    <t>40.01</t>
  </si>
  <si>
    <t>Ingeniero topógrafo</t>
  </si>
  <si>
    <t>40.02</t>
  </si>
  <si>
    <t>PERSONAL + FACTOR MULTIPLICADOR</t>
  </si>
  <si>
    <t>50.01</t>
  </si>
  <si>
    <t>FM</t>
  </si>
  <si>
    <t>EQUIPOS</t>
  </si>
  <si>
    <t>VALOR MENSUAL</t>
  </si>
  <si>
    <t>60.01</t>
  </si>
  <si>
    <t>60.02</t>
  </si>
  <si>
    <t xml:space="preserve">PRESUPUESTO OFICIAL PARA LA ETAPA 1 </t>
  </si>
  <si>
    <t>OBJETO: REALIZAR LA INTERVENTORÍA INTEGRAL A LA FACTIBILIDAD, ESTUDIOS Y DISEÑOS DEFINITIVOS Y LA EJECUCIÓN DE LAS OBRAS DE ESPACIO PÚBLICO, EN EL MARCO DE LA ESTRATEGIA REVITALIZA TU BARRIO, EN LOS POLÍGONOS PRIORIZADOS POR LA SECRETARÍA DISTRITAL DE HÁBITAT.</t>
  </si>
  <si>
    <t># CATEGORIA</t>
  </si>
  <si>
    <t>Cargos Categorías Profesionales</t>
  </si>
  <si>
    <t>EXPERIENCIA</t>
  </si>
  <si>
    <t>General</t>
  </si>
  <si>
    <t>Especifica</t>
  </si>
  <si>
    <t>CATEGORIA 1</t>
  </si>
  <si>
    <t>Funciones del Director o Especialista de Proyectos</t>
  </si>
  <si>
    <t>&gt;= 12 años</t>
  </si>
  <si>
    <t>&gt;=10 años</t>
  </si>
  <si>
    <t>CATEGORIA 2</t>
  </si>
  <si>
    <t>&gt;= 10 años</t>
  </si>
  <si>
    <t>&gt;= 8 años</t>
  </si>
  <si>
    <t>CATEGORIA 3</t>
  </si>
  <si>
    <t xml:space="preserve">Experiencia técnica y administrativa para Especialista de Proyectos </t>
  </si>
  <si>
    <t>&gt;= 5 años</t>
  </si>
  <si>
    <t>CATEGORIA 4</t>
  </si>
  <si>
    <t>&gt;= 6 años</t>
  </si>
  <si>
    <t>&gt;= 4 años</t>
  </si>
  <si>
    <t>CATEGORIA 5</t>
  </si>
  <si>
    <t>Experiencia técnica y administrativa para Residente de Proyectos</t>
  </si>
  <si>
    <t>&gt;= 3 años</t>
  </si>
  <si>
    <t>CATEGORIA 6</t>
  </si>
  <si>
    <t>Profesional</t>
  </si>
  <si>
    <t>&gt;= 1 años</t>
  </si>
  <si>
    <t>CATEGORIA 7</t>
  </si>
  <si>
    <t>&gt;= 2 años</t>
  </si>
  <si>
    <t>CATEGORIA 8</t>
  </si>
  <si>
    <t>&lt; 2 años</t>
  </si>
  <si>
    <t>TARIFAS PRECIOS DE REFERENCIA (IDU)</t>
  </si>
  <si>
    <t>CODIGO</t>
  </si>
  <si>
    <t>Experiencia técnica y administrativa para esp}</t>
  </si>
  <si>
    <t>Actualizado el 8 de Mayo de 2025</t>
  </si>
  <si>
    <t>Colombia, Indice de Precios al Consumidor (IPC)</t>
  </si>
  <si>
    <t>Variaciones porcentuales
2003 - 2025</t>
  </si>
  <si>
    <t>AÑO 2025, MES 4</t>
  </si>
  <si>
    <t>Base Diciembre de 2018 = 100,00</t>
  </si>
  <si>
    <t>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</si>
  <si>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</si>
  <si>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</si>
  <si>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</si>
  <si>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</si>
  <si>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</si>
  <si>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</si>
  <si>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</si>
  <si>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</si>
  <si>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</si>
  <si>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</si>
  <si>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</si>
  <si>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</si>
  <si>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 año corrido</t>
  </si>
  <si>
    <r>
      <rPr>
        <b/>
        <sz val="8"/>
        <rFont val="Segoe UI"/>
        <family val="2"/>
        <charset val="204"/>
      </rPr>
      <t>Fuente:</t>
    </r>
    <r>
      <rPr>
        <sz val="8"/>
        <rFont val="Segoe UI"/>
        <family val="2"/>
        <charset val="204"/>
      </rPr>
      <t xml:space="preserve"> DANE.</t>
    </r>
  </si>
  <si>
    <r>
      <rPr>
        <b/>
        <sz val="8"/>
        <rFont val="Segoe UI"/>
        <family val="2"/>
        <charset val="204"/>
      </rPr>
      <t>Nota:</t>
    </r>
    <r>
      <rPr>
        <sz val="8"/>
        <rFont val="Segoe UI"/>
        <family val="2"/>
        <charset val="204"/>
      </rPr>
      <t xml:space="preserve"> La diferencia en la suma de las variables, obedece al sistema de aproximación y redondeo.</t>
    </r>
  </si>
  <si>
    <t>Escala de tiempo</t>
  </si>
  <si>
    <t>Valores</t>
  </si>
  <si>
    <t>Previsión</t>
  </si>
  <si>
    <t>Límite de confianza inferior</t>
  </si>
  <si>
    <t>Límite de confianza superior</t>
  </si>
  <si>
    <t>TARIFA SIN PRESTACIONES 2025</t>
  </si>
  <si>
    <t>PROYECCIÓN IPC 2026</t>
  </si>
  <si>
    <t>PROYECCIÓN IPC 2027</t>
  </si>
  <si>
    <t>1. PROYECCIÓN IPC</t>
  </si>
  <si>
    <t>2. INDEXACIÓN SALARIOS</t>
  </si>
  <si>
    <t>TARIFA SIN PRESTACIONES 2026</t>
  </si>
  <si>
    <t>TARIFA SIN PRESTACIONES 2027</t>
  </si>
  <si>
    <t>CANTIDAD</t>
  </si>
  <si>
    <t>PROFESIONAL CLAVE</t>
  </si>
  <si>
    <t>PROFESIONALES PARA SEGUIMIENTO NORMATIVO</t>
  </si>
  <si>
    <t>CATEGORIA/CODIGO</t>
  </si>
  <si>
    <t>Cadenero 2</t>
  </si>
  <si>
    <t>Equipo de topografia estación total</t>
  </si>
  <si>
    <t>Alquiler de vehiculo</t>
  </si>
  <si>
    <t>PRESUPUESTO OFICIAL ETAPA 1</t>
  </si>
  <si>
    <t>30.04</t>
  </si>
  <si>
    <t>Especialista en gestión de calidad</t>
  </si>
  <si>
    <t>30.05</t>
  </si>
  <si>
    <t>30.06</t>
  </si>
  <si>
    <t>30.07</t>
  </si>
  <si>
    <t>30.08</t>
  </si>
  <si>
    <t>30.09</t>
  </si>
  <si>
    <t xml:space="preserve">PROFESIONALES DE PROYECTO URBANISTICO </t>
  </si>
  <si>
    <t>50.02</t>
  </si>
  <si>
    <t>Director de la Interventoría</t>
  </si>
  <si>
    <t>PRESUPUESTO OFICIAL PARA LA ETAPA 2</t>
  </si>
  <si>
    <t>Residente de Interventoría</t>
  </si>
  <si>
    <t xml:space="preserve">DEDICACIÓN </t>
  </si>
  <si>
    <t>OFERTA ECONÓMICA</t>
  </si>
  <si>
    <t>SUBTOTAL OFERTA ECONÓMICA</t>
  </si>
  <si>
    <t xml:space="preserve">OFERTA ECONÓMICA </t>
  </si>
  <si>
    <t>TOTAL OFERTA ECONOMICA ETAPA 1</t>
  </si>
  <si>
    <t>ETAPA 1</t>
  </si>
  <si>
    <t>ETAPA 2</t>
  </si>
  <si>
    <t>PROFESIONALES DE PROYECTO URBANISTICO</t>
  </si>
  <si>
    <t>Alquiler Equipo completo de topografía</t>
  </si>
  <si>
    <t>Alquiler Vehículo Hasta 2600 cc</t>
  </si>
  <si>
    <t>TOTAL OFERTA ECONOMICA ETAPA 2</t>
  </si>
  <si>
    <t>PRESUPUESTO OFICIAL ETAPA 2</t>
  </si>
  <si>
    <t>TOTAL PRESUPUESTO OFICIAL DEL PROCESO</t>
  </si>
  <si>
    <t>TOTAL OFERTA ECONOMICA</t>
  </si>
  <si>
    <t>TOTAL COSTOS  INTERVENTORÍA A ESTUDIOS Y DISEÑOS</t>
  </si>
  <si>
    <t>IVA DE INTERVENTORÍA A ESTUDIOS Y DISEÑOS</t>
  </si>
  <si>
    <t>TOTAL COSTOS INTERVENTORÍA A ESTUDIOS Y DISEÑOS</t>
  </si>
  <si>
    <t>TOTAL COSTOS INTERVENTORÍA A CONSTRUCCIÓN</t>
  </si>
  <si>
    <t>IVA DE INTERVENTORÍA A CONSTRUCCIÓN</t>
  </si>
  <si>
    <t>PRESUPUESTO OFICIAL ESTIMADO - GRUPO NO. 3</t>
  </si>
  <si>
    <t>Especialista en Urbanismo</t>
  </si>
  <si>
    <r>
      <t xml:space="preserve">NOTAS:
</t>
    </r>
    <r>
      <rPr>
        <sz val="11"/>
        <color theme="1"/>
        <rFont val="Aptos Narrow"/>
        <family val="2"/>
        <scheme val="minor"/>
      </rPr>
      <t xml:space="preserve">1- El proponente con la presentación de su oferta no debe superar los valores unitarios estimados por la SDHT para los profesionales, equipos y Factor Multiplicador de la Etapa 1. 
2- El proponente con la presentación de su oferta, acepta haber realizado una lectura integral de los documentos del proceso de selección  y asi mismo dar cumplimiento a las condiciones establecidas en los Estudios Previos, Pliego de Condiciones, Anexo Técnico y demas apendices y documentos que hacen parte integral  del proceso de contratación. 
3- El presupuesto oficial estimado del proceso de selección, que incluye las estimaciones de la Etapa  1 y de la Etapa 2 ,se establece como un valor global, en ese sentido, con la presentación de la oferta por parte del proponente, se aceptan las condiciones de diseño y construcción para las áreas de intervención del grupo de contración definidas en los documentos del proceso de contratación, lo que incluye, costos de personal, administrativo, impuestos, estampillas, garantias y los demas aplicables.  
</t>
    </r>
    <r>
      <rPr>
        <b/>
        <sz val="11"/>
        <color theme="1"/>
        <rFont val="Aptos Narrow"/>
        <family val="2"/>
        <scheme val="minor"/>
      </rPr>
      <t xml:space="preserve">4- Unicamente modificar valores en amarillo del valor de la oferta ecónomica. 
</t>
    </r>
    <r>
      <rPr>
        <sz val="11"/>
        <color theme="1"/>
        <rFont val="Aptos Narrow"/>
        <family val="2"/>
        <scheme val="minor"/>
      </rPr>
      <t xml:space="preserve">5 - El proponente con la presentación de su oferta acepta la forma de pago señalada en los Estudios Previos del contrato y la minuta del mismo, en ese sentido, acepta la formas de pagos definidas para la Etapa 1 y la Etapa 2. 
6- El proponente con la presentación de su oferta acepta dar cumplimiento a los requisitos señalados en la condiciones  particulares definidas del Anexo Técnico, de manera transversal y para cada una de las Etapas de desarrollo del contrato. 
</t>
    </r>
  </si>
  <si>
    <t>NOMBRE DEL REPRESENTANTE LEGAL DEL OFERENTE:</t>
  </si>
  <si>
    <t xml:space="preserve">FIRMA: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</si>
</sst>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-[$$-409]* #,##0_ ;_-[$$-409]* \-#,##0\ ;_-[$$-409]* &quot;-&quot;??_ ;_-@_ "/>
    <numFmt numFmtId="168" formatCode="_-[$$-409]* #,##0.00_ ;_-[$$-409]* \-#,##0.00\ ;_-[$$-409]* &quot;-&quot;??_ ;_-@_ "/>
    <numFmt numFmtId="169" formatCode="0.0"/>
  </numFmts>
  <fonts count="3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8"/>
      <name val="Arial Narrow"/>
      <family val="2"/>
    </font>
    <font>
      <sz val="10"/>
      <color theme="1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sz val="11"/>
      <color theme="0" tint="-0.499984740745262"/>
      <name val="Arial Narrow"/>
      <family val="2"/>
    </font>
    <font>
      <sz val="10"/>
      <name val="Arial"/>
      <family val="2"/>
    </font>
    <font>
      <b/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0"/>
      <color rgb="FF000000"/>
      <name val="Segoe UI"/>
      <family val="2"/>
    </font>
    <font>
      <sz val="9"/>
      <name val="Segoe UI"/>
      <family val="2"/>
    </font>
    <font>
      <sz val="11"/>
      <color theme="1"/>
      <name val="Calibri"/>
      <family val="2"/>
    </font>
    <font>
      <sz val="8"/>
      <name val="Segoe UI"/>
      <family val="2"/>
      <charset val="204"/>
    </font>
    <font>
      <b/>
      <sz val="8"/>
      <name val="Segoe UI"/>
      <family val="2"/>
    </font>
    <font>
      <b/>
      <sz val="8"/>
      <name val="Segoe UI"/>
      <family val="2"/>
      <charset val="204"/>
    </font>
    <font>
      <sz val="9"/>
      <name val="Segoe UI"/>
      <family val="2"/>
      <charset val="204"/>
    </font>
    <font>
      <b/>
      <sz val="14"/>
      <color theme="0"/>
      <name val="Segoe UI"/>
      <family val="2"/>
      <charset val="204"/>
    </font>
    <font>
      <b/>
      <sz val="9"/>
      <name val="Segoe UI"/>
      <family val="2"/>
      <charset val="204"/>
    </font>
    <font>
      <b/>
      <sz val="9"/>
      <name val="Arial"/>
      <family val="2"/>
    </font>
    <font>
      <sz val="9"/>
      <name val="Arial"/>
      <family val="2"/>
    </font>
    <font>
      <sz val="8"/>
      <name val="Aptos Narrow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14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3" fillId="0" borderId="0"/>
    <xf numFmtId="0" fontId="19" fillId="0" borderId="0"/>
  </cellStyleXfs>
  <cellXfs count="184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6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42" fontId="6" fillId="0" borderId="1" xfId="5" applyFont="1" applyFill="1" applyBorder="1" applyAlignment="1">
      <alignment horizontal="right" vertical="center"/>
    </xf>
    <xf numFmtId="42" fontId="6" fillId="0" borderId="1" xfId="5" applyFont="1" applyFill="1" applyBorder="1" applyAlignment="1">
      <alignment horizontal="left" vertical="center"/>
    </xf>
    <xf numFmtId="0" fontId="6" fillId="0" borderId="1" xfId="0" applyFont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42" fontId="6" fillId="0" borderId="0" xfId="5" applyFont="1" applyFill="1" applyBorder="1" applyAlignment="1">
      <alignment horizontal="right" vertical="center"/>
    </xf>
    <xf numFmtId="42" fontId="6" fillId="0" borderId="0" xfId="5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/>
    <xf numFmtId="0" fontId="5" fillId="0" borderId="0" xfId="0" applyFont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10" fontId="6" fillId="0" borderId="1" xfId="2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vertical="center" wrapText="1"/>
    </xf>
    <xf numFmtId="10" fontId="6" fillId="0" borderId="0" xfId="2" applyNumberFormat="1" applyFont="1" applyFill="1" applyBorder="1" applyAlignment="1">
      <alignment horizontal="center" vertical="center"/>
    </xf>
    <xf numFmtId="42" fontId="6" fillId="0" borderId="1" xfId="5" applyFont="1" applyBorder="1" applyAlignment="1">
      <alignment horizontal="right"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wrapText="1"/>
    </xf>
    <xf numFmtId="164" fontId="6" fillId="0" borderId="0" xfId="3" applyFont="1" applyFill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 vertical="center"/>
    </xf>
    <xf numFmtId="9" fontId="6" fillId="0" borderId="0" xfId="2" applyFont="1" applyFill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9" fontId="12" fillId="0" borderId="0" xfId="2" applyFont="1" applyFill="1" applyBorder="1" applyAlignment="1">
      <alignment horizontal="center" vertical="center"/>
    </xf>
    <xf numFmtId="42" fontId="12" fillId="0" borderId="0" xfId="5" applyFont="1" applyFill="1" applyBorder="1" applyAlignment="1">
      <alignment horizontal="left" vertical="center"/>
    </xf>
    <xf numFmtId="0" fontId="4" fillId="0" borderId="0" xfId="6" applyFont="1" applyAlignment="1">
      <alignment vertical="center" wrapText="1"/>
    </xf>
    <xf numFmtId="0" fontId="4" fillId="0" borderId="0" xfId="6" applyFont="1" applyAlignment="1">
      <alignment horizontal="right" vertical="center" wrapText="1"/>
    </xf>
    <xf numFmtId="0" fontId="6" fillId="0" borderId="0" xfId="6" applyFont="1" applyAlignment="1">
      <alignment horizontal="center" vertical="center" wrapText="1"/>
    </xf>
    <xf numFmtId="10" fontId="6" fillId="0" borderId="0" xfId="6" applyNumberFormat="1" applyFont="1" applyAlignment="1">
      <alignment vertical="center" wrapText="1"/>
    </xf>
    <xf numFmtId="167" fontId="6" fillId="0" borderId="0" xfId="6" applyNumberFormat="1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168" fontId="4" fillId="0" borderId="0" xfId="6" applyNumberFormat="1" applyFont="1" applyAlignment="1">
      <alignment vertical="center" wrapText="1"/>
    </xf>
    <xf numFmtId="9" fontId="6" fillId="0" borderId="0" xfId="0" applyNumberFormat="1" applyFont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166" fontId="17" fillId="0" borderId="1" xfId="1" applyNumberFormat="1" applyFont="1" applyFill="1" applyBorder="1" applyAlignment="1">
      <alignment horizontal="right" vertical="center"/>
    </xf>
    <xf numFmtId="0" fontId="23" fillId="0" borderId="0" xfId="0" applyFont="1"/>
    <xf numFmtId="0" fontId="23" fillId="0" borderId="0" xfId="0" applyFont="1" applyAlignment="1">
      <alignment horizontal="center"/>
    </xf>
    <xf numFmtId="0" fontId="26" fillId="0" borderId="6" xfId="6" applyFont="1" applyBorder="1" applyAlignment="1">
      <alignment horizontal="left"/>
    </xf>
    <xf numFmtId="0" fontId="27" fillId="0" borderId="0" xfId="6" applyFont="1"/>
    <xf numFmtId="0" fontId="26" fillId="0" borderId="0" xfId="6" applyFont="1" applyAlignment="1">
      <alignment horizontal="left"/>
    </xf>
    <xf numFmtId="0" fontId="26" fillId="0" borderId="0" xfId="6" applyFont="1" applyAlignment="1">
      <alignment horizontal="right"/>
    </xf>
    <xf numFmtId="0" fontId="25" fillId="0" borderId="0" xfId="0" applyFont="1" applyAlignment="1">
      <alignment horizontal="right"/>
    </xf>
    <xf numFmtId="0" fontId="26" fillId="0" borderId="1" xfId="6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5" xfId="0" applyFont="1" applyBorder="1" applyAlignment="1">
      <alignment horizontal="center"/>
    </xf>
    <xf numFmtId="169" fontId="23" fillId="0" borderId="11" xfId="0" applyNumberFormat="1" applyFont="1" applyBorder="1" applyAlignment="1">
      <alignment horizontal="left"/>
    </xf>
    <xf numFmtId="2" fontId="23" fillId="0" borderId="6" xfId="2" applyNumberFormat="1" applyFont="1" applyFill="1" applyBorder="1" applyAlignment="1">
      <alignment horizontal="center"/>
    </xf>
    <xf numFmtId="2" fontId="23" fillId="0" borderId="0" xfId="2" applyNumberFormat="1" applyFont="1" applyFill="1" applyBorder="1" applyAlignment="1">
      <alignment horizontal="center"/>
    </xf>
    <xf numFmtId="2" fontId="18" fillId="0" borderId="7" xfId="2" applyNumberFormat="1" applyFont="1" applyFill="1" applyBorder="1" applyAlignment="1">
      <alignment horizontal="center"/>
    </xf>
    <xf numFmtId="169" fontId="23" fillId="6" borderId="11" xfId="0" applyNumberFormat="1" applyFont="1" applyFill="1" applyBorder="1" applyAlignment="1">
      <alignment horizontal="left"/>
    </xf>
    <xf numFmtId="2" fontId="23" fillId="6" borderId="6" xfId="2" applyNumberFormat="1" applyFont="1" applyFill="1" applyBorder="1" applyAlignment="1">
      <alignment horizontal="center"/>
    </xf>
    <xf numFmtId="2" fontId="23" fillId="6" borderId="0" xfId="2" applyNumberFormat="1" applyFont="1" applyFill="1" applyBorder="1" applyAlignment="1">
      <alignment horizontal="center"/>
    </xf>
    <xf numFmtId="2" fontId="23" fillId="6" borderId="7" xfId="2" applyNumberFormat="1" applyFont="1" applyFill="1" applyBorder="1" applyAlignment="1">
      <alignment horizontal="center"/>
    </xf>
    <xf numFmtId="2" fontId="23" fillId="0" borderId="7" xfId="2" applyNumberFormat="1" applyFont="1" applyFill="1" applyBorder="1" applyAlignment="1">
      <alignment horizontal="center"/>
    </xf>
    <xf numFmtId="2" fontId="18" fillId="6" borderId="7" xfId="2" applyNumberFormat="1" applyFont="1" applyFill="1" applyBorder="1" applyAlignment="1">
      <alignment horizontal="center"/>
    </xf>
    <xf numFmtId="169" fontId="23" fillId="0" borderId="2" xfId="0" applyNumberFormat="1" applyFont="1" applyBorder="1" applyAlignment="1">
      <alignment horizontal="left"/>
    </xf>
    <xf numFmtId="2" fontId="23" fillId="0" borderId="8" xfId="2" applyNumberFormat="1" applyFont="1" applyFill="1" applyBorder="1" applyAlignment="1">
      <alignment horizontal="center"/>
    </xf>
    <xf numFmtId="2" fontId="23" fillId="0" borderId="9" xfId="2" applyNumberFormat="1" applyFont="1" applyFill="1" applyBorder="1" applyAlignment="1">
      <alignment horizontal="center"/>
    </xf>
    <xf numFmtId="2" fontId="18" fillId="0" borderId="10" xfId="2" applyNumberFormat="1" applyFont="1" applyFill="1" applyBorder="1" applyAlignment="1">
      <alignment horizontal="center"/>
    </xf>
    <xf numFmtId="0" fontId="20" fillId="0" borderId="12" xfId="0" applyFont="1" applyBorder="1" applyAlignment="1">
      <alignment vertical="center" wrapText="1"/>
    </xf>
    <xf numFmtId="0" fontId="20" fillId="0" borderId="13" xfId="0" applyFont="1" applyBorder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20" fillId="0" borderId="6" xfId="0" applyFont="1" applyBorder="1" applyAlignment="1">
      <alignment vertical="center"/>
    </xf>
    <xf numFmtId="0" fontId="20" fillId="0" borderId="0" xfId="0" applyFont="1" applyAlignment="1">
      <alignment vertical="center" wrapText="1"/>
    </xf>
    <xf numFmtId="0" fontId="0" fillId="0" borderId="7" xfId="0" applyBorder="1"/>
    <xf numFmtId="3" fontId="22" fillId="4" borderId="8" xfId="0" applyNumberFormat="1" applyFont="1" applyFill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0" fillId="0" borderId="9" xfId="0" applyBorder="1"/>
    <xf numFmtId="0" fontId="0" fillId="0" borderId="10" xfId="0" applyBorder="1"/>
    <xf numFmtId="2" fontId="0" fillId="0" borderId="0" xfId="0" applyNumberFormat="1"/>
    <xf numFmtId="0" fontId="2" fillId="0" borderId="1" xfId="0" applyFont="1" applyBorder="1" applyAlignment="1">
      <alignment horizontal="center" vertical="center"/>
    </xf>
    <xf numFmtId="10" fontId="6" fillId="0" borderId="1" xfId="2" applyNumberFormat="1" applyFont="1" applyBorder="1" applyAlignment="1">
      <alignment horizontal="center" vertical="center"/>
    </xf>
    <xf numFmtId="169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/>
    </xf>
    <xf numFmtId="42" fontId="4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42" fontId="7" fillId="7" borderId="1" xfId="0" applyNumberFormat="1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9" fontId="4" fillId="0" borderId="0" xfId="0" applyNumberFormat="1" applyFont="1" applyAlignment="1">
      <alignment horizontal="center" vertical="center"/>
    </xf>
    <xf numFmtId="42" fontId="4" fillId="8" borderId="1" xfId="0" applyNumberFormat="1" applyFont="1" applyFill="1" applyBorder="1" applyAlignment="1">
      <alignment horizontal="center" vertical="center"/>
    </xf>
    <xf numFmtId="42" fontId="4" fillId="8" borderId="1" xfId="0" applyNumberFormat="1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left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left" vertical="center"/>
    </xf>
    <xf numFmtId="0" fontId="4" fillId="7" borderId="4" xfId="0" applyFont="1" applyFill="1" applyBorder="1" applyAlignment="1">
      <alignment horizontal="center" vertical="center"/>
    </xf>
    <xf numFmtId="42" fontId="4" fillId="7" borderId="4" xfId="5" applyFont="1" applyFill="1" applyBorder="1" applyAlignment="1">
      <alignment horizontal="left" vertical="center"/>
    </xf>
    <xf numFmtId="42" fontId="29" fillId="7" borderId="5" xfId="0" applyNumberFormat="1" applyFont="1" applyFill="1" applyBorder="1"/>
    <xf numFmtId="0" fontId="4" fillId="7" borderId="4" xfId="0" applyFont="1" applyFill="1" applyBorder="1" applyAlignment="1">
      <alignment vertical="center"/>
    </xf>
    <xf numFmtId="42" fontId="4" fillId="7" borderId="5" xfId="0" applyNumberFormat="1" applyFont="1" applyFill="1" applyBorder="1" applyAlignment="1">
      <alignment horizontal="left" vertical="center"/>
    </xf>
    <xf numFmtId="0" fontId="29" fillId="7" borderId="5" xfId="0" applyFont="1" applyFill="1" applyBorder="1"/>
    <xf numFmtId="42" fontId="5" fillId="7" borderId="5" xfId="0" applyNumberFormat="1" applyFont="1" applyFill="1" applyBorder="1"/>
    <xf numFmtId="9" fontId="29" fillId="0" borderId="0" xfId="0" applyNumberFormat="1" applyFont="1" applyAlignment="1">
      <alignment horizontal="center"/>
    </xf>
    <xf numFmtId="0" fontId="10" fillId="0" borderId="0" xfId="0" applyFont="1" applyAlignment="1">
      <alignment vertical="center"/>
    </xf>
    <xf numFmtId="10" fontId="4" fillId="0" borderId="0" xfId="2" applyNumberFormat="1" applyFont="1" applyFill="1" applyBorder="1" applyAlignment="1">
      <alignment vertical="center"/>
    </xf>
    <xf numFmtId="9" fontId="5" fillId="0" borderId="0" xfId="0" applyNumberFormat="1" applyFont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2" fontId="6" fillId="2" borderId="1" xfId="5" applyFont="1" applyFill="1" applyBorder="1" applyAlignment="1">
      <alignment horizontal="right" vertical="center"/>
    </xf>
    <xf numFmtId="42" fontId="0" fillId="0" borderId="1" xfId="0" applyNumberFormat="1" applyBorder="1" applyAlignment="1"/>
    <xf numFmtId="44" fontId="0" fillId="0" borderId="1" xfId="1" applyFont="1" applyBorder="1" applyAlignment="1"/>
    <xf numFmtId="0" fontId="7" fillId="3" borderId="2" xfId="0" applyFont="1" applyFill="1" applyBorder="1" applyAlignment="1">
      <alignment horizontal="center" vertical="center"/>
    </xf>
    <xf numFmtId="44" fontId="0" fillId="0" borderId="1" xfId="0" applyNumberFormat="1" applyFont="1" applyBorder="1"/>
    <xf numFmtId="44" fontId="1" fillId="0" borderId="1" xfId="1" applyFont="1" applyBorder="1"/>
    <xf numFmtId="44" fontId="2" fillId="0" borderId="1" xfId="0" applyNumberFormat="1" applyFont="1" applyBorder="1"/>
    <xf numFmtId="0" fontId="0" fillId="0" borderId="1" xfId="0" applyBorder="1" applyAlignment="1">
      <alignment vertical="center"/>
    </xf>
    <xf numFmtId="0" fontId="32" fillId="0" borderId="0" xfId="0" applyFont="1"/>
    <xf numFmtId="42" fontId="33" fillId="7" borderId="1" xfId="0" applyNumberFormat="1" applyFont="1" applyFill="1" applyBorder="1" applyAlignment="1">
      <alignment vertical="center"/>
    </xf>
    <xf numFmtId="0" fontId="34" fillId="0" borderId="0" xfId="0" applyFont="1" applyAlignment="1"/>
    <xf numFmtId="44" fontId="35" fillId="7" borderId="1" xfId="0" applyNumberFormat="1" applyFont="1" applyFill="1" applyBorder="1"/>
    <xf numFmtId="0" fontId="34" fillId="0" borderId="0" xfId="0" applyFont="1"/>
    <xf numFmtId="0" fontId="1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5" borderId="0" xfId="0" applyFont="1" applyFill="1" applyAlignment="1">
      <alignment horizontal="center" vertical="center"/>
    </xf>
    <xf numFmtId="0" fontId="25" fillId="6" borderId="6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0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1" fillId="10" borderId="4" xfId="0" applyFont="1" applyFill="1" applyBorder="1" applyAlignment="1">
      <alignment horizontal="center"/>
    </xf>
    <xf numFmtId="0" fontId="14" fillId="9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33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30" fillId="7" borderId="1" xfId="0" applyFont="1" applyFill="1" applyBorder="1" applyAlignment="1">
      <alignment horizontal="center"/>
    </xf>
  </cellXfs>
  <cellStyles count="8">
    <cellStyle name="Millares 2" xfId="3" xr:uid="{849702C0-655E-434E-8022-AFB52925D7E3}"/>
    <cellStyle name="Moneda" xfId="1" builtinId="4"/>
    <cellStyle name="Moneda [0] 2" xfId="5" xr:uid="{2FB95D08-990E-4105-A367-D0DAA4D5A73A}"/>
    <cellStyle name="Moneda 2" xfId="4" xr:uid="{AD0BAF18-88DE-48EB-8011-680436266E6D}"/>
    <cellStyle name="Normal" xfId="0" builtinId="0"/>
    <cellStyle name="Normal 2 2" xfId="6" xr:uid="{99E525DD-DE77-4563-AE00-0AD6B448B14A}"/>
    <cellStyle name="Normal 3" xfId="7" xr:uid="{2E4CED78-F963-4ECD-9BDB-DA425B5A9432}"/>
    <cellStyle name="Porcentaje" xfId="2" builtinId="5"/>
  </cellStyles>
  <dxfs count="3"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8276552387473308E-2"/>
          <c:y val="6.9264069264069264E-2"/>
          <c:w val="0.92316499567988786"/>
          <c:h val="0.80262030882503321"/>
        </c:manualLayout>
      </c:layout>
      <c:lineChart>
        <c:grouping val="standard"/>
        <c:varyColors val="0"/>
        <c:ser>
          <c:idx val="0"/>
          <c:order val="0"/>
          <c:tx>
            <c:strRef>
              <c:f>'INDEXACIÓN Y HONORARIOS'!$B$27</c:f>
              <c:strCache>
                <c:ptCount val="1"/>
                <c:pt idx="0">
                  <c:v>Valores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'INDEXACIÓN Y HONORARIOS'!$B$28:$B$55</c:f>
              <c:numCache>
                <c:formatCode>0.00</c:formatCode>
                <c:ptCount val="28"/>
                <c:pt idx="0">
                  <c:v>6.49</c:v>
                </c:pt>
                <c:pt idx="1">
                  <c:v>5.5</c:v>
                </c:pt>
                <c:pt idx="2">
                  <c:v>4.8499999999999996</c:v>
                </c:pt>
                <c:pt idx="3">
                  <c:v>4.4800000000000004</c:v>
                </c:pt>
                <c:pt idx="4">
                  <c:v>5.69</c:v>
                </c:pt>
                <c:pt idx="5">
                  <c:v>7.67</c:v>
                </c:pt>
                <c:pt idx="6">
                  <c:v>2</c:v>
                </c:pt>
                <c:pt idx="7">
                  <c:v>3.17</c:v>
                </c:pt>
                <c:pt idx="8">
                  <c:v>3.73</c:v>
                </c:pt>
                <c:pt idx="9">
                  <c:v>2.44</c:v>
                </c:pt>
                <c:pt idx="10">
                  <c:v>1.94</c:v>
                </c:pt>
                <c:pt idx="11">
                  <c:v>3.66</c:v>
                </c:pt>
                <c:pt idx="12">
                  <c:v>6.77</c:v>
                </c:pt>
                <c:pt idx="13">
                  <c:v>5.75</c:v>
                </c:pt>
                <c:pt idx="14">
                  <c:v>4.09</c:v>
                </c:pt>
                <c:pt idx="15">
                  <c:v>3.18</c:v>
                </c:pt>
                <c:pt idx="16">
                  <c:v>3.8</c:v>
                </c:pt>
                <c:pt idx="17">
                  <c:v>1.61</c:v>
                </c:pt>
                <c:pt idx="18">
                  <c:v>5.62</c:v>
                </c:pt>
                <c:pt idx="19">
                  <c:v>13.12</c:v>
                </c:pt>
                <c:pt idx="20">
                  <c:v>9.2799999999999994</c:v>
                </c:pt>
                <c:pt idx="21">
                  <c:v>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E1-42EE-BA99-DE9AC97E8DCC}"/>
            </c:ext>
          </c:extLst>
        </c:ser>
        <c:ser>
          <c:idx val="1"/>
          <c:order val="1"/>
          <c:tx>
            <c:strRef>
              <c:f>'INDEXACIÓN Y HONORARIOS'!$C$27</c:f>
              <c:strCache>
                <c:ptCount val="1"/>
                <c:pt idx="0">
                  <c:v>Previsión</c:v>
                </c:pt>
              </c:strCache>
            </c:strRef>
          </c:tx>
          <c:spPr>
            <a:ln w="254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'INDEXACIÓN Y HONORARIOS'!$C$28:$C$55</c:f>
              <c:numCache>
                <c:formatCode>General</c:formatCode>
                <c:ptCount val="28"/>
                <c:pt idx="21" formatCode="0.00">
                  <c:v>5.2</c:v>
                </c:pt>
                <c:pt idx="22" formatCode="0.00">
                  <c:v>9.474395944373148</c:v>
                </c:pt>
                <c:pt idx="23" formatCode="0.00">
                  <c:v>10.457181544759898</c:v>
                </c:pt>
                <c:pt idx="24" formatCode="0.00">
                  <c:v>11.439967145146646</c:v>
                </c:pt>
                <c:pt idx="25" formatCode="0.00">
                  <c:v>12.422752745533394</c:v>
                </c:pt>
                <c:pt idx="26" formatCode="0.00">
                  <c:v>13.405538345920142</c:v>
                </c:pt>
                <c:pt idx="27" formatCode="0.00">
                  <c:v>14.388323946306892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E1-42EE-BA99-DE9AC97E8DCC}"/>
            </c:ext>
          </c:extLst>
        </c:ser>
        <c:ser>
          <c:idx val="2"/>
          <c:order val="2"/>
          <c:tx>
            <c:strRef>
              <c:f>'INDEXACIÓN Y HONORARIOS'!$D$27</c:f>
              <c:strCache>
                <c:ptCount val="1"/>
                <c:pt idx="0">
                  <c:v>Límite de confianza inferior</c:v>
                </c:pt>
              </c:strCache>
            </c:strRef>
          </c:tx>
          <c:spPr>
            <a:ln w="12700" cap="rnd">
              <a:solidFill>
                <a:srgbClr val="E873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'INDEXACIÓN Y HONORARIOS'!$D$28:$D$55</c:f>
              <c:numCache>
                <c:formatCode>General</c:formatCode>
                <c:ptCount val="28"/>
                <c:pt idx="21" formatCode="0.00">
                  <c:v>5.2</c:v>
                </c:pt>
                <c:pt idx="22" formatCode="0.00">
                  <c:v>4.0083838358517268</c:v>
                </c:pt>
                <c:pt idx="23" formatCode="0.00">
                  <c:v>4.8216170286592401</c:v>
                </c:pt>
                <c:pt idx="24" formatCode="0.00">
                  <c:v>5.4413407243898861</c:v>
                </c:pt>
                <c:pt idx="25" formatCode="0.00">
                  <c:v>5.828607752125559</c:v>
                </c:pt>
                <c:pt idx="26" formatCode="0.00">
                  <c:v>5.9764778096501106</c:v>
                </c:pt>
                <c:pt idx="27" formatCode="0.00">
                  <c:v>5.9005821400420047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6E1-42EE-BA99-DE9AC97E8DCC}"/>
            </c:ext>
          </c:extLst>
        </c:ser>
        <c:ser>
          <c:idx val="3"/>
          <c:order val="3"/>
          <c:tx>
            <c:strRef>
              <c:f>'INDEXACIÓN Y HONORARIOS'!$E$27</c:f>
              <c:strCache>
                <c:ptCount val="1"/>
                <c:pt idx="0">
                  <c:v>Límite de confianza superior</c:v>
                </c:pt>
              </c:strCache>
            </c:strRef>
          </c:tx>
          <c:spPr>
            <a:ln w="12700" cap="rnd">
              <a:solidFill>
                <a:srgbClr val="E87331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'INDEXACIÓN Y HONORARIOS'!$A$28:$A$55</c:f>
              <c:numCache>
                <c:formatCode>General</c:formatCode>
                <c:ptCount val="28"/>
                <c:pt idx="0">
                  <c:v>2003</c:v>
                </c:pt>
                <c:pt idx="1">
                  <c:v>2004</c:v>
                </c:pt>
                <c:pt idx="2">
                  <c:v>2005</c:v>
                </c:pt>
                <c:pt idx="3">
                  <c:v>2006</c:v>
                </c:pt>
                <c:pt idx="4">
                  <c:v>2007</c:v>
                </c:pt>
                <c:pt idx="5">
                  <c:v>2008</c:v>
                </c:pt>
                <c:pt idx="6">
                  <c:v>2009</c:v>
                </c:pt>
                <c:pt idx="7">
                  <c:v>2010</c:v>
                </c:pt>
                <c:pt idx="8">
                  <c:v>2011</c:v>
                </c:pt>
                <c:pt idx="9">
                  <c:v>2012</c:v>
                </c:pt>
                <c:pt idx="10">
                  <c:v>2013</c:v>
                </c:pt>
                <c:pt idx="11">
                  <c:v>2014</c:v>
                </c:pt>
                <c:pt idx="12">
                  <c:v>2015</c:v>
                </c:pt>
                <c:pt idx="13">
                  <c:v>2016</c:v>
                </c:pt>
                <c:pt idx="14">
                  <c:v>2017</c:v>
                </c:pt>
                <c:pt idx="15">
                  <c:v>2018</c:v>
                </c:pt>
                <c:pt idx="16">
                  <c:v>2019</c:v>
                </c:pt>
                <c:pt idx="17">
                  <c:v>2020</c:v>
                </c:pt>
                <c:pt idx="18">
                  <c:v>2021</c:v>
                </c:pt>
                <c:pt idx="19">
                  <c:v>2022</c:v>
                </c:pt>
                <c:pt idx="20">
                  <c:v>2023</c:v>
                </c:pt>
                <c:pt idx="21">
                  <c:v>2024</c:v>
                </c:pt>
                <c:pt idx="22">
                  <c:v>2025</c:v>
                </c:pt>
                <c:pt idx="23">
                  <c:v>2026</c:v>
                </c:pt>
                <c:pt idx="24">
                  <c:v>2027</c:v>
                </c:pt>
                <c:pt idx="25">
                  <c:v>2028</c:v>
                </c:pt>
                <c:pt idx="26">
                  <c:v>2029</c:v>
                </c:pt>
                <c:pt idx="27">
                  <c:v>2030</c:v>
                </c:pt>
              </c:numCache>
            </c:numRef>
          </c:cat>
          <c:val>
            <c:numRef>
              <c:f>'INDEXACIÓN Y HONORARIOS'!$E$28:$E$55</c:f>
              <c:numCache>
                <c:formatCode>General</c:formatCode>
                <c:ptCount val="28"/>
                <c:pt idx="21" formatCode="0.00">
                  <c:v>5.2</c:v>
                </c:pt>
                <c:pt idx="22" formatCode="0.00">
                  <c:v>14.940408052894568</c:v>
                </c:pt>
                <c:pt idx="23" formatCode="0.00">
                  <c:v>16.092746060860556</c:v>
                </c:pt>
                <c:pt idx="24" formatCode="0.00">
                  <c:v>17.438593565903407</c:v>
                </c:pt>
                <c:pt idx="25" formatCode="0.00">
                  <c:v>19.016897738941228</c:v>
                </c:pt>
                <c:pt idx="26" formatCode="0.00">
                  <c:v>20.834598882190175</c:v>
                </c:pt>
                <c:pt idx="27" formatCode="0.00">
                  <c:v>22.87606575257178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6E1-42EE-BA99-DE9AC97E8D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9630639"/>
        <c:axId val="679632079"/>
      </c:lineChart>
      <c:catAx>
        <c:axId val="679630639"/>
        <c:scaling>
          <c:orientation val="minMax"/>
        </c:scaling>
        <c:delete val="0"/>
        <c:axPos val="b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32079"/>
        <c:crosses val="autoZero"/>
        <c:auto val="1"/>
        <c:lblAlgn val="ctr"/>
        <c:lblOffset val="100"/>
        <c:noMultiLvlLbl val="0"/>
      </c:catAx>
      <c:valAx>
        <c:axId val="6796320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679630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259080</xdr:colOff>
      <xdr:row>26</xdr:row>
      <xdr:rowOff>106680</xdr:rowOff>
    </xdr:from>
    <xdr:to>
      <xdr:col>15</xdr:col>
      <xdr:colOff>1905</xdr:colOff>
      <xdr:row>47</xdr:row>
      <xdr:rowOff>70485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5A74DE87-BDB3-813E-3DA9-8A063ACDCF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22861</xdr:colOff>
      <xdr:row>1</xdr:row>
      <xdr:rowOff>0</xdr:rowOff>
    </xdr:from>
    <xdr:to>
      <xdr:col>9</xdr:col>
      <xdr:colOff>322158</xdr:colOff>
      <xdr:row>1</xdr:row>
      <xdr:rowOff>95249</xdr:rowOff>
    </xdr:to>
    <xdr:pic>
      <xdr:nvPicPr>
        <xdr:cNvPr id="3" name="Imagen 16">
          <a:extLst>
            <a:ext uri="{FF2B5EF4-FFF2-40B4-BE49-F238E27FC236}">
              <a16:creationId xmlns:a16="http://schemas.microsoft.com/office/drawing/2014/main" id="{8C97D798-02CF-449B-9FFB-A946EA0D96EA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22861" y="1524000"/>
          <a:ext cx="14733270" cy="952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</xdr:colOff>
      <xdr:row>0</xdr:row>
      <xdr:rowOff>0</xdr:rowOff>
    </xdr:from>
    <xdr:to>
      <xdr:col>1</xdr:col>
      <xdr:colOff>53340</xdr:colOff>
      <xdr:row>1</xdr:row>
      <xdr:rowOff>71709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E6FE75B-FB0D-4DC6-A172-11598B35E1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99" t="23700" b="26404"/>
        <a:stretch>
          <a:fillRect/>
        </a:stretch>
      </xdr:blipFill>
      <xdr:spPr bwMode="auto">
        <a:xfrm>
          <a:off x="7620" y="0"/>
          <a:ext cx="1219200" cy="742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239485</xdr:colOff>
      <xdr:row>0</xdr:row>
      <xdr:rowOff>97971</xdr:rowOff>
    </xdr:from>
    <xdr:ext cx="1145994" cy="1127632"/>
    <xdr:pic>
      <xdr:nvPicPr>
        <xdr:cNvPr id="2" name="Imagen 1">
          <a:extLst>
            <a:ext uri="{FF2B5EF4-FFF2-40B4-BE49-F238E27FC236}">
              <a16:creationId xmlns:a16="http://schemas.microsoft.com/office/drawing/2014/main" id="{BADA7AF0-6C60-4116-A0D1-DB7DF60DFD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25142" y="97971"/>
          <a:ext cx="1145994" cy="1127632"/>
        </a:xfrm>
        <a:prstGeom prst="rect">
          <a:avLst/>
        </a:prstGeom>
      </xdr:spPr>
    </xdr:pic>
    <xdr:clientData/>
  </xdr:oneCellAnchor>
  <xdr:oneCellAnchor>
    <xdr:from>
      <xdr:col>11</xdr:col>
      <xdr:colOff>2558142</xdr:colOff>
      <xdr:row>0</xdr:row>
      <xdr:rowOff>87086</xdr:rowOff>
    </xdr:from>
    <xdr:ext cx="1068553" cy="1051432"/>
    <xdr:pic>
      <xdr:nvPicPr>
        <xdr:cNvPr id="3" name="Imagen 2">
          <a:extLst>
            <a:ext uri="{FF2B5EF4-FFF2-40B4-BE49-F238E27FC236}">
              <a16:creationId xmlns:a16="http://schemas.microsoft.com/office/drawing/2014/main" id="{C376AD58-BFE3-4042-AB2A-6F8D121E90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838713" y="87086"/>
          <a:ext cx="1068553" cy="1051432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930254D-74B4-46E0-B948-DAE4561836E9}" name="Tabla6" displayName="Tabla6" ref="A27:E55" totalsRowShown="0">
  <autoFilter ref="A27:E55" xr:uid="{9930254D-74B4-46E0-B948-DAE4561836E9}"/>
  <tableColumns count="5">
    <tableColumn id="1" xr3:uid="{EA4DEBD9-9A6E-42C0-B2D7-5D3F520D4C5D}" name="Escala de tiempo"/>
    <tableColumn id="2" xr3:uid="{F45AF4C2-0C20-44BB-9622-CC7C05356B3D}" name="Valores"/>
    <tableColumn id="3" xr3:uid="{AB2F07AC-AD49-4293-B1EE-F19D9CBC3BC8}" name="Previsión" dataDxfId="2">
      <calculatedColumnFormula>_xlfn.FORECAST.ETS(A28,$B$28:$B$49,$A$28:$A$49,1,1)</calculatedColumnFormula>
    </tableColumn>
    <tableColumn id="4" xr3:uid="{B51A3B46-19D7-4E3E-90E8-800457C2F192}" name="Límite de confianza inferior" dataDxfId="1">
      <calculatedColumnFormula>C28-_xlfn.FORECAST.ETS.CONFINT(A28,$B$28:$B$49,$A$28:$A$49,0.95,1,1)</calculatedColumnFormula>
    </tableColumn>
    <tableColumn id="5" xr3:uid="{EE33A2F6-D008-4EE0-AD32-E3528E6A1786}" name="Límite de confianza superior" dataDxfId="0">
      <calculatedColumnFormula>C28+_xlfn.FORECAST.ETS.CONFINT(A28,$B$28:$B$49,$A$28:$A$49,0.95,1,1)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E52F7-115E-4264-8B0A-9EB9D99373BD}">
  <dimension ref="A1:X80"/>
  <sheetViews>
    <sheetView topLeftCell="A30" zoomScale="90" zoomScaleNormal="90" workbookViewId="0">
      <selection activeCell="C55" sqref="C55"/>
    </sheetView>
  </sheetViews>
  <sheetFormatPr baseColWidth="10" defaultRowHeight="14.4" x14ac:dyDescent="0.3"/>
  <cols>
    <col min="1" max="1" width="17.109375" customWidth="1"/>
    <col min="2" max="2" width="29.5546875" bestFit="1" customWidth="1"/>
    <col min="3" max="3" width="10.88671875" bestFit="1" customWidth="1"/>
    <col min="4" max="4" width="25.88671875" bestFit="1" customWidth="1"/>
    <col min="5" max="5" width="26.77734375" bestFit="1" customWidth="1"/>
    <col min="6" max="6" width="32.6640625" customWidth="1"/>
    <col min="7" max="8" width="28" bestFit="1" customWidth="1"/>
  </cols>
  <sheetData>
    <row r="1" spans="1:24" ht="52.8" customHeight="1" x14ac:dyDescent="0.3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</row>
    <row r="2" spans="1:24" x14ac:dyDescent="0.3">
      <c r="A2" s="63"/>
      <c r="B2" s="63"/>
      <c r="C2" s="63"/>
      <c r="D2" s="63"/>
      <c r="E2" s="63"/>
      <c r="F2" s="63"/>
      <c r="G2" s="63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</row>
    <row r="3" spans="1:24" x14ac:dyDescent="0.3">
      <c r="A3" s="154" t="s">
        <v>90</v>
      </c>
      <c r="B3" s="154"/>
      <c r="C3" s="154"/>
      <c r="D3" s="154"/>
      <c r="E3" s="154"/>
      <c r="F3" s="154"/>
      <c r="G3" s="154"/>
      <c r="H3" s="154"/>
      <c r="I3" s="154"/>
      <c r="J3" s="154"/>
      <c r="K3" s="154"/>
      <c r="L3" s="154"/>
      <c r="M3" s="154"/>
      <c r="N3" s="154"/>
      <c r="O3" s="154"/>
      <c r="P3" s="154"/>
      <c r="Q3" s="154"/>
      <c r="R3" s="154"/>
      <c r="S3" s="154"/>
      <c r="T3" s="154"/>
      <c r="U3" s="154"/>
      <c r="V3" s="154"/>
      <c r="W3" s="154"/>
      <c r="X3" s="154"/>
    </row>
    <row r="4" spans="1:24" x14ac:dyDescent="0.3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154"/>
      <c r="L4" s="154"/>
      <c r="M4" s="154"/>
      <c r="N4" s="154"/>
      <c r="O4" s="154"/>
      <c r="P4" s="154"/>
      <c r="Q4" s="154"/>
      <c r="R4" s="154"/>
      <c r="S4" s="154"/>
      <c r="T4" s="154"/>
      <c r="U4" s="154"/>
      <c r="V4" s="154"/>
      <c r="W4" s="154"/>
      <c r="X4" s="154"/>
    </row>
    <row r="5" spans="1:24" x14ac:dyDescent="0.3">
      <c r="A5" s="155" t="s">
        <v>91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  <c r="V5" s="156"/>
      <c r="W5" s="156"/>
      <c r="X5" s="156"/>
    </row>
    <row r="6" spans="1:24" x14ac:dyDescent="0.3">
      <c r="A6" s="64" t="s">
        <v>92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6"/>
      <c r="P6" s="67"/>
      <c r="X6" s="68" t="s">
        <v>93</v>
      </c>
    </row>
    <row r="7" spans="1:24" x14ac:dyDescent="0.3">
      <c r="A7" s="69" t="s">
        <v>94</v>
      </c>
      <c r="B7" s="70">
        <v>2003</v>
      </c>
      <c r="C7" s="71">
        <v>2004</v>
      </c>
      <c r="D7" s="71">
        <v>2005</v>
      </c>
      <c r="E7" s="71">
        <v>2006</v>
      </c>
      <c r="F7" s="71">
        <v>2007</v>
      </c>
      <c r="G7" s="71">
        <v>2008</v>
      </c>
      <c r="H7" s="71">
        <v>2009</v>
      </c>
      <c r="I7" s="71">
        <v>2010</v>
      </c>
      <c r="J7" s="71">
        <v>2011</v>
      </c>
      <c r="K7" s="71">
        <v>2012</v>
      </c>
      <c r="L7" s="71">
        <v>2013</v>
      </c>
      <c r="M7" s="71">
        <v>2014</v>
      </c>
      <c r="N7" s="71">
        <v>2015</v>
      </c>
      <c r="O7" s="71">
        <v>2016</v>
      </c>
      <c r="P7" s="71">
        <v>2017</v>
      </c>
      <c r="Q7" s="71">
        <v>2018</v>
      </c>
      <c r="R7" s="71">
        <v>2019</v>
      </c>
      <c r="S7" s="71">
        <v>2020</v>
      </c>
      <c r="T7" s="71">
        <v>2021</v>
      </c>
      <c r="U7" s="71">
        <v>2022</v>
      </c>
      <c r="V7" s="71">
        <v>2023</v>
      </c>
      <c r="W7" s="71">
        <v>2024</v>
      </c>
      <c r="X7" s="72">
        <v>2025</v>
      </c>
    </row>
    <row r="8" spans="1:24" x14ac:dyDescent="0.3">
      <c r="A8" s="73" t="s">
        <v>95</v>
      </c>
      <c r="B8" s="74">
        <v>1.17</v>
      </c>
      <c r="C8" s="75">
        <v>0.89</v>
      </c>
      <c r="D8" s="75">
        <v>0.82</v>
      </c>
      <c r="E8" s="75">
        <v>0.54</v>
      </c>
      <c r="F8" s="75">
        <v>0.77</v>
      </c>
      <c r="G8" s="75">
        <v>1.06</v>
      </c>
      <c r="H8" s="75">
        <v>0.59</v>
      </c>
      <c r="I8" s="75">
        <v>0.69</v>
      </c>
      <c r="J8" s="75">
        <v>0.91</v>
      </c>
      <c r="K8" s="75">
        <v>0.73</v>
      </c>
      <c r="L8" s="75">
        <v>0.3</v>
      </c>
      <c r="M8" s="75">
        <v>0.49</v>
      </c>
      <c r="N8" s="75">
        <v>0.64</v>
      </c>
      <c r="O8" s="75">
        <v>1.29</v>
      </c>
      <c r="P8" s="75">
        <v>1.02</v>
      </c>
      <c r="Q8" s="75">
        <v>0.63</v>
      </c>
      <c r="R8" s="75">
        <v>0.6</v>
      </c>
      <c r="S8" s="75">
        <v>0.42</v>
      </c>
      <c r="T8" s="75">
        <v>0.41</v>
      </c>
      <c r="U8" s="75">
        <v>1.67</v>
      </c>
      <c r="V8" s="75">
        <v>1.78</v>
      </c>
      <c r="W8" s="75">
        <v>0.92</v>
      </c>
      <c r="X8" s="76">
        <v>0.94</v>
      </c>
    </row>
    <row r="9" spans="1:24" x14ac:dyDescent="0.3">
      <c r="A9" s="77" t="s">
        <v>96</v>
      </c>
      <c r="B9" s="78">
        <v>1.1100000000000001</v>
      </c>
      <c r="C9" s="79">
        <v>1.2</v>
      </c>
      <c r="D9" s="79">
        <v>1.02</v>
      </c>
      <c r="E9" s="79">
        <v>0.66</v>
      </c>
      <c r="F9" s="79">
        <v>1.17</v>
      </c>
      <c r="G9" s="79">
        <v>1.51</v>
      </c>
      <c r="H9" s="79">
        <v>0.84</v>
      </c>
      <c r="I9" s="79">
        <v>0.83</v>
      </c>
      <c r="J9" s="79">
        <v>0.6</v>
      </c>
      <c r="K9" s="79">
        <v>0.61</v>
      </c>
      <c r="L9" s="79">
        <v>0.44</v>
      </c>
      <c r="M9" s="79">
        <v>0.63</v>
      </c>
      <c r="N9" s="79">
        <v>1.1499999999999999</v>
      </c>
      <c r="O9" s="79">
        <v>1.28</v>
      </c>
      <c r="P9" s="79">
        <v>1.01</v>
      </c>
      <c r="Q9" s="79">
        <v>0.71</v>
      </c>
      <c r="R9" s="79">
        <v>0.56999999999999995</v>
      </c>
      <c r="S9" s="79">
        <v>0.67</v>
      </c>
      <c r="T9" s="79">
        <v>0.64</v>
      </c>
      <c r="U9" s="79">
        <v>1.63</v>
      </c>
      <c r="V9" s="79">
        <v>1.66</v>
      </c>
      <c r="W9" s="79">
        <v>1.0900000000000001</v>
      </c>
      <c r="X9" s="80">
        <v>1.1399999999999999</v>
      </c>
    </row>
    <row r="10" spans="1:24" x14ac:dyDescent="0.3">
      <c r="A10" s="73" t="s">
        <v>97</v>
      </c>
      <c r="B10" s="74">
        <v>1.05</v>
      </c>
      <c r="C10" s="75">
        <v>0.98</v>
      </c>
      <c r="D10" s="75">
        <v>0.77</v>
      </c>
      <c r="E10" s="75">
        <v>0.7</v>
      </c>
      <c r="F10" s="75">
        <v>1.21</v>
      </c>
      <c r="G10" s="75">
        <v>0.81</v>
      </c>
      <c r="H10" s="75">
        <v>0.5</v>
      </c>
      <c r="I10" s="75">
        <v>0.25</v>
      </c>
      <c r="J10" s="75">
        <v>0.27</v>
      </c>
      <c r="K10" s="75">
        <v>0.12</v>
      </c>
      <c r="L10" s="75">
        <v>0.21</v>
      </c>
      <c r="M10" s="75">
        <v>0.39</v>
      </c>
      <c r="N10" s="75">
        <v>0.59</v>
      </c>
      <c r="O10" s="75">
        <v>0.94</v>
      </c>
      <c r="P10" s="75">
        <v>0.47</v>
      </c>
      <c r="Q10" s="75">
        <v>0.24</v>
      </c>
      <c r="R10" s="75">
        <v>0.43</v>
      </c>
      <c r="S10" s="75">
        <v>0.56999999999999995</v>
      </c>
      <c r="T10" s="75">
        <v>0.51</v>
      </c>
      <c r="U10" s="75">
        <v>1</v>
      </c>
      <c r="V10" s="75">
        <v>1.05</v>
      </c>
      <c r="W10" s="75">
        <v>0.7</v>
      </c>
      <c r="X10" s="81">
        <v>0.52</v>
      </c>
    </row>
    <row r="11" spans="1:24" x14ac:dyDescent="0.3">
      <c r="A11" s="77" t="s">
        <v>98</v>
      </c>
      <c r="B11" s="78">
        <v>1.1499999999999999</v>
      </c>
      <c r="C11" s="79">
        <v>0.46</v>
      </c>
      <c r="D11" s="79">
        <v>0.44</v>
      </c>
      <c r="E11" s="79">
        <v>0.45</v>
      </c>
      <c r="F11" s="79">
        <v>0.9</v>
      </c>
      <c r="G11" s="79">
        <v>0.71</v>
      </c>
      <c r="H11" s="79">
        <v>0.32</v>
      </c>
      <c r="I11" s="79">
        <v>0.46</v>
      </c>
      <c r="J11" s="79">
        <v>0.12</v>
      </c>
      <c r="K11" s="79">
        <v>0.14000000000000001</v>
      </c>
      <c r="L11" s="79">
        <v>0.25</v>
      </c>
      <c r="M11" s="79">
        <v>0.46</v>
      </c>
      <c r="N11" s="79">
        <v>0.54</v>
      </c>
      <c r="O11" s="79">
        <v>0.5</v>
      </c>
      <c r="P11" s="79">
        <v>0.47</v>
      </c>
      <c r="Q11" s="79">
        <v>0.46</v>
      </c>
      <c r="R11" s="79">
        <v>0.5</v>
      </c>
      <c r="S11" s="79">
        <v>0.16</v>
      </c>
      <c r="T11" s="79">
        <v>0.59</v>
      </c>
      <c r="U11" s="79">
        <v>1.25</v>
      </c>
      <c r="V11" s="79">
        <v>0.78</v>
      </c>
      <c r="W11" s="79">
        <v>0.59</v>
      </c>
      <c r="X11" s="80">
        <v>0.66</v>
      </c>
    </row>
    <row r="12" spans="1:24" x14ac:dyDescent="0.3">
      <c r="A12" s="73" t="s">
        <v>99</v>
      </c>
      <c r="B12" s="74">
        <v>0.49</v>
      </c>
      <c r="C12" s="75">
        <v>0.38</v>
      </c>
      <c r="D12" s="75">
        <v>0.41</v>
      </c>
      <c r="E12" s="75">
        <v>0.33</v>
      </c>
      <c r="F12" s="75">
        <v>0.3</v>
      </c>
      <c r="G12" s="75">
        <v>0.93</v>
      </c>
      <c r="H12" s="75">
        <v>0.01</v>
      </c>
      <c r="I12" s="75">
        <v>0.1</v>
      </c>
      <c r="J12" s="75">
        <v>0.28000000000000003</v>
      </c>
      <c r="K12" s="75">
        <v>0.3</v>
      </c>
      <c r="L12" s="75">
        <v>0.28000000000000003</v>
      </c>
      <c r="M12" s="75">
        <v>0.48</v>
      </c>
      <c r="N12" s="75">
        <v>0.26</v>
      </c>
      <c r="O12" s="75">
        <v>0.51</v>
      </c>
      <c r="P12" s="75">
        <v>0.23</v>
      </c>
      <c r="Q12" s="75">
        <v>0.25</v>
      </c>
      <c r="R12" s="75">
        <v>0.31</v>
      </c>
      <c r="S12" s="75">
        <v>-0.32</v>
      </c>
      <c r="T12" s="75">
        <v>1</v>
      </c>
      <c r="U12" s="75">
        <v>0.84</v>
      </c>
      <c r="V12" s="75">
        <v>0.43</v>
      </c>
      <c r="W12" s="75">
        <v>0.43</v>
      </c>
      <c r="X12" s="81"/>
    </row>
    <row r="13" spans="1:24" x14ac:dyDescent="0.3">
      <c r="A13" s="77" t="s">
        <v>100</v>
      </c>
      <c r="B13" s="78">
        <v>-0.05</v>
      </c>
      <c r="C13" s="79">
        <v>0.6</v>
      </c>
      <c r="D13" s="79">
        <v>0.4</v>
      </c>
      <c r="E13" s="79">
        <v>0.3</v>
      </c>
      <c r="F13" s="79">
        <v>0.12</v>
      </c>
      <c r="G13" s="79">
        <v>0.86</v>
      </c>
      <c r="H13" s="79">
        <v>-0.06</v>
      </c>
      <c r="I13" s="79">
        <v>0.11</v>
      </c>
      <c r="J13" s="79">
        <v>0.32</v>
      </c>
      <c r="K13" s="79">
        <v>0.08</v>
      </c>
      <c r="L13" s="79">
        <v>0.23</v>
      </c>
      <c r="M13" s="79">
        <v>0.09</v>
      </c>
      <c r="N13" s="79">
        <v>0.1</v>
      </c>
      <c r="O13" s="79">
        <v>0.48</v>
      </c>
      <c r="P13" s="79">
        <v>0.11</v>
      </c>
      <c r="Q13" s="79">
        <v>0.15</v>
      </c>
      <c r="R13" s="79">
        <v>0.27</v>
      </c>
      <c r="S13" s="79">
        <v>-0.38</v>
      </c>
      <c r="T13" s="79">
        <v>-0.05</v>
      </c>
      <c r="U13" s="79">
        <v>0.51</v>
      </c>
      <c r="V13" s="79">
        <v>0.3</v>
      </c>
      <c r="W13" s="79">
        <v>0.32</v>
      </c>
      <c r="X13" s="80"/>
    </row>
    <row r="14" spans="1:24" x14ac:dyDescent="0.3">
      <c r="A14" s="73" t="s">
        <v>101</v>
      </c>
      <c r="B14" s="74">
        <v>-0.14000000000000001</v>
      </c>
      <c r="C14" s="75">
        <v>-0.03</v>
      </c>
      <c r="D14" s="75">
        <v>0.05</v>
      </c>
      <c r="E14" s="75">
        <v>0.41</v>
      </c>
      <c r="F14" s="75">
        <v>0.17</v>
      </c>
      <c r="G14" s="75">
        <v>0.48</v>
      </c>
      <c r="H14" s="75">
        <v>-0.04</v>
      </c>
      <c r="I14" s="75">
        <v>-0.04</v>
      </c>
      <c r="J14" s="75">
        <v>0.14000000000000001</v>
      </c>
      <c r="K14" s="75">
        <v>-0.02</v>
      </c>
      <c r="L14" s="75">
        <v>0.04</v>
      </c>
      <c r="M14" s="75">
        <v>0.15</v>
      </c>
      <c r="N14" s="75">
        <v>0.19</v>
      </c>
      <c r="O14" s="75">
        <v>0.52</v>
      </c>
      <c r="P14" s="75">
        <v>-0.05</v>
      </c>
      <c r="Q14" s="75">
        <v>-0.13</v>
      </c>
      <c r="R14" s="75">
        <v>0.22</v>
      </c>
      <c r="S14" s="75">
        <v>0</v>
      </c>
      <c r="T14" s="75">
        <v>0.32</v>
      </c>
      <c r="U14" s="75">
        <v>0.81</v>
      </c>
      <c r="V14" s="75">
        <v>0.5</v>
      </c>
      <c r="W14" s="75">
        <v>0.2</v>
      </c>
      <c r="X14" s="76"/>
    </row>
    <row r="15" spans="1:24" x14ac:dyDescent="0.3">
      <c r="A15" s="77" t="s">
        <v>102</v>
      </c>
      <c r="B15" s="78">
        <v>0.31</v>
      </c>
      <c r="C15" s="79">
        <v>0.03</v>
      </c>
      <c r="D15" s="79">
        <v>0</v>
      </c>
      <c r="E15" s="79">
        <v>0.39</v>
      </c>
      <c r="F15" s="79">
        <v>-0.13</v>
      </c>
      <c r="G15" s="79">
        <v>0.19</v>
      </c>
      <c r="H15" s="79">
        <v>0.04</v>
      </c>
      <c r="I15" s="79">
        <v>0.11</v>
      </c>
      <c r="J15" s="79">
        <v>-0.03</v>
      </c>
      <c r="K15" s="79">
        <v>0.04</v>
      </c>
      <c r="L15" s="79">
        <v>0.08</v>
      </c>
      <c r="M15" s="79">
        <v>0.2</v>
      </c>
      <c r="N15" s="79">
        <v>0.48</v>
      </c>
      <c r="O15" s="79">
        <v>-0.32</v>
      </c>
      <c r="P15" s="79">
        <v>0.14000000000000001</v>
      </c>
      <c r="Q15" s="79">
        <v>0.12</v>
      </c>
      <c r="R15" s="79">
        <v>0.09</v>
      </c>
      <c r="S15" s="79">
        <v>-0.01</v>
      </c>
      <c r="T15" s="79">
        <v>0.45</v>
      </c>
      <c r="U15" s="79">
        <v>1.02</v>
      </c>
      <c r="V15" s="79">
        <v>0.7</v>
      </c>
      <c r="W15" s="79">
        <v>0</v>
      </c>
      <c r="X15" s="80"/>
    </row>
    <row r="16" spans="1:24" x14ac:dyDescent="0.3">
      <c r="A16" s="73" t="s">
        <v>103</v>
      </c>
      <c r="B16" s="74">
        <v>0.22</v>
      </c>
      <c r="C16" s="75">
        <v>0.3</v>
      </c>
      <c r="D16" s="75">
        <v>0.43</v>
      </c>
      <c r="E16" s="75">
        <v>0.28999999999999998</v>
      </c>
      <c r="F16" s="75">
        <v>0.08</v>
      </c>
      <c r="G16" s="75">
        <v>-0.19</v>
      </c>
      <c r="H16" s="75">
        <v>-0.11</v>
      </c>
      <c r="I16" s="75">
        <v>-0.14000000000000001</v>
      </c>
      <c r="J16" s="75">
        <v>0.31</v>
      </c>
      <c r="K16" s="75">
        <v>0.28999999999999998</v>
      </c>
      <c r="L16" s="75">
        <v>0.28999999999999998</v>
      </c>
      <c r="M16" s="75">
        <v>0.14000000000000001</v>
      </c>
      <c r="N16" s="75">
        <v>0.72</v>
      </c>
      <c r="O16" s="75">
        <v>-0.05</v>
      </c>
      <c r="P16" s="75">
        <v>0.04</v>
      </c>
      <c r="Q16" s="75">
        <v>0.16</v>
      </c>
      <c r="R16" s="75">
        <v>0.23</v>
      </c>
      <c r="S16" s="75">
        <v>0.32</v>
      </c>
      <c r="T16" s="75">
        <v>0.38</v>
      </c>
      <c r="U16" s="75">
        <v>0.93</v>
      </c>
      <c r="V16" s="75">
        <v>0.54</v>
      </c>
      <c r="W16" s="75">
        <v>0.24</v>
      </c>
      <c r="X16" s="81"/>
    </row>
    <row r="17" spans="1:24" x14ac:dyDescent="0.3">
      <c r="A17" s="77" t="s">
        <v>104</v>
      </c>
      <c r="B17" s="78">
        <v>0.06</v>
      </c>
      <c r="C17" s="79">
        <v>-0.01</v>
      </c>
      <c r="D17" s="79">
        <v>0.23</v>
      </c>
      <c r="E17" s="79">
        <v>-0.14000000000000001</v>
      </c>
      <c r="F17" s="79">
        <v>0.01</v>
      </c>
      <c r="G17" s="79">
        <v>0.35</v>
      </c>
      <c r="H17" s="79">
        <v>-0.13</v>
      </c>
      <c r="I17" s="79">
        <v>-0.09</v>
      </c>
      <c r="J17" s="79">
        <v>0.19</v>
      </c>
      <c r="K17" s="79">
        <v>0.16</v>
      </c>
      <c r="L17" s="79">
        <v>-0.26</v>
      </c>
      <c r="M17" s="79">
        <v>0.16</v>
      </c>
      <c r="N17" s="79">
        <v>0.68</v>
      </c>
      <c r="O17" s="79">
        <v>-0.06</v>
      </c>
      <c r="P17" s="79">
        <v>0.02</v>
      </c>
      <c r="Q17" s="79">
        <v>0.12</v>
      </c>
      <c r="R17" s="79">
        <v>0.16</v>
      </c>
      <c r="S17" s="79">
        <v>-0.06</v>
      </c>
      <c r="T17" s="79">
        <v>0.01</v>
      </c>
      <c r="U17" s="79">
        <v>0.72</v>
      </c>
      <c r="V17" s="79">
        <v>0.25</v>
      </c>
      <c r="W17" s="79">
        <v>-0.13</v>
      </c>
      <c r="X17" s="80"/>
    </row>
    <row r="18" spans="1:24" x14ac:dyDescent="0.3">
      <c r="A18" s="73" t="s">
        <v>105</v>
      </c>
      <c r="B18" s="74">
        <v>0.35</v>
      </c>
      <c r="C18" s="75">
        <v>0.28000000000000003</v>
      </c>
      <c r="D18" s="75">
        <v>0.11</v>
      </c>
      <c r="E18" s="75">
        <v>0.24</v>
      </c>
      <c r="F18" s="75">
        <v>0.47</v>
      </c>
      <c r="G18" s="75">
        <v>0.28000000000000003</v>
      </c>
      <c r="H18" s="75">
        <v>-7.0000000000000007E-2</v>
      </c>
      <c r="I18" s="75">
        <v>0.19</v>
      </c>
      <c r="J18" s="75">
        <v>0.14000000000000001</v>
      </c>
      <c r="K18" s="75">
        <v>-0.14000000000000001</v>
      </c>
      <c r="L18" s="75">
        <v>-0.22</v>
      </c>
      <c r="M18" s="75">
        <v>0.13</v>
      </c>
      <c r="N18" s="75">
        <v>0.6</v>
      </c>
      <c r="O18" s="75">
        <v>0.11</v>
      </c>
      <c r="P18" s="75">
        <v>0.18</v>
      </c>
      <c r="Q18" s="75">
        <v>0.12</v>
      </c>
      <c r="R18" s="75">
        <v>0.1</v>
      </c>
      <c r="S18" s="75">
        <v>-0.15</v>
      </c>
      <c r="T18" s="75">
        <v>0.5</v>
      </c>
      <c r="U18" s="75">
        <v>0.77</v>
      </c>
      <c r="V18" s="75">
        <v>0.47</v>
      </c>
      <c r="W18" s="75">
        <v>0.27</v>
      </c>
      <c r="X18" s="81"/>
    </row>
    <row r="19" spans="1:24" x14ac:dyDescent="0.3">
      <c r="A19" s="77" t="s">
        <v>106</v>
      </c>
      <c r="B19" s="78">
        <v>0.61</v>
      </c>
      <c r="C19" s="79">
        <v>0.3</v>
      </c>
      <c r="D19" s="79">
        <v>7.0000000000000007E-2</v>
      </c>
      <c r="E19" s="79">
        <v>0.23</v>
      </c>
      <c r="F19" s="79">
        <v>0.49</v>
      </c>
      <c r="G19" s="79">
        <v>0.44</v>
      </c>
      <c r="H19" s="79">
        <v>0.08</v>
      </c>
      <c r="I19" s="79">
        <v>0.65</v>
      </c>
      <c r="J19" s="79">
        <v>0.42</v>
      </c>
      <c r="K19" s="79">
        <v>0.09</v>
      </c>
      <c r="L19" s="79">
        <v>0.26</v>
      </c>
      <c r="M19" s="79">
        <v>0.27</v>
      </c>
      <c r="N19" s="79">
        <v>0.62</v>
      </c>
      <c r="O19" s="79">
        <v>0.42</v>
      </c>
      <c r="P19" s="79">
        <v>0.38</v>
      </c>
      <c r="Q19" s="79">
        <v>0.3</v>
      </c>
      <c r="R19" s="79">
        <v>0.26</v>
      </c>
      <c r="S19" s="79">
        <v>0.38</v>
      </c>
      <c r="T19" s="79">
        <v>0.73</v>
      </c>
      <c r="U19" s="79">
        <v>1.26</v>
      </c>
      <c r="V19" s="79">
        <v>0.45</v>
      </c>
      <c r="W19" s="79">
        <v>0.46</v>
      </c>
      <c r="X19" s="82"/>
    </row>
    <row r="20" spans="1:24" x14ac:dyDescent="0.3">
      <c r="A20" s="83" t="s">
        <v>107</v>
      </c>
      <c r="B20" s="84">
        <v>6.49</v>
      </c>
      <c r="C20" s="85">
        <v>5.5</v>
      </c>
      <c r="D20" s="85">
        <v>4.8499999999999996</v>
      </c>
      <c r="E20" s="85">
        <v>4.4800000000000004</v>
      </c>
      <c r="F20" s="85">
        <v>5.69</v>
      </c>
      <c r="G20" s="85">
        <v>7.67</v>
      </c>
      <c r="H20" s="85">
        <v>2</v>
      </c>
      <c r="I20" s="85">
        <v>3.17</v>
      </c>
      <c r="J20" s="85">
        <v>3.73</v>
      </c>
      <c r="K20" s="85">
        <v>2.44</v>
      </c>
      <c r="L20" s="85">
        <v>1.94</v>
      </c>
      <c r="M20" s="85">
        <v>3.66</v>
      </c>
      <c r="N20" s="85">
        <v>6.77</v>
      </c>
      <c r="O20" s="85">
        <v>5.75</v>
      </c>
      <c r="P20" s="85">
        <v>4.09</v>
      </c>
      <c r="Q20" s="85">
        <v>3.18</v>
      </c>
      <c r="R20" s="85">
        <v>3.8</v>
      </c>
      <c r="S20" s="85">
        <v>1.61</v>
      </c>
      <c r="T20" s="85">
        <v>5.62</v>
      </c>
      <c r="U20" s="85">
        <v>13.12</v>
      </c>
      <c r="V20" s="85">
        <v>9.2799999999999994</v>
      </c>
      <c r="W20" s="85">
        <v>5.2</v>
      </c>
      <c r="X20" s="86">
        <v>3.3</v>
      </c>
    </row>
    <row r="22" spans="1:24" x14ac:dyDescent="0.3">
      <c r="A22" s="87" t="s">
        <v>108</v>
      </c>
      <c r="B22" s="88"/>
      <c r="C22" s="88"/>
      <c r="D22" s="88"/>
      <c r="E22" s="88"/>
      <c r="F22" s="88"/>
      <c r="G22" s="88"/>
      <c r="H22" s="89"/>
      <c r="I22" s="89"/>
      <c r="J22" s="89"/>
      <c r="K22" s="89"/>
      <c r="L22" s="89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89"/>
      <c r="X22" s="90"/>
    </row>
    <row r="23" spans="1:24" x14ac:dyDescent="0.3">
      <c r="A23" s="91" t="s">
        <v>109</v>
      </c>
      <c r="B23" s="92"/>
      <c r="C23" s="92"/>
      <c r="D23" s="92"/>
      <c r="E23" s="92"/>
      <c r="F23" s="92"/>
      <c r="G23" s="92"/>
      <c r="X23" s="93"/>
    </row>
    <row r="24" spans="1:24" x14ac:dyDescent="0.3">
      <c r="A24" s="94" t="s">
        <v>89</v>
      </c>
      <c r="B24" s="95"/>
      <c r="C24" s="95"/>
      <c r="D24" s="95"/>
      <c r="E24" s="95"/>
      <c r="F24" s="95"/>
      <c r="G24" s="95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7"/>
    </row>
    <row r="26" spans="1:24" ht="25.2" customHeight="1" x14ac:dyDescent="0.3">
      <c r="A26" s="157" t="s">
        <v>118</v>
      </c>
      <c r="B26" s="157"/>
      <c r="C26" s="157"/>
      <c r="D26" s="157"/>
      <c r="E26" s="157"/>
      <c r="F26" s="157"/>
      <c r="G26" s="157"/>
      <c r="H26" s="157"/>
      <c r="I26" s="157"/>
      <c r="J26" s="157"/>
      <c r="K26" s="157"/>
      <c r="L26" s="157"/>
      <c r="M26" s="157"/>
      <c r="N26" s="157"/>
      <c r="O26" s="157"/>
    </row>
    <row r="27" spans="1:24" x14ac:dyDescent="0.3">
      <c r="A27" t="s">
        <v>110</v>
      </c>
      <c r="B27" t="s">
        <v>111</v>
      </c>
      <c r="C27" t="s">
        <v>112</v>
      </c>
      <c r="D27" t="s">
        <v>113</v>
      </c>
      <c r="E27" t="s">
        <v>114</v>
      </c>
    </row>
    <row r="28" spans="1:24" x14ac:dyDescent="0.3">
      <c r="A28">
        <v>2003</v>
      </c>
      <c r="B28" s="98">
        <v>6.49</v>
      </c>
    </row>
    <row r="29" spans="1:24" x14ac:dyDescent="0.3">
      <c r="A29">
        <v>2004</v>
      </c>
      <c r="B29" s="98">
        <v>5.5</v>
      </c>
    </row>
    <row r="30" spans="1:24" x14ac:dyDescent="0.3">
      <c r="A30">
        <v>2005</v>
      </c>
      <c r="B30" s="98">
        <v>4.8499999999999996</v>
      </c>
    </row>
    <row r="31" spans="1:24" x14ac:dyDescent="0.3">
      <c r="A31">
        <v>2006</v>
      </c>
      <c r="B31" s="98">
        <v>4.4800000000000004</v>
      </c>
    </row>
    <row r="32" spans="1:24" x14ac:dyDescent="0.3">
      <c r="A32">
        <v>2007</v>
      </c>
      <c r="B32" s="98">
        <v>5.69</v>
      </c>
    </row>
    <row r="33" spans="1:2" x14ac:dyDescent="0.3">
      <c r="A33">
        <v>2008</v>
      </c>
      <c r="B33" s="98">
        <v>7.67</v>
      </c>
    </row>
    <row r="34" spans="1:2" x14ac:dyDescent="0.3">
      <c r="A34">
        <v>2009</v>
      </c>
      <c r="B34" s="98">
        <v>2</v>
      </c>
    </row>
    <row r="35" spans="1:2" x14ac:dyDescent="0.3">
      <c r="A35">
        <v>2010</v>
      </c>
      <c r="B35" s="98">
        <v>3.17</v>
      </c>
    </row>
    <row r="36" spans="1:2" x14ac:dyDescent="0.3">
      <c r="A36">
        <v>2011</v>
      </c>
      <c r="B36" s="98">
        <v>3.73</v>
      </c>
    </row>
    <row r="37" spans="1:2" x14ac:dyDescent="0.3">
      <c r="A37">
        <v>2012</v>
      </c>
      <c r="B37" s="98">
        <v>2.44</v>
      </c>
    </row>
    <row r="38" spans="1:2" x14ac:dyDescent="0.3">
      <c r="A38">
        <v>2013</v>
      </c>
      <c r="B38" s="98">
        <v>1.94</v>
      </c>
    </row>
    <row r="39" spans="1:2" x14ac:dyDescent="0.3">
      <c r="A39">
        <v>2014</v>
      </c>
      <c r="B39" s="98">
        <v>3.66</v>
      </c>
    </row>
    <row r="40" spans="1:2" x14ac:dyDescent="0.3">
      <c r="A40">
        <v>2015</v>
      </c>
      <c r="B40" s="98">
        <v>6.77</v>
      </c>
    </row>
    <row r="41" spans="1:2" x14ac:dyDescent="0.3">
      <c r="A41">
        <v>2016</v>
      </c>
      <c r="B41" s="98">
        <v>5.75</v>
      </c>
    </row>
    <row r="42" spans="1:2" x14ac:dyDescent="0.3">
      <c r="A42">
        <v>2017</v>
      </c>
      <c r="B42" s="98">
        <v>4.09</v>
      </c>
    </row>
    <row r="43" spans="1:2" x14ac:dyDescent="0.3">
      <c r="A43">
        <v>2018</v>
      </c>
      <c r="B43" s="98">
        <v>3.18</v>
      </c>
    </row>
    <row r="44" spans="1:2" x14ac:dyDescent="0.3">
      <c r="A44">
        <v>2019</v>
      </c>
      <c r="B44" s="98">
        <v>3.8</v>
      </c>
    </row>
    <row r="45" spans="1:2" x14ac:dyDescent="0.3">
      <c r="A45">
        <v>2020</v>
      </c>
      <c r="B45" s="98">
        <v>1.61</v>
      </c>
    </row>
    <row r="46" spans="1:2" x14ac:dyDescent="0.3">
      <c r="A46">
        <v>2021</v>
      </c>
      <c r="B46" s="98">
        <v>5.62</v>
      </c>
    </row>
    <row r="47" spans="1:2" x14ac:dyDescent="0.3">
      <c r="A47">
        <v>2022</v>
      </c>
      <c r="B47" s="98">
        <v>13.12</v>
      </c>
    </row>
    <row r="48" spans="1:2" x14ac:dyDescent="0.3">
      <c r="A48">
        <v>2023</v>
      </c>
      <c r="B48" s="98">
        <v>9.2799999999999994</v>
      </c>
    </row>
    <row r="49" spans="1:15" x14ac:dyDescent="0.3">
      <c r="A49">
        <v>2024</v>
      </c>
      <c r="B49" s="98">
        <v>5.2</v>
      </c>
      <c r="C49" s="98">
        <v>5.2</v>
      </c>
      <c r="D49" s="98">
        <v>5.2</v>
      </c>
      <c r="E49" s="98">
        <v>5.2</v>
      </c>
    </row>
    <row r="50" spans="1:15" x14ac:dyDescent="0.3">
      <c r="A50">
        <v>2025</v>
      </c>
      <c r="C50" s="98">
        <f t="shared" ref="C50:C55" si="0">_xlfn.FORECAST.ETS(A50,$B$28:$B$49,$A$28:$A$49,1,1)</f>
        <v>9.474395944373148</v>
      </c>
      <c r="D50" s="98">
        <f t="shared" ref="D50:D55" si="1">C50-_xlfn.FORECAST.ETS.CONFINT(A50,$B$28:$B$49,$A$28:$A$49,0.95,1,1)</f>
        <v>4.0083838358517268</v>
      </c>
      <c r="E50" s="98">
        <f t="shared" ref="E50:E55" si="2">C50+_xlfn.FORECAST.ETS.CONFINT(A50,$B$28:$B$49,$A$28:$A$49,0.95,1,1)</f>
        <v>14.940408052894568</v>
      </c>
    </row>
    <row r="51" spans="1:15" x14ac:dyDescent="0.3">
      <c r="A51">
        <v>2026</v>
      </c>
      <c r="C51" s="98">
        <f t="shared" si="0"/>
        <v>10.457181544759898</v>
      </c>
      <c r="D51" s="98">
        <f t="shared" si="1"/>
        <v>4.8216170286592401</v>
      </c>
      <c r="E51" s="98">
        <f t="shared" si="2"/>
        <v>16.092746060860556</v>
      </c>
    </row>
    <row r="52" spans="1:15" x14ac:dyDescent="0.3">
      <c r="A52">
        <v>2027</v>
      </c>
      <c r="C52" s="98">
        <f t="shared" si="0"/>
        <v>11.439967145146646</v>
      </c>
      <c r="D52" s="98">
        <f t="shared" si="1"/>
        <v>5.4413407243898861</v>
      </c>
      <c r="E52" s="98">
        <f t="shared" si="2"/>
        <v>17.438593565903407</v>
      </c>
    </row>
    <row r="53" spans="1:15" x14ac:dyDescent="0.3">
      <c r="A53">
        <v>2028</v>
      </c>
      <c r="C53" s="98">
        <f t="shared" si="0"/>
        <v>12.422752745533394</v>
      </c>
      <c r="D53" s="98">
        <f t="shared" si="1"/>
        <v>5.828607752125559</v>
      </c>
      <c r="E53" s="98">
        <f t="shared" si="2"/>
        <v>19.016897738941228</v>
      </c>
    </row>
    <row r="54" spans="1:15" x14ac:dyDescent="0.3">
      <c r="A54">
        <v>2029</v>
      </c>
      <c r="C54" s="98">
        <f t="shared" si="0"/>
        <v>13.405538345920142</v>
      </c>
      <c r="D54" s="98">
        <f t="shared" si="1"/>
        <v>5.9764778096501106</v>
      </c>
      <c r="E54" s="98">
        <f t="shared" si="2"/>
        <v>20.834598882190175</v>
      </c>
    </row>
    <row r="55" spans="1:15" x14ac:dyDescent="0.3">
      <c r="A55">
        <v>2030</v>
      </c>
      <c r="C55" s="98">
        <f t="shared" si="0"/>
        <v>14.388323946306892</v>
      </c>
      <c r="D55" s="98">
        <f t="shared" si="1"/>
        <v>5.9005821400420047</v>
      </c>
      <c r="E55" s="98">
        <f t="shared" si="2"/>
        <v>22.87606575257178</v>
      </c>
    </row>
    <row r="57" spans="1:15" x14ac:dyDescent="0.3">
      <c r="A57" s="157" t="s">
        <v>119</v>
      </c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</row>
    <row r="58" spans="1:15" s="62" customFormat="1" ht="73.2" customHeight="1" x14ac:dyDescent="0.3">
      <c r="A58" s="151" t="s">
        <v>58</v>
      </c>
      <c r="B58" s="151" t="s">
        <v>59</v>
      </c>
      <c r="C58" s="151" t="s">
        <v>60</v>
      </c>
      <c r="D58" s="151"/>
      <c r="E58" s="152" t="s">
        <v>86</v>
      </c>
      <c r="F58" s="152"/>
      <c r="G58" s="99" t="s">
        <v>116</v>
      </c>
      <c r="H58" s="99" t="s">
        <v>117</v>
      </c>
    </row>
    <row r="59" spans="1:15" s="62" customFormat="1" ht="15.6" x14ac:dyDescent="0.3">
      <c r="A59" s="151"/>
      <c r="B59" s="151"/>
      <c r="C59" s="56" t="s">
        <v>61</v>
      </c>
      <c r="D59" s="56" t="s">
        <v>62</v>
      </c>
      <c r="E59" s="59" t="s">
        <v>87</v>
      </c>
      <c r="F59" s="59" t="s">
        <v>115</v>
      </c>
      <c r="G59" s="59" t="s">
        <v>120</v>
      </c>
      <c r="H59" s="59" t="s">
        <v>121</v>
      </c>
    </row>
    <row r="60" spans="1:15" s="62" customFormat="1" ht="31.2" x14ac:dyDescent="0.3">
      <c r="A60" s="57" t="s">
        <v>63</v>
      </c>
      <c r="B60" s="57" t="s">
        <v>64</v>
      </c>
      <c r="C60" s="57" t="s">
        <v>65</v>
      </c>
      <c r="D60" s="58" t="s">
        <v>66</v>
      </c>
      <c r="E60" s="60">
        <v>9107</v>
      </c>
      <c r="F60" s="61">
        <v>16543000</v>
      </c>
      <c r="G60" s="55">
        <f>+ROUND(F60*(1+$C$50/100),0)</f>
        <v>18110349</v>
      </c>
      <c r="H60" s="55">
        <f>+ROUND(G60*(1+$C$51/100),0)</f>
        <v>20004181</v>
      </c>
    </row>
    <row r="61" spans="1:15" s="62" customFormat="1" ht="31.2" x14ac:dyDescent="0.3">
      <c r="A61" s="57" t="s">
        <v>67</v>
      </c>
      <c r="B61" s="57" t="s">
        <v>64</v>
      </c>
      <c r="C61" s="57" t="s">
        <v>68</v>
      </c>
      <c r="D61" s="58" t="s">
        <v>69</v>
      </c>
      <c r="E61" s="60">
        <v>9108</v>
      </c>
      <c r="F61" s="61">
        <v>12608000</v>
      </c>
      <c r="G61" s="55">
        <f>+ROUND(F61*(1+$C$50/100),0)</f>
        <v>13802532</v>
      </c>
      <c r="H61" s="55">
        <f t="shared" ref="H61:H67" si="3">+ROUND(G61*(1+$C$51/100),0)</f>
        <v>15245888</v>
      </c>
    </row>
    <row r="62" spans="1:15" s="62" customFormat="1" ht="46.8" x14ac:dyDescent="0.3">
      <c r="A62" s="57" t="s">
        <v>70</v>
      </c>
      <c r="B62" s="57" t="s">
        <v>71</v>
      </c>
      <c r="C62" s="57" t="s">
        <v>69</v>
      </c>
      <c r="D62" s="58" t="s">
        <v>72</v>
      </c>
      <c r="E62" s="60">
        <v>9109</v>
      </c>
      <c r="F62" s="61">
        <v>10640000</v>
      </c>
      <c r="G62" s="55">
        <f t="shared" ref="G62:G67" si="4">+ROUND(F62*(1+$C$50/100),0)</f>
        <v>11648076</v>
      </c>
      <c r="H62" s="55">
        <f t="shared" si="3"/>
        <v>12866136</v>
      </c>
    </row>
    <row r="63" spans="1:15" ht="31.2" x14ac:dyDescent="0.3">
      <c r="A63" s="57" t="s">
        <v>73</v>
      </c>
      <c r="B63" s="57" t="s">
        <v>88</v>
      </c>
      <c r="C63" s="57" t="s">
        <v>74</v>
      </c>
      <c r="D63" s="58" t="s">
        <v>75</v>
      </c>
      <c r="E63" s="60">
        <v>9110</v>
      </c>
      <c r="F63" s="61">
        <v>9060000</v>
      </c>
      <c r="G63" s="55">
        <f t="shared" si="4"/>
        <v>9918380</v>
      </c>
      <c r="H63" s="55">
        <f t="shared" si="3"/>
        <v>10955563</v>
      </c>
    </row>
    <row r="64" spans="1:15" ht="46.8" x14ac:dyDescent="0.3">
      <c r="A64" s="57" t="s">
        <v>76</v>
      </c>
      <c r="B64" s="57" t="s">
        <v>77</v>
      </c>
      <c r="C64" s="57" t="s">
        <v>75</v>
      </c>
      <c r="D64" s="58" t="s">
        <v>78</v>
      </c>
      <c r="E64" s="60">
        <v>9111</v>
      </c>
      <c r="F64" s="61">
        <v>8172000</v>
      </c>
      <c r="G64" s="55">
        <f t="shared" si="4"/>
        <v>8946248</v>
      </c>
      <c r="H64" s="55">
        <f t="shared" si="3"/>
        <v>9881773</v>
      </c>
    </row>
    <row r="65" spans="1:8" ht="15.6" x14ac:dyDescent="0.3">
      <c r="A65" s="57" t="s">
        <v>79</v>
      </c>
      <c r="B65" s="57" t="s">
        <v>80</v>
      </c>
      <c r="C65" s="57" t="s">
        <v>78</v>
      </c>
      <c r="D65" s="58" t="s">
        <v>81</v>
      </c>
      <c r="E65" s="60">
        <v>9112</v>
      </c>
      <c r="F65" s="61">
        <v>7287000</v>
      </c>
      <c r="G65" s="55">
        <f t="shared" si="4"/>
        <v>7977399</v>
      </c>
      <c r="H65" s="55">
        <f t="shared" si="3"/>
        <v>8811610</v>
      </c>
    </row>
    <row r="66" spans="1:8" ht="15.6" x14ac:dyDescent="0.3">
      <c r="A66" s="57" t="s">
        <v>82</v>
      </c>
      <c r="B66" s="57" t="s">
        <v>80</v>
      </c>
      <c r="C66" s="57" t="s">
        <v>83</v>
      </c>
      <c r="D66" s="58"/>
      <c r="E66" s="60">
        <v>9113</v>
      </c>
      <c r="F66" s="61">
        <v>5510000</v>
      </c>
      <c r="G66" s="55">
        <f t="shared" si="4"/>
        <v>6032039</v>
      </c>
      <c r="H66" s="55">
        <f t="shared" si="3"/>
        <v>6662820</v>
      </c>
    </row>
    <row r="67" spans="1:8" ht="15.6" x14ac:dyDescent="0.3">
      <c r="A67" s="57" t="s">
        <v>84</v>
      </c>
      <c r="B67" s="57" t="s">
        <v>80</v>
      </c>
      <c r="C67" s="57" t="s">
        <v>85</v>
      </c>
      <c r="D67" s="58"/>
      <c r="E67" s="60">
        <v>9114</v>
      </c>
      <c r="F67" s="61">
        <v>5200000</v>
      </c>
      <c r="G67" s="55">
        <f t="shared" si="4"/>
        <v>5692669</v>
      </c>
      <c r="H67" s="55">
        <f t="shared" si="3"/>
        <v>6287962</v>
      </c>
    </row>
    <row r="80" spans="1:8" ht="20.25" customHeight="1" x14ac:dyDescent="0.3"/>
  </sheetData>
  <mergeCells count="9">
    <mergeCell ref="A58:A59"/>
    <mergeCell ref="B58:B59"/>
    <mergeCell ref="C58:D58"/>
    <mergeCell ref="E58:F58"/>
    <mergeCell ref="A1:X1"/>
    <mergeCell ref="A3:X4"/>
    <mergeCell ref="A5:X5"/>
    <mergeCell ref="A26:O26"/>
    <mergeCell ref="A57:O57"/>
  </mergeCells>
  <phoneticPr fontId="28" type="noConversion"/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7"/>
  <sheetViews>
    <sheetView tabSelected="1" topLeftCell="F63" zoomScale="70" zoomScaleNormal="70" workbookViewId="0">
      <selection activeCell="J53" sqref="J53"/>
    </sheetView>
  </sheetViews>
  <sheetFormatPr baseColWidth="10" defaultColWidth="11.44140625" defaultRowHeight="14.4" x14ac:dyDescent="0.3"/>
  <cols>
    <col min="1" max="1" width="1.33203125" customWidth="1"/>
    <col min="2" max="2" width="8.44140625" style="16" customWidth="1"/>
    <col min="3" max="3" width="63" style="38" bestFit="1" customWidth="1"/>
    <col min="4" max="4" width="16.44140625" style="38" customWidth="1"/>
    <col min="5" max="5" width="18.6640625" style="38" bestFit="1" customWidth="1"/>
    <col min="6" max="6" width="9.5546875" style="2" customWidth="1"/>
    <col min="7" max="7" width="13.5546875" style="39" customWidth="1"/>
    <col min="8" max="8" width="19.44140625" style="40" customWidth="1"/>
    <col min="9" max="9" width="20.109375" style="3" bestFit="1" customWidth="1"/>
    <col min="10" max="10" width="11.5546875" style="115" bestFit="1" customWidth="1"/>
    <col min="11" max="11" width="22.6640625" customWidth="1"/>
    <col min="12" max="12" width="55.33203125" bestFit="1" customWidth="1"/>
    <col min="13" max="13" width="45.88671875" customWidth="1"/>
  </cols>
  <sheetData>
    <row r="1" spans="1:13" ht="106.2" customHeight="1" x14ac:dyDescent="0.3">
      <c r="A1" s="176"/>
      <c r="B1" s="176"/>
      <c r="C1" s="176"/>
      <c r="D1" s="176"/>
      <c r="E1" s="176"/>
      <c r="F1" s="176"/>
      <c r="G1" s="176"/>
      <c r="H1" s="176"/>
      <c r="I1" s="176"/>
      <c r="K1" s="176"/>
      <c r="L1" s="176"/>
      <c r="M1" s="176"/>
    </row>
    <row r="2" spans="1:13" s="137" customFormat="1" ht="63" customHeight="1" x14ac:dyDescent="0.3">
      <c r="A2" s="159" t="s">
        <v>57</v>
      </c>
      <c r="B2" s="159"/>
      <c r="C2" s="159"/>
      <c r="D2" s="159"/>
      <c r="E2" s="159"/>
      <c r="F2" s="159"/>
      <c r="G2" s="159"/>
      <c r="H2" s="159"/>
      <c r="I2" s="159"/>
      <c r="J2" s="35"/>
      <c r="K2" s="159" t="s">
        <v>57</v>
      </c>
      <c r="L2" s="159"/>
      <c r="M2" s="159"/>
    </row>
    <row r="3" spans="1:13" x14ac:dyDescent="0.3">
      <c r="A3" s="177" t="s">
        <v>0</v>
      </c>
      <c r="B3" s="177"/>
      <c r="C3" s="177"/>
      <c r="D3" s="177"/>
      <c r="E3" s="177"/>
      <c r="F3" s="177"/>
      <c r="G3" s="177"/>
      <c r="H3" s="177"/>
      <c r="I3" s="177"/>
      <c r="K3" s="159"/>
      <c r="L3" s="159"/>
      <c r="M3" s="159"/>
    </row>
    <row r="4" spans="1:13" x14ac:dyDescent="0.3">
      <c r="A4" s="178" t="s">
        <v>161</v>
      </c>
      <c r="B4" s="178"/>
      <c r="C4" s="178"/>
      <c r="D4" s="178"/>
      <c r="E4" s="178"/>
      <c r="F4" s="178"/>
      <c r="G4" s="178"/>
      <c r="H4" s="178"/>
      <c r="I4" s="178"/>
      <c r="K4" s="152" t="s">
        <v>145</v>
      </c>
      <c r="L4" s="152"/>
      <c r="M4" s="152"/>
    </row>
    <row r="5" spans="1:13" ht="15.6" x14ac:dyDescent="0.3">
      <c r="A5" s="174" t="s">
        <v>56</v>
      </c>
      <c r="B5" s="174"/>
      <c r="C5" s="174"/>
      <c r="D5" s="174"/>
      <c r="E5" s="174"/>
      <c r="F5" s="174"/>
      <c r="G5" s="174"/>
      <c r="H5" s="174"/>
      <c r="I5" s="174"/>
      <c r="K5" s="152"/>
      <c r="L5" s="152"/>
      <c r="M5" s="152"/>
    </row>
    <row r="6" spans="1:13" x14ac:dyDescent="0.3">
      <c r="K6" s="152"/>
      <c r="L6" s="152"/>
      <c r="M6" s="152"/>
    </row>
    <row r="7" spans="1:13" ht="21" x14ac:dyDescent="0.4">
      <c r="B7" s="168" t="s">
        <v>1</v>
      </c>
      <c r="C7" s="166" t="s">
        <v>2</v>
      </c>
      <c r="D7" s="168" t="s">
        <v>122</v>
      </c>
      <c r="E7" s="166" t="s">
        <v>125</v>
      </c>
      <c r="F7" s="175" t="s">
        <v>6</v>
      </c>
      <c r="G7" s="181" t="s">
        <v>7</v>
      </c>
      <c r="H7" s="8" t="s">
        <v>4</v>
      </c>
      <c r="I7" s="8" t="s">
        <v>5</v>
      </c>
      <c r="K7" s="173" t="s">
        <v>147</v>
      </c>
      <c r="L7" s="173"/>
      <c r="M7" s="173"/>
    </row>
    <row r="8" spans="1:13" ht="85.2" customHeight="1" x14ac:dyDescent="0.3">
      <c r="B8" s="168"/>
      <c r="C8" s="166"/>
      <c r="D8" s="168"/>
      <c r="E8" s="166"/>
      <c r="F8" s="175"/>
      <c r="G8" s="182"/>
      <c r="H8" s="8" t="s">
        <v>8</v>
      </c>
      <c r="I8" s="8" t="s">
        <v>9</v>
      </c>
      <c r="K8" s="168" t="s">
        <v>1</v>
      </c>
      <c r="L8" s="141" t="s">
        <v>4</v>
      </c>
      <c r="M8" s="141" t="s">
        <v>5</v>
      </c>
    </row>
    <row r="9" spans="1:13" x14ac:dyDescent="0.3">
      <c r="A9" s="3"/>
      <c r="B9" s="3"/>
      <c r="C9" s="3"/>
      <c r="D9" s="3"/>
      <c r="E9" s="3"/>
      <c r="F9" s="116"/>
      <c r="G9" s="3"/>
      <c r="H9" s="3"/>
      <c r="K9" s="168"/>
      <c r="L9" s="113" t="s">
        <v>143</v>
      </c>
      <c r="M9" s="136" t="s">
        <v>144</v>
      </c>
    </row>
    <row r="10" spans="1:13" x14ac:dyDescent="0.3">
      <c r="B10" s="101">
        <v>10</v>
      </c>
      <c r="C10" s="102" t="s">
        <v>123</v>
      </c>
      <c r="D10" s="106"/>
      <c r="E10" s="106"/>
      <c r="F10" s="104"/>
      <c r="G10" s="103"/>
      <c r="H10" s="104"/>
      <c r="I10" s="105">
        <f>SUM(I11:I17)</f>
        <v>126609600</v>
      </c>
      <c r="K10" s="101">
        <v>10</v>
      </c>
      <c r="L10" s="104" t="s">
        <v>123</v>
      </c>
      <c r="M10" s="105">
        <f>SUM(M11:M17)</f>
        <v>126609600</v>
      </c>
    </row>
    <row r="11" spans="1:13" x14ac:dyDescent="0.3">
      <c r="B11" s="9" t="s">
        <v>10</v>
      </c>
      <c r="C11" s="10" t="s">
        <v>139</v>
      </c>
      <c r="D11" s="11">
        <v>1</v>
      </c>
      <c r="E11" s="11" t="s">
        <v>67</v>
      </c>
      <c r="F11" s="9">
        <v>9</v>
      </c>
      <c r="G11" s="100">
        <v>0.3</v>
      </c>
      <c r="H11" s="12">
        <f>+VLOOKUP(E11,'INDEXACIÓN Y HONORARIOS'!$A$60:$H$67,6,0)</f>
        <v>12608000</v>
      </c>
      <c r="I11" s="13">
        <f>+ROUND(D11*F11*H11*(G11),0)</f>
        <v>34041600</v>
      </c>
      <c r="K11" s="9" t="s">
        <v>10</v>
      </c>
      <c r="L11" s="138">
        <f>+H11</f>
        <v>12608000</v>
      </c>
      <c r="M11" s="13">
        <f>+ROUND(D11*F11*L11*(G11),0)</f>
        <v>34041600</v>
      </c>
    </row>
    <row r="12" spans="1:13" x14ac:dyDescent="0.3">
      <c r="B12" s="9" t="s">
        <v>11</v>
      </c>
      <c r="C12" s="14" t="s">
        <v>12</v>
      </c>
      <c r="D12" s="11">
        <v>1</v>
      </c>
      <c r="E12" s="11" t="s">
        <v>70</v>
      </c>
      <c r="F12" s="9">
        <v>9</v>
      </c>
      <c r="G12" s="100">
        <v>0.3</v>
      </c>
      <c r="H12" s="12">
        <f>+VLOOKUP(E12,'INDEXACIÓN Y HONORARIOS'!$A$60:$H$67,6,0)</f>
        <v>10640000</v>
      </c>
      <c r="I12" s="13">
        <f t="shared" ref="I12:I17" si="0">+ROUND(D12*F12*H12*(G12),0)</f>
        <v>28728000</v>
      </c>
      <c r="K12" s="9" t="s">
        <v>11</v>
      </c>
      <c r="L12" s="138">
        <f t="shared" ref="L12:L17" si="1">+H12</f>
        <v>10640000</v>
      </c>
      <c r="M12" s="13">
        <f t="shared" ref="M12:M17" si="2">+ROUND(D12*F12*L12*(G12),0)</f>
        <v>28728000</v>
      </c>
    </row>
    <row r="13" spans="1:13" x14ac:dyDescent="0.3">
      <c r="B13" s="9" t="s">
        <v>13</v>
      </c>
      <c r="C13" s="14" t="s">
        <v>14</v>
      </c>
      <c r="D13" s="11">
        <v>1</v>
      </c>
      <c r="E13" s="11" t="s">
        <v>70</v>
      </c>
      <c r="F13" s="9">
        <v>7</v>
      </c>
      <c r="G13" s="100">
        <v>0.2</v>
      </c>
      <c r="H13" s="12">
        <f>+VLOOKUP(E13,'INDEXACIÓN Y HONORARIOS'!$A$60:$H$67,6,0)</f>
        <v>10640000</v>
      </c>
      <c r="I13" s="13">
        <f t="shared" si="0"/>
        <v>14896000</v>
      </c>
      <c r="K13" s="9" t="s">
        <v>13</v>
      </c>
      <c r="L13" s="138">
        <f t="shared" si="1"/>
        <v>10640000</v>
      </c>
      <c r="M13" s="13">
        <f t="shared" si="2"/>
        <v>14896000</v>
      </c>
    </row>
    <row r="14" spans="1:13" x14ac:dyDescent="0.3">
      <c r="B14" s="9" t="s">
        <v>15</v>
      </c>
      <c r="C14" s="15" t="s">
        <v>16</v>
      </c>
      <c r="D14" s="11">
        <v>1</v>
      </c>
      <c r="E14" s="11" t="s">
        <v>70</v>
      </c>
      <c r="F14" s="9">
        <v>5</v>
      </c>
      <c r="G14" s="100">
        <v>0.2</v>
      </c>
      <c r="H14" s="12">
        <f>+VLOOKUP(E14,'INDEXACIÓN Y HONORARIOS'!$A$60:$H$67,6,0)</f>
        <v>10640000</v>
      </c>
      <c r="I14" s="13">
        <f t="shared" si="0"/>
        <v>10640000</v>
      </c>
      <c r="K14" s="9" t="s">
        <v>15</v>
      </c>
      <c r="L14" s="138">
        <f t="shared" si="1"/>
        <v>10640000</v>
      </c>
      <c r="M14" s="13">
        <f t="shared" si="2"/>
        <v>10640000</v>
      </c>
    </row>
    <row r="15" spans="1:13" x14ac:dyDescent="0.3">
      <c r="B15" s="9" t="s">
        <v>17</v>
      </c>
      <c r="C15" s="15" t="s">
        <v>18</v>
      </c>
      <c r="D15" s="11">
        <v>1</v>
      </c>
      <c r="E15" s="11" t="s">
        <v>70</v>
      </c>
      <c r="F15" s="9">
        <v>6</v>
      </c>
      <c r="G15" s="100">
        <v>0.2</v>
      </c>
      <c r="H15" s="12">
        <f>+VLOOKUP(E15,'INDEXACIÓN Y HONORARIOS'!$A$60:$H$67,6,0)</f>
        <v>10640000</v>
      </c>
      <c r="I15" s="13">
        <f t="shared" si="0"/>
        <v>12768000</v>
      </c>
      <c r="K15" s="9" t="s">
        <v>17</v>
      </c>
      <c r="L15" s="138">
        <f t="shared" si="1"/>
        <v>10640000</v>
      </c>
      <c r="M15" s="13">
        <f t="shared" si="2"/>
        <v>12768000</v>
      </c>
    </row>
    <row r="16" spans="1:13" x14ac:dyDescent="0.3">
      <c r="B16" s="9" t="s">
        <v>19</v>
      </c>
      <c r="C16" s="14" t="s">
        <v>20</v>
      </c>
      <c r="D16" s="11">
        <v>1</v>
      </c>
      <c r="E16" s="11" t="s">
        <v>70</v>
      </c>
      <c r="F16" s="9">
        <v>6</v>
      </c>
      <c r="G16" s="100">
        <v>0.2</v>
      </c>
      <c r="H16" s="12">
        <f>+VLOOKUP(E16,'INDEXACIÓN Y HONORARIOS'!$A$60:$H$67,6,0)</f>
        <v>10640000</v>
      </c>
      <c r="I16" s="13">
        <f t="shared" si="0"/>
        <v>12768000</v>
      </c>
      <c r="K16" s="9" t="s">
        <v>19</v>
      </c>
      <c r="L16" s="138">
        <f t="shared" si="1"/>
        <v>10640000</v>
      </c>
      <c r="M16" s="13">
        <f t="shared" si="2"/>
        <v>12768000</v>
      </c>
    </row>
    <row r="17" spans="2:13" x14ac:dyDescent="0.3">
      <c r="B17" s="9" t="s">
        <v>21</v>
      </c>
      <c r="C17" s="14" t="s">
        <v>22</v>
      </c>
      <c r="D17" s="11">
        <v>1</v>
      </c>
      <c r="E17" s="11" t="s">
        <v>70</v>
      </c>
      <c r="F17" s="9">
        <v>6</v>
      </c>
      <c r="G17" s="100">
        <v>0.2</v>
      </c>
      <c r="H17" s="12">
        <f>+VLOOKUP(E17,'INDEXACIÓN Y HONORARIOS'!$A$60:$H$67,6,0)</f>
        <v>10640000</v>
      </c>
      <c r="I17" s="13">
        <f t="shared" si="0"/>
        <v>12768000</v>
      </c>
      <c r="K17" s="9" t="s">
        <v>21</v>
      </c>
      <c r="L17" s="138">
        <f t="shared" si="1"/>
        <v>10640000</v>
      </c>
      <c r="M17" s="13">
        <f t="shared" si="2"/>
        <v>12768000</v>
      </c>
    </row>
    <row r="18" spans="2:13" x14ac:dyDescent="0.3">
      <c r="C18" s="17"/>
      <c r="D18" s="18"/>
      <c r="E18" s="18"/>
      <c r="F18" s="16"/>
      <c r="G18" s="16"/>
      <c r="H18" s="19"/>
      <c r="I18" s="20"/>
      <c r="K18" s="16"/>
      <c r="L18" s="19"/>
      <c r="M18" s="20"/>
    </row>
    <row r="19" spans="2:13" x14ac:dyDescent="0.3">
      <c r="B19" s="106">
        <v>20</v>
      </c>
      <c r="C19" s="106" t="s">
        <v>23</v>
      </c>
      <c r="D19" s="106"/>
      <c r="E19" s="106"/>
      <c r="F19" s="107"/>
      <c r="G19" s="107"/>
      <c r="H19" s="104"/>
      <c r="I19" s="108">
        <f>SUM(I20:I27)</f>
        <v>56947480</v>
      </c>
      <c r="K19" s="114">
        <v>20</v>
      </c>
      <c r="L19" s="104" t="s">
        <v>23</v>
      </c>
      <c r="M19" s="108">
        <f>SUM(M20:M27)</f>
        <v>56947480</v>
      </c>
    </row>
    <row r="20" spans="2:13" x14ac:dyDescent="0.3">
      <c r="B20" s="9" t="s">
        <v>24</v>
      </c>
      <c r="C20" s="14" t="s">
        <v>25</v>
      </c>
      <c r="D20" s="11">
        <v>1</v>
      </c>
      <c r="E20" s="11" t="s">
        <v>70</v>
      </c>
      <c r="F20" s="9">
        <v>4</v>
      </c>
      <c r="G20" s="100">
        <v>0.2</v>
      </c>
      <c r="H20" s="12">
        <f>+VLOOKUP(E20,'INDEXACIÓN Y HONORARIOS'!$A$60:$H$67,6,0)</f>
        <v>10640000</v>
      </c>
      <c r="I20" s="13">
        <f t="shared" ref="I20:I27" si="3">+ROUND(D20*F20*H20*(G20),0)</f>
        <v>8512000</v>
      </c>
      <c r="K20" s="9" t="s">
        <v>24</v>
      </c>
      <c r="L20" s="138">
        <f>+H20</f>
        <v>10640000</v>
      </c>
      <c r="M20" s="13">
        <f>ROUND(D20*F20*L20*(G20),0)</f>
        <v>8512000</v>
      </c>
    </row>
    <row r="21" spans="2:13" x14ac:dyDescent="0.3">
      <c r="B21" s="9" t="s">
        <v>26</v>
      </c>
      <c r="C21" s="14" t="s">
        <v>27</v>
      </c>
      <c r="D21" s="11">
        <v>1</v>
      </c>
      <c r="E21" s="11" t="s">
        <v>70</v>
      </c>
      <c r="F21" s="9">
        <v>4</v>
      </c>
      <c r="G21" s="100">
        <v>0.12</v>
      </c>
      <c r="H21" s="12">
        <f>+VLOOKUP(E21,'INDEXACIÓN Y HONORARIOS'!$A$60:$H$67,6,0)</f>
        <v>10640000</v>
      </c>
      <c r="I21" s="13">
        <f t="shared" si="3"/>
        <v>5107200</v>
      </c>
      <c r="K21" s="9" t="s">
        <v>26</v>
      </c>
      <c r="L21" s="138">
        <f t="shared" ref="L21:L27" si="4">+H21</f>
        <v>10640000</v>
      </c>
      <c r="M21" s="13">
        <f t="shared" ref="M21:M27" si="5">ROUND(D21*F21*L21*(G21),0)</f>
        <v>5107200</v>
      </c>
    </row>
    <row r="22" spans="2:13" x14ac:dyDescent="0.3">
      <c r="B22" s="9" t="s">
        <v>28</v>
      </c>
      <c r="C22" s="14" t="s">
        <v>29</v>
      </c>
      <c r="D22" s="11">
        <v>1</v>
      </c>
      <c r="E22" s="11" t="s">
        <v>70</v>
      </c>
      <c r="F22" s="9">
        <v>9</v>
      </c>
      <c r="G22" s="100">
        <v>0.2</v>
      </c>
      <c r="H22" s="12">
        <f>+VLOOKUP(E22,'INDEXACIÓN Y HONORARIOS'!$A$60:$H$67,6,0)</f>
        <v>10640000</v>
      </c>
      <c r="I22" s="13">
        <f t="shared" si="3"/>
        <v>19152000</v>
      </c>
      <c r="K22" s="9" t="s">
        <v>28</v>
      </c>
      <c r="L22" s="138">
        <f t="shared" si="4"/>
        <v>10640000</v>
      </c>
      <c r="M22" s="13">
        <f t="shared" si="5"/>
        <v>19152000</v>
      </c>
    </row>
    <row r="23" spans="2:13" x14ac:dyDescent="0.3">
      <c r="B23" s="9" t="s">
        <v>30</v>
      </c>
      <c r="C23" s="14" t="s">
        <v>31</v>
      </c>
      <c r="D23" s="11">
        <v>1</v>
      </c>
      <c r="E23" s="11" t="s">
        <v>76</v>
      </c>
      <c r="F23" s="11">
        <v>4</v>
      </c>
      <c r="G23" s="100">
        <v>0.11</v>
      </c>
      <c r="H23" s="12">
        <f>+VLOOKUP(E23,'INDEXACIÓN Y HONORARIOS'!$A$60:$H$67,6,0)</f>
        <v>8172000</v>
      </c>
      <c r="I23" s="13">
        <f t="shared" si="3"/>
        <v>3595680</v>
      </c>
      <c r="K23" s="9" t="s">
        <v>30</v>
      </c>
      <c r="L23" s="138">
        <f t="shared" si="4"/>
        <v>8172000</v>
      </c>
      <c r="M23" s="13">
        <f t="shared" si="5"/>
        <v>3595680</v>
      </c>
    </row>
    <row r="24" spans="2:13" x14ac:dyDescent="0.3">
      <c r="B24" s="9" t="s">
        <v>32</v>
      </c>
      <c r="C24" s="14" t="s">
        <v>33</v>
      </c>
      <c r="D24" s="11">
        <v>1</v>
      </c>
      <c r="E24" s="11" t="s">
        <v>76</v>
      </c>
      <c r="F24" s="11">
        <v>2</v>
      </c>
      <c r="G24" s="100">
        <v>0.1</v>
      </c>
      <c r="H24" s="12">
        <f>+VLOOKUP(E24,'INDEXACIÓN Y HONORARIOS'!$A$60:$H$67,6,0)</f>
        <v>8172000</v>
      </c>
      <c r="I24" s="13">
        <f t="shared" si="3"/>
        <v>1634400</v>
      </c>
      <c r="K24" s="9" t="s">
        <v>32</v>
      </c>
      <c r="L24" s="138">
        <f t="shared" si="4"/>
        <v>8172000</v>
      </c>
      <c r="M24" s="13">
        <f t="shared" si="5"/>
        <v>1634400</v>
      </c>
    </row>
    <row r="25" spans="2:13" x14ac:dyDescent="0.3">
      <c r="B25" s="9" t="s">
        <v>34</v>
      </c>
      <c r="C25" s="21" t="s">
        <v>35</v>
      </c>
      <c r="D25" s="11">
        <v>1</v>
      </c>
      <c r="E25" s="11" t="s">
        <v>79</v>
      </c>
      <c r="F25" s="11">
        <v>8</v>
      </c>
      <c r="G25" s="100">
        <v>0.1</v>
      </c>
      <c r="H25" s="12">
        <f>+VLOOKUP(E25,'INDEXACIÓN Y HONORARIOS'!$A$60:$H$67,6,0)</f>
        <v>7287000</v>
      </c>
      <c r="I25" s="13">
        <f t="shared" si="3"/>
        <v>5829600</v>
      </c>
      <c r="K25" s="9" t="s">
        <v>34</v>
      </c>
      <c r="L25" s="138">
        <f t="shared" si="4"/>
        <v>7287000</v>
      </c>
      <c r="M25" s="13">
        <f t="shared" si="5"/>
        <v>5829600</v>
      </c>
    </row>
    <row r="26" spans="2:13" x14ac:dyDescent="0.3">
      <c r="B26" s="9" t="s">
        <v>36</v>
      </c>
      <c r="C26" s="22" t="s">
        <v>37</v>
      </c>
      <c r="D26" s="11">
        <v>1</v>
      </c>
      <c r="E26" s="11" t="s">
        <v>79</v>
      </c>
      <c r="F26" s="11">
        <v>9</v>
      </c>
      <c r="G26" s="100">
        <v>0.1</v>
      </c>
      <c r="H26" s="12">
        <f>+VLOOKUP(E26,'INDEXACIÓN Y HONORARIOS'!$A$60:$H$67,6,0)</f>
        <v>7287000</v>
      </c>
      <c r="I26" s="13">
        <f t="shared" si="3"/>
        <v>6558300</v>
      </c>
      <c r="K26" s="9" t="s">
        <v>36</v>
      </c>
      <c r="L26" s="138">
        <f t="shared" si="4"/>
        <v>7287000</v>
      </c>
      <c r="M26" s="13">
        <f t="shared" si="5"/>
        <v>6558300</v>
      </c>
    </row>
    <row r="27" spans="2:13" x14ac:dyDescent="0.3">
      <c r="B27" s="9" t="s">
        <v>38</v>
      </c>
      <c r="C27" s="22" t="s">
        <v>39</v>
      </c>
      <c r="D27" s="11">
        <v>1</v>
      </c>
      <c r="E27" s="11" t="s">
        <v>79</v>
      </c>
      <c r="F27" s="11">
        <v>9</v>
      </c>
      <c r="G27" s="100">
        <v>0.1</v>
      </c>
      <c r="H27" s="12">
        <f>+VLOOKUP(E27,'INDEXACIÓN Y HONORARIOS'!$A$60:$H$67,6,0)</f>
        <v>7287000</v>
      </c>
      <c r="I27" s="13">
        <f t="shared" si="3"/>
        <v>6558300</v>
      </c>
      <c r="K27" s="9" t="s">
        <v>38</v>
      </c>
      <c r="L27" s="138">
        <f t="shared" si="4"/>
        <v>7287000</v>
      </c>
      <c r="M27" s="13">
        <f t="shared" si="5"/>
        <v>6558300</v>
      </c>
    </row>
    <row r="28" spans="2:13" x14ac:dyDescent="0.3">
      <c r="B28" s="6"/>
      <c r="C28" s="7"/>
      <c r="D28" s="7"/>
      <c r="E28" s="7"/>
      <c r="F28" s="6"/>
      <c r="G28" s="6"/>
      <c r="H28" s="7"/>
      <c r="I28" s="7"/>
      <c r="K28" s="6"/>
      <c r="L28" s="7"/>
      <c r="M28" s="7"/>
    </row>
    <row r="29" spans="2:13" x14ac:dyDescent="0.3">
      <c r="B29" s="106">
        <v>30</v>
      </c>
      <c r="C29" s="106" t="s">
        <v>124</v>
      </c>
      <c r="D29" s="106"/>
      <c r="E29" s="106"/>
      <c r="F29" s="107"/>
      <c r="G29" s="107"/>
      <c r="H29" s="104"/>
      <c r="I29" s="108">
        <f>SUM(I30:I32)</f>
        <v>8835600</v>
      </c>
      <c r="K29" s="114">
        <v>30</v>
      </c>
      <c r="L29" s="104" t="s">
        <v>124</v>
      </c>
      <c r="M29" s="108">
        <f>SUM(M30:M32)</f>
        <v>8835600</v>
      </c>
    </row>
    <row r="30" spans="2:13" x14ac:dyDescent="0.3">
      <c r="B30" s="9" t="s">
        <v>40</v>
      </c>
      <c r="C30" s="14" t="s">
        <v>162</v>
      </c>
      <c r="D30" s="11">
        <v>1</v>
      </c>
      <c r="E30" s="11" t="s">
        <v>70</v>
      </c>
      <c r="F30" s="9">
        <v>3</v>
      </c>
      <c r="G30" s="100">
        <v>0.1</v>
      </c>
      <c r="H30" s="12">
        <f>+VLOOKUP(E30,'INDEXACIÓN Y HONORARIOS'!$A$60:$H$67,6,0)</f>
        <v>10640000</v>
      </c>
      <c r="I30" s="13">
        <f t="shared" ref="I30:I32" si="6">+ROUND(D30*F30*H30*(G30),0)</f>
        <v>3192000</v>
      </c>
      <c r="K30" s="9" t="s">
        <v>40</v>
      </c>
      <c r="L30" s="138">
        <f>+H30</f>
        <v>10640000</v>
      </c>
      <c r="M30" s="13">
        <f t="shared" ref="M30:M32" si="7">ROUND(D30*F30*L30*(G30),0)</f>
        <v>3192000</v>
      </c>
    </row>
    <row r="31" spans="2:13" x14ac:dyDescent="0.3">
      <c r="B31" s="9" t="s">
        <v>41</v>
      </c>
      <c r="C31" s="14" t="s">
        <v>42</v>
      </c>
      <c r="D31" s="11">
        <v>1</v>
      </c>
      <c r="E31" s="11" t="s">
        <v>76</v>
      </c>
      <c r="F31" s="9">
        <v>3</v>
      </c>
      <c r="G31" s="100">
        <v>0.1</v>
      </c>
      <c r="H31" s="12">
        <f>+VLOOKUP(E31,'INDEXACIÓN Y HONORARIOS'!$A$60:$H$67,6,0)</f>
        <v>8172000</v>
      </c>
      <c r="I31" s="13">
        <f t="shared" si="6"/>
        <v>2451600</v>
      </c>
      <c r="K31" s="9" t="s">
        <v>41</v>
      </c>
      <c r="L31" s="138">
        <f t="shared" ref="L31:L32" si="8">+H31</f>
        <v>8172000</v>
      </c>
      <c r="M31" s="13">
        <f t="shared" si="7"/>
        <v>2451600</v>
      </c>
    </row>
    <row r="32" spans="2:13" x14ac:dyDescent="0.3">
      <c r="B32" s="9" t="s">
        <v>43</v>
      </c>
      <c r="C32" s="14" t="s">
        <v>44</v>
      </c>
      <c r="D32" s="9">
        <v>1</v>
      </c>
      <c r="E32" s="11" t="s">
        <v>70</v>
      </c>
      <c r="F32" s="9">
        <v>3</v>
      </c>
      <c r="G32" s="100">
        <v>0.1</v>
      </c>
      <c r="H32" s="12">
        <f>+VLOOKUP(E32,'INDEXACIÓN Y HONORARIOS'!$A$60:$H$67,6,0)</f>
        <v>10640000</v>
      </c>
      <c r="I32" s="13">
        <f t="shared" si="6"/>
        <v>3192000</v>
      </c>
      <c r="K32" s="9" t="s">
        <v>43</v>
      </c>
      <c r="L32" s="138">
        <f t="shared" si="8"/>
        <v>10640000</v>
      </c>
      <c r="M32" s="13">
        <f t="shared" si="7"/>
        <v>3192000</v>
      </c>
    </row>
    <row r="33" spans="1:13" x14ac:dyDescent="0.3">
      <c r="B33" s="6"/>
      <c r="C33" s="7"/>
      <c r="D33" s="7"/>
      <c r="E33" s="7"/>
      <c r="F33" s="6"/>
      <c r="G33" s="6"/>
      <c r="H33" s="7"/>
      <c r="I33" s="7"/>
      <c r="K33" s="6"/>
      <c r="L33" s="7"/>
      <c r="M33" s="7"/>
    </row>
    <row r="34" spans="1:13" x14ac:dyDescent="0.3">
      <c r="B34" s="106">
        <v>40</v>
      </c>
      <c r="C34" s="106" t="s">
        <v>45</v>
      </c>
      <c r="D34" s="106"/>
      <c r="E34" s="106"/>
      <c r="F34" s="107"/>
      <c r="G34" s="107"/>
      <c r="H34" s="104"/>
      <c r="I34" s="108">
        <f>+I35+I36</f>
        <v>8916000</v>
      </c>
      <c r="K34" s="114">
        <v>40</v>
      </c>
      <c r="L34" s="104" t="s">
        <v>45</v>
      </c>
      <c r="M34" s="108">
        <f>+M35+M36</f>
        <v>8916000</v>
      </c>
    </row>
    <row r="35" spans="1:13" x14ac:dyDescent="0.3">
      <c r="B35" s="9" t="s">
        <v>46</v>
      </c>
      <c r="C35" s="23" t="s">
        <v>47</v>
      </c>
      <c r="D35" s="24">
        <v>1</v>
      </c>
      <c r="E35" s="11" t="s">
        <v>82</v>
      </c>
      <c r="F35" s="25">
        <v>6</v>
      </c>
      <c r="G35" s="100">
        <v>0.2</v>
      </c>
      <c r="H35" s="12">
        <f>+VLOOKUP(E35,'INDEXACIÓN Y HONORARIOS'!$A$60:$H$67,6,0)</f>
        <v>5510000</v>
      </c>
      <c r="I35" s="13">
        <f t="shared" ref="I35:I36" si="9">+ROUND(D35*F35*H35*(G35),0)</f>
        <v>6612000</v>
      </c>
      <c r="K35" s="9" t="s">
        <v>46</v>
      </c>
      <c r="L35" s="138">
        <f>+H35</f>
        <v>5510000</v>
      </c>
      <c r="M35" s="13">
        <f t="shared" ref="M35:M36" si="10">ROUND(D35*F35*L35*(G35),0)</f>
        <v>6612000</v>
      </c>
    </row>
    <row r="36" spans="1:13" ht="21" x14ac:dyDescent="0.3">
      <c r="A36" s="26"/>
      <c r="B36" s="9" t="s">
        <v>48</v>
      </c>
      <c r="C36" s="23" t="s">
        <v>126</v>
      </c>
      <c r="D36" s="24">
        <v>1</v>
      </c>
      <c r="E36" s="11">
        <v>9098</v>
      </c>
      <c r="F36" s="25">
        <f>+F35</f>
        <v>6</v>
      </c>
      <c r="G36" s="100">
        <f>+G35</f>
        <v>0.2</v>
      </c>
      <c r="H36" s="12">
        <v>1920000</v>
      </c>
      <c r="I36" s="13">
        <f t="shared" si="9"/>
        <v>2304000</v>
      </c>
      <c r="J36" s="133"/>
      <c r="K36" s="9" t="s">
        <v>48</v>
      </c>
      <c r="L36" s="138">
        <f>+H36</f>
        <v>1920000</v>
      </c>
      <c r="M36" s="13">
        <f t="shared" si="10"/>
        <v>2304000</v>
      </c>
    </row>
    <row r="37" spans="1:13" x14ac:dyDescent="0.3">
      <c r="B37" s="5"/>
      <c r="C37" s="27"/>
      <c r="D37" s="27"/>
      <c r="E37" s="27"/>
      <c r="G37" s="16"/>
      <c r="H37" s="20"/>
      <c r="I37" s="20"/>
      <c r="K37" s="5"/>
    </row>
    <row r="38" spans="1:13" x14ac:dyDescent="0.3">
      <c r="B38" s="106">
        <v>50</v>
      </c>
      <c r="C38" s="180" t="s">
        <v>49</v>
      </c>
      <c r="D38" s="180"/>
      <c r="E38" s="180"/>
      <c r="F38" s="180"/>
      <c r="G38" s="180"/>
      <c r="H38" s="180"/>
      <c r="I38" s="180"/>
      <c r="K38" s="114">
        <v>50</v>
      </c>
      <c r="L38" s="172" t="s">
        <v>49</v>
      </c>
      <c r="M38" s="172"/>
    </row>
    <row r="39" spans="1:13" x14ac:dyDescent="0.3">
      <c r="B39" s="28" t="s">
        <v>50</v>
      </c>
      <c r="C39" s="15" t="s">
        <v>51</v>
      </c>
      <c r="D39" s="15"/>
      <c r="E39" s="15"/>
      <c r="F39" s="28" t="s">
        <v>3</v>
      </c>
      <c r="G39" s="29">
        <v>1.936075</v>
      </c>
      <c r="H39" s="13">
        <f>+I34+I29+I19+I10</f>
        <v>201308680</v>
      </c>
      <c r="I39" s="13">
        <f>ROUND(H39*G39,0)</f>
        <v>389748703</v>
      </c>
      <c r="J39" s="134"/>
      <c r="K39" s="28" t="s">
        <v>50</v>
      </c>
      <c r="L39" s="139">
        <f>+M34+M29+M19+M10</f>
        <v>201308680</v>
      </c>
      <c r="M39" s="140">
        <f>+ROUND(L39*G39,0)</f>
        <v>389748703</v>
      </c>
    </row>
    <row r="40" spans="1:13" x14ac:dyDescent="0.3">
      <c r="B40" s="5"/>
      <c r="C40" s="30"/>
      <c r="D40" s="30"/>
      <c r="E40" s="30"/>
      <c r="F40" s="5"/>
      <c r="G40" s="31"/>
      <c r="H40" s="20"/>
      <c r="I40" s="20"/>
      <c r="K40" s="5"/>
    </row>
    <row r="41" spans="1:13" x14ac:dyDescent="0.3">
      <c r="B41" s="106">
        <v>60</v>
      </c>
      <c r="C41" s="106" t="s">
        <v>52</v>
      </c>
      <c r="D41" s="106"/>
      <c r="E41" s="106"/>
      <c r="F41" s="107" t="s">
        <v>6</v>
      </c>
      <c r="G41" s="107" t="s">
        <v>7</v>
      </c>
      <c r="H41" s="104" t="s">
        <v>53</v>
      </c>
      <c r="I41" s="104" t="s">
        <v>9</v>
      </c>
      <c r="K41" s="114">
        <v>60</v>
      </c>
      <c r="L41" s="104" t="s">
        <v>52</v>
      </c>
      <c r="M41" s="104"/>
    </row>
    <row r="42" spans="1:13" x14ac:dyDescent="0.3">
      <c r="B42" s="28" t="s">
        <v>54</v>
      </c>
      <c r="C42" s="145" t="s">
        <v>150</v>
      </c>
      <c r="D42" s="24"/>
      <c r="E42" s="24"/>
      <c r="F42" s="25">
        <f>+F36</f>
        <v>6</v>
      </c>
      <c r="G42" s="100">
        <f>+G36</f>
        <v>0.2</v>
      </c>
      <c r="H42" s="32">
        <v>6600000</v>
      </c>
      <c r="I42" s="13">
        <f>ROUND(G42*H42*F42,0)</f>
        <v>7920000</v>
      </c>
      <c r="K42" s="28" t="s">
        <v>54</v>
      </c>
      <c r="L42" s="138">
        <f>+H42</f>
        <v>6600000</v>
      </c>
      <c r="M42" s="13">
        <f>ROUND(G42*L42*F42,0)</f>
        <v>7920000</v>
      </c>
    </row>
    <row r="43" spans="1:13" x14ac:dyDescent="0.3">
      <c r="B43" s="28" t="s">
        <v>55</v>
      </c>
      <c r="C43" s="145" t="s">
        <v>151</v>
      </c>
      <c r="D43" s="25"/>
      <c r="E43" s="25"/>
      <c r="F43" s="25">
        <v>7</v>
      </c>
      <c r="G43" s="100">
        <v>0.3</v>
      </c>
      <c r="H43" s="32">
        <v>5000000</v>
      </c>
      <c r="I43" s="13">
        <f>ROUND(G43*H43*F43,0)</f>
        <v>10500000</v>
      </c>
      <c r="J43" s="134"/>
      <c r="K43" s="28" t="s">
        <v>55</v>
      </c>
      <c r="L43" s="138">
        <f>+H43</f>
        <v>5000000</v>
      </c>
      <c r="M43" s="13">
        <f>ROUND(G43*L43*F43,0)</f>
        <v>10500000</v>
      </c>
    </row>
    <row r="44" spans="1:13" x14ac:dyDescent="0.3">
      <c r="B44" s="5"/>
      <c r="C44" s="34"/>
      <c r="D44" s="4"/>
      <c r="E44" s="4"/>
      <c r="G44" s="16"/>
      <c r="H44" s="20"/>
      <c r="I44" s="20"/>
      <c r="J44" s="116"/>
    </row>
    <row r="45" spans="1:13" x14ac:dyDescent="0.3">
      <c r="B45" s="167" t="s">
        <v>156</v>
      </c>
      <c r="C45" s="167"/>
      <c r="D45" s="167"/>
      <c r="E45" s="167"/>
      <c r="F45" s="167"/>
      <c r="G45" s="167"/>
      <c r="H45" s="111"/>
      <c r="I45" s="112">
        <f>+I43+I42+I39</f>
        <v>408168703</v>
      </c>
      <c r="J45" s="6"/>
      <c r="K45" s="171" t="s">
        <v>158</v>
      </c>
      <c r="L45" s="171"/>
      <c r="M45" s="142">
        <f>+M39+M42+M43</f>
        <v>408168703</v>
      </c>
    </row>
    <row r="46" spans="1:13" x14ac:dyDescent="0.3">
      <c r="B46" s="167" t="s">
        <v>157</v>
      </c>
      <c r="C46" s="167"/>
      <c r="D46" s="167"/>
      <c r="E46" s="167"/>
      <c r="F46" s="167"/>
      <c r="G46" s="167"/>
      <c r="H46" s="111"/>
      <c r="I46" s="112">
        <f>ROUND(I45*J46,0)</f>
        <v>77552054</v>
      </c>
      <c r="J46" s="110">
        <v>0.19</v>
      </c>
      <c r="K46" s="171" t="s">
        <v>157</v>
      </c>
      <c r="L46" s="171"/>
      <c r="M46" s="143">
        <f>+ROUND(M45*0.19,0)</f>
        <v>77552054</v>
      </c>
    </row>
    <row r="47" spans="1:13" x14ac:dyDescent="0.3">
      <c r="B47" s="167" t="s">
        <v>129</v>
      </c>
      <c r="C47" s="167"/>
      <c r="D47" s="167"/>
      <c r="E47" s="167"/>
      <c r="F47" s="167"/>
      <c r="G47" s="167"/>
      <c r="H47" s="111"/>
      <c r="I47" s="111">
        <f>SUM(I45:I46)</f>
        <v>485720757</v>
      </c>
      <c r="J47" s="16"/>
      <c r="K47" s="172" t="s">
        <v>146</v>
      </c>
      <c r="L47" s="172"/>
      <c r="M47" s="144">
        <f>+M45+M46</f>
        <v>485720757</v>
      </c>
    </row>
    <row r="48" spans="1:13" x14ac:dyDescent="0.3">
      <c r="C48" s="36"/>
      <c r="D48" s="36"/>
      <c r="E48" s="36"/>
      <c r="F48" s="16"/>
      <c r="G48" s="16"/>
      <c r="H48" s="20"/>
      <c r="I48" s="20"/>
      <c r="J48" s="20"/>
    </row>
    <row r="49" spans="1:13" ht="21" x14ac:dyDescent="0.4">
      <c r="A49" s="174" t="s">
        <v>140</v>
      </c>
      <c r="B49" s="174"/>
      <c r="C49" s="174"/>
      <c r="D49" s="174"/>
      <c r="E49" s="174"/>
      <c r="F49" s="174"/>
      <c r="G49" s="174"/>
      <c r="H49" s="174"/>
      <c r="I49" s="174"/>
      <c r="J49" s="116"/>
      <c r="K49" s="173" t="s">
        <v>148</v>
      </c>
      <c r="L49" s="173"/>
      <c r="M49" s="173"/>
    </row>
    <row r="50" spans="1:13" x14ac:dyDescent="0.3">
      <c r="J50" s="119"/>
    </row>
    <row r="51" spans="1:13" x14ac:dyDescent="0.3">
      <c r="B51" s="168" t="s">
        <v>1</v>
      </c>
      <c r="C51" s="166" t="s">
        <v>2</v>
      </c>
      <c r="D51" s="168" t="s">
        <v>122</v>
      </c>
      <c r="E51" s="166" t="s">
        <v>125</v>
      </c>
      <c r="F51" s="175" t="s">
        <v>6</v>
      </c>
      <c r="G51" s="169" t="s">
        <v>142</v>
      </c>
      <c r="H51" s="8" t="s">
        <v>4</v>
      </c>
      <c r="I51" s="8" t="s">
        <v>5</v>
      </c>
      <c r="J51" s="119"/>
      <c r="K51" s="168" t="s">
        <v>1</v>
      </c>
      <c r="L51" s="113" t="s">
        <v>4</v>
      </c>
      <c r="M51" s="113" t="s">
        <v>5</v>
      </c>
    </row>
    <row r="52" spans="1:13" s="1" customFormat="1" ht="20.399999999999999" customHeight="1" x14ac:dyDescent="0.3">
      <c r="A52"/>
      <c r="B52" s="168"/>
      <c r="C52" s="166"/>
      <c r="D52" s="168"/>
      <c r="E52" s="166"/>
      <c r="F52" s="175"/>
      <c r="G52" s="170"/>
      <c r="H52" s="8" t="s">
        <v>8</v>
      </c>
      <c r="I52" s="8" t="s">
        <v>9</v>
      </c>
      <c r="J52" s="119"/>
      <c r="K52" s="168"/>
      <c r="L52" s="113" t="s">
        <v>143</v>
      </c>
      <c r="M52" s="136" t="s">
        <v>144</v>
      </c>
    </row>
    <row r="53" spans="1:13" s="1" customFormat="1" x14ac:dyDescent="0.3">
      <c r="A53"/>
      <c r="B53" s="123">
        <v>10</v>
      </c>
      <c r="C53" s="128" t="s">
        <v>123</v>
      </c>
      <c r="D53" s="128"/>
      <c r="E53" s="125"/>
      <c r="F53" s="125"/>
      <c r="G53" s="125"/>
      <c r="H53" s="126"/>
      <c r="I53" s="129">
        <f>SUM(I54:I60)</f>
        <v>348651440</v>
      </c>
      <c r="J53" s="119"/>
      <c r="K53" s="101">
        <v>10</v>
      </c>
      <c r="L53" s="104" t="s">
        <v>123</v>
      </c>
      <c r="M53" s="105">
        <f>SUM(M54:M60)</f>
        <v>348651440</v>
      </c>
    </row>
    <row r="54" spans="1:13" s="1" customFormat="1" x14ac:dyDescent="0.3">
      <c r="A54"/>
      <c r="B54" s="9" t="s">
        <v>10</v>
      </c>
      <c r="C54" s="10" t="s">
        <v>139</v>
      </c>
      <c r="D54" s="9">
        <v>1</v>
      </c>
      <c r="E54" s="11" t="s">
        <v>67</v>
      </c>
      <c r="F54" s="9">
        <v>14</v>
      </c>
      <c r="G54" s="100">
        <v>0.3</v>
      </c>
      <c r="H54" s="12">
        <f>+VLOOKUP(E54,'INDEXACIÓN Y HONORARIOS'!$A$60:$H$67,7,0)</f>
        <v>13802532</v>
      </c>
      <c r="I54" s="13">
        <f>ROUND(D54*F54*H54*(G54),0)</f>
        <v>57970634</v>
      </c>
      <c r="J54" s="119"/>
      <c r="K54" s="9" t="s">
        <v>10</v>
      </c>
      <c r="L54" s="138">
        <f>+H54</f>
        <v>13802532</v>
      </c>
      <c r="M54" s="13">
        <f>+ROUND(D54*F54*L54*(G54),0)</f>
        <v>57970634</v>
      </c>
    </row>
    <row r="55" spans="1:13" s="1" customFormat="1" x14ac:dyDescent="0.3">
      <c r="A55"/>
      <c r="B55" s="9" t="s">
        <v>11</v>
      </c>
      <c r="C55" s="10" t="s">
        <v>141</v>
      </c>
      <c r="D55" s="9">
        <v>2</v>
      </c>
      <c r="E55" s="11" t="s">
        <v>76</v>
      </c>
      <c r="F55" s="9">
        <v>14</v>
      </c>
      <c r="G55" s="100">
        <v>1</v>
      </c>
      <c r="H55" s="12">
        <f>+VLOOKUP(E55,'INDEXACIÓN Y HONORARIOS'!$A$60:$H$67,7,0)</f>
        <v>8946248</v>
      </c>
      <c r="I55" s="13">
        <f t="shared" ref="I55:I60" si="11">ROUND(D55*F55*H55*(G55),0)</f>
        <v>250494944</v>
      </c>
      <c r="J55" s="119"/>
      <c r="K55" s="9" t="s">
        <v>11</v>
      </c>
      <c r="L55" s="138">
        <f t="shared" ref="L55:L60" si="12">+H55</f>
        <v>8946248</v>
      </c>
      <c r="M55" s="13">
        <f t="shared" ref="M55:M60" si="13">+ROUND(D55*F55*L55*(G55),0)</f>
        <v>250494944</v>
      </c>
    </row>
    <row r="56" spans="1:13" s="1" customFormat="1" x14ac:dyDescent="0.3">
      <c r="A56"/>
      <c r="B56" s="9" t="s">
        <v>13</v>
      </c>
      <c r="C56" s="14" t="s">
        <v>14</v>
      </c>
      <c r="D56" s="9">
        <v>1</v>
      </c>
      <c r="E56" s="11" t="s">
        <v>70</v>
      </c>
      <c r="F56" s="9">
        <v>4</v>
      </c>
      <c r="G56" s="100">
        <v>0.15</v>
      </c>
      <c r="H56" s="12">
        <f>+VLOOKUP(E56,'INDEXACIÓN Y HONORARIOS'!$A$60:$H$67,7,0)</f>
        <v>11648076</v>
      </c>
      <c r="I56" s="13">
        <f t="shared" si="11"/>
        <v>6988846</v>
      </c>
      <c r="J56" s="119"/>
      <c r="K56" s="9" t="s">
        <v>13</v>
      </c>
      <c r="L56" s="138">
        <f t="shared" si="12"/>
        <v>11648076</v>
      </c>
      <c r="M56" s="13">
        <f t="shared" si="13"/>
        <v>6988846</v>
      </c>
    </row>
    <row r="57" spans="1:13" s="1" customFormat="1" x14ac:dyDescent="0.3">
      <c r="A57"/>
      <c r="B57" s="9" t="s">
        <v>15</v>
      </c>
      <c r="C57" s="118" t="s">
        <v>16</v>
      </c>
      <c r="D57" s="9">
        <v>1</v>
      </c>
      <c r="E57" s="11" t="s">
        <v>70</v>
      </c>
      <c r="F57" s="9">
        <v>4</v>
      </c>
      <c r="G57" s="100">
        <v>0.15</v>
      </c>
      <c r="H57" s="12">
        <f>+VLOOKUP(E57,'INDEXACIÓN Y HONORARIOS'!$A$60:$H$67,7,0)</f>
        <v>11648076</v>
      </c>
      <c r="I57" s="13">
        <f t="shared" si="11"/>
        <v>6988846</v>
      </c>
      <c r="J57" s="119"/>
      <c r="K57" s="9" t="s">
        <v>15</v>
      </c>
      <c r="L57" s="138">
        <f t="shared" si="12"/>
        <v>11648076</v>
      </c>
      <c r="M57" s="13">
        <f t="shared" si="13"/>
        <v>6988846</v>
      </c>
    </row>
    <row r="58" spans="1:13" s="1" customFormat="1" x14ac:dyDescent="0.3">
      <c r="A58"/>
      <c r="B58" s="9" t="s">
        <v>17</v>
      </c>
      <c r="C58" s="10" t="s">
        <v>18</v>
      </c>
      <c r="D58" s="9">
        <v>1</v>
      </c>
      <c r="E58" s="11" t="s">
        <v>70</v>
      </c>
      <c r="F58" s="9">
        <v>3</v>
      </c>
      <c r="G58" s="100">
        <v>0.15</v>
      </c>
      <c r="H58" s="12">
        <f>+VLOOKUP(E58,'INDEXACIÓN Y HONORARIOS'!$A$60:$H$67,7,0)</f>
        <v>11648076</v>
      </c>
      <c r="I58" s="13">
        <f t="shared" si="11"/>
        <v>5241634</v>
      </c>
      <c r="J58" s="119"/>
      <c r="K58" s="9" t="s">
        <v>17</v>
      </c>
      <c r="L58" s="138">
        <f t="shared" si="12"/>
        <v>11648076</v>
      </c>
      <c r="M58" s="13">
        <f t="shared" si="13"/>
        <v>5241634</v>
      </c>
    </row>
    <row r="59" spans="1:13" s="1" customFormat="1" x14ac:dyDescent="0.3">
      <c r="A59"/>
      <c r="B59" s="9" t="s">
        <v>19</v>
      </c>
      <c r="C59" s="22" t="s">
        <v>20</v>
      </c>
      <c r="D59" s="9">
        <v>1</v>
      </c>
      <c r="E59" s="11" t="s">
        <v>70</v>
      </c>
      <c r="F59" s="9">
        <v>6</v>
      </c>
      <c r="G59" s="100">
        <v>0.15</v>
      </c>
      <c r="H59" s="12">
        <f>+VLOOKUP(E59,'INDEXACIÓN Y HONORARIOS'!$A$60:$H$67,7,0)</f>
        <v>11648076</v>
      </c>
      <c r="I59" s="13">
        <f t="shared" si="11"/>
        <v>10483268</v>
      </c>
      <c r="J59" s="119"/>
      <c r="K59" s="9" t="s">
        <v>19</v>
      </c>
      <c r="L59" s="138">
        <f t="shared" si="12"/>
        <v>11648076</v>
      </c>
      <c r="M59" s="13">
        <f t="shared" si="13"/>
        <v>10483268</v>
      </c>
    </row>
    <row r="60" spans="1:13" s="1" customFormat="1" x14ac:dyDescent="0.3">
      <c r="A60"/>
      <c r="B60" s="9" t="s">
        <v>21</v>
      </c>
      <c r="C60" s="22" t="s">
        <v>22</v>
      </c>
      <c r="D60" s="9">
        <v>1</v>
      </c>
      <c r="E60" s="11" t="s">
        <v>70</v>
      </c>
      <c r="F60" s="9">
        <v>6</v>
      </c>
      <c r="G60" s="100">
        <v>0.15</v>
      </c>
      <c r="H60" s="12">
        <f>+VLOOKUP(E60,'INDEXACIÓN Y HONORARIOS'!$A$60:$H$67,7,0)</f>
        <v>11648076</v>
      </c>
      <c r="I60" s="13">
        <f t="shared" si="11"/>
        <v>10483268</v>
      </c>
      <c r="J60" s="119"/>
      <c r="K60" s="9" t="s">
        <v>21</v>
      </c>
      <c r="L60" s="138">
        <f t="shared" si="12"/>
        <v>11648076</v>
      </c>
      <c r="M60" s="13">
        <f t="shared" si="13"/>
        <v>10483268</v>
      </c>
    </row>
    <row r="61" spans="1:13" s="1" customFormat="1" x14ac:dyDescent="0.3">
      <c r="A61"/>
      <c r="B61" s="16"/>
      <c r="C61" s="41"/>
      <c r="D61" s="41"/>
      <c r="E61" s="16"/>
      <c r="F61" s="16"/>
      <c r="G61" s="16"/>
      <c r="H61" s="20"/>
      <c r="I61" s="3"/>
      <c r="J61" s="119"/>
      <c r="K61" s="16"/>
      <c r="L61" s="19"/>
      <c r="M61" s="20"/>
    </row>
    <row r="62" spans="1:13" s="1" customFormat="1" x14ac:dyDescent="0.3">
      <c r="A62"/>
      <c r="B62" s="123">
        <v>30</v>
      </c>
      <c r="C62" s="124" t="s">
        <v>23</v>
      </c>
      <c r="D62" s="124"/>
      <c r="E62" s="125"/>
      <c r="F62" s="125"/>
      <c r="G62" s="125"/>
      <c r="H62" s="126"/>
      <c r="I62" s="127">
        <f>SUM(I63:I71)</f>
        <v>314998996</v>
      </c>
      <c r="J62" s="119"/>
      <c r="K62" s="114">
        <v>30</v>
      </c>
      <c r="L62" s="104" t="s">
        <v>23</v>
      </c>
      <c r="M62" s="108">
        <f>SUM(M63:M71)</f>
        <v>314998996</v>
      </c>
    </row>
    <row r="63" spans="1:13" s="1" customFormat="1" x14ac:dyDescent="0.3">
      <c r="A63"/>
      <c r="B63" s="9" t="s">
        <v>40</v>
      </c>
      <c r="C63" s="10" t="s">
        <v>25</v>
      </c>
      <c r="D63" s="9">
        <v>1</v>
      </c>
      <c r="E63" s="11" t="s">
        <v>70</v>
      </c>
      <c r="F63" s="9">
        <v>2</v>
      </c>
      <c r="G63" s="100">
        <v>0.15</v>
      </c>
      <c r="H63" s="12">
        <f>+VLOOKUP(E63,'INDEXACIÓN Y HONORARIOS'!$A$60:$H$67,7,0)</f>
        <v>11648076</v>
      </c>
      <c r="I63" s="13">
        <f t="shared" ref="I63:I71" si="14">ROUND(D63*F63*H63*(G63),0)</f>
        <v>3494423</v>
      </c>
      <c r="J63" s="119"/>
      <c r="K63" s="9">
        <v>30.01</v>
      </c>
      <c r="L63" s="138">
        <f>+H63</f>
        <v>11648076</v>
      </c>
      <c r="M63" s="13">
        <f t="shared" ref="M63:M71" si="15">+ROUND(D63*F63*L63*(G63),0)</f>
        <v>3494423</v>
      </c>
    </row>
    <row r="64" spans="1:13" s="1" customFormat="1" x14ac:dyDescent="0.3">
      <c r="A64"/>
      <c r="B64" s="9" t="s">
        <v>41</v>
      </c>
      <c r="C64" s="10" t="s">
        <v>27</v>
      </c>
      <c r="D64" s="9">
        <v>1</v>
      </c>
      <c r="E64" s="11" t="s">
        <v>70</v>
      </c>
      <c r="F64" s="9">
        <v>2</v>
      </c>
      <c r="G64" s="100">
        <v>0.15</v>
      </c>
      <c r="H64" s="12">
        <f>+VLOOKUP(E64,'INDEXACIÓN Y HONORARIOS'!$A$60:$H$67,7,0)</f>
        <v>11648076</v>
      </c>
      <c r="I64" s="13">
        <f t="shared" si="14"/>
        <v>3494423</v>
      </c>
      <c r="J64" s="119"/>
      <c r="K64" s="9">
        <v>30.02</v>
      </c>
      <c r="L64" s="138">
        <f t="shared" ref="L64:L71" si="16">+H64</f>
        <v>11648076</v>
      </c>
      <c r="M64" s="13">
        <f t="shared" si="15"/>
        <v>3494423</v>
      </c>
    </row>
    <row r="65" spans="1:13" s="1" customFormat="1" x14ac:dyDescent="0.3">
      <c r="A65"/>
      <c r="B65" s="9" t="s">
        <v>43</v>
      </c>
      <c r="C65" s="10" t="s">
        <v>29</v>
      </c>
      <c r="D65" s="9">
        <v>1</v>
      </c>
      <c r="E65" s="11" t="s">
        <v>70</v>
      </c>
      <c r="F65" s="9">
        <v>14</v>
      </c>
      <c r="G65" s="100">
        <v>0.2</v>
      </c>
      <c r="H65" s="12">
        <f>+VLOOKUP(E65,'INDEXACIÓN Y HONORARIOS'!$A$60:$H$67,7,0)</f>
        <v>11648076</v>
      </c>
      <c r="I65" s="13">
        <f t="shared" si="14"/>
        <v>32614613</v>
      </c>
      <c r="J65" s="119"/>
      <c r="K65" s="9">
        <v>30.03</v>
      </c>
      <c r="L65" s="138">
        <f t="shared" si="16"/>
        <v>11648076</v>
      </c>
      <c r="M65" s="13">
        <f t="shared" si="15"/>
        <v>32614613</v>
      </c>
    </row>
    <row r="66" spans="1:13" s="1" customFormat="1" x14ac:dyDescent="0.3">
      <c r="A66"/>
      <c r="B66" s="121" t="s">
        <v>130</v>
      </c>
      <c r="C66" s="122" t="s">
        <v>131</v>
      </c>
      <c r="D66" s="121">
        <v>1</v>
      </c>
      <c r="E66" s="11" t="s">
        <v>70</v>
      </c>
      <c r="F66" s="121">
        <v>14</v>
      </c>
      <c r="G66" s="100">
        <v>0.2</v>
      </c>
      <c r="H66" s="12">
        <f>+VLOOKUP(E66,'INDEXACIÓN Y HONORARIOS'!$A$60:$H$67,7,0)</f>
        <v>11648076</v>
      </c>
      <c r="I66" s="13">
        <f t="shared" si="14"/>
        <v>32614613</v>
      </c>
      <c r="J66" s="119"/>
      <c r="K66" s="9">
        <v>30.04</v>
      </c>
      <c r="L66" s="138">
        <f t="shared" si="16"/>
        <v>11648076</v>
      </c>
      <c r="M66" s="13">
        <f t="shared" si="15"/>
        <v>32614613</v>
      </c>
    </row>
    <row r="67" spans="1:13" s="1" customFormat="1" x14ac:dyDescent="0.3">
      <c r="A67"/>
      <c r="B67" s="121" t="s">
        <v>132</v>
      </c>
      <c r="C67" s="122" t="s">
        <v>31</v>
      </c>
      <c r="D67" s="121">
        <v>1</v>
      </c>
      <c r="E67" s="11" t="s">
        <v>76</v>
      </c>
      <c r="F67" s="121">
        <v>6</v>
      </c>
      <c r="G67" s="100">
        <v>0.15</v>
      </c>
      <c r="H67" s="12">
        <f>+VLOOKUP(E67,'INDEXACIÓN Y HONORARIOS'!$A$60:$H$67,7,0)</f>
        <v>8946248</v>
      </c>
      <c r="I67" s="13">
        <f t="shared" si="14"/>
        <v>8051623</v>
      </c>
      <c r="J67" s="119"/>
      <c r="K67" s="9">
        <v>30.05</v>
      </c>
      <c r="L67" s="138">
        <f t="shared" si="16"/>
        <v>8946248</v>
      </c>
      <c r="M67" s="13">
        <f t="shared" si="15"/>
        <v>8051623</v>
      </c>
    </row>
    <row r="68" spans="1:13" x14ac:dyDescent="0.3">
      <c r="B68" s="121" t="s">
        <v>133</v>
      </c>
      <c r="C68" s="122" t="s">
        <v>33</v>
      </c>
      <c r="D68" s="121">
        <v>1</v>
      </c>
      <c r="E68" s="11" t="s">
        <v>76</v>
      </c>
      <c r="F68" s="121">
        <v>2</v>
      </c>
      <c r="G68" s="100">
        <v>0.1</v>
      </c>
      <c r="H68" s="12">
        <f>+VLOOKUP(E68,'INDEXACIÓN Y HONORARIOS'!$A$60:$H$67,7,0)</f>
        <v>8946248</v>
      </c>
      <c r="I68" s="13">
        <f t="shared" si="14"/>
        <v>1789250</v>
      </c>
      <c r="J68" s="119"/>
      <c r="K68" s="9">
        <v>30.06</v>
      </c>
      <c r="L68" s="138">
        <f t="shared" si="16"/>
        <v>8946248</v>
      </c>
      <c r="M68" s="13">
        <f t="shared" si="15"/>
        <v>1789250</v>
      </c>
    </row>
    <row r="69" spans="1:13" s="1" customFormat="1" x14ac:dyDescent="0.3">
      <c r="A69"/>
      <c r="B69" s="121" t="s">
        <v>134</v>
      </c>
      <c r="C69" s="122" t="s">
        <v>35</v>
      </c>
      <c r="D69" s="121">
        <v>1</v>
      </c>
      <c r="E69" s="11" t="s">
        <v>79</v>
      </c>
      <c r="F69" s="121">
        <v>8</v>
      </c>
      <c r="G69" s="100">
        <v>0.15</v>
      </c>
      <c r="H69" s="12">
        <f>+VLOOKUP(E69,'INDEXACIÓN Y HONORARIOS'!$A$60:$H$67,7,0)</f>
        <v>7977399</v>
      </c>
      <c r="I69" s="13">
        <f t="shared" si="14"/>
        <v>9572879</v>
      </c>
      <c r="J69" s="119"/>
      <c r="K69" s="9">
        <v>30.07</v>
      </c>
      <c r="L69" s="138">
        <f t="shared" si="16"/>
        <v>7977399</v>
      </c>
      <c r="M69" s="13">
        <f t="shared" si="15"/>
        <v>9572879</v>
      </c>
    </row>
    <row r="70" spans="1:13" s="1" customFormat="1" x14ac:dyDescent="0.3">
      <c r="A70"/>
      <c r="B70" s="121" t="s">
        <v>135</v>
      </c>
      <c r="C70" s="122" t="s">
        <v>37</v>
      </c>
      <c r="D70" s="121">
        <v>2</v>
      </c>
      <c r="E70" s="11" t="s">
        <v>79</v>
      </c>
      <c r="F70" s="121">
        <v>14</v>
      </c>
      <c r="G70" s="100">
        <v>0.5</v>
      </c>
      <c r="H70" s="12">
        <f>+VLOOKUP(E70,'INDEXACIÓN Y HONORARIOS'!$A$60:$H$67,7,0)</f>
        <v>7977399</v>
      </c>
      <c r="I70" s="13">
        <f t="shared" si="14"/>
        <v>111683586</v>
      </c>
      <c r="J70" s="119"/>
      <c r="K70" s="9">
        <v>30.08</v>
      </c>
      <c r="L70" s="138">
        <f t="shared" si="16"/>
        <v>7977399</v>
      </c>
      <c r="M70" s="13">
        <f t="shared" si="15"/>
        <v>111683586</v>
      </c>
    </row>
    <row r="71" spans="1:13" s="1" customFormat="1" x14ac:dyDescent="0.3">
      <c r="A71"/>
      <c r="B71" s="121" t="s">
        <v>136</v>
      </c>
      <c r="C71" s="122" t="s">
        <v>39</v>
      </c>
      <c r="D71" s="121">
        <v>2</v>
      </c>
      <c r="E71" s="11" t="s">
        <v>79</v>
      </c>
      <c r="F71" s="121">
        <v>14</v>
      </c>
      <c r="G71" s="100">
        <v>0.5</v>
      </c>
      <c r="H71" s="12">
        <f>+VLOOKUP(E71,'INDEXACIÓN Y HONORARIOS'!$A$60:$H$67,7,0)</f>
        <v>7977399</v>
      </c>
      <c r="I71" s="13">
        <f t="shared" si="14"/>
        <v>111683586</v>
      </c>
      <c r="J71" s="119"/>
      <c r="K71" s="9">
        <v>30.09</v>
      </c>
      <c r="L71" s="138">
        <f t="shared" si="16"/>
        <v>7977399</v>
      </c>
      <c r="M71" s="13">
        <f t="shared" si="15"/>
        <v>111683586</v>
      </c>
    </row>
    <row r="72" spans="1:13" s="1" customFormat="1" x14ac:dyDescent="0.3">
      <c r="A72"/>
      <c r="B72" s="16"/>
      <c r="C72" s="38"/>
      <c r="D72" s="38"/>
      <c r="E72" s="2"/>
      <c r="F72" s="39"/>
      <c r="G72" s="39"/>
      <c r="H72" s="3"/>
      <c r="I72" s="3"/>
      <c r="J72" s="119"/>
    </row>
    <row r="73" spans="1:13" s="1" customFormat="1" x14ac:dyDescent="0.3">
      <c r="A73"/>
      <c r="B73" s="123">
        <v>40</v>
      </c>
      <c r="C73" s="128" t="s">
        <v>137</v>
      </c>
      <c r="D73" s="128"/>
      <c r="E73" s="128"/>
      <c r="F73" s="125"/>
      <c r="G73" s="128"/>
      <c r="H73" s="128"/>
      <c r="I73" s="131">
        <f>SUM(I74:I75)</f>
        <v>7850190</v>
      </c>
      <c r="J73" s="119"/>
      <c r="K73" s="114">
        <v>30</v>
      </c>
      <c r="L73" s="104" t="s">
        <v>149</v>
      </c>
      <c r="M73" s="108">
        <f>SUM(M74:M75)</f>
        <v>7850190</v>
      </c>
    </row>
    <row r="74" spans="1:13" s="1" customFormat="1" x14ac:dyDescent="0.3">
      <c r="A74"/>
      <c r="B74" s="9" t="s">
        <v>46</v>
      </c>
      <c r="C74" s="10" t="s">
        <v>42</v>
      </c>
      <c r="D74" s="9">
        <v>1</v>
      </c>
      <c r="E74" s="11" t="s">
        <v>79</v>
      </c>
      <c r="F74" s="9">
        <v>2</v>
      </c>
      <c r="G74" s="100">
        <v>0.2</v>
      </c>
      <c r="H74" s="12">
        <f>+VLOOKUP(E74,'INDEXACIÓN Y HONORARIOS'!$A$60:$H$67,7,0)</f>
        <v>7977399</v>
      </c>
      <c r="I74" s="13">
        <f t="shared" ref="I74:I75" si="17">ROUND(D74*F74*H74*(G74),0)</f>
        <v>3190960</v>
      </c>
      <c r="J74" s="119"/>
      <c r="K74" s="9" t="s">
        <v>40</v>
      </c>
      <c r="L74" s="138">
        <f>+H74</f>
        <v>7977399</v>
      </c>
      <c r="M74" s="13">
        <f t="shared" ref="M74:M75" si="18">+ROUND(D74*F74*L74*(G74),0)</f>
        <v>3190960</v>
      </c>
    </row>
    <row r="75" spans="1:13" s="1" customFormat="1" x14ac:dyDescent="0.3">
      <c r="A75"/>
      <c r="B75" s="9" t="s">
        <v>48</v>
      </c>
      <c r="C75" s="10" t="s">
        <v>44</v>
      </c>
      <c r="D75" s="9">
        <v>1</v>
      </c>
      <c r="E75" s="11" t="s">
        <v>70</v>
      </c>
      <c r="F75" s="9">
        <v>2</v>
      </c>
      <c r="G75" s="100">
        <v>0.2</v>
      </c>
      <c r="H75" s="12">
        <f>+VLOOKUP(E75,'INDEXACIÓN Y HONORARIOS'!$A$60:$H$67,7,0)</f>
        <v>11648076</v>
      </c>
      <c r="I75" s="13">
        <f t="shared" si="17"/>
        <v>4659230</v>
      </c>
      <c r="J75" s="119"/>
      <c r="K75" s="9" t="s">
        <v>41</v>
      </c>
      <c r="L75" s="138">
        <f>+H75</f>
        <v>11648076</v>
      </c>
      <c r="M75" s="13">
        <f t="shared" si="18"/>
        <v>4659230</v>
      </c>
    </row>
    <row r="76" spans="1:13" x14ac:dyDescent="0.3">
      <c r="C76" s="36"/>
      <c r="D76" s="36"/>
      <c r="E76" s="16"/>
      <c r="F76" s="16"/>
      <c r="G76" s="16"/>
      <c r="H76" s="20"/>
      <c r="J76" s="119"/>
      <c r="K76" s="6"/>
      <c r="L76" s="7"/>
      <c r="M76" s="7"/>
    </row>
    <row r="77" spans="1:13" s="1" customFormat="1" x14ac:dyDescent="0.3">
      <c r="A77"/>
      <c r="B77" s="123">
        <v>50</v>
      </c>
      <c r="C77" s="128" t="s">
        <v>45</v>
      </c>
      <c r="D77" s="128"/>
      <c r="E77" s="125"/>
      <c r="F77" s="125"/>
      <c r="G77" s="125"/>
      <c r="H77" s="126"/>
      <c r="I77" s="127">
        <f>SUM(I78:I79)</f>
        <v>32842810</v>
      </c>
      <c r="J77" s="119"/>
      <c r="K77" s="114">
        <v>40</v>
      </c>
      <c r="L77" s="104" t="s">
        <v>45</v>
      </c>
      <c r="M77" s="108">
        <f>+M78+M79</f>
        <v>32842810</v>
      </c>
    </row>
    <row r="78" spans="1:13" s="1" customFormat="1" x14ac:dyDescent="0.3">
      <c r="A78"/>
      <c r="B78" s="9" t="s">
        <v>50</v>
      </c>
      <c r="C78" s="10" t="s">
        <v>47</v>
      </c>
      <c r="D78" s="9">
        <v>1</v>
      </c>
      <c r="E78" s="11" t="s">
        <v>82</v>
      </c>
      <c r="F78" s="9">
        <v>14</v>
      </c>
      <c r="G78" s="100">
        <v>0.28774288455330727</v>
      </c>
      <c r="H78" s="12">
        <f>+VLOOKUP(E78,'INDEXACIÓN Y HONORARIOS'!$A$60:$H$67,7,0)</f>
        <v>6032039</v>
      </c>
      <c r="I78" s="13">
        <f t="shared" ref="I78:I79" si="19">ROUND(D78*F78*H78*(G78),0)</f>
        <v>24299468</v>
      </c>
      <c r="J78" s="119"/>
      <c r="K78" s="9" t="s">
        <v>46</v>
      </c>
      <c r="L78" s="138">
        <f>+H78</f>
        <v>6032039</v>
      </c>
      <c r="M78" s="13">
        <f t="shared" ref="M78:M79" si="20">+ROUND(D78*F78*L78*(G78),0)</f>
        <v>24299468</v>
      </c>
    </row>
    <row r="79" spans="1:13" x14ac:dyDescent="0.3">
      <c r="B79" s="9" t="s">
        <v>138</v>
      </c>
      <c r="C79" s="10" t="s">
        <v>126</v>
      </c>
      <c r="D79" s="9">
        <v>1</v>
      </c>
      <c r="E79" s="11">
        <v>9098</v>
      </c>
      <c r="F79" s="9">
        <v>14</v>
      </c>
      <c r="G79" s="100">
        <f>+G78</f>
        <v>0.28774288455330727</v>
      </c>
      <c r="H79" s="12">
        <f>+H36*(1+'INDEXACIÓN Y HONORARIOS'!$C$51/100)</f>
        <v>2120777.8856593901</v>
      </c>
      <c r="I79" s="13">
        <f t="shared" si="19"/>
        <v>8543342</v>
      </c>
      <c r="J79" s="116"/>
      <c r="K79" s="9" t="s">
        <v>48</v>
      </c>
      <c r="L79" s="138">
        <f>+H79</f>
        <v>2120777.8856593901</v>
      </c>
      <c r="M79" s="13">
        <f t="shared" si="20"/>
        <v>8543342</v>
      </c>
    </row>
    <row r="80" spans="1:13" s="1" customFormat="1" x14ac:dyDescent="0.3">
      <c r="A80"/>
      <c r="B80" s="16"/>
      <c r="C80" s="38"/>
      <c r="D80" s="38"/>
      <c r="E80" s="2"/>
      <c r="F80" s="39"/>
      <c r="G80" s="39"/>
      <c r="H80" s="3"/>
      <c r="I80" s="3"/>
      <c r="J80" s="116"/>
      <c r="K80" s="5"/>
      <c r="L80"/>
      <c r="M80"/>
    </row>
    <row r="81" spans="1:13" s="1" customFormat="1" x14ac:dyDescent="0.3">
      <c r="A81"/>
      <c r="B81" s="123">
        <v>60</v>
      </c>
      <c r="C81" s="128" t="s">
        <v>49</v>
      </c>
      <c r="D81" s="128"/>
      <c r="E81" s="125"/>
      <c r="F81" s="125"/>
      <c r="G81" s="125"/>
      <c r="H81" s="126"/>
      <c r="I81" s="130"/>
      <c r="J81" s="116"/>
      <c r="K81" s="114">
        <v>50</v>
      </c>
      <c r="L81" s="172" t="s">
        <v>49</v>
      </c>
      <c r="M81" s="172"/>
    </row>
    <row r="82" spans="1:13" s="1" customFormat="1" x14ac:dyDescent="0.3">
      <c r="A82"/>
      <c r="B82" s="28" t="s">
        <v>50</v>
      </c>
      <c r="C82" s="15" t="s">
        <v>51</v>
      </c>
      <c r="D82" s="15"/>
      <c r="E82" s="15"/>
      <c r="F82" s="28" t="s">
        <v>3</v>
      </c>
      <c r="G82" s="29">
        <v>1.956075</v>
      </c>
      <c r="H82" s="13">
        <f>+I77+I73+I62+I53</f>
        <v>704343436</v>
      </c>
      <c r="I82" s="13">
        <f>ROUND(H82*G82,0)</f>
        <v>1377748587</v>
      </c>
      <c r="J82" s="116"/>
      <c r="K82" s="28" t="s">
        <v>50</v>
      </c>
      <c r="L82" s="139">
        <f>+M77+M73+M62+M53</f>
        <v>704343436</v>
      </c>
      <c r="M82" s="140">
        <f>+ROUND(L82*G82,0)</f>
        <v>1377748587</v>
      </c>
    </row>
    <row r="83" spans="1:13" s="1" customFormat="1" x14ac:dyDescent="0.3">
      <c r="A83"/>
      <c r="B83" s="16"/>
      <c r="C83" s="38"/>
      <c r="D83" s="38"/>
      <c r="E83" s="38"/>
      <c r="F83" s="2"/>
      <c r="G83" s="39"/>
      <c r="H83" s="40"/>
      <c r="I83" s="3"/>
      <c r="J83" s="116"/>
      <c r="K83" s="5"/>
      <c r="L83"/>
      <c r="M83"/>
    </row>
    <row r="84" spans="1:13" s="1" customFormat="1" x14ac:dyDescent="0.3">
      <c r="A84"/>
      <c r="B84" s="109">
        <v>70</v>
      </c>
      <c r="C84" s="109" t="s">
        <v>52</v>
      </c>
      <c r="D84" s="109"/>
      <c r="E84" s="109"/>
      <c r="F84" s="107" t="s">
        <v>6</v>
      </c>
      <c r="G84" s="107" t="s">
        <v>7</v>
      </c>
      <c r="H84" s="104" t="s">
        <v>53</v>
      </c>
      <c r="I84" s="104" t="s">
        <v>9</v>
      </c>
      <c r="J84" s="120"/>
      <c r="K84" s="114">
        <v>60</v>
      </c>
      <c r="L84" s="104" t="s">
        <v>52</v>
      </c>
      <c r="M84" s="104"/>
    </row>
    <row r="85" spans="1:13" s="1" customFormat="1" x14ac:dyDescent="0.3">
      <c r="A85"/>
      <c r="B85" s="28" t="s">
        <v>54</v>
      </c>
      <c r="C85" s="23" t="s">
        <v>127</v>
      </c>
      <c r="D85" s="24"/>
      <c r="E85" s="24">
        <v>13420</v>
      </c>
      <c r="F85" s="25">
        <v>14</v>
      </c>
      <c r="G85" s="100">
        <f>+G78</f>
        <v>0.28774288455330727</v>
      </c>
      <c r="H85" s="12">
        <f>+H42*(1+'INDEXACIÓN Y HONORARIOS'!$C$51/100)</f>
        <v>7290173.9819541536</v>
      </c>
      <c r="I85" s="13">
        <f>ROUND(G85*H85*F85,0)</f>
        <v>29367740</v>
      </c>
      <c r="J85" s="120"/>
      <c r="K85" s="28" t="s">
        <v>54</v>
      </c>
      <c r="L85" s="138">
        <f>+H85</f>
        <v>7290173.9819541536</v>
      </c>
      <c r="M85" s="13">
        <f>ROUND(G85*L85*F85,0)</f>
        <v>29367740</v>
      </c>
    </row>
    <row r="86" spans="1:13" s="1" customFormat="1" x14ac:dyDescent="0.3">
      <c r="A86"/>
      <c r="B86" s="28" t="s">
        <v>55</v>
      </c>
      <c r="C86" s="33" t="s">
        <v>128</v>
      </c>
      <c r="D86" s="25"/>
      <c r="E86" s="25">
        <v>9456</v>
      </c>
      <c r="F86" s="25">
        <v>14</v>
      </c>
      <c r="G86" s="100">
        <v>0.1</v>
      </c>
      <c r="H86" s="12">
        <f>+H43*(1+'INDEXACIÓN Y HONORARIOS'!$C$51/100)</f>
        <v>5522859.0772379944</v>
      </c>
      <c r="I86" s="13">
        <f>ROUND(G86*H86*F86,0)</f>
        <v>7732003</v>
      </c>
      <c r="J86" s="120"/>
      <c r="K86" s="28" t="s">
        <v>55</v>
      </c>
      <c r="L86" s="138">
        <f>+H86</f>
        <v>5522859.0772379944</v>
      </c>
      <c r="M86" s="13">
        <f>ROUND(G86*L86*F86,0)</f>
        <v>7732003</v>
      </c>
    </row>
    <row r="87" spans="1:13" s="1" customFormat="1" x14ac:dyDescent="0.3">
      <c r="A87"/>
      <c r="B87" s="40"/>
      <c r="C87" s="40"/>
      <c r="D87" s="40"/>
      <c r="E87" s="40"/>
      <c r="F87" s="117"/>
      <c r="G87" s="7"/>
      <c r="H87" s="7"/>
      <c r="I87" s="7"/>
      <c r="J87" s="116"/>
      <c r="K87"/>
      <c r="L87"/>
      <c r="M87"/>
    </row>
    <row r="88" spans="1:13" s="1" customFormat="1" x14ac:dyDescent="0.3">
      <c r="A88"/>
      <c r="B88" s="167" t="s">
        <v>159</v>
      </c>
      <c r="C88" s="167"/>
      <c r="D88" s="167"/>
      <c r="E88" s="167"/>
      <c r="F88" s="167"/>
      <c r="G88" s="167"/>
      <c r="H88" s="111"/>
      <c r="I88" s="112">
        <f>+I86+I85+I82</f>
        <v>1414848330</v>
      </c>
      <c r="J88" s="116"/>
      <c r="K88" s="171" t="s">
        <v>159</v>
      </c>
      <c r="L88" s="171"/>
      <c r="M88" s="142">
        <f>+M82+M85+M86</f>
        <v>1414848330</v>
      </c>
    </row>
    <row r="89" spans="1:13" s="1" customFormat="1" x14ac:dyDescent="0.3">
      <c r="A89"/>
      <c r="B89" s="167" t="s">
        <v>160</v>
      </c>
      <c r="C89" s="167"/>
      <c r="D89" s="167"/>
      <c r="E89" s="167"/>
      <c r="F89" s="167"/>
      <c r="G89" s="167"/>
      <c r="H89" s="111"/>
      <c r="I89" s="112">
        <f>+ROUND(I88*J89,0)</f>
        <v>268821183</v>
      </c>
      <c r="J89" s="132">
        <v>0.19</v>
      </c>
      <c r="K89" s="171" t="s">
        <v>160</v>
      </c>
      <c r="L89" s="171"/>
      <c r="M89" s="143">
        <f>+ROUND(M88*0.19,0)</f>
        <v>268821183</v>
      </c>
    </row>
    <row r="90" spans="1:13" s="1" customFormat="1" x14ac:dyDescent="0.3">
      <c r="A90"/>
      <c r="B90" s="167" t="s">
        <v>153</v>
      </c>
      <c r="C90" s="167"/>
      <c r="D90" s="167"/>
      <c r="E90" s="167"/>
      <c r="F90" s="167"/>
      <c r="G90" s="167"/>
      <c r="H90" s="111"/>
      <c r="I90" s="111">
        <f>SUM(I88:I89)</f>
        <v>1683669513</v>
      </c>
      <c r="J90" s="6"/>
      <c r="K90" s="172" t="s">
        <v>152</v>
      </c>
      <c r="L90" s="172"/>
      <c r="M90" s="144">
        <f>+M88+M89</f>
        <v>1683669513</v>
      </c>
    </row>
    <row r="91" spans="1:13" s="1" customFormat="1" ht="15" customHeight="1" x14ac:dyDescent="0.3">
      <c r="A91"/>
      <c r="B91" s="16"/>
      <c r="C91" s="36"/>
      <c r="D91" s="36"/>
      <c r="E91" s="36"/>
      <c r="F91" s="16"/>
      <c r="G91" s="6"/>
      <c r="H91" s="7"/>
      <c r="I91" s="7"/>
      <c r="J91" s="115"/>
    </row>
    <row r="92" spans="1:13" s="150" customFormat="1" ht="18" x14ac:dyDescent="0.35">
      <c r="A92" s="146"/>
      <c r="B92" s="179" t="s">
        <v>154</v>
      </c>
      <c r="C92" s="179"/>
      <c r="D92" s="179"/>
      <c r="E92" s="179"/>
      <c r="F92" s="179"/>
      <c r="G92" s="179"/>
      <c r="H92" s="179"/>
      <c r="I92" s="147">
        <f>+I90+I47</f>
        <v>2169390270</v>
      </c>
      <c r="J92" s="148"/>
      <c r="K92" s="183" t="s">
        <v>155</v>
      </c>
      <c r="L92" s="183"/>
      <c r="M92" s="149">
        <f>+M90+M47</f>
        <v>2169390270</v>
      </c>
    </row>
    <row r="93" spans="1:13" s="1" customFormat="1" x14ac:dyDescent="0.3">
      <c r="A93"/>
      <c r="B93" s="16"/>
      <c r="C93" s="17"/>
      <c r="D93" s="17"/>
      <c r="E93" s="17"/>
      <c r="F93" s="16"/>
      <c r="G93" s="16"/>
      <c r="H93" s="20"/>
      <c r="I93" s="20"/>
      <c r="J93" s="20"/>
    </row>
    <row r="94" spans="1:13" s="1" customFormat="1" x14ac:dyDescent="0.3">
      <c r="A94"/>
      <c r="B94" s="158" t="s">
        <v>163</v>
      </c>
      <c r="C94" s="158"/>
      <c r="D94" s="158"/>
      <c r="E94" s="158"/>
      <c r="F94" s="158"/>
      <c r="G94" s="158"/>
      <c r="H94" s="158"/>
      <c r="I94" s="158"/>
      <c r="J94" s="3"/>
      <c r="K94" s="159" t="s">
        <v>164</v>
      </c>
      <c r="L94" s="160"/>
      <c r="M94" s="161"/>
    </row>
    <row r="95" spans="1:13" s="1" customFormat="1" x14ac:dyDescent="0.3">
      <c r="A95"/>
      <c r="B95" s="158"/>
      <c r="C95" s="158"/>
      <c r="D95" s="158"/>
      <c r="E95" s="158"/>
      <c r="F95" s="158"/>
      <c r="G95" s="158"/>
      <c r="H95" s="158"/>
      <c r="I95" s="158"/>
      <c r="J95" s="3"/>
      <c r="K95" s="159"/>
      <c r="L95" s="162"/>
      <c r="M95" s="163"/>
    </row>
    <row r="96" spans="1:13" s="1" customFormat="1" x14ac:dyDescent="0.3">
      <c r="A96"/>
      <c r="B96" s="158"/>
      <c r="C96" s="158"/>
      <c r="D96" s="158"/>
      <c r="E96" s="158"/>
      <c r="F96" s="158"/>
      <c r="G96" s="158"/>
      <c r="H96" s="158"/>
      <c r="I96" s="158"/>
      <c r="J96" s="3"/>
      <c r="K96" s="159"/>
      <c r="L96" s="164"/>
      <c r="M96" s="165"/>
    </row>
    <row r="97" spans="1:13" s="1" customFormat="1" x14ac:dyDescent="0.3">
      <c r="A97"/>
      <c r="B97" s="158"/>
      <c r="C97" s="158"/>
      <c r="D97" s="158"/>
      <c r="E97" s="158"/>
      <c r="F97" s="158"/>
      <c r="G97" s="158"/>
      <c r="H97" s="158"/>
      <c r="I97" s="158"/>
      <c r="J97" s="3"/>
      <c r="K97" s="152" t="s">
        <v>165</v>
      </c>
      <c r="L97" s="160"/>
      <c r="M97" s="161"/>
    </row>
    <row r="98" spans="1:13" s="1" customFormat="1" x14ac:dyDescent="0.3">
      <c r="A98"/>
      <c r="B98" s="158"/>
      <c r="C98" s="158"/>
      <c r="D98" s="158"/>
      <c r="E98" s="158"/>
      <c r="F98" s="158"/>
      <c r="G98" s="158"/>
      <c r="H98" s="158"/>
      <c r="I98" s="158"/>
      <c r="J98" s="3"/>
      <c r="K98" s="152"/>
      <c r="L98" s="162"/>
      <c r="M98" s="163"/>
    </row>
    <row r="99" spans="1:13" x14ac:dyDescent="0.3">
      <c r="B99" s="158"/>
      <c r="C99" s="158"/>
      <c r="D99" s="158"/>
      <c r="E99" s="158"/>
      <c r="F99" s="158"/>
      <c r="G99" s="158"/>
      <c r="H99" s="158"/>
      <c r="I99" s="158"/>
      <c r="J99" s="3"/>
      <c r="K99" s="152"/>
      <c r="L99" s="164"/>
      <c r="M99" s="165"/>
    </row>
    <row r="100" spans="1:13" x14ac:dyDescent="0.3">
      <c r="B100" s="158"/>
      <c r="C100" s="158"/>
      <c r="D100" s="158"/>
      <c r="E100" s="158"/>
      <c r="F100" s="158"/>
      <c r="G100" s="158"/>
      <c r="H100" s="158"/>
      <c r="I100" s="158"/>
      <c r="J100" s="3"/>
    </row>
    <row r="101" spans="1:13" x14ac:dyDescent="0.3">
      <c r="B101" s="158"/>
      <c r="C101" s="158"/>
      <c r="D101" s="158"/>
      <c r="E101" s="158"/>
      <c r="F101" s="158"/>
      <c r="G101" s="158"/>
      <c r="H101" s="158"/>
      <c r="I101" s="158"/>
      <c r="J101" s="37"/>
    </row>
    <row r="102" spans="1:13" x14ac:dyDescent="0.3">
      <c r="B102" s="158"/>
      <c r="C102" s="158"/>
      <c r="D102" s="158"/>
      <c r="E102" s="158"/>
      <c r="F102" s="158"/>
      <c r="G102" s="158"/>
      <c r="H102" s="158"/>
      <c r="I102" s="158"/>
      <c r="J102" s="3"/>
    </row>
    <row r="103" spans="1:13" x14ac:dyDescent="0.3">
      <c r="B103" s="158"/>
      <c r="C103" s="158"/>
      <c r="D103" s="158"/>
      <c r="E103" s="158"/>
      <c r="F103" s="158"/>
      <c r="G103" s="158"/>
      <c r="H103" s="158"/>
      <c r="I103" s="158"/>
      <c r="J103" s="3"/>
    </row>
    <row r="104" spans="1:13" x14ac:dyDescent="0.3">
      <c r="B104" s="158"/>
      <c r="C104" s="158"/>
      <c r="D104" s="158"/>
      <c r="E104" s="158"/>
      <c r="F104" s="158"/>
      <c r="G104" s="158"/>
      <c r="H104" s="158"/>
      <c r="I104" s="158"/>
      <c r="J104" s="3"/>
    </row>
    <row r="105" spans="1:13" x14ac:dyDescent="0.3">
      <c r="B105" s="158"/>
      <c r="C105" s="158"/>
      <c r="D105" s="158"/>
      <c r="E105" s="158"/>
      <c r="F105" s="158"/>
      <c r="G105" s="158"/>
      <c r="H105" s="158"/>
      <c r="I105" s="158"/>
      <c r="J105" s="3"/>
    </row>
    <row r="106" spans="1:13" x14ac:dyDescent="0.3">
      <c r="B106" s="158"/>
      <c r="C106" s="158"/>
      <c r="D106" s="158"/>
      <c r="E106" s="158"/>
      <c r="F106" s="158"/>
      <c r="G106" s="158"/>
      <c r="H106" s="158"/>
      <c r="I106" s="158"/>
      <c r="J106" s="37"/>
    </row>
    <row r="107" spans="1:13" x14ac:dyDescent="0.3">
      <c r="B107" s="158"/>
      <c r="C107" s="158"/>
      <c r="D107" s="158"/>
      <c r="E107" s="158"/>
      <c r="F107" s="158"/>
      <c r="G107" s="158"/>
      <c r="H107" s="158"/>
      <c r="I107" s="158"/>
      <c r="J107" s="3"/>
    </row>
    <row r="108" spans="1:13" x14ac:dyDescent="0.3">
      <c r="B108" s="158"/>
      <c r="C108" s="158"/>
      <c r="D108" s="158"/>
      <c r="E108" s="158"/>
      <c r="F108" s="158"/>
      <c r="G108" s="158"/>
      <c r="H108" s="158"/>
      <c r="I108" s="158"/>
      <c r="J108" s="37"/>
    </row>
    <row r="109" spans="1:13" x14ac:dyDescent="0.3">
      <c r="B109" s="158"/>
      <c r="C109" s="158"/>
      <c r="D109" s="158"/>
      <c r="E109" s="158"/>
      <c r="F109" s="158"/>
      <c r="G109" s="158"/>
      <c r="H109" s="158"/>
      <c r="I109" s="158"/>
      <c r="J109" s="3"/>
    </row>
    <row r="110" spans="1:13" x14ac:dyDescent="0.3">
      <c r="B110" s="40"/>
      <c r="C110" s="40"/>
      <c r="D110" s="40"/>
      <c r="E110" s="40"/>
      <c r="F110" s="117"/>
      <c r="G110" s="40"/>
    </row>
    <row r="111" spans="1:13" x14ac:dyDescent="0.3">
      <c r="J111" s="37"/>
    </row>
    <row r="112" spans="1:13" s="43" customFormat="1" x14ac:dyDescent="0.3">
      <c r="A112"/>
      <c r="B112" s="37"/>
      <c r="C112" s="37"/>
      <c r="D112" s="37"/>
      <c r="E112" s="37"/>
      <c r="F112" s="6"/>
      <c r="G112" s="37"/>
      <c r="H112" s="37"/>
      <c r="I112" s="37"/>
      <c r="J112" s="115"/>
    </row>
    <row r="113" spans="1:10" s="43" customFormat="1" x14ac:dyDescent="0.3">
      <c r="A113"/>
      <c r="B113" s="16"/>
      <c r="C113" s="36"/>
      <c r="D113" s="36"/>
      <c r="E113" s="36"/>
      <c r="F113" s="16"/>
      <c r="G113" s="6"/>
      <c r="H113" s="7"/>
      <c r="I113" s="7"/>
      <c r="J113" s="115"/>
    </row>
    <row r="114" spans="1:10" x14ac:dyDescent="0.3">
      <c r="B114" s="6"/>
      <c r="C114" s="37"/>
      <c r="D114" s="37"/>
      <c r="E114" s="37"/>
      <c r="F114" s="6"/>
      <c r="G114" s="37"/>
      <c r="H114" s="37"/>
      <c r="I114" s="37"/>
    </row>
    <row r="115" spans="1:10" s="2" customFormat="1" x14ac:dyDescent="0.3">
      <c r="A115"/>
      <c r="B115" s="16"/>
      <c r="C115" s="17"/>
      <c r="D115" s="17"/>
      <c r="E115" s="17"/>
      <c r="F115" s="16"/>
      <c r="G115" s="42"/>
      <c r="H115" s="20"/>
      <c r="I115" s="20"/>
      <c r="J115" s="115"/>
    </row>
    <row r="116" spans="1:10" x14ac:dyDescent="0.3">
      <c r="A116" s="43"/>
      <c r="C116" s="36"/>
      <c r="D116" s="36"/>
      <c r="E116" s="36"/>
      <c r="F116" s="16"/>
      <c r="G116" s="6"/>
      <c r="H116" s="7"/>
      <c r="I116" s="7"/>
    </row>
    <row r="117" spans="1:10" x14ac:dyDescent="0.3">
      <c r="A117" s="43"/>
      <c r="B117" s="6"/>
      <c r="C117" s="37"/>
      <c r="D117" s="37"/>
      <c r="E117" s="37"/>
      <c r="F117" s="6"/>
      <c r="G117" s="37"/>
      <c r="H117" s="37"/>
      <c r="I117" s="37"/>
    </row>
    <row r="118" spans="1:10" x14ac:dyDescent="0.3">
      <c r="C118" s="17"/>
      <c r="D118" s="17"/>
      <c r="E118" s="17"/>
      <c r="F118" s="44"/>
      <c r="G118" s="45"/>
      <c r="H118" s="46"/>
      <c r="I118" s="46"/>
    </row>
    <row r="119" spans="1:10" x14ac:dyDescent="0.3">
      <c r="C119" s="17"/>
      <c r="D119" s="17"/>
      <c r="E119" s="17"/>
      <c r="F119" s="16"/>
      <c r="G119" s="42"/>
      <c r="H119" s="20"/>
      <c r="I119" s="20"/>
    </row>
    <row r="152" spans="1:10" s="1" customFormat="1" x14ac:dyDescent="0.3">
      <c r="A152"/>
      <c r="B152" s="16"/>
      <c r="C152" s="38"/>
      <c r="D152" s="38"/>
      <c r="E152" s="38"/>
      <c r="F152" s="2"/>
      <c r="G152" s="39"/>
      <c r="H152" s="40"/>
      <c r="I152" s="3"/>
      <c r="J152" s="135"/>
    </row>
    <row r="153" spans="1:10" s="1" customFormat="1" x14ac:dyDescent="0.3">
      <c r="A153"/>
      <c r="B153" s="16"/>
      <c r="C153" s="38"/>
      <c r="D153" s="38"/>
      <c r="E153" s="38"/>
      <c r="F153" s="2"/>
      <c r="G153" s="39"/>
      <c r="H153" s="40"/>
      <c r="I153" s="3"/>
      <c r="J153" s="135"/>
    </row>
    <row r="154" spans="1:10" s="1" customFormat="1" x14ac:dyDescent="0.3">
      <c r="A154"/>
      <c r="B154" s="16"/>
      <c r="C154" s="38"/>
      <c r="D154" s="38"/>
      <c r="E154" s="38"/>
      <c r="F154" s="2"/>
      <c r="G154" s="39"/>
      <c r="H154" s="40"/>
      <c r="I154" s="3"/>
      <c r="J154" s="135"/>
    </row>
    <row r="155" spans="1:10" s="1" customFormat="1" x14ac:dyDescent="0.3">
      <c r="A155"/>
      <c r="B155" s="16"/>
      <c r="C155" s="38"/>
      <c r="D155" s="38"/>
      <c r="E155" s="38"/>
      <c r="F155" s="2"/>
      <c r="G155" s="39"/>
      <c r="H155" s="40"/>
      <c r="I155" s="3"/>
      <c r="J155" s="135"/>
    </row>
    <row r="156" spans="1:10" s="1" customFormat="1" x14ac:dyDescent="0.3">
      <c r="A156"/>
      <c r="B156" s="16"/>
      <c r="C156" s="35"/>
      <c r="D156" s="35"/>
      <c r="E156" s="35"/>
      <c r="F156" s="2"/>
      <c r="G156" s="16"/>
      <c r="H156" s="20"/>
      <c r="I156" s="20"/>
      <c r="J156" s="135"/>
    </row>
    <row r="157" spans="1:10" s="1" customFormat="1" x14ac:dyDescent="0.3">
      <c r="A157"/>
      <c r="B157" s="16"/>
      <c r="C157" s="36"/>
      <c r="D157" s="36"/>
      <c r="E157" s="36"/>
      <c r="F157" s="16"/>
      <c r="G157" s="6"/>
      <c r="H157" s="7"/>
      <c r="I157" s="7"/>
      <c r="J157" s="135"/>
    </row>
    <row r="158" spans="1:10" s="1" customFormat="1" x14ac:dyDescent="0.3">
      <c r="A158"/>
      <c r="B158" s="47"/>
      <c r="C158" s="47"/>
      <c r="D158" s="47"/>
      <c r="E158" s="47"/>
      <c r="F158" s="52"/>
      <c r="G158" s="47"/>
      <c r="H158" s="47"/>
      <c r="I158" s="47"/>
      <c r="J158" s="135"/>
    </row>
    <row r="159" spans="1:10" s="1" customFormat="1" x14ac:dyDescent="0.3">
      <c r="A159"/>
      <c r="B159" s="47"/>
      <c r="C159" s="47"/>
      <c r="D159" s="47"/>
      <c r="E159" s="47"/>
      <c r="F159" s="52"/>
      <c r="G159" s="47"/>
      <c r="H159" s="47"/>
      <c r="I159" s="47"/>
      <c r="J159" s="135"/>
    </row>
    <row r="160" spans="1:10" s="1" customFormat="1" x14ac:dyDescent="0.3">
      <c r="A160"/>
      <c r="B160" s="47"/>
      <c r="C160" s="48"/>
      <c r="D160" s="48"/>
      <c r="E160" s="48"/>
      <c r="F160" s="52"/>
      <c r="G160" s="49"/>
      <c r="H160" s="50"/>
      <c r="I160" s="51"/>
      <c r="J160" s="115"/>
    </row>
    <row r="161" spans="1:10" s="1" customFormat="1" x14ac:dyDescent="0.3">
      <c r="A161"/>
      <c r="B161" s="47"/>
      <c r="C161" s="48"/>
      <c r="D161" s="48"/>
      <c r="E161" s="48"/>
      <c r="F161" s="52"/>
      <c r="G161" s="49"/>
      <c r="H161" s="50"/>
      <c r="I161" s="51"/>
      <c r="J161" s="115"/>
    </row>
    <row r="162" spans="1:10" s="1" customFormat="1" x14ac:dyDescent="0.3">
      <c r="A162"/>
      <c r="B162" s="47"/>
      <c r="C162" s="48"/>
      <c r="D162" s="48"/>
      <c r="E162" s="48"/>
      <c r="F162" s="52"/>
      <c r="G162" s="49"/>
      <c r="H162" s="50"/>
      <c r="I162" s="51"/>
      <c r="J162" s="37"/>
    </row>
    <row r="163" spans="1:10" s="1" customFormat="1" x14ac:dyDescent="0.3">
      <c r="A163"/>
      <c r="B163" s="47"/>
      <c r="C163" s="48"/>
      <c r="D163" s="48"/>
      <c r="E163" s="48"/>
      <c r="F163" s="52"/>
      <c r="G163" s="52"/>
      <c r="H163" s="53"/>
      <c r="I163" s="53"/>
      <c r="J163" s="115"/>
    </row>
    <row r="164" spans="1:10" s="1" customFormat="1" x14ac:dyDescent="0.3">
      <c r="A164"/>
      <c r="B164" s="47"/>
      <c r="C164" s="48"/>
      <c r="D164" s="48"/>
      <c r="E164" s="48"/>
      <c r="F164" s="52"/>
      <c r="G164" s="52"/>
      <c r="H164" s="50"/>
      <c r="I164" s="53"/>
      <c r="J164" s="115"/>
    </row>
    <row r="165" spans="1:10" s="1" customFormat="1" x14ac:dyDescent="0.3">
      <c r="A165"/>
      <c r="B165" s="47"/>
      <c r="C165" s="47"/>
      <c r="D165" s="47"/>
      <c r="E165" s="47"/>
      <c r="F165" s="52"/>
      <c r="G165" s="52"/>
      <c r="H165" s="53"/>
      <c r="I165" s="53"/>
      <c r="J165" s="115"/>
    </row>
    <row r="166" spans="1:10" s="1" customFormat="1" x14ac:dyDescent="0.3">
      <c r="A166"/>
      <c r="B166" s="16"/>
      <c r="C166" s="36"/>
      <c r="D166" s="36"/>
      <c r="E166" s="36"/>
      <c r="F166" s="16"/>
      <c r="G166" s="6"/>
      <c r="H166" s="7"/>
      <c r="I166" s="7"/>
      <c r="J166" s="115"/>
    </row>
    <row r="167" spans="1:10" s="1" customFormat="1" x14ac:dyDescent="0.3">
      <c r="A167"/>
      <c r="B167" s="16"/>
      <c r="C167" s="36"/>
      <c r="D167" s="36"/>
      <c r="E167" s="36"/>
      <c r="F167" s="16"/>
      <c r="G167" s="6"/>
      <c r="H167" s="7"/>
      <c r="I167" s="7"/>
      <c r="J167" s="115"/>
    </row>
    <row r="168" spans="1:10" s="1" customFormat="1" x14ac:dyDescent="0.3">
      <c r="A168"/>
      <c r="B168" s="6"/>
      <c r="C168" s="37"/>
      <c r="D168" s="37"/>
      <c r="E168" s="37"/>
      <c r="F168" s="6"/>
      <c r="G168" s="37"/>
      <c r="H168" s="37"/>
      <c r="I168" s="37"/>
      <c r="J168" s="115"/>
    </row>
    <row r="169" spans="1:10" s="1" customFormat="1" x14ac:dyDescent="0.3">
      <c r="A169"/>
      <c r="B169" s="16"/>
      <c r="C169" s="35"/>
      <c r="D169" s="35"/>
      <c r="E169" s="35"/>
      <c r="F169" s="2"/>
      <c r="G169" s="16"/>
      <c r="H169" s="20"/>
      <c r="I169" s="20"/>
      <c r="J169" s="115"/>
    </row>
    <row r="170" spans="1:10" s="1" customFormat="1" x14ac:dyDescent="0.3">
      <c r="A170"/>
      <c r="B170" s="16"/>
      <c r="C170" s="35"/>
      <c r="D170" s="35"/>
      <c r="E170" s="35"/>
      <c r="F170" s="2"/>
      <c r="G170" s="16"/>
      <c r="H170" s="20"/>
      <c r="I170" s="20"/>
      <c r="J170" s="115"/>
    </row>
    <row r="171" spans="1:10" s="1" customFormat="1" x14ac:dyDescent="0.3">
      <c r="A171"/>
      <c r="B171" s="16"/>
      <c r="C171" s="27"/>
      <c r="D171" s="27"/>
      <c r="E171" s="27"/>
      <c r="F171" s="2"/>
      <c r="G171" s="16"/>
      <c r="H171" s="20"/>
      <c r="I171" s="20"/>
      <c r="J171" s="115"/>
    </row>
    <row r="172" spans="1:10" s="1" customFormat="1" x14ac:dyDescent="0.3">
      <c r="A172"/>
      <c r="B172" s="16"/>
      <c r="C172" s="27"/>
      <c r="D172" s="27"/>
      <c r="E172" s="27"/>
      <c r="F172" s="2"/>
      <c r="G172" s="16"/>
      <c r="H172" s="20"/>
      <c r="I172" s="20"/>
      <c r="J172" s="37"/>
    </row>
    <row r="173" spans="1:10" s="1" customFormat="1" x14ac:dyDescent="0.3">
      <c r="A173"/>
      <c r="B173" s="16"/>
      <c r="C173" s="27"/>
      <c r="D173" s="27"/>
      <c r="E173" s="27"/>
      <c r="F173" s="2"/>
      <c r="G173" s="16"/>
      <c r="H173" s="20"/>
      <c r="I173" s="20"/>
      <c r="J173" s="115"/>
    </row>
    <row r="174" spans="1:10" s="1" customFormat="1" x14ac:dyDescent="0.3">
      <c r="A174"/>
      <c r="B174" s="16"/>
      <c r="C174" s="27"/>
      <c r="D174" s="27"/>
      <c r="E174" s="27"/>
      <c r="F174" s="2"/>
      <c r="G174" s="16"/>
      <c r="H174" s="20"/>
      <c r="I174" s="20"/>
      <c r="J174" s="115"/>
    </row>
    <row r="175" spans="1:10" s="1" customFormat="1" x14ac:dyDescent="0.3">
      <c r="A175"/>
      <c r="B175" s="16"/>
      <c r="C175" s="35"/>
      <c r="D175" s="35"/>
      <c r="E175" s="35"/>
      <c r="F175" s="2"/>
      <c r="G175" s="54"/>
      <c r="H175" s="20"/>
      <c r="I175" s="20"/>
      <c r="J175" s="115"/>
    </row>
    <row r="176" spans="1:10" s="1" customFormat="1" x14ac:dyDescent="0.3">
      <c r="A176"/>
      <c r="B176" s="16"/>
      <c r="C176" s="36"/>
      <c r="D176" s="36"/>
      <c r="E176" s="36"/>
      <c r="F176" s="16"/>
      <c r="G176" s="6"/>
      <c r="H176" s="7"/>
      <c r="I176" s="7"/>
      <c r="J176" s="115"/>
    </row>
    <row r="177" spans="1:10" s="1" customFormat="1" x14ac:dyDescent="0.3">
      <c r="A177"/>
      <c r="B177" s="16"/>
      <c r="C177" s="36"/>
      <c r="D177" s="36"/>
      <c r="E177" s="36"/>
      <c r="F177" s="16"/>
      <c r="G177" s="6"/>
      <c r="H177" s="7"/>
      <c r="I177" s="7"/>
      <c r="J177" s="37"/>
    </row>
    <row r="178" spans="1:10" s="1" customFormat="1" x14ac:dyDescent="0.3">
      <c r="A178"/>
      <c r="B178" s="6"/>
      <c r="C178" s="37"/>
      <c r="D178" s="37"/>
      <c r="E178" s="37"/>
      <c r="F178" s="16"/>
      <c r="G178" s="16"/>
      <c r="H178" s="16"/>
      <c r="I178" s="16"/>
      <c r="J178" s="115"/>
    </row>
    <row r="179" spans="1:10" s="3" customFormat="1" x14ac:dyDescent="0.3">
      <c r="A179"/>
      <c r="B179" s="16"/>
      <c r="C179" s="35"/>
      <c r="D179" s="35"/>
      <c r="E179" s="35"/>
      <c r="F179" s="2"/>
      <c r="G179" s="16"/>
      <c r="H179" s="20"/>
      <c r="I179" s="20"/>
      <c r="J179" s="115"/>
    </row>
    <row r="180" spans="1:10" s="3" customFormat="1" x14ac:dyDescent="0.3">
      <c r="A180"/>
      <c r="B180" s="16"/>
      <c r="C180" s="35"/>
      <c r="D180" s="35"/>
      <c r="E180" s="35"/>
      <c r="F180" s="2"/>
      <c r="G180" s="16"/>
      <c r="H180" s="20"/>
      <c r="I180" s="20"/>
      <c r="J180" s="115"/>
    </row>
    <row r="181" spans="1:10" s="3" customFormat="1" x14ac:dyDescent="0.3">
      <c r="A181"/>
      <c r="B181" s="16"/>
      <c r="C181" s="35"/>
      <c r="D181" s="35"/>
      <c r="E181" s="35"/>
      <c r="F181" s="2"/>
      <c r="G181" s="16"/>
      <c r="H181" s="20"/>
      <c r="I181" s="20"/>
      <c r="J181" s="115"/>
    </row>
    <row r="182" spans="1:10" s="3" customFormat="1" x14ac:dyDescent="0.3">
      <c r="A182"/>
      <c r="B182" s="16"/>
      <c r="C182" s="36"/>
      <c r="D182" s="36"/>
      <c r="E182" s="36"/>
      <c r="F182" s="16"/>
      <c r="G182" s="6"/>
      <c r="H182" s="7"/>
      <c r="I182" s="7"/>
      <c r="J182" s="115"/>
    </row>
    <row r="183" spans="1:10" s="3" customFormat="1" x14ac:dyDescent="0.3">
      <c r="A183"/>
      <c r="B183" s="6"/>
      <c r="C183" s="37"/>
      <c r="D183" s="37"/>
      <c r="E183" s="37"/>
      <c r="F183" s="16"/>
      <c r="G183" s="16"/>
      <c r="H183" s="16"/>
      <c r="I183" s="16"/>
      <c r="J183" s="115"/>
    </row>
    <row r="184" spans="1:10" x14ac:dyDescent="0.3">
      <c r="C184" s="35"/>
      <c r="D184" s="35"/>
      <c r="E184" s="35"/>
      <c r="G184" s="16"/>
      <c r="H184" s="20"/>
      <c r="I184" s="20"/>
    </row>
    <row r="185" spans="1:10" x14ac:dyDescent="0.3">
      <c r="C185" s="35"/>
      <c r="D185" s="35"/>
      <c r="E185" s="35"/>
      <c r="G185" s="16"/>
      <c r="H185" s="20"/>
      <c r="I185" s="20"/>
    </row>
    <row r="186" spans="1:10" x14ac:dyDescent="0.3">
      <c r="C186" s="35"/>
      <c r="D186" s="35"/>
      <c r="E186" s="35"/>
      <c r="G186" s="16"/>
      <c r="H186" s="20"/>
      <c r="I186" s="20"/>
    </row>
    <row r="187" spans="1:10" s="3" customFormat="1" x14ac:dyDescent="0.3">
      <c r="A187"/>
      <c r="B187" s="16"/>
      <c r="C187" s="27"/>
      <c r="D187" s="27"/>
      <c r="E187" s="27"/>
      <c r="F187" s="2"/>
      <c r="G187" s="16"/>
      <c r="H187" s="20"/>
      <c r="I187" s="20"/>
      <c r="J187" s="115"/>
    </row>
  </sheetData>
  <mergeCells count="47">
    <mergeCell ref="K92:L92"/>
    <mergeCell ref="L81:M81"/>
    <mergeCell ref="K88:L88"/>
    <mergeCell ref="K89:L89"/>
    <mergeCell ref="K90:L90"/>
    <mergeCell ref="A1:I1"/>
    <mergeCell ref="A2:I2"/>
    <mergeCell ref="A3:I3"/>
    <mergeCell ref="A4:I4"/>
    <mergeCell ref="B92:H92"/>
    <mergeCell ref="B46:G46"/>
    <mergeCell ref="B47:G47"/>
    <mergeCell ref="C38:I38"/>
    <mergeCell ref="G7:G8"/>
    <mergeCell ref="A5:I5"/>
    <mergeCell ref="B88:G88"/>
    <mergeCell ref="B89:G89"/>
    <mergeCell ref="B90:G90"/>
    <mergeCell ref="F7:F8"/>
    <mergeCell ref="D7:D8"/>
    <mergeCell ref="B7:B8"/>
    <mergeCell ref="K1:M1"/>
    <mergeCell ref="K2:M3"/>
    <mergeCell ref="K4:M6"/>
    <mergeCell ref="K8:K9"/>
    <mergeCell ref="K7:M7"/>
    <mergeCell ref="C7:C8"/>
    <mergeCell ref="E7:E8"/>
    <mergeCell ref="B45:G45"/>
    <mergeCell ref="K51:K52"/>
    <mergeCell ref="G51:G52"/>
    <mergeCell ref="K45:L45"/>
    <mergeCell ref="K46:L46"/>
    <mergeCell ref="K47:L47"/>
    <mergeCell ref="K49:M49"/>
    <mergeCell ref="A49:I49"/>
    <mergeCell ref="B51:B52"/>
    <mergeCell ref="C51:C52"/>
    <mergeCell ref="D51:D52"/>
    <mergeCell ref="E51:E52"/>
    <mergeCell ref="F51:F52"/>
    <mergeCell ref="L38:M38"/>
    <mergeCell ref="B94:I109"/>
    <mergeCell ref="K94:K96"/>
    <mergeCell ref="L94:M96"/>
    <mergeCell ref="K97:K99"/>
    <mergeCell ref="L97:M99"/>
  </mergeCells>
  <phoneticPr fontId="28" type="noConversion"/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66D2EAE-5019-4AB4-99B3-2EB64A6FA480}">
          <x14:formula1>
            <xm:f>'INDEXACIÓN Y HONORARIOS'!$A$60:$A$67</xm:f>
          </x14:formula1>
          <xm:sqref>E11:E17 E20:E27 E30:E32 E35 E54:E60 E74:E75 E63:E71 E78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22f05eb-006f-44d7-8a8a-251c6721f302">
      <Terms xmlns="http://schemas.microsoft.com/office/infopath/2007/PartnerControls"/>
    </lcf76f155ced4ddcb4097134ff3c332f>
    <TaxCatchAll xmlns="c03cdca8-9726-4062-a7ac-001d8667382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4EDAE5E636F7744A3F3DED4FF7FB923" ma:contentTypeVersion="13" ma:contentTypeDescription="Crear nuevo documento." ma:contentTypeScope="" ma:versionID="306943054390b38996ca782f3a020720">
  <xsd:schema xmlns:xsd="http://www.w3.org/2001/XMLSchema" xmlns:xs="http://www.w3.org/2001/XMLSchema" xmlns:p="http://schemas.microsoft.com/office/2006/metadata/properties" xmlns:ns2="422f05eb-006f-44d7-8a8a-251c6721f302" xmlns:ns3="c03cdca8-9726-4062-a7ac-001d8667382e" targetNamespace="http://schemas.microsoft.com/office/2006/metadata/properties" ma:root="true" ma:fieldsID="5dfea2239a17c6dce11d0bc4afe6606a" ns2:_="" ns3:_="">
    <xsd:import namespace="422f05eb-006f-44d7-8a8a-251c6721f302"/>
    <xsd:import namespace="c03cdca8-9726-4062-a7ac-001d866738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2f05eb-006f-44d7-8a8a-251c6721f3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a4e7c8d-c71a-4b82-8d30-07c913516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3cdca8-9726-4062-a7ac-001d8667382e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c9b7fe6b-3e35-436d-ab48-ebee589f0b5e}" ma:internalName="TaxCatchAll" ma:showField="CatchAllData" ma:web="c03cdca8-9726-4062-a7ac-001d8667382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019797-73F0-4C87-8865-5CC85D8FBD37}">
  <ds:schemaRefs>
    <ds:schemaRef ds:uri="http://schemas.microsoft.com/office/2006/documentManagement/types"/>
    <ds:schemaRef ds:uri="http://purl.org/dc/dcmitype/"/>
    <ds:schemaRef ds:uri="http://purl.org/dc/terms/"/>
    <ds:schemaRef ds:uri="422f05eb-006f-44d7-8a8a-251c6721f302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c03cdca8-9726-4062-a7ac-001d8667382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D37711FF-B237-4D8D-8891-0DC5F214C4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22f05eb-006f-44d7-8a8a-251c6721f302"/>
    <ds:schemaRef ds:uri="c03cdca8-9726-4062-a7ac-001d866738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A11D8F-17A6-48E1-A9AE-1CF5D9CE6C0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INDEXACIÓN Y HONORARIOS</vt:lpstr>
      <vt:lpstr>POE Y OFERTA ECONÓMICA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Galeano</dc:creator>
  <cp:keywords/>
  <dc:description/>
  <cp:lastModifiedBy>Juan Gerardo Galeano Mateus</cp:lastModifiedBy>
  <cp:revision/>
  <dcterms:created xsi:type="dcterms:W3CDTF">2025-05-09T15:01:33Z</dcterms:created>
  <dcterms:modified xsi:type="dcterms:W3CDTF">2025-07-17T02:32:48Z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0x010100D4EDAE5E636F7744A3F3DED4FF7FB923</vt:lpwstr>
  </property>
  <property fmtid="{D5CDD505-2E9C-101B-9397-08002B2CF9AE}" pid="3" name="MediaServiceImageTags">
    <vt:lpwstr/>
  </property>
</Properties>
</file>