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VIAS\D.T. PUTUMAYO\CTO 0818 DE 2025\EJECUCIÓN DEL CONTRATO\4. JULIO\MANTENIMIENTO EQUIPOS SEDE CDP2 45''\PROCESO IP-DT-PUT-003-2025\"/>
    </mc:Choice>
  </mc:AlternateContent>
  <xr:revisionPtr revIDLastSave="0" documentId="13_ncr:1_{97F830D6-3335-41C2-A29B-3ED3DA570C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5" r:id="rId1"/>
    <sheet name="PROPUESTA ECONOMICA" sheetId="16" r:id="rId2"/>
    <sheet name="APU 2025" sheetId="14" r:id="rId3"/>
    <sheet name="Personal" sheetId="17" r:id="rId4"/>
  </sheets>
  <definedNames>
    <definedName name="_xlnm.Print_Area" localSheetId="0">'Presupuesto Oficial'!$A$1:$F$39</definedName>
    <definedName name="_xlnm.Print_Area" localSheetId="1">'PROPUESTA ECONOMICA'!$A$1:$F$41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6" i="14" l="1"/>
  <c r="E55" i="14"/>
  <c r="A22" i="5" l="1"/>
  <c r="A21" i="5"/>
  <c r="A20" i="5"/>
  <c r="A19" i="5"/>
  <c r="A18" i="5"/>
  <c r="A17" i="5"/>
  <c r="A16" i="5"/>
  <c r="F25" i="16"/>
  <c r="F27" i="16" s="1"/>
  <c r="F28" i="16" s="1"/>
  <c r="F17" i="16"/>
  <c r="F18" i="16"/>
  <c r="F19" i="16"/>
  <c r="F20" i="16"/>
  <c r="F21" i="16"/>
  <c r="F22" i="16"/>
  <c r="F23" i="16"/>
  <c r="F16" i="16"/>
  <c r="F43" i="17"/>
  <c r="B22" i="5"/>
  <c r="B21" i="5"/>
  <c r="B20" i="5"/>
  <c r="B19" i="5"/>
  <c r="B18" i="5"/>
  <c r="B17" i="5"/>
  <c r="B16" i="5"/>
  <c r="F26" i="16" l="1"/>
  <c r="G59" i="14"/>
  <c r="E60" i="14" s="1"/>
  <c r="G60" i="14" s="1"/>
  <c r="G47" i="14" l="1"/>
  <c r="G49" i="14"/>
  <c r="G48" i="14"/>
  <c r="G37" i="14"/>
  <c r="G38" i="14"/>
  <c r="G23" i="14"/>
  <c r="G24" i="14"/>
  <c r="G25" i="14"/>
  <c r="F44" i="17"/>
  <c r="F42" i="17"/>
  <c r="F46" i="17" s="1"/>
  <c r="F45" i="17"/>
  <c r="F37" i="17"/>
  <c r="F36" i="17"/>
  <c r="F31" i="17"/>
  <c r="F30" i="17"/>
  <c r="F25" i="17"/>
  <c r="F24" i="17"/>
  <c r="F19" i="17"/>
  <c r="F18" i="17"/>
  <c r="F13" i="17"/>
  <c r="F12" i="17"/>
  <c r="F7" i="17"/>
  <c r="F6" i="17"/>
  <c r="B21" i="16"/>
  <c r="B18" i="16"/>
  <c r="B17" i="16"/>
  <c r="F26" i="17" l="1"/>
  <c r="E9" i="14"/>
  <c r="G9" i="14" s="1"/>
  <c r="E10" i="14" s="1"/>
  <c r="F32" i="17"/>
  <c r="E26" i="14"/>
  <c r="F38" i="17"/>
  <c r="F14" i="17"/>
  <c r="F20" i="17"/>
  <c r="F8" i="17"/>
  <c r="E70" i="14" l="1"/>
  <c r="G70" i="14" s="1"/>
  <c r="E71" i="14" s="1"/>
  <c r="E61" i="14"/>
  <c r="G61" i="14" s="1"/>
  <c r="E62" i="14" s="1"/>
  <c r="G62" i="14" s="1"/>
  <c r="E50" i="14"/>
  <c r="G50" i="14" s="1"/>
  <c r="E51" i="14" s="1"/>
  <c r="E39" i="14"/>
  <c r="E29" i="14"/>
  <c r="E17" i="14"/>
  <c r="G17" i="14" s="1"/>
  <c r="F29" i="16"/>
  <c r="F30" i="16" s="1"/>
  <c r="G67" i="14" l="1"/>
  <c r="G56" i="14" l="1"/>
  <c r="E57" i="14" s="1"/>
  <c r="G57" i="14" s="1"/>
  <c r="G58" i="14"/>
  <c r="G45" i="14"/>
  <c r="E18" i="14"/>
  <c r="G18" i="14" s="1"/>
  <c r="G16" i="14"/>
  <c r="G15" i="14"/>
  <c r="H55" i="14" l="1"/>
  <c r="E14" i="14"/>
  <c r="E21" i="5" l="1"/>
  <c r="F21" i="5" s="1"/>
  <c r="H14" i="14"/>
  <c r="E17" i="5"/>
  <c r="F17" i="5" s="1"/>
  <c r="G69" i="14"/>
  <c r="G26" i="14" l="1"/>
  <c r="G27" i="14"/>
  <c r="G28" i="14"/>
  <c r="G29" i="14"/>
  <c r="E30" i="14" s="1"/>
  <c r="G30" i="14" s="1"/>
  <c r="G68" i="14"/>
  <c r="G51" i="14"/>
  <c r="G46" i="14"/>
  <c r="G36" i="14"/>
  <c r="G10" i="14"/>
  <c r="E8" i="14" l="1"/>
  <c r="E22" i="14"/>
  <c r="G35" i="14"/>
  <c r="H8" i="14" l="1"/>
  <c r="E16" i="5"/>
  <c r="F16" i="5" s="1"/>
  <c r="H66" i="14"/>
  <c r="E22" i="5"/>
  <c r="F22" i="5" s="1"/>
  <c r="H22" i="14"/>
  <c r="E18" i="5"/>
  <c r="F18" i="5" s="1"/>
  <c r="G39" i="14"/>
  <c r="E40" i="14" s="1"/>
  <c r="G40" i="14" s="1"/>
  <c r="E34" i="14" s="1"/>
  <c r="E44" i="14"/>
  <c r="E20" i="5" l="1"/>
  <c r="F20" i="5" s="1"/>
  <c r="H44" i="14"/>
  <c r="E19" i="5"/>
  <c r="F19" i="5" s="1"/>
  <c r="H34" i="14"/>
  <c r="F24" i="5" l="1"/>
  <c r="F25" i="5"/>
  <c r="F36" i="5"/>
  <c r="F26" i="5" l="1"/>
  <c r="F27" i="5"/>
  <c r="F28" i="5" s="1"/>
  <c r="F29" i="5" s="1"/>
</calcChain>
</file>

<file path=xl/sharedStrings.xml><?xml version="1.0" encoding="utf-8"?>
<sst xmlns="http://schemas.openxmlformats.org/spreadsheetml/2006/main" count="308" uniqueCount="130">
  <si>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</si>
  <si>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</si>
  <si>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</si>
  <si>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</si>
  <si>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</si>
  <si>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DESCRIPCIÓN</t>
  </si>
  <si>
    <t>UND.</t>
  </si>
  <si>
    <t>CANTIDAD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</si>
  <si>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</si>
  <si>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</si>
  <si>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</si>
  <si>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</si>
  <si>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 xml:space="preserve">IMPREVISTO
</t>
  </si>
  <si>
    <t xml:space="preserve">UTILIDAD
</t>
  </si>
  <si>
    <t>TOTAL A.I.U</t>
  </si>
  <si>
    <t>ÍTEM</t>
  </si>
  <si>
    <t>INSTITUTO NACIONAL DE VIAS</t>
  </si>
  <si>
    <r>
      <rPr>
        <b/>
        <sz val="8"/>
        <rFont val="Arial"/>
        <family val="2"/>
      </rPr>
      <t xml:space="preserve">NOTA 1: </t>
    </r>
    <r>
      <rPr>
        <sz val="8"/>
        <rFont val="Arial"/>
        <family val="2"/>
      </rPr>
      <t xml:space="preserve"> Se debe tener en cuenta que el PRECIO UNITARIO incluye el valor de A.I.U. </t>
    </r>
  </si>
  <si>
    <r>
      <rPr>
        <b/>
        <sz val="8"/>
        <rFont val="Arial"/>
        <family val="2"/>
      </rPr>
      <t>NOTA 3:</t>
    </r>
    <r>
      <rPr>
        <sz val="8"/>
        <rFont val="Arial"/>
        <family val="2"/>
      </rPr>
      <t xml:space="preserve"> El A.I.U y su discriminación deben estar en porcentaje (%). </t>
    </r>
  </si>
  <si>
    <t>ANALISIS DE PRECIOS UNITARIOS PARA EL PROCESO</t>
  </si>
  <si>
    <t>UN</t>
  </si>
  <si>
    <t>CANT.</t>
  </si>
  <si>
    <t>VR. COSTO DIRECTO</t>
  </si>
  <si>
    <t>(USOS)</t>
  </si>
  <si>
    <t>VR. PARCIAL</t>
  </si>
  <si>
    <t>A.I.U 30%</t>
  </si>
  <si>
    <t>(RENDIMIENTO)</t>
  </si>
  <si>
    <t>Día</t>
  </si>
  <si>
    <t>Herramienta menor (% mano obra)</t>
  </si>
  <si>
    <t>%MO</t>
  </si>
  <si>
    <t>Un</t>
  </si>
  <si>
    <t>SUBTOTAL OBRAS DE MANTENIMIENTO (INCLUYE IVA)</t>
  </si>
  <si>
    <t>VALOR TOTAL DEL MANTENIMIENTO DE LA SEDE</t>
  </si>
  <si>
    <t>Código	CCE-EICP-FM-25	Versión	1</t>
  </si>
  <si>
    <r>
      <rPr>
        <b/>
        <sz val="8"/>
        <rFont val="Arial"/>
        <family val="2"/>
      </rPr>
      <t>NOTA 5:</t>
    </r>
    <r>
      <rPr>
        <sz val="8"/>
        <rFont val="Arial"/>
        <family val="2"/>
      </rPr>
      <t xml:space="preserve"> </t>
    </r>
  </si>
  <si>
    <r>
      <t xml:space="preserve">NOTA 6: </t>
    </r>
    <r>
      <rPr>
        <sz val="8"/>
        <rFont val="Arial"/>
        <family val="2"/>
      </rPr>
      <t xml:space="preserve"> </t>
    </r>
  </si>
  <si>
    <t>M</t>
  </si>
  <si>
    <t>Rendimientos</t>
  </si>
  <si>
    <t>EDIFICIO ADMINISTRATIVO</t>
  </si>
  <si>
    <t>%Tub</t>
  </si>
  <si>
    <t>Limpiador removedor PVC 1/4</t>
  </si>
  <si>
    <t>Soldadura PVC líquida 1/4</t>
  </si>
  <si>
    <t>Accesorios PVC presión (% tubería)</t>
  </si>
  <si>
    <t xml:space="preserve">Demolicion de piso </t>
  </si>
  <si>
    <t>Caja de inspeccion  de 0,80 x 0,80 x 0,80 en concreto de 17,2 Incluye tapa  y angulo</t>
  </si>
  <si>
    <t>Salida (incluye jack, patch cord, rotulación e identificación)</t>
  </si>
  <si>
    <t xml:space="preserve">Instalacion Tuberia PVC  a todo costo sanitaria de 6" </t>
  </si>
  <si>
    <t xml:space="preserve">Instalacion de cable estructurado  categoria UTP 6A  </t>
  </si>
  <si>
    <t>5</t>
  </si>
  <si>
    <t>VALOR EN LETRAS SON: cincuenta y  un millon trescientos diecisiete mil doscientos noventa pesos mcte</t>
  </si>
  <si>
    <t>CUADRILLAS DE TRABAJO</t>
  </si>
  <si>
    <t>Cuadrilla 1</t>
  </si>
  <si>
    <t>1 of + 1 Ay</t>
  </si>
  <si>
    <t>Parsonal</t>
  </si>
  <si>
    <t>Cantidad</t>
  </si>
  <si>
    <t>salario Día</t>
  </si>
  <si>
    <t>Prestaciones</t>
  </si>
  <si>
    <t>Total</t>
  </si>
  <si>
    <t>Oficial</t>
  </si>
  <si>
    <t>Ayudante</t>
  </si>
  <si>
    <t>Cuadrilla 2</t>
  </si>
  <si>
    <t>1 of + 2 Ay</t>
  </si>
  <si>
    <t>Cuadrilla 3</t>
  </si>
  <si>
    <t>1 of + 3 Ay</t>
  </si>
  <si>
    <t>Cuadrilla 4</t>
  </si>
  <si>
    <t>1 of + 4 Ay</t>
  </si>
  <si>
    <t>Cuadrilla 5</t>
  </si>
  <si>
    <t>Cuadrilla 6</t>
  </si>
  <si>
    <t>1 of + 5 Ay</t>
  </si>
  <si>
    <t>Cuadrilla 7</t>
  </si>
  <si>
    <t>Profesio Elect</t>
  </si>
  <si>
    <t>UND</t>
  </si>
  <si>
    <t>Tecnic Elect</t>
  </si>
  <si>
    <t>Ayudante Elect</t>
  </si>
  <si>
    <t>SUMINISTRO E INSTALACIÓN DE TANQUE DE AGUA DE 5000 LTS</t>
  </si>
  <si>
    <t>und</t>
  </si>
  <si>
    <t xml:space="preserve">Tanque de Agua  Agroquimico con Tecnología BI-CAPA: CAPA EXTERIOR: Fabricada en polietileno negro con aditivo U.V. CAPA INTERIOR: Fabricada en polietileno 100% virgen , apto para contener alimentos y bebidas. de Diametro Maximo 200cm </t>
  </si>
  <si>
    <t xml:space="preserve">Transporte de Tanque </t>
  </si>
  <si>
    <t>Glb</t>
  </si>
  <si>
    <t>Cuadrilla 1 (1 of + 1 Ay) - (jornal + prestaciones)</t>
  </si>
  <si>
    <t>Equipo de Presión CPm 620 de 1 HP 110/220V + Tanque Hidroneumático Horizontal de 100 Litros</t>
  </si>
  <si>
    <t>Tuberia Pvc de Presión de 1"</t>
  </si>
  <si>
    <t>ml</t>
  </si>
  <si>
    <t>Tuberia Pvc de Presión de 1/2"</t>
  </si>
  <si>
    <t>INSTALACIÓN ELÉCTRICA A 220V PARA EQUIPO DE PRESIÓN, DESDE LA CAJA DE BREAKERS HASTA EL SITIO DEL TANQUE.</t>
  </si>
  <si>
    <t xml:space="preserve">Alambre De Cobre #10 (10 AWG) en tres lineas 2 faces y 1 neutro </t>
  </si>
  <si>
    <t>Breaker 30A</t>
  </si>
  <si>
    <t>Toma incrustar 50 amperios 250 v trifilar</t>
  </si>
  <si>
    <t>1 Tecnic Elec + 1 Ay Elec</t>
  </si>
  <si>
    <t>Cuadrilla 6 ( 1 Tecnic Elec + 1 Ay Elec) - (jornal + prestaciones)</t>
  </si>
  <si>
    <t xml:space="preserve">Caja para toma corriente </t>
  </si>
  <si>
    <t xml:space="preserve">Canaleta metalica de 10X4 con tapa y sepación interna </t>
  </si>
  <si>
    <t>Und</t>
  </si>
  <si>
    <t xml:space="preserve">Toma incrustar </t>
  </si>
  <si>
    <t xml:space="preserve">Alambre De Cobre Alambre THHN #8 AWG, en tres lineas 2 faces y 1 neutro </t>
  </si>
  <si>
    <t>Tubo En Cobre Flexible para refrigeración</t>
  </si>
  <si>
    <t>%Tubería</t>
  </si>
  <si>
    <t>Accesorios Tubería de cobre para refrigeración</t>
  </si>
  <si>
    <t xml:space="preserve">Traslado instalación electrica para Aires aconcionados, Incluye accesorios y alambre adicional. </t>
  </si>
  <si>
    <t xml:space="preserve">Tubo pvc de 1/2" para desague </t>
  </si>
  <si>
    <t xml:space="preserve">Accesorios Tubería de pvc de 1/2" para desague </t>
  </si>
  <si>
    <t xml:space="preserve">SUMINISTRO, REMPLAZO E INSTALACIÓN DE LUMINARIAS PARA LA DT </t>
  </si>
  <si>
    <t>Suministro e instalación de bombillo ahorrador led A60 E27 10.5W lf</t>
  </si>
  <si>
    <t>suministro e instalación Panel Led Redondo Philips De Incrustar 18w Luz Fría.</t>
  </si>
  <si>
    <t>IP-DT-PUT-001-2025</t>
  </si>
  <si>
    <t>Herramienta menor, equipos e Impresión (% mano obra)</t>
  </si>
  <si>
    <t xml:space="preserve">DIAGNÓSTICO RED ELÉCTRICA DE LA DT PARA CERTIFICACIÓN RETIE, incluye entrega de documento diagnosticored existente, memorias de nuevo diseño, presupuesto y planos nuevos. </t>
  </si>
  <si>
    <t>I.V.A 19% sobre el AIU redondeado</t>
  </si>
  <si>
    <t>AIU (30%)</t>
  </si>
  <si>
    <t>VALOR UNITARIO SIN (AIU)</t>
  </si>
  <si>
    <t xml:space="preserve">VALOR TOTAL CON (AIU)                            </t>
  </si>
  <si>
    <t>TOTAL COSTO BASICO OBRAS DE MANTENIMIENTO</t>
  </si>
  <si>
    <t>TOTAL COSTO OBRAS DE MANTENIMIENTO INCLUIDO AIU DEL 30%</t>
  </si>
  <si>
    <t>Dibujant Electri</t>
  </si>
  <si>
    <t>1 Prof Elect + Dibuj Electr + Tecnic Elect + 1 of Elec + 2 Ay Elec</t>
  </si>
  <si>
    <t>Cuadrilla 7 (1 Prof Elect + Dibuj Electr + Tecnic Elect + 1 of Elec + 2 Ay Elec) - (jornal + prestaciones)</t>
  </si>
  <si>
    <t>MANTENIMIENTO Y ADECUACION DE LA SEDE DEL INSTITUTO NACIONAL DE VIAS TERRITORIAL PUTUMAYO</t>
  </si>
  <si>
    <t xml:space="preserve">VALOR TOTAL CON (AIU)                               </t>
  </si>
  <si>
    <t>AIU ()</t>
  </si>
  <si>
    <t>TOTAL COSTO OBRAS DE MANTENIMIENTO INCLUIDO AIU ()</t>
  </si>
  <si>
    <t>SUMINISTRO E INSTALACIÓN EQUIPO DE PRESIÓN HIDRONEUMATICO (BOMBA) DE 1HP PARA RED HIDRÁULICA DE LA DT</t>
  </si>
  <si>
    <r>
      <rPr>
        <b/>
        <sz val="8"/>
        <rFont val="Arial"/>
        <family val="2"/>
      </rPr>
      <t>NOTA 2:</t>
    </r>
    <r>
      <rPr>
        <sz val="8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</si>
  <si>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INSTALACIÓN A 220V PARA PLANTA ELÉCTRICA , DESDE EL CONTADOR HASTA ELCUARTO DE LA PLANTA.</t>
  </si>
  <si>
    <t>Suministro e instalación de panel led circular 1800 lúmenes 24w luz fría</t>
  </si>
  <si>
    <r>
      <rPr>
        <b/>
        <sz val="8"/>
        <rFont val="Arial"/>
        <family val="2"/>
      </rPr>
      <t>NOTA 4:</t>
    </r>
    <r>
      <rPr>
        <sz val="8"/>
        <rFont val="Arial"/>
        <family val="2"/>
      </rPr>
      <t xml:space="preserve"> Las cantidades de obra se encuentran discriminadas en la hoja APU 2025 del formulario 1, sin embargo las actividades a realizar deben garantizarce en su totalidad con la propuesta que presente el oferente.  </t>
    </r>
  </si>
  <si>
    <t>Fecha: 02/06/2025</t>
  </si>
  <si>
    <t>VALOR EN LETRAS SON: Cuarenta y cuatro millones novecientos noventa y nueve mil   pesos m/cte</t>
  </si>
  <si>
    <t>TOTAL COSTO BASICO OBRAS DE MANTENIMIENTO SIN AIU</t>
  </si>
  <si>
    <t>I.V.A 19% sobre la Utilidad redondeado</t>
  </si>
  <si>
    <t>DESMONTE, TRASLADO E INSTALACIÓN DE DOS AIRES ACONDICIONADOS A UNA DISTANCIA DE 15ML, INCLUYE SUMINISTRO DE MATERIALES, TUBERÍA DE COBRE, ACCESORIOS, INSTALACIÓN ELÉCTRICA.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</si>
</sst>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_-[$$-240A]* #,##0.00_-;\-[$$-240A]* #,##0.00_-;_-[$$-240A]* &quot;-&quot;??_-;_-@_-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-&quot;$&quot;\ * #,##0.00_-;\-&quot;$&quot;\ * #,##0.00_-;_-&quot;$&quot;\ * &quot;-&quot;_-;_-@_-"/>
    <numFmt numFmtId="173" formatCode="_-* #,##0.000\ _€_-;\-* #,##0.000\ _€_-;_-* &quot;-&quot;??\ _€_-;_-@_-"/>
    <numFmt numFmtId="174" formatCode="#,##0.000;\-#,##0.000"/>
    <numFmt numFmtId="175" formatCode="_(* #,##0.00_);_(* \(#,##0.00\);_(* &quot;-&quot;??_);_(@_)"/>
    <numFmt numFmtId="176" formatCode="_-* #,##0.00\ _€_-;\-* #,##0.00\ _€_-;_-* &quot;-&quot;??\ _€_-;_-@"/>
    <numFmt numFmtId="177" formatCode="_-&quot;$&quot;* #,##0_-;\-&quot;$&quot;* #,##0_-;_-&quot;$&quot;* &quot;-&quot;_-;_-@"/>
    <numFmt numFmtId="178" formatCode="_-* #,##0.000\ _€_-;\-* #,##0.000\ _€_-;_-* &quot;-&quot;??\ _€_-;_-@"/>
    <numFmt numFmtId="179" formatCode="_-&quot;$&quot;\ * #,##0.0_-;\-&quot;$&quot;\ * #,##0.0_-;_-&quot;$&quot;\ * &quot;-&quot;??_-;_-@_-"/>
    <numFmt numFmtId="180" formatCode="_-&quot;$&quot;\ * #,##0_-;\-&quot;$&quot;\ * #,##0_-;_-&quot;$&quot;\ * &quot;-&quot;??_-;_-@_-"/>
    <numFmt numFmtId="181" formatCode="_-&quot;$&quot;* #,##0.0_-;\-&quot;$&quot;* #,##0.0_-;_-&quot;$&quot;* &quot;-&quot;?_-;_-@_-"/>
    <numFmt numFmtId="182" formatCode="_-[$$-240A]\ * #,##0.00_-;\-[$$-240A]\ * #,##0.00_-;_-[$$-240A]\ * &quot;-&quot;??_-;_-@_-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Geneva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4"/>
      <name val="Calibri"/>
      <family val="2"/>
      <scheme val="minor"/>
    </font>
    <font>
      <sz val="10"/>
      <name val="Courier"/>
      <family val="3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Arial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darkUp"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5" fillId="0" borderId="0"/>
    <xf numFmtId="42" fontId="3" fillId="0" borderId="0" applyFont="0" applyFill="0" applyBorder="0" applyAlignment="0" applyProtection="0"/>
    <xf numFmtId="0" fontId="1" fillId="0" borderId="0"/>
    <xf numFmtId="39" fontId="10" fillId="0" borderId="0"/>
    <xf numFmtId="39" fontId="10" fillId="0" borderId="0"/>
    <xf numFmtId="44" fontId="3" fillId="0" borderId="0" applyFont="0" applyFill="0" applyBorder="0" applyAlignment="0" applyProtection="0"/>
    <xf numFmtId="0" fontId="18" fillId="0" borderId="0" applyNumberFormat="0" applyBorder="0" applyAlignment="0"/>
    <xf numFmtId="41" fontId="15" fillId="0" borderId="0" applyFont="0" applyFill="0" applyBorder="0" applyAlignment="0" applyProtection="0"/>
    <xf numFmtId="0" fontId="1" fillId="0" borderId="0"/>
    <xf numFmtId="175" fontId="3" fillId="0" borderId="0" applyFont="0" applyFill="0" applyBorder="0" applyAlignment="0" applyProtection="0"/>
  </cellStyleXfs>
  <cellXfs count="285">
    <xf numFmtId="0" fontId="0" fillId="0" borderId="0" xfId="0"/>
    <xf numFmtId="39" fontId="13" fillId="0" borderId="1" xfId="18" applyFont="1" applyBorder="1" applyAlignment="1">
      <alignment vertical="center"/>
    </xf>
    <xf numFmtId="0" fontId="0" fillId="0" borderId="1" xfId="0" applyBorder="1"/>
    <xf numFmtId="39" fontId="2" fillId="0" borderId="1" xfId="17" applyFont="1" applyBorder="1" applyAlignment="1">
      <alignment vertical="center"/>
    </xf>
    <xf numFmtId="39" fontId="14" fillId="0" borderId="1" xfId="17" applyFont="1" applyBorder="1" applyAlignment="1">
      <alignment vertical="center"/>
    </xf>
    <xf numFmtId="39" fontId="1" fillId="0" borderId="1" xfId="17" applyFont="1" applyBorder="1" applyAlignment="1">
      <alignment vertical="center"/>
    </xf>
    <xf numFmtId="39" fontId="2" fillId="0" borderId="1" xfId="0" applyNumberFormat="1" applyFont="1" applyBorder="1" applyAlignment="1">
      <alignment horizontal="center" vertical="center"/>
    </xf>
    <xf numFmtId="39" fontId="1" fillId="0" borderId="1" xfId="0" applyNumberFormat="1" applyFont="1" applyBorder="1" applyAlignment="1">
      <alignment horizontal="center" vertical="center"/>
    </xf>
    <xf numFmtId="44" fontId="8" fillId="0" borderId="0" xfId="0" applyNumberFormat="1" applyFont="1"/>
    <xf numFmtId="0" fontId="8" fillId="0" borderId="0" xfId="0" applyFont="1"/>
    <xf numFmtId="0" fontId="6" fillId="0" borderId="0" xfId="5" applyFont="1" applyAlignment="1">
      <alignment horizontal="left"/>
    </xf>
    <xf numFmtId="0" fontId="6" fillId="0" borderId="0" xfId="5" applyFont="1" applyAlignment="1">
      <alignment horizontal="center"/>
    </xf>
    <xf numFmtId="0" fontId="22" fillId="4" borderId="23" xfId="2" applyFont="1" applyFill="1" applyBorder="1" applyAlignment="1">
      <alignment horizontal="center" vertical="center" wrapText="1"/>
    </xf>
    <xf numFmtId="0" fontId="22" fillId="4" borderId="31" xfId="2" applyFont="1" applyFill="1" applyBorder="1" applyAlignment="1">
      <alignment horizontal="center" vertical="center" wrapText="1"/>
    </xf>
    <xf numFmtId="0" fontId="22" fillId="4" borderId="32" xfId="2" applyFont="1" applyFill="1" applyBorder="1" applyAlignment="1">
      <alignment horizontal="center" vertical="center" wrapText="1"/>
    </xf>
    <xf numFmtId="4" fontId="22" fillId="4" borderId="22" xfId="2" applyNumberFormat="1" applyFont="1" applyFill="1" applyBorder="1" applyAlignment="1">
      <alignment horizontal="center" vertical="center" wrapText="1"/>
    </xf>
    <xf numFmtId="0" fontId="7" fillId="0" borderId="1" xfId="16" applyFont="1" applyBorder="1" applyAlignment="1">
      <alignment horizontal="center" vertical="center"/>
    </xf>
    <xf numFmtId="4" fontId="7" fillId="0" borderId="1" xfId="14" applyNumberFormat="1" applyFont="1" applyBorder="1" applyAlignment="1">
      <alignment horizontal="center" vertical="center"/>
    </xf>
    <xf numFmtId="0" fontId="7" fillId="0" borderId="29" xfId="14" applyFont="1" applyBorder="1" applyAlignment="1">
      <alignment horizontal="center" vertical="center"/>
    </xf>
    <xf numFmtId="2" fontId="7" fillId="0" borderId="29" xfId="16" applyNumberFormat="1" applyFont="1" applyBorder="1" applyAlignment="1">
      <alignment horizontal="center" vertical="center" wrapText="1"/>
    </xf>
    <xf numFmtId="0" fontId="7" fillId="0" borderId="28" xfId="16" applyFont="1" applyBorder="1" applyAlignment="1">
      <alignment horizontal="left" vertical="center" wrapText="1"/>
    </xf>
    <xf numFmtId="39" fontId="7" fillId="0" borderId="1" xfId="16" applyNumberFormat="1" applyFont="1" applyBorder="1" applyAlignment="1">
      <alignment horizontal="left" vertical="center" wrapText="1"/>
    </xf>
    <xf numFmtId="39" fontId="8" fillId="0" borderId="1" xfId="0" applyNumberFormat="1" applyFont="1" applyBorder="1" applyAlignment="1">
      <alignment wrapText="1"/>
    </xf>
    <xf numFmtId="49" fontId="6" fillId="0" borderId="0" xfId="10" applyNumberFormat="1" applyFont="1" applyAlignment="1">
      <alignment horizontal="right" vertical="center"/>
    </xf>
    <xf numFmtId="0" fontId="7" fillId="0" borderId="0" xfId="11" applyFont="1"/>
    <xf numFmtId="0" fontId="7" fillId="0" borderId="15" xfId="11" applyFont="1" applyBorder="1" applyAlignment="1">
      <alignment horizontal="left" vertical="center" wrapText="1"/>
    </xf>
    <xf numFmtId="170" fontId="7" fillId="0" borderId="10" xfId="12" applyNumberFormat="1" applyFont="1" applyFill="1" applyBorder="1" applyAlignment="1">
      <alignment vertical="center"/>
    </xf>
    <xf numFmtId="9" fontId="7" fillId="0" borderId="3" xfId="12" applyNumberFormat="1" applyFont="1" applyFill="1" applyBorder="1" applyAlignment="1">
      <alignment horizontal="center" vertical="center"/>
    </xf>
    <xf numFmtId="170" fontId="7" fillId="0" borderId="3" xfId="12" applyNumberFormat="1" applyFont="1" applyFill="1" applyBorder="1" applyAlignment="1">
      <alignment vertical="center"/>
    </xf>
    <xf numFmtId="170" fontId="7" fillId="0" borderId="12" xfId="12" applyNumberFormat="1" applyFont="1" applyFill="1" applyBorder="1" applyAlignment="1">
      <alignment vertical="center"/>
    </xf>
    <xf numFmtId="0" fontId="6" fillId="0" borderId="16" xfId="11" applyFont="1" applyBorder="1" applyAlignment="1">
      <alignment horizontal="left" vertical="center"/>
    </xf>
    <xf numFmtId="0" fontId="6" fillId="0" borderId="17" xfId="11" applyFont="1" applyBorder="1" applyAlignment="1">
      <alignment horizontal="left" vertical="center"/>
    </xf>
    <xf numFmtId="9" fontId="7" fillId="0" borderId="18" xfId="12" applyNumberFormat="1" applyFont="1" applyFill="1" applyBorder="1" applyAlignment="1">
      <alignment horizontal="center" vertical="center"/>
    </xf>
    <xf numFmtId="170" fontId="6" fillId="0" borderId="18" xfId="12" applyNumberFormat="1" applyFont="1" applyFill="1" applyBorder="1" applyAlignment="1">
      <alignment vertical="center"/>
    </xf>
    <xf numFmtId="172" fontId="8" fillId="0" borderId="0" xfId="15" applyNumberFormat="1" applyFont="1" applyFill="1"/>
    <xf numFmtId="2" fontId="7" fillId="0" borderId="0" xfId="11" applyNumberFormat="1" applyFont="1"/>
    <xf numFmtId="39" fontId="6" fillId="0" borderId="0" xfId="12" applyNumberFormat="1" applyFont="1" applyFill="1" applyAlignment="1">
      <alignment vertical="center"/>
    </xf>
    <xf numFmtId="0" fontId="7" fillId="0" borderId="15" xfId="2" applyFont="1" applyBorder="1" applyAlignment="1">
      <alignment vertical="center"/>
    </xf>
    <xf numFmtId="0" fontId="7" fillId="0" borderId="19" xfId="2" applyFont="1" applyBorder="1" applyAlignment="1">
      <alignment vertical="center"/>
    </xf>
    <xf numFmtId="168" fontId="6" fillId="0" borderId="11" xfId="13" applyNumberFormat="1" applyFont="1" applyFill="1" applyBorder="1" applyAlignment="1">
      <alignment horizontal="center" vertical="center"/>
    </xf>
    <xf numFmtId="9" fontId="7" fillId="0" borderId="12" xfId="4" applyFont="1" applyFill="1" applyBorder="1" applyAlignment="1">
      <alignment horizontal="center" vertical="center" wrapText="1"/>
    </xf>
    <xf numFmtId="0" fontId="24" fillId="0" borderId="0" xfId="0" applyFont="1"/>
    <xf numFmtId="39" fontId="1" fillId="0" borderId="1" xfId="0" applyNumberFormat="1" applyFont="1" applyBorder="1" applyAlignment="1">
      <alignment horizontal="left" vertical="center"/>
    </xf>
    <xf numFmtId="0" fontId="11" fillId="0" borderId="0" xfId="10" applyFont="1" applyAlignment="1">
      <alignment horizontal="right" vertical="center"/>
    </xf>
    <xf numFmtId="0" fontId="14" fillId="0" borderId="0" xfId="11" applyFont="1"/>
    <xf numFmtId="39" fontId="8" fillId="0" borderId="1" xfId="0" applyNumberFormat="1" applyFont="1" applyBorder="1" applyAlignment="1">
      <alignment horizontal="left" vertical="center" wrapText="1"/>
    </xf>
    <xf numFmtId="39" fontId="2" fillId="0" borderId="25" xfId="17" applyFont="1" applyBorder="1" applyAlignment="1">
      <alignment vertical="center"/>
    </xf>
    <xf numFmtId="172" fontId="6" fillId="0" borderId="25" xfId="15" applyNumberFormat="1" applyFont="1" applyFill="1" applyBorder="1" applyAlignment="1">
      <alignment horizontal="center" vertical="center" wrapText="1"/>
    </xf>
    <xf numFmtId="168" fontId="6" fillId="0" borderId="0" xfId="10" applyNumberFormat="1" applyFont="1" applyAlignment="1">
      <alignment vertical="center"/>
    </xf>
    <xf numFmtId="3" fontId="6" fillId="0" borderId="3" xfId="5" applyNumberFormat="1" applyFont="1" applyBorder="1" applyAlignment="1">
      <alignment horizontal="center" vertical="center"/>
    </xf>
    <xf numFmtId="0" fontId="22" fillId="4" borderId="21" xfId="2" applyFont="1" applyFill="1" applyBorder="1" applyAlignment="1">
      <alignment horizontal="center" vertical="center" wrapText="1"/>
    </xf>
    <xf numFmtId="170" fontId="6" fillId="0" borderId="6" xfId="12" applyNumberFormat="1" applyFont="1" applyFill="1" applyBorder="1" applyAlignment="1">
      <alignment vertical="center"/>
    </xf>
    <xf numFmtId="3" fontId="6" fillId="0" borderId="34" xfId="5" applyNumberFormat="1" applyFont="1" applyBorder="1" applyAlignment="1">
      <alignment horizontal="center" vertical="center" wrapText="1"/>
    </xf>
    <xf numFmtId="172" fontId="7" fillId="0" borderId="25" xfId="15" applyNumberFormat="1" applyFont="1" applyFill="1" applyBorder="1" applyAlignment="1">
      <alignment horizontal="center" vertical="center" wrapText="1"/>
    </xf>
    <xf numFmtId="0" fontId="6" fillId="0" borderId="14" xfId="2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4" fillId="5" borderId="0" xfId="0" applyFont="1" applyFill="1"/>
    <xf numFmtId="0" fontId="0" fillId="5" borderId="0" xfId="0" applyFill="1"/>
    <xf numFmtId="0" fontId="23" fillId="4" borderId="24" xfId="16" applyFont="1" applyFill="1" applyBorder="1" applyAlignment="1">
      <alignment vertical="center" wrapText="1"/>
    </xf>
    <xf numFmtId="0" fontId="7" fillId="0" borderId="1" xfId="16" applyFont="1" applyBorder="1" applyAlignment="1">
      <alignment vertical="center" wrapText="1"/>
    </xf>
    <xf numFmtId="180" fontId="0" fillId="0" borderId="0" xfId="19" applyNumberFormat="1" applyFont="1"/>
    <xf numFmtId="39" fontId="2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center" vertical="center"/>
    </xf>
    <xf numFmtId="9" fontId="0" fillId="0" borderId="1" xfId="0" applyNumberFormat="1" applyBorder="1"/>
    <xf numFmtId="179" fontId="4" fillId="0" borderId="1" xfId="19" applyNumberFormat="1" applyFont="1" applyBorder="1" applyAlignment="1">
      <alignment vertical="center"/>
    </xf>
    <xf numFmtId="180" fontId="4" fillId="0" borderId="1" xfId="19" applyNumberFormat="1" applyFont="1" applyBorder="1" applyAlignment="1">
      <alignment vertical="center"/>
    </xf>
    <xf numFmtId="39" fontId="2" fillId="3" borderId="1" xfId="17" applyFont="1" applyFill="1" applyBorder="1" applyAlignment="1">
      <alignment vertical="center"/>
    </xf>
    <xf numFmtId="39" fontId="11" fillId="3" borderId="1" xfId="17" applyFont="1" applyFill="1" applyBorder="1" applyAlignment="1">
      <alignment vertical="center"/>
    </xf>
    <xf numFmtId="39" fontId="2" fillId="3" borderId="1" xfId="17" applyFont="1" applyFill="1" applyBorder="1" applyAlignment="1">
      <alignment vertical="center" wrapText="1"/>
    </xf>
    <xf numFmtId="39" fontId="11" fillId="0" borderId="1" xfId="17" applyFont="1" applyBorder="1" applyAlignment="1">
      <alignment vertical="center"/>
    </xf>
    <xf numFmtId="39" fontId="2" fillId="0" borderId="1" xfId="17" applyFont="1" applyBorder="1" applyAlignment="1">
      <alignment vertical="center" wrapText="1"/>
    </xf>
    <xf numFmtId="39" fontId="2" fillId="0" borderId="2" xfId="17" applyFont="1" applyBorder="1" applyAlignment="1">
      <alignment vertical="center"/>
    </xf>
    <xf numFmtId="39" fontId="12" fillId="2" borderId="1" xfId="0" applyNumberFormat="1" applyFont="1" applyFill="1" applyBorder="1" applyAlignment="1" applyProtection="1">
      <alignment vertical="center"/>
      <protection locked="0"/>
    </xf>
    <xf numFmtId="164" fontId="2" fillId="2" borderId="1" xfId="3" applyNumberFormat="1" applyFont="1" applyFill="1" applyBorder="1" applyAlignment="1" applyProtection="1">
      <alignment vertical="center"/>
    </xf>
    <xf numFmtId="39" fontId="2" fillId="2" borderId="1" xfId="0" applyNumberFormat="1" applyFont="1" applyFill="1" applyBorder="1" applyAlignment="1">
      <alignment vertical="center"/>
    </xf>
    <xf numFmtId="39" fontId="2" fillId="0" borderId="1" xfId="0" applyNumberFormat="1" applyFont="1" applyBorder="1" applyAlignment="1">
      <alignment vertical="center"/>
    </xf>
    <xf numFmtId="39" fontId="1" fillId="0" borderId="1" xfId="0" applyNumberFormat="1" applyFont="1" applyBorder="1" applyAlignment="1">
      <alignment vertical="center"/>
    </xf>
    <xf numFmtId="164" fontId="1" fillId="0" borderId="1" xfId="3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64" fontId="2" fillId="0" borderId="1" xfId="3" applyNumberFormat="1" applyFont="1" applyFill="1" applyBorder="1" applyAlignment="1" applyProtection="1">
      <alignment vertical="center"/>
    </xf>
    <xf numFmtId="174" fontId="2" fillId="0" borderId="1" xfId="0" applyNumberFormat="1" applyFont="1" applyBorder="1" applyAlignment="1">
      <alignment vertical="center"/>
    </xf>
    <xf numFmtId="164" fontId="1" fillId="0" borderId="1" xfId="3" applyNumberFormat="1" applyFont="1" applyFill="1" applyBorder="1" applyAlignment="1" applyProtection="1">
      <alignment vertical="center"/>
    </xf>
    <xf numFmtId="174" fontId="1" fillId="0" borderId="1" xfId="0" applyNumberFormat="1" applyFont="1" applyBorder="1" applyAlignment="1">
      <alignment vertical="center"/>
    </xf>
    <xf numFmtId="39" fontId="12" fillId="0" borderId="1" xfId="0" applyNumberFormat="1" applyFont="1" applyBorder="1" applyAlignment="1" applyProtection="1">
      <alignment vertical="center"/>
      <protection locked="0"/>
    </xf>
    <xf numFmtId="9" fontId="0" fillId="0" borderId="4" xfId="0" applyNumberFormat="1" applyBorder="1"/>
    <xf numFmtId="173" fontId="1" fillId="0" borderId="1" xfId="3" applyNumberFormat="1" applyFont="1" applyFill="1" applyBorder="1" applyAlignment="1" applyProtection="1">
      <alignment vertical="center"/>
    </xf>
    <xf numFmtId="9" fontId="2" fillId="0" borderId="1" xfId="17" applyNumberFormat="1" applyFont="1" applyBorder="1" applyAlignment="1">
      <alignment vertical="center" wrapText="1"/>
    </xf>
    <xf numFmtId="39" fontId="2" fillId="6" borderId="1" xfId="0" applyNumberFormat="1" applyFont="1" applyFill="1" applyBorder="1" applyAlignment="1">
      <alignment vertical="center"/>
    </xf>
    <xf numFmtId="39" fontId="2" fillId="6" borderId="1" xfId="0" applyNumberFormat="1" applyFont="1" applyFill="1" applyBorder="1" applyAlignment="1">
      <alignment vertical="center" wrapText="1"/>
    </xf>
    <xf numFmtId="176" fontId="2" fillId="6" borderId="1" xfId="0" applyNumberFormat="1" applyFont="1" applyFill="1" applyBorder="1" applyAlignment="1">
      <alignment vertical="center"/>
    </xf>
    <xf numFmtId="174" fontId="2" fillId="6" borderId="1" xfId="0" applyNumberFormat="1" applyFont="1" applyFill="1" applyBorder="1" applyAlignment="1">
      <alignment vertical="center"/>
    </xf>
    <xf numFmtId="39" fontId="27" fillId="0" borderId="1" xfId="0" applyNumberFormat="1" applyFont="1" applyBorder="1" applyAlignment="1">
      <alignment vertical="center"/>
    </xf>
    <xf numFmtId="39" fontId="1" fillId="6" borderId="1" xfId="0" applyNumberFormat="1" applyFont="1" applyFill="1" applyBorder="1" applyAlignment="1">
      <alignment vertical="center"/>
    </xf>
    <xf numFmtId="176" fontId="1" fillId="6" borderId="1" xfId="0" applyNumberFormat="1" applyFont="1" applyFill="1" applyBorder="1" applyAlignment="1">
      <alignment vertical="center"/>
    </xf>
    <xf numFmtId="174" fontId="1" fillId="6" borderId="1" xfId="0" applyNumberFormat="1" applyFont="1" applyFill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178" fontId="1" fillId="6" borderId="1" xfId="0" applyNumberFormat="1" applyFont="1" applyFill="1" applyBorder="1" applyAlignment="1">
      <alignment vertical="center"/>
    </xf>
    <xf numFmtId="39" fontId="2" fillId="0" borderId="3" xfId="17" applyFont="1" applyBorder="1" applyAlignment="1">
      <alignment vertical="center"/>
    </xf>
    <xf numFmtId="0" fontId="25" fillId="0" borderId="1" xfId="0" applyFont="1" applyBorder="1"/>
    <xf numFmtId="4" fontId="20" fillId="0" borderId="1" xfId="0" applyNumberFormat="1" applyFont="1" applyBorder="1" applyAlignment="1">
      <alignment vertical="center"/>
    </xf>
    <xf numFmtId="180" fontId="0" fillId="0" borderId="0" xfId="19" applyNumberFormat="1" applyFont="1" applyAlignment="1"/>
    <xf numFmtId="180" fontId="0" fillId="5" borderId="0" xfId="19" applyNumberFormat="1" applyFont="1" applyFill="1" applyAlignment="1"/>
    <xf numFmtId="180" fontId="2" fillId="3" borderId="1" xfId="19" applyNumberFormat="1" applyFont="1" applyFill="1" applyBorder="1" applyAlignment="1">
      <alignment vertical="center" wrapText="1"/>
    </xf>
    <xf numFmtId="180" fontId="2" fillId="0" borderId="1" xfId="19" applyNumberFormat="1" applyFont="1" applyBorder="1" applyAlignment="1">
      <alignment vertical="center" wrapText="1"/>
    </xf>
    <xf numFmtId="180" fontId="2" fillId="2" borderId="1" xfId="19" applyNumberFormat="1" applyFont="1" applyFill="1" applyBorder="1" applyAlignment="1">
      <alignment vertical="center"/>
    </xf>
    <xf numFmtId="180" fontId="1" fillId="0" borderId="1" xfId="19" applyNumberFormat="1" applyFont="1" applyBorder="1" applyAlignment="1">
      <alignment vertical="center"/>
    </xf>
    <xf numFmtId="180" fontId="2" fillId="0" borderId="1" xfId="19" applyNumberFormat="1" applyFont="1" applyFill="1" applyBorder="1" applyAlignment="1">
      <alignment vertical="center" wrapText="1"/>
    </xf>
    <xf numFmtId="180" fontId="1" fillId="0" borderId="1" xfId="19" applyNumberFormat="1" applyFont="1" applyFill="1" applyBorder="1" applyAlignment="1">
      <alignment vertical="center"/>
    </xf>
    <xf numFmtId="180" fontId="2" fillId="0" borderId="1" xfId="19" applyNumberFormat="1" applyFont="1" applyBorder="1" applyAlignment="1">
      <alignment vertical="center"/>
    </xf>
    <xf numFmtId="180" fontId="2" fillId="6" borderId="1" xfId="19" applyNumberFormat="1" applyFont="1" applyFill="1" applyBorder="1" applyAlignment="1">
      <alignment vertical="center"/>
    </xf>
    <xf numFmtId="180" fontId="1" fillId="6" borderId="1" xfId="19" applyNumberFormat="1" applyFont="1" applyFill="1" applyBorder="1" applyAlignment="1">
      <alignment vertical="center"/>
    </xf>
    <xf numFmtId="180" fontId="20" fillId="0" borderId="1" xfId="19" applyNumberFormat="1" applyFont="1" applyBorder="1" applyAlignment="1">
      <alignment vertical="center"/>
    </xf>
    <xf numFmtId="180" fontId="11" fillId="3" borderId="1" xfId="19" applyNumberFormat="1" applyFont="1" applyFill="1" applyBorder="1" applyAlignment="1">
      <alignment vertical="center"/>
    </xf>
    <xf numFmtId="180" fontId="11" fillId="0" borderId="1" xfId="19" applyNumberFormat="1" applyFont="1" applyBorder="1" applyAlignment="1">
      <alignment vertical="center"/>
    </xf>
    <xf numFmtId="180" fontId="12" fillId="2" borderId="1" xfId="19" applyNumberFormat="1" applyFont="1" applyFill="1" applyBorder="1" applyAlignment="1">
      <alignment vertical="center"/>
    </xf>
    <xf numFmtId="180" fontId="11" fillId="0" borderId="1" xfId="19" applyNumberFormat="1" applyFont="1" applyFill="1" applyBorder="1" applyAlignment="1">
      <alignment vertical="center"/>
    </xf>
    <xf numFmtId="180" fontId="19" fillId="0" borderId="1" xfId="19" applyNumberFormat="1" applyFont="1" applyBorder="1" applyAlignment="1">
      <alignment vertical="center"/>
    </xf>
    <xf numFmtId="172" fontId="7" fillId="0" borderId="1" xfId="15" applyNumberFormat="1" applyFont="1" applyFill="1" applyBorder="1" applyAlignment="1">
      <alignment horizontal="center" vertical="center" wrapText="1"/>
    </xf>
    <xf numFmtId="172" fontId="6" fillId="0" borderId="1" xfId="15" applyNumberFormat="1" applyFont="1" applyFill="1" applyBorder="1" applyAlignment="1">
      <alignment horizontal="center" vertical="center" wrapText="1"/>
    </xf>
    <xf numFmtId="170" fontId="6" fillId="0" borderId="26" xfId="12" applyNumberFormat="1" applyFont="1" applyFill="1" applyBorder="1" applyAlignment="1">
      <alignment vertical="center"/>
    </xf>
    <xf numFmtId="167" fontId="6" fillId="0" borderId="37" xfId="2" applyNumberFormat="1" applyFont="1" applyBorder="1" applyAlignment="1">
      <alignment vertical="center"/>
    </xf>
    <xf numFmtId="37" fontId="2" fillId="0" borderId="0" xfId="17" applyNumberFormat="1" applyFont="1" applyAlignment="1">
      <alignment horizontal="center" vertical="center"/>
    </xf>
    <xf numFmtId="37" fontId="2" fillId="0" borderId="1" xfId="17" applyNumberFormat="1" applyFont="1" applyBorder="1" applyAlignment="1">
      <alignment horizontal="center" vertical="center"/>
    </xf>
    <xf numFmtId="42" fontId="7" fillId="0" borderId="25" xfId="15" applyFont="1" applyFill="1" applyBorder="1" applyAlignment="1">
      <alignment horizontal="center" vertical="center" wrapText="1"/>
    </xf>
    <xf numFmtId="44" fontId="4" fillId="0" borderId="1" xfId="19" applyFont="1" applyBorder="1" applyAlignment="1">
      <alignment vertical="center"/>
    </xf>
    <xf numFmtId="0" fontId="7" fillId="0" borderId="38" xfId="14" applyFont="1" applyBorder="1" applyAlignment="1">
      <alignment horizontal="center" vertical="center"/>
    </xf>
    <xf numFmtId="2" fontId="7" fillId="0" borderId="38" xfId="16" applyNumberFormat="1" applyFont="1" applyBorder="1" applyAlignment="1">
      <alignment horizontal="center" vertical="center" wrapText="1"/>
    </xf>
    <xf numFmtId="0" fontId="7" fillId="0" borderId="1" xfId="14" applyFont="1" applyBorder="1" applyAlignment="1">
      <alignment horizontal="center" vertical="center"/>
    </xf>
    <xf numFmtId="2" fontId="7" fillId="0" borderId="1" xfId="16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7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/>
    </xf>
    <xf numFmtId="9" fontId="26" fillId="0" borderId="1" xfId="0" applyNumberFormat="1" applyFont="1" applyBorder="1"/>
    <xf numFmtId="3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vertical="center"/>
    </xf>
    <xf numFmtId="39" fontId="7" fillId="0" borderId="28" xfId="16" applyNumberFormat="1" applyFont="1" applyBorder="1" applyAlignment="1">
      <alignment vertical="center" wrapText="1"/>
    </xf>
    <xf numFmtId="39" fontId="2" fillId="8" borderId="1" xfId="17" applyFont="1" applyFill="1" applyBorder="1" applyAlignment="1">
      <alignment vertical="center"/>
    </xf>
    <xf numFmtId="39" fontId="11" fillId="8" borderId="1" xfId="17" applyFont="1" applyFill="1" applyBorder="1" applyAlignment="1">
      <alignment vertical="center"/>
    </xf>
    <xf numFmtId="180" fontId="2" fillId="8" borderId="1" xfId="19" applyNumberFormat="1" applyFont="1" applyFill="1" applyBorder="1" applyAlignment="1">
      <alignment vertical="center" wrapText="1"/>
    </xf>
    <xf numFmtId="180" fontId="11" fillId="8" borderId="1" xfId="19" applyNumberFormat="1" applyFont="1" applyFill="1" applyBorder="1" applyAlignment="1">
      <alignment vertical="center"/>
    </xf>
    <xf numFmtId="39" fontId="2" fillId="8" borderId="1" xfId="17" applyFont="1" applyFill="1" applyBorder="1" applyAlignment="1">
      <alignment vertical="center" wrapText="1"/>
    </xf>
    <xf numFmtId="2" fontId="0" fillId="0" borderId="1" xfId="0" applyNumberFormat="1" applyBorder="1"/>
    <xf numFmtId="180" fontId="4" fillId="0" borderId="1" xfId="19" applyNumberFormat="1" applyFont="1" applyFill="1" applyBorder="1" applyAlignment="1">
      <alignment vertical="center"/>
    </xf>
    <xf numFmtId="0" fontId="11" fillId="7" borderId="23" xfId="2" applyFont="1" applyFill="1" applyBorder="1" applyAlignment="1">
      <alignment horizontal="center" vertical="center" wrapText="1"/>
    </xf>
    <xf numFmtId="37" fontId="11" fillId="7" borderId="23" xfId="2" applyNumberFormat="1" applyFont="1" applyFill="1" applyBorder="1" applyAlignment="1">
      <alignment horizontal="center" vertical="center" wrapText="1"/>
    </xf>
    <xf numFmtId="0" fontId="11" fillId="9" borderId="16" xfId="11" applyFont="1" applyFill="1" applyBorder="1" applyAlignment="1">
      <alignment horizontal="left" vertical="center"/>
    </xf>
    <xf numFmtId="170" fontId="7" fillId="9" borderId="12" xfId="12" applyNumberFormat="1" applyFont="1" applyFill="1" applyBorder="1" applyAlignment="1">
      <alignment vertical="center"/>
    </xf>
    <xf numFmtId="44" fontId="8" fillId="0" borderId="0" xfId="19" applyFont="1"/>
    <xf numFmtId="0" fontId="28" fillId="11" borderId="8" xfId="0" applyFont="1" applyFill="1" applyBorder="1"/>
    <xf numFmtId="0" fontId="0" fillId="0" borderId="13" xfId="0" applyBorder="1"/>
    <xf numFmtId="43" fontId="0" fillId="0" borderId="1" xfId="3" applyFont="1" applyBorder="1"/>
    <xf numFmtId="43" fontId="0" fillId="0" borderId="12" xfId="3" applyFont="1" applyBorder="1"/>
    <xf numFmtId="0" fontId="0" fillId="0" borderId="44" xfId="0" applyBorder="1"/>
    <xf numFmtId="0" fontId="0" fillId="0" borderId="45" xfId="0" applyBorder="1"/>
    <xf numFmtId="43" fontId="0" fillId="0" borderId="45" xfId="3" applyFont="1" applyBorder="1"/>
    <xf numFmtId="43" fontId="0" fillId="0" borderId="37" xfId="3" applyFont="1" applyBorder="1"/>
    <xf numFmtId="0" fontId="0" fillId="0" borderId="33" xfId="0" applyBorder="1"/>
    <xf numFmtId="43" fontId="0" fillId="0" borderId="0" xfId="3" applyFont="1" applyBorder="1"/>
    <xf numFmtId="43" fontId="28" fillId="0" borderId="46" xfId="3" applyFont="1" applyBorder="1"/>
    <xf numFmtId="43" fontId="0" fillId="0" borderId="47" xfId="3" applyFont="1" applyBorder="1"/>
    <xf numFmtId="0" fontId="0" fillId="0" borderId="47" xfId="0" applyBorder="1"/>
    <xf numFmtId="0" fontId="0" fillId="0" borderId="5" xfId="0" applyBorder="1"/>
    <xf numFmtId="0" fontId="0" fillId="0" borderId="6" xfId="0" applyBorder="1"/>
    <xf numFmtId="43" fontId="0" fillId="0" borderId="6" xfId="3" applyFont="1" applyBorder="1"/>
    <xf numFmtId="43" fontId="0" fillId="0" borderId="0" xfId="3" applyFont="1"/>
    <xf numFmtId="0" fontId="28" fillId="11" borderId="39" xfId="0" applyFont="1" applyFill="1" applyBorder="1"/>
    <xf numFmtId="0" fontId="0" fillId="0" borderId="8" xfId="0" applyBorder="1"/>
    <xf numFmtId="0" fontId="0" fillId="0" borderId="9" xfId="0" applyBorder="1"/>
    <xf numFmtId="43" fontId="0" fillId="0" borderId="9" xfId="3" applyFont="1" applyBorder="1"/>
    <xf numFmtId="43" fontId="0" fillId="0" borderId="10" xfId="3" applyFont="1" applyBorder="1"/>
    <xf numFmtId="0" fontId="1" fillId="0" borderId="1" xfId="0" applyFont="1" applyBorder="1" applyAlignment="1">
      <alignment vertical="center" wrapText="1"/>
    </xf>
    <xf numFmtId="39" fontId="12" fillId="0" borderId="1" xfId="0" applyNumberFormat="1" applyFont="1" applyBorder="1" applyAlignment="1" applyProtection="1">
      <alignment vertical="center" wrapText="1"/>
      <protection locked="0"/>
    </xf>
    <xf numFmtId="180" fontId="0" fillId="0" borderId="0" xfId="0" applyNumberFormat="1"/>
    <xf numFmtId="181" fontId="0" fillId="0" borderId="0" xfId="0" applyNumberFormat="1"/>
    <xf numFmtId="0" fontId="21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28" fillId="0" borderId="1" xfId="0" applyFont="1" applyBorder="1" applyAlignment="1">
      <alignment vertical="center"/>
    </xf>
    <xf numFmtId="39" fontId="12" fillId="2" borderId="1" xfId="0" applyNumberFormat="1" applyFont="1" applyFill="1" applyBorder="1" applyAlignment="1" applyProtection="1">
      <alignment vertical="center" wrapText="1"/>
      <protection locked="0"/>
    </xf>
    <xf numFmtId="39" fontId="7" fillId="0" borderId="1" xfId="16" applyNumberFormat="1" applyFont="1" applyBorder="1" applyAlignment="1">
      <alignment vertical="center" wrapText="1"/>
    </xf>
    <xf numFmtId="0" fontId="7" fillId="0" borderId="48" xfId="11" applyFont="1" applyBorder="1" applyAlignment="1">
      <alignment horizontal="left" vertical="center" wrapText="1"/>
    </xf>
    <xf numFmtId="0" fontId="7" fillId="0" borderId="49" xfId="11" applyFont="1" applyBorder="1" applyAlignment="1">
      <alignment horizontal="left" vertical="center" wrapText="1"/>
    </xf>
    <xf numFmtId="170" fontId="7" fillId="0" borderId="11" xfId="12" applyNumberFormat="1" applyFont="1" applyFill="1" applyBorder="1" applyAlignment="1">
      <alignment vertical="center"/>
    </xf>
    <xf numFmtId="9" fontId="7" fillId="0" borderId="49" xfId="11" applyNumberFormat="1" applyFont="1" applyBorder="1" applyAlignment="1">
      <alignment horizontal="left" vertical="center" wrapText="1"/>
    </xf>
    <xf numFmtId="0" fontId="16" fillId="0" borderId="0" xfId="0" applyFont="1"/>
    <xf numFmtId="44" fontId="7" fillId="0" borderId="25" xfId="19" applyFont="1" applyFill="1" applyBorder="1" applyAlignment="1">
      <alignment horizontal="center" vertical="center" wrapText="1"/>
    </xf>
    <xf numFmtId="44" fontId="7" fillId="0" borderId="1" xfId="19" applyFont="1" applyFill="1" applyBorder="1" applyAlignment="1">
      <alignment horizontal="center" vertical="center" wrapText="1"/>
    </xf>
    <xf numFmtId="180" fontId="14" fillId="0" borderId="1" xfId="19" applyNumberFormat="1" applyFont="1" applyBorder="1" applyAlignment="1">
      <alignment vertical="center"/>
    </xf>
    <xf numFmtId="174" fontId="1" fillId="0" borderId="1" xfId="0" applyNumberFormat="1" applyFont="1" applyBorder="1" applyAlignment="1">
      <alignment horizontal="right" vertical="center"/>
    </xf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6" fillId="0" borderId="47" xfId="5" applyFont="1" applyBorder="1" applyAlignment="1">
      <alignment horizontal="center"/>
    </xf>
    <xf numFmtId="0" fontId="6" fillId="0" borderId="33" xfId="5" applyFont="1" applyBorder="1" applyAlignment="1">
      <alignment horizontal="left"/>
    </xf>
    <xf numFmtId="0" fontId="22" fillId="4" borderId="27" xfId="2" applyFont="1" applyFill="1" applyBorder="1" applyAlignment="1">
      <alignment horizontal="center" vertical="center" wrapText="1"/>
    </xf>
    <xf numFmtId="4" fontId="22" fillId="4" borderId="26" xfId="2" applyNumberFormat="1" applyFont="1" applyFill="1" applyBorder="1" applyAlignment="1">
      <alignment horizontal="center" vertical="center" wrapText="1"/>
    </xf>
    <xf numFmtId="172" fontId="6" fillId="0" borderId="26" xfId="15" applyNumberFormat="1" applyFont="1" applyFill="1" applyBorder="1" applyAlignment="1">
      <alignment horizontal="center" vertical="center" wrapText="1"/>
    </xf>
    <xf numFmtId="37" fontId="11" fillId="0" borderId="27" xfId="2" applyNumberFormat="1" applyFont="1" applyBorder="1" applyAlignment="1">
      <alignment horizontal="center" vertical="center" wrapText="1"/>
    </xf>
    <xf numFmtId="0" fontId="11" fillId="0" borderId="33" xfId="10" applyFont="1" applyBorder="1" applyAlignment="1">
      <alignment horizontal="right" vertical="center"/>
    </xf>
    <xf numFmtId="168" fontId="6" fillId="0" borderId="47" xfId="10" applyNumberFormat="1" applyFont="1" applyBorder="1" applyAlignment="1">
      <alignment vertical="center"/>
    </xf>
    <xf numFmtId="0" fontId="14" fillId="0" borderId="33" xfId="11" applyFont="1" applyBorder="1"/>
    <xf numFmtId="0" fontId="7" fillId="0" borderId="33" xfId="11" applyFont="1" applyBorder="1"/>
    <xf numFmtId="39" fontId="6" fillId="0" borderId="47" xfId="12" applyNumberFormat="1" applyFont="1" applyFill="1" applyBorder="1" applyAlignment="1">
      <alignment vertical="center"/>
    </xf>
    <xf numFmtId="4" fontId="7" fillId="0" borderId="2" xfId="14" applyNumberFormat="1" applyFont="1" applyBorder="1" applyAlignment="1">
      <alignment horizontal="center" vertical="center"/>
    </xf>
    <xf numFmtId="37" fontId="2" fillId="0" borderId="2" xfId="17" applyNumberFormat="1" applyFont="1" applyBorder="1" applyAlignment="1">
      <alignment horizontal="center" vertical="center"/>
    </xf>
    <xf numFmtId="43" fontId="8" fillId="0" borderId="0" xfId="3" applyFont="1" applyAlignment="1">
      <alignment vertical="center"/>
    </xf>
    <xf numFmtId="0" fontId="8" fillId="0" borderId="0" xfId="0" applyFont="1" applyAlignment="1">
      <alignment vertical="center"/>
    </xf>
    <xf numFmtId="182" fontId="8" fillId="0" borderId="0" xfId="0" applyNumberFormat="1" applyFont="1" applyAlignment="1">
      <alignment vertical="center"/>
    </xf>
    <xf numFmtId="0" fontId="7" fillId="0" borderId="0" xfId="0" applyFont="1"/>
    <xf numFmtId="43" fontId="0" fillId="0" borderId="0" xfId="0" applyNumberFormat="1"/>
    <xf numFmtId="3" fontId="6" fillId="7" borderId="3" xfId="5" applyNumberFormat="1" applyFont="1" applyFill="1" applyBorder="1" applyAlignment="1">
      <alignment horizontal="center" vertical="center"/>
    </xf>
    <xf numFmtId="9" fontId="7" fillId="7" borderId="12" xfId="4" applyFont="1" applyFill="1" applyBorder="1" applyAlignment="1">
      <alignment horizontal="center" vertical="center" wrapText="1"/>
    </xf>
    <xf numFmtId="0" fontId="11" fillId="0" borderId="16" xfId="11" applyFont="1" applyBorder="1" applyAlignment="1">
      <alignment horizontal="left" vertical="center"/>
    </xf>
    <xf numFmtId="43" fontId="8" fillId="0" borderId="0" xfId="0" applyNumberFormat="1" applyFont="1"/>
    <xf numFmtId="43" fontId="8" fillId="0" borderId="0" xfId="3" applyFont="1"/>
    <xf numFmtId="2" fontId="0" fillId="0" borderId="1" xfId="0" applyNumberFormat="1" applyBorder="1" applyAlignment="1">
      <alignment vertical="center"/>
    </xf>
    <xf numFmtId="182" fontId="8" fillId="0" borderId="0" xfId="0" applyNumberFormat="1" applyFont="1"/>
    <xf numFmtId="0" fontId="8" fillId="0" borderId="3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7" xfId="0" applyFont="1" applyBorder="1" applyAlignment="1">
      <alignment horizontal="center"/>
    </xf>
    <xf numFmtId="0" fontId="6" fillId="0" borderId="33" xfId="5" applyFont="1" applyBorder="1" applyAlignment="1">
      <alignment horizontal="center" vertical="top"/>
    </xf>
    <xf numFmtId="0" fontId="6" fillId="0" borderId="0" xfId="5" applyFont="1" applyAlignment="1">
      <alignment horizontal="center" vertical="top"/>
    </xf>
    <xf numFmtId="0" fontId="6" fillId="0" borderId="47" xfId="5" applyFont="1" applyBorder="1" applyAlignment="1">
      <alignment horizontal="center" vertical="top"/>
    </xf>
    <xf numFmtId="0" fontId="6" fillId="0" borderId="33" xfId="5" applyFont="1" applyBorder="1" applyAlignment="1">
      <alignment horizontal="center"/>
    </xf>
    <xf numFmtId="0" fontId="6" fillId="0" borderId="0" xfId="5" applyFont="1" applyAlignment="1">
      <alignment horizontal="center"/>
    </xf>
    <xf numFmtId="0" fontId="6" fillId="0" borderId="47" xfId="5" applyFont="1" applyBorder="1" applyAlignment="1">
      <alignment horizontal="center"/>
    </xf>
    <xf numFmtId="0" fontId="7" fillId="0" borderId="13" xfId="5" applyFont="1" applyBorder="1" applyAlignment="1">
      <alignment horizontal="left" vertical="center" wrapText="1"/>
    </xf>
    <xf numFmtId="0" fontId="7" fillId="0" borderId="1" xfId="5" applyFont="1" applyBorder="1" applyAlignment="1">
      <alignment horizontal="left" vertical="center" wrapText="1"/>
    </xf>
    <xf numFmtId="0" fontId="7" fillId="0" borderId="12" xfId="5" applyFont="1" applyBorder="1" applyAlignment="1">
      <alignment horizontal="left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7" fillId="0" borderId="53" xfId="5" applyFont="1" applyBorder="1" applyAlignment="1">
      <alignment horizontal="center" vertical="center" wrapText="1"/>
    </xf>
    <xf numFmtId="0" fontId="6" fillId="0" borderId="5" xfId="2" applyFont="1" applyBorder="1" applyAlignment="1">
      <alignment horizontal="left" vertical="center"/>
    </xf>
    <xf numFmtId="0" fontId="6" fillId="0" borderId="6" xfId="2" applyFont="1" applyBorder="1" applyAlignment="1">
      <alignment horizontal="left" vertical="center"/>
    </xf>
    <xf numFmtId="0" fontId="6" fillId="0" borderId="7" xfId="2" applyFont="1" applyBorder="1" applyAlignment="1">
      <alignment horizontal="left" vertical="center"/>
    </xf>
    <xf numFmtId="4" fontId="6" fillId="3" borderId="10" xfId="2" applyNumberFormat="1" applyFont="1" applyFill="1" applyBorder="1" applyAlignment="1">
      <alignment horizontal="center" vertical="center" wrapText="1"/>
    </xf>
    <xf numFmtId="4" fontId="6" fillId="3" borderId="26" xfId="2" applyNumberFormat="1" applyFont="1" applyFill="1" applyBorder="1" applyAlignment="1">
      <alignment horizontal="center" vertical="center" wrapText="1"/>
    </xf>
    <xf numFmtId="0" fontId="6" fillId="3" borderId="35" xfId="2" applyFont="1" applyFill="1" applyBorder="1" applyAlignment="1">
      <alignment horizontal="center" vertical="center" wrapText="1"/>
    </xf>
    <xf numFmtId="0" fontId="6" fillId="3" borderId="20" xfId="2" applyFont="1" applyFill="1" applyBorder="1" applyAlignment="1">
      <alignment horizontal="center" vertical="center" wrapText="1"/>
    </xf>
    <xf numFmtId="0" fontId="7" fillId="0" borderId="14" xfId="11" applyFont="1" applyBorder="1" applyAlignment="1">
      <alignment horizontal="left" vertical="center" wrapText="1"/>
    </xf>
    <xf numFmtId="0" fontId="7" fillId="0" borderId="15" xfId="11" applyFont="1" applyBorder="1" applyAlignment="1">
      <alignment horizontal="left" vertical="center" wrapText="1"/>
    </xf>
    <xf numFmtId="0" fontId="7" fillId="0" borderId="13" xfId="5" applyFont="1" applyBorder="1" applyAlignment="1">
      <alignment vertical="center" wrapText="1"/>
    </xf>
    <xf numFmtId="0" fontId="7" fillId="0" borderId="1" xfId="5" applyFont="1" applyBorder="1" applyAlignment="1">
      <alignment vertical="center" wrapText="1"/>
    </xf>
    <xf numFmtId="3" fontId="6" fillId="0" borderId="20" xfId="5" applyNumberFormat="1" applyFont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 wrapText="1"/>
    </xf>
    <xf numFmtId="0" fontId="6" fillId="3" borderId="27" xfId="2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 wrapText="1"/>
    </xf>
    <xf numFmtId="0" fontId="6" fillId="3" borderId="25" xfId="2" applyFont="1" applyFill="1" applyBorder="1" applyAlignment="1">
      <alignment horizontal="center" vertical="center" wrapText="1"/>
    </xf>
    <xf numFmtId="3" fontId="6" fillId="7" borderId="2" xfId="5" applyNumberFormat="1" applyFont="1" applyFill="1" applyBorder="1" applyAlignment="1">
      <alignment horizontal="center" vertical="center"/>
    </xf>
    <xf numFmtId="3" fontId="6" fillId="7" borderId="3" xfId="5" applyNumberFormat="1" applyFont="1" applyFill="1" applyBorder="1" applyAlignment="1">
      <alignment horizontal="center" vertical="center"/>
    </xf>
    <xf numFmtId="0" fontId="6" fillId="0" borderId="44" xfId="5" applyFont="1" applyBorder="1" applyAlignment="1">
      <alignment vertical="center" wrapText="1"/>
    </xf>
    <xf numFmtId="0" fontId="7" fillId="0" borderId="45" xfId="5" applyFont="1" applyBorder="1" applyAlignment="1">
      <alignment vertical="center" wrapText="1"/>
    </xf>
    <xf numFmtId="0" fontId="7" fillId="0" borderId="45" xfId="5" applyFont="1" applyBorder="1" applyAlignment="1">
      <alignment horizontal="center" vertical="center" wrapText="1"/>
    </xf>
    <xf numFmtId="0" fontId="7" fillId="0" borderId="54" xfId="5" applyFont="1" applyBorder="1" applyAlignment="1">
      <alignment horizontal="center" vertical="center" wrapText="1"/>
    </xf>
    <xf numFmtId="0" fontId="7" fillId="0" borderId="37" xfId="5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3" fontId="6" fillId="0" borderId="2" xfId="5" applyNumberFormat="1" applyFont="1" applyBorder="1" applyAlignment="1">
      <alignment horizontal="center" vertical="center"/>
    </xf>
    <xf numFmtId="3" fontId="6" fillId="0" borderId="3" xfId="5" applyNumberFormat="1" applyFont="1" applyBorder="1" applyAlignment="1">
      <alignment horizontal="center" vertical="center"/>
    </xf>
    <xf numFmtId="0" fontId="6" fillId="0" borderId="13" xfId="5" applyFont="1" applyBorder="1" applyAlignment="1">
      <alignment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4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28" fillId="10" borderId="39" xfId="0" applyFont="1" applyFill="1" applyBorder="1" applyAlignment="1">
      <alignment horizontal="center" vertical="center" wrapText="1"/>
    </xf>
    <xf numFmtId="0" fontId="28" fillId="10" borderId="40" xfId="0" applyFont="1" applyFill="1" applyBorder="1" applyAlignment="1">
      <alignment horizontal="center" vertical="center" wrapText="1"/>
    </xf>
    <xf numFmtId="0" fontId="28" fillId="10" borderId="41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2" fontId="7" fillId="0" borderId="30" xfId="16" applyNumberFormat="1" applyFont="1" applyBorder="1" applyAlignment="1">
      <alignment horizontal="center" vertical="center" wrapText="1"/>
    </xf>
    <xf numFmtId="0" fontId="22" fillId="4" borderId="1" xfId="2" applyFont="1" applyFill="1" applyBorder="1" applyAlignment="1">
      <alignment horizontal="center" vertical="center" wrapText="1"/>
    </xf>
    <xf numFmtId="0" fontId="7" fillId="0" borderId="30" xfId="14" applyFont="1" applyBorder="1" applyAlignment="1">
      <alignment horizontal="center" vertical="center"/>
    </xf>
    <xf numFmtId="37" fontId="11" fillId="0" borderId="13" xfId="2" applyNumberFormat="1" applyFont="1" applyBorder="1" applyAlignment="1">
      <alignment horizontal="center" vertical="center" wrapText="1"/>
    </xf>
  </cellXfs>
  <cellStyles count="24">
    <cellStyle name="Millares" xfId="3" builtinId="3"/>
    <cellStyle name="Millares [0] 2" xfId="21" xr:uid="{5FE6AE34-0ADA-407E-8B28-E5DCA45A9D4E}"/>
    <cellStyle name="Millares 2" xfId="7" xr:uid="{B2151F82-791E-4E5A-A702-1E45915A72F0}"/>
    <cellStyle name="Millares 8" xfId="23" xr:uid="{9442B228-4518-4B35-AEB8-A49F2707CE59}"/>
    <cellStyle name="Millares_FORMULARIO 4 - M-OFERENTE PPTA ECONOMICA" xfId="13" xr:uid="{B577F391-C4A9-4A7F-8B6F-4AFDF8C4C753}"/>
    <cellStyle name="Moneda" xfId="19" builtinId="4"/>
    <cellStyle name="Moneda [0]" xfId="15" builtinId="7"/>
    <cellStyle name="Moneda 2" xfId="8" xr:uid="{3B03EB80-593D-47F2-A7FA-6D0DEE039FCE}"/>
    <cellStyle name="Moneda 2 2 2 2 2" xfId="12" xr:uid="{AD3DF480-928F-43CC-A1AA-D8CF9BDBA602}"/>
    <cellStyle name="Normal" xfId="0" builtinId="0"/>
    <cellStyle name="Normal 2" xfId="20" xr:uid="{36B567BA-177A-4A56-B5E1-EA647906EEF6}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2 2 2" xfId="22" xr:uid="{B4ADFBED-D82A-4831-9BEC-206D20FB077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 4" xfId="17" xr:uid="{0C991BB2-3DDC-447A-B916-03ED18F06621}"/>
    <cellStyle name="Normal 6" xfId="18" xr:uid="{06E4C989-C5FA-4D87-B703-18ADFC6E769A}"/>
    <cellStyle name="Normal 8" xfId="16" xr:uid="{BFEC5F93-8730-4020-BF5D-25A9DA88E1EC}"/>
    <cellStyle name="Normal_modelo ACTA OBRA y MODIFICACION" xfId="14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33996</xdr:colOff>
      <xdr:row>0</xdr:row>
      <xdr:rowOff>149087</xdr:rowOff>
    </xdr:from>
    <xdr:to>
      <xdr:col>5</xdr:col>
      <xdr:colOff>967446</xdr:colOff>
      <xdr:row>7</xdr:row>
      <xdr:rowOff>20820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9010E2-53CE-4F5E-A526-09172BB77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571670" y="149087"/>
          <a:ext cx="933450" cy="10312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273327</xdr:colOff>
      <xdr:row>1</xdr:row>
      <xdr:rowOff>45415</xdr:rowOff>
    </xdr:from>
    <xdr:to>
      <xdr:col>1</xdr:col>
      <xdr:colOff>605873</xdr:colOff>
      <xdr:row>5</xdr:row>
      <xdr:rowOff>31751</xdr:rowOff>
    </xdr:to>
    <xdr:pic>
      <xdr:nvPicPr>
        <xdr:cNvPr id="3" name="Picture 656" descr="Logo Invias">
          <a:extLst>
            <a:ext uri="{FF2B5EF4-FFF2-40B4-BE49-F238E27FC236}">
              <a16:creationId xmlns:a16="http://schemas.microsoft.com/office/drawing/2014/main" id="{B3AF5A6A-7133-40D8-9B3C-738BAB355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327" y="188290"/>
          <a:ext cx="1094546" cy="557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33996</xdr:colOff>
      <xdr:row>0</xdr:row>
      <xdr:rowOff>149087</xdr:rowOff>
    </xdr:from>
    <xdr:to>
      <xdr:col>5</xdr:col>
      <xdr:colOff>967446</xdr:colOff>
      <xdr:row>7</xdr:row>
      <xdr:rowOff>20820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0C3224-4D33-40C6-B36A-F605EF761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49196" y="130037"/>
          <a:ext cx="933450" cy="792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273327</xdr:colOff>
      <xdr:row>1</xdr:row>
      <xdr:rowOff>45415</xdr:rowOff>
    </xdr:from>
    <xdr:to>
      <xdr:col>1</xdr:col>
      <xdr:colOff>605873</xdr:colOff>
      <xdr:row>5</xdr:row>
      <xdr:rowOff>31751</xdr:rowOff>
    </xdr:to>
    <xdr:pic>
      <xdr:nvPicPr>
        <xdr:cNvPr id="3" name="Picture 656" descr="Logo Invias">
          <a:extLst>
            <a:ext uri="{FF2B5EF4-FFF2-40B4-BE49-F238E27FC236}">
              <a16:creationId xmlns:a16="http://schemas.microsoft.com/office/drawing/2014/main" id="{C22F1B09-C172-4B26-A0B0-75FBAE109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327" y="172415"/>
          <a:ext cx="1132646" cy="4943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9"/>
  <sheetViews>
    <sheetView showGridLines="0" tabSelected="1" topLeftCell="A11" zoomScaleNormal="100" zoomScaleSheetLayoutView="100" zoomScalePageLayoutView="85" workbookViewId="0">
      <selection activeCell="H22" sqref="H22"/>
    </sheetView>
  </sheetViews>
  <sheetFormatPr baseColWidth="10" defaultColWidth="11.42578125" defaultRowHeight="11.25"/>
  <cols>
    <col min="1" max="1" width="11.42578125" style="9" customWidth="1"/>
    <col min="2" max="2" width="57.42578125" style="9" customWidth="1"/>
    <col min="3" max="4" width="11.42578125" style="9" customWidth="1"/>
    <col min="5" max="5" width="12.85546875" style="9" customWidth="1"/>
    <col min="6" max="6" width="18.7109375" style="9" customWidth="1"/>
    <col min="7" max="7" width="12.42578125" style="9" bestFit="1" customWidth="1"/>
    <col min="8" max="8" width="15.42578125" style="9" bestFit="1" customWidth="1"/>
    <col min="9" max="9" width="11.42578125" style="9"/>
    <col min="10" max="10" width="13.28515625" style="9" bestFit="1" customWidth="1"/>
    <col min="11" max="16384" width="11.42578125" style="9"/>
  </cols>
  <sheetData>
    <row r="1" spans="1:8">
      <c r="A1" s="191"/>
      <c r="B1" s="192"/>
      <c r="C1" s="192"/>
      <c r="D1" s="192"/>
      <c r="E1" s="192"/>
      <c r="F1" s="193"/>
    </row>
    <row r="2" spans="1:8">
      <c r="A2" s="219" t="s">
        <v>16</v>
      </c>
      <c r="B2" s="220"/>
      <c r="C2" s="220"/>
      <c r="D2" s="220"/>
      <c r="E2" s="220"/>
      <c r="F2" s="221"/>
    </row>
    <row r="3" spans="1:8">
      <c r="A3" s="219"/>
      <c r="B3" s="220"/>
      <c r="C3" s="220"/>
      <c r="D3" s="220"/>
      <c r="E3" s="220"/>
      <c r="F3" s="221"/>
    </row>
    <row r="4" spans="1:8">
      <c r="A4" s="219"/>
      <c r="B4" s="220"/>
      <c r="C4" s="220"/>
      <c r="D4" s="220"/>
      <c r="E4" s="220"/>
      <c r="F4" s="221"/>
    </row>
    <row r="5" spans="1:8">
      <c r="A5" s="219" t="s">
        <v>116</v>
      </c>
      <c r="B5" s="220"/>
      <c r="C5" s="220"/>
      <c r="D5" s="220"/>
      <c r="E5" s="220"/>
      <c r="F5" s="221"/>
    </row>
    <row r="6" spans="1:8">
      <c r="A6" s="222" t="s">
        <v>0</v>
      </c>
      <c r="B6" s="223"/>
      <c r="C6" s="223"/>
      <c r="D6" s="223"/>
      <c r="E6" s="223"/>
      <c r="F6" s="224"/>
    </row>
    <row r="7" spans="1:8">
      <c r="A7" s="225" t="s">
        <v>1</v>
      </c>
      <c r="B7" s="226"/>
      <c r="C7" s="226"/>
      <c r="D7" s="226"/>
      <c r="E7" s="226"/>
      <c r="F7" s="227"/>
    </row>
    <row r="8" spans="1:8">
      <c r="A8" s="195" t="s">
        <v>33</v>
      </c>
      <c r="B8" s="11"/>
      <c r="C8" s="11"/>
      <c r="D8" s="11"/>
      <c r="E8" s="11"/>
      <c r="F8" s="194"/>
    </row>
    <row r="9" spans="1:8" ht="32.25" customHeight="1">
      <c r="A9" s="228" t="s">
        <v>2</v>
      </c>
      <c r="B9" s="229"/>
      <c r="C9" s="229"/>
      <c r="D9" s="229"/>
      <c r="E9" s="229"/>
      <c r="F9" s="230"/>
    </row>
    <row r="10" spans="1:8" ht="32.25" customHeight="1">
      <c r="A10" s="228"/>
      <c r="B10" s="229"/>
      <c r="C10" s="229"/>
      <c r="D10" s="229"/>
      <c r="E10" s="229"/>
      <c r="F10" s="230"/>
    </row>
    <row r="11" spans="1:8" ht="40.5" customHeight="1">
      <c r="A11" s="231" t="s">
        <v>3</v>
      </c>
      <c r="B11" s="232"/>
      <c r="C11" s="232"/>
      <c r="D11" s="232"/>
      <c r="E11" s="232"/>
      <c r="F11" s="233"/>
    </row>
    <row r="12" spans="1:8" ht="12" thickBot="1">
      <c r="A12" s="234"/>
      <c r="B12" s="235"/>
      <c r="C12" s="235"/>
      <c r="D12" s="235"/>
      <c r="E12" s="235"/>
      <c r="F12" s="236"/>
    </row>
    <row r="13" spans="1:8" ht="32.25" customHeight="1">
      <c r="A13" s="246" t="s">
        <v>4</v>
      </c>
      <c r="B13" s="246" t="s">
        <v>5</v>
      </c>
      <c r="C13" s="249" t="s">
        <v>6</v>
      </c>
      <c r="D13" s="249" t="s">
        <v>7</v>
      </c>
      <c r="E13" s="239" t="s">
        <v>109</v>
      </c>
      <c r="F13" s="237" t="s">
        <v>110</v>
      </c>
    </row>
    <row r="14" spans="1:8" ht="30.75" customHeight="1">
      <c r="A14" s="247"/>
      <c r="B14" s="248"/>
      <c r="C14" s="250"/>
      <c r="D14" s="250"/>
      <c r="E14" s="240"/>
      <c r="F14" s="238"/>
    </row>
    <row r="15" spans="1:8" ht="27.75" customHeight="1">
      <c r="A15" s="196"/>
      <c r="B15" s="58" t="s">
        <v>38</v>
      </c>
      <c r="C15" s="282"/>
      <c r="D15" s="282"/>
      <c r="E15" s="50"/>
      <c r="F15" s="197"/>
    </row>
    <row r="16" spans="1:8" ht="37.9" customHeight="1">
      <c r="A16" s="199">
        <f>+'APU 2025'!A8</f>
        <v>1</v>
      </c>
      <c r="B16" s="181" t="str">
        <f>+'APU 2025'!B8</f>
        <v xml:space="preserve">DIAGNÓSTICO RED ELÉCTRICA DE LA DT PARA CERTIFICACIÓN RETIE, incluye entrega de documento diagnosticored existente, memorias de nuevo diseño, presupuesto y planos nuevos. </v>
      </c>
      <c r="C16" s="283" t="s">
        <v>6</v>
      </c>
      <c r="D16" s="281">
        <v>1</v>
      </c>
      <c r="E16" s="187">
        <f>+'APU 2025'!E8</f>
        <v>16380000</v>
      </c>
      <c r="F16" s="198">
        <f>+ROUND(E16*1.3,0)</f>
        <v>21294000</v>
      </c>
      <c r="H16" s="207"/>
    </row>
    <row r="17" spans="1:10" ht="27.75" customHeight="1">
      <c r="A17" s="199">
        <f>+'APU 2025'!A14</f>
        <v>2</v>
      </c>
      <c r="B17" s="138" t="str">
        <f>+'APU 2025'!B14</f>
        <v>SUMINISTRO E INSTALACIÓN DE TANQUE DE AGUA DE 5000 LTS</v>
      </c>
      <c r="C17" s="129" t="s">
        <v>6</v>
      </c>
      <c r="D17" s="130">
        <v>1</v>
      </c>
      <c r="E17" s="187">
        <f>+'APU 2025'!E14</f>
        <v>4983750</v>
      </c>
      <c r="F17" s="198">
        <f t="shared" ref="F17:F22" si="0">+ROUND(E17*1.3,0)</f>
        <v>6478875</v>
      </c>
      <c r="H17" s="207"/>
    </row>
    <row r="18" spans="1:10" ht="42" customHeight="1">
      <c r="A18" s="199">
        <f>+'APU 2025'!A22</f>
        <v>3</v>
      </c>
      <c r="B18" s="21" t="str">
        <f>+'APU 2025'!B22</f>
        <v>SUMINISTRO E INSTALACIÓN EQUIPO DE PRESIÓN HIDRONEUMATICO (BOMBA) DE 1HP PARA RED HIDRÁULICA DE LA DT</v>
      </c>
      <c r="C18" s="129" t="s">
        <v>6</v>
      </c>
      <c r="D18" s="130">
        <v>1</v>
      </c>
      <c r="E18" s="187">
        <f>+'APU 2025'!E22</f>
        <v>4141923</v>
      </c>
      <c r="F18" s="198">
        <f t="shared" si="0"/>
        <v>5384500</v>
      </c>
      <c r="H18" s="207"/>
    </row>
    <row r="19" spans="1:10" ht="42" customHeight="1">
      <c r="A19" s="199">
        <f>+'APU 2025'!A34</f>
        <v>4</v>
      </c>
      <c r="B19" s="21" t="str">
        <f>+'APU 2025'!B34</f>
        <v>INSTALACIÓN ELÉCTRICA A 220V PARA EQUIPO DE PRESIÓN, DESDE LA CAJA DE BREAKERS HASTA EL SITIO DEL TANQUE.</v>
      </c>
      <c r="C19" s="16" t="s">
        <v>6</v>
      </c>
      <c r="D19" s="17">
        <v>1</v>
      </c>
      <c r="E19" s="187">
        <f>+'APU 2025'!E34</f>
        <v>1343915</v>
      </c>
      <c r="F19" s="198">
        <f t="shared" si="0"/>
        <v>1747090</v>
      </c>
      <c r="H19" s="207"/>
    </row>
    <row r="20" spans="1:10" ht="24.75" customHeight="1">
      <c r="A20" s="199" t="str">
        <f>+'APU 2025'!A44</f>
        <v>5</v>
      </c>
      <c r="B20" s="22" t="str">
        <f>+'APU 2025'!B44</f>
        <v>INSTALACIÓN A 220V PARA PLANTA ELÉCTRICA , DESDE EL CONTADOR HASTA ELCUARTO DE LA PLANTA.</v>
      </c>
      <c r="C20" s="16" t="s">
        <v>6</v>
      </c>
      <c r="D20" s="17">
        <v>1</v>
      </c>
      <c r="E20" s="187">
        <f>+'APU 2025'!E44</f>
        <v>4578050</v>
      </c>
      <c r="F20" s="198">
        <f t="shared" si="0"/>
        <v>5951465</v>
      </c>
      <c r="H20" s="207"/>
    </row>
    <row r="21" spans="1:10" ht="42" customHeight="1">
      <c r="A21" s="199">
        <f>+'APU 2025'!A55</f>
        <v>6</v>
      </c>
      <c r="B21" s="20" t="str">
        <f>+'APU 2025'!B55</f>
        <v>DESMONTE, TRASLADO E INSTALACIÓN DE DOS AIRES ACONDICIONADOS A UNA DISTANCIA DE 15ML, INCLUYE SUMINISTRO DE MATERIALES, TUBERÍA DE COBRE, ACCESORIOS, INSTALACIÓN ELÉCTRICA.</v>
      </c>
      <c r="C21" s="18" t="s">
        <v>6</v>
      </c>
      <c r="D21" s="19">
        <v>1</v>
      </c>
      <c r="E21" s="187">
        <f>+'APU 2025'!E55</f>
        <v>2167947</v>
      </c>
      <c r="F21" s="198">
        <f t="shared" si="0"/>
        <v>2818331</v>
      </c>
      <c r="H21" s="207"/>
    </row>
    <row r="22" spans="1:10" ht="24.75" customHeight="1">
      <c r="A22" s="284">
        <f>+'APU 2025'!A66</f>
        <v>7</v>
      </c>
      <c r="B22" s="21" t="str">
        <f>+'APU 2025'!B66</f>
        <v xml:space="preserve">SUMINISTRO, REMPLAZO E INSTALACIÓN DE LUMINARIAS PARA LA DT </v>
      </c>
      <c r="C22" s="16" t="s">
        <v>6</v>
      </c>
      <c r="D22" s="17">
        <v>1</v>
      </c>
      <c r="E22" s="188">
        <f>+'APU 2025'!E66</f>
        <v>767912</v>
      </c>
      <c r="F22" s="120">
        <f t="shared" si="0"/>
        <v>998286</v>
      </c>
      <c r="H22" s="207"/>
    </row>
    <row r="23" spans="1:10" ht="12.75" thickBot="1">
      <c r="A23" s="200"/>
      <c r="B23" s="23"/>
      <c r="C23" s="23"/>
      <c r="D23" s="23"/>
      <c r="E23" s="23"/>
      <c r="F23" s="201"/>
      <c r="H23" s="208"/>
    </row>
    <row r="24" spans="1:10" ht="12">
      <c r="A24" s="202"/>
      <c r="B24" s="241" t="s">
        <v>127</v>
      </c>
      <c r="C24" s="242"/>
      <c r="D24" s="242"/>
      <c r="E24" s="25"/>
      <c r="F24" s="26">
        <f>SUM(E16:E22)</f>
        <v>34363497</v>
      </c>
      <c r="H24" s="207"/>
    </row>
    <row r="25" spans="1:10" ht="12">
      <c r="A25" s="202"/>
      <c r="B25" s="182" t="s">
        <v>112</v>
      </c>
      <c r="C25" s="183"/>
      <c r="D25" s="183"/>
      <c r="E25" s="183"/>
      <c r="F25" s="184">
        <f>ROUND(SUM(F16:F22),0)</f>
        <v>44672547</v>
      </c>
      <c r="H25" s="207"/>
    </row>
    <row r="26" spans="1:10" ht="12">
      <c r="A26" s="202"/>
      <c r="B26" s="182" t="s">
        <v>108</v>
      </c>
      <c r="C26" s="183"/>
      <c r="D26" s="183"/>
      <c r="E26" s="185">
        <v>0.3</v>
      </c>
      <c r="F26" s="184">
        <f>ROUND(F24*E26,0)</f>
        <v>10309049</v>
      </c>
      <c r="H26" s="209"/>
      <c r="J26" s="218"/>
    </row>
    <row r="27" spans="1:10" ht="12">
      <c r="A27" s="203"/>
      <c r="B27" s="214" t="s">
        <v>128</v>
      </c>
      <c r="C27" s="27"/>
      <c r="D27" s="28"/>
      <c r="E27" s="28"/>
      <c r="F27" s="29">
        <f>ROUND((F25/1.3)*F35*0.19,0)</f>
        <v>326453</v>
      </c>
      <c r="H27" s="215"/>
    </row>
    <row r="28" spans="1:10">
      <c r="A28" s="203"/>
      <c r="B28" s="30" t="s">
        <v>31</v>
      </c>
      <c r="C28" s="27"/>
      <c r="D28" s="28"/>
      <c r="E28" s="28"/>
      <c r="F28" s="121">
        <f>ROUND(F25+F27,0)</f>
        <v>44999000</v>
      </c>
      <c r="G28" s="150"/>
      <c r="H28" s="216"/>
    </row>
    <row r="29" spans="1:10" ht="13.5" thickBot="1">
      <c r="A29" s="203"/>
      <c r="B29" s="31" t="s">
        <v>32</v>
      </c>
      <c r="C29" s="32"/>
      <c r="D29" s="33"/>
      <c r="E29" s="51"/>
      <c r="F29" s="122">
        <f>F28</f>
        <v>44999000</v>
      </c>
      <c r="G29" s="41"/>
      <c r="H29" s="34"/>
    </row>
    <row r="30" spans="1:10" ht="12" thickBot="1">
      <c r="A30" s="203"/>
      <c r="B30" s="24"/>
      <c r="C30" s="24"/>
      <c r="D30" s="35"/>
      <c r="E30" s="35"/>
      <c r="F30" s="204"/>
    </row>
    <row r="31" spans="1:10">
      <c r="A31" s="54" t="s">
        <v>126</v>
      </c>
      <c r="B31" s="37"/>
      <c r="C31" s="37"/>
      <c r="D31" s="37"/>
      <c r="E31" s="37"/>
      <c r="F31" s="38"/>
    </row>
    <row r="32" spans="1:10" ht="33.75" customHeight="1">
      <c r="A32" s="243" t="s">
        <v>17</v>
      </c>
      <c r="B32" s="244"/>
      <c r="C32" s="245" t="s">
        <v>8</v>
      </c>
      <c r="D32" s="245"/>
      <c r="E32" s="52"/>
      <c r="F32" s="39" t="s">
        <v>9</v>
      </c>
    </row>
    <row r="33" spans="1:6" ht="48" customHeight="1">
      <c r="A33" s="243" t="s">
        <v>121</v>
      </c>
      <c r="B33" s="244"/>
      <c r="C33" s="251" t="s">
        <v>11</v>
      </c>
      <c r="D33" s="252"/>
      <c r="E33" s="212"/>
      <c r="F33" s="213">
        <v>0.2</v>
      </c>
    </row>
    <row r="34" spans="1:6">
      <c r="A34" s="243" t="s">
        <v>18</v>
      </c>
      <c r="B34" s="244"/>
      <c r="C34" s="251" t="s">
        <v>12</v>
      </c>
      <c r="D34" s="252"/>
      <c r="E34" s="212"/>
      <c r="F34" s="213">
        <v>0.05</v>
      </c>
    </row>
    <row r="35" spans="1:6" ht="40.5" customHeight="1">
      <c r="A35" s="258" t="s">
        <v>124</v>
      </c>
      <c r="B35" s="259"/>
      <c r="C35" s="251" t="s">
        <v>13</v>
      </c>
      <c r="D35" s="252"/>
      <c r="E35" s="212"/>
      <c r="F35" s="213">
        <v>0.05</v>
      </c>
    </row>
    <row r="36" spans="1:6" ht="46.5" customHeight="1">
      <c r="A36" s="243" t="s">
        <v>34</v>
      </c>
      <c r="B36" s="244"/>
      <c r="C36" s="251" t="s">
        <v>14</v>
      </c>
      <c r="D36" s="252"/>
      <c r="E36" s="212"/>
      <c r="F36" s="213">
        <f>F33+F34+F35</f>
        <v>0.3</v>
      </c>
    </row>
    <row r="37" spans="1:6" ht="52.5" customHeight="1" thickBot="1">
      <c r="A37" s="253" t="s">
        <v>35</v>
      </c>
      <c r="B37" s="254"/>
      <c r="C37" s="255"/>
      <c r="D37" s="255"/>
      <c r="E37" s="256"/>
      <c r="F37" s="257"/>
    </row>
    <row r="39" spans="1:6">
      <c r="A39" s="210" t="s">
        <v>125</v>
      </c>
      <c r="B39" s="186"/>
    </row>
  </sheetData>
  <mergeCells count="28">
    <mergeCell ref="A36:B36"/>
    <mergeCell ref="C36:D36"/>
    <mergeCell ref="A37:B37"/>
    <mergeCell ref="C37:F37"/>
    <mergeCell ref="A33:B33"/>
    <mergeCell ref="C33:D33"/>
    <mergeCell ref="A34:B34"/>
    <mergeCell ref="C34:D34"/>
    <mergeCell ref="A35:B35"/>
    <mergeCell ref="C35:D35"/>
    <mergeCell ref="B24:D24"/>
    <mergeCell ref="A32:B32"/>
    <mergeCell ref="C32:D32"/>
    <mergeCell ref="A13:A14"/>
    <mergeCell ref="B13:B14"/>
    <mergeCell ref="C13:C14"/>
    <mergeCell ref="D13:D14"/>
    <mergeCell ref="A7:F7"/>
    <mergeCell ref="A9:F10"/>
    <mergeCell ref="A11:F11"/>
    <mergeCell ref="A12:F12"/>
    <mergeCell ref="F13:F14"/>
    <mergeCell ref="E13:E14"/>
    <mergeCell ref="A2:F2"/>
    <mergeCell ref="A3:F3"/>
    <mergeCell ref="A4:F4"/>
    <mergeCell ref="A5:F5"/>
    <mergeCell ref="A6:F6"/>
  </mergeCells>
  <phoneticPr fontId="17" type="noConversion"/>
  <printOptions horizontalCentered="1" verticalCentered="1"/>
  <pageMargins left="0.23622047244094491" right="0.23622047244094491" top="1.1023622047244095" bottom="0.74803149606299213" header="0.31496062992125984" footer="0.31496062992125984"/>
  <pageSetup scale="59" orientation="portrait" r:id="rId1"/>
  <headerFooter>
    <oddHeader>&amp;L&amp;"Arial,Normal"&amp;8&amp;K01+011CÓDIGO: CCE-EICP-FM-32
VERSIÓN: 1&amp;C&amp;"Arial,Negrita"&amp;8&amp;K01+010
MÍNIMA CUANTÍA DE INFRAESTRUCTURA DE TRANSPORTE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DFAEB-C1DA-4EB6-84AD-72D4FAE9B16E}">
  <dimension ref="A2:H41"/>
  <sheetViews>
    <sheetView showGridLines="0" topLeftCell="A33" zoomScaleNormal="100" zoomScaleSheetLayoutView="100" zoomScalePageLayoutView="85" workbookViewId="0">
      <selection activeCell="B48" sqref="B48"/>
    </sheetView>
  </sheetViews>
  <sheetFormatPr baseColWidth="10" defaultColWidth="11.42578125" defaultRowHeight="11.25"/>
  <cols>
    <col min="1" max="1" width="11.42578125" style="9" customWidth="1"/>
    <col min="2" max="2" width="57.42578125" style="9" customWidth="1"/>
    <col min="3" max="4" width="11.42578125" style="9" customWidth="1"/>
    <col min="5" max="5" width="12.85546875" style="9" customWidth="1"/>
    <col min="6" max="6" width="18.7109375" style="9" customWidth="1"/>
    <col min="7" max="7" width="12.42578125" style="9" bestFit="1" customWidth="1"/>
    <col min="8" max="8" width="15.42578125" style="9" bestFit="1" customWidth="1"/>
    <col min="9" max="16384" width="11.42578125" style="9"/>
  </cols>
  <sheetData>
    <row r="2" spans="1:6">
      <c r="A2" s="220" t="s">
        <v>16</v>
      </c>
      <c r="B2" s="220"/>
      <c r="C2" s="220"/>
      <c r="D2" s="220"/>
      <c r="E2" s="220"/>
      <c r="F2" s="220"/>
    </row>
    <row r="3" spans="1:6">
      <c r="A3" s="220"/>
      <c r="B3" s="220"/>
      <c r="C3" s="220"/>
      <c r="D3" s="220"/>
      <c r="E3" s="220"/>
      <c r="F3" s="220"/>
    </row>
    <row r="4" spans="1:6">
      <c r="A4" s="220"/>
      <c r="B4" s="220"/>
      <c r="C4" s="220"/>
      <c r="D4" s="220"/>
      <c r="E4" s="220"/>
      <c r="F4" s="220"/>
    </row>
    <row r="5" spans="1:6">
      <c r="A5" s="220" t="s">
        <v>116</v>
      </c>
      <c r="B5" s="220"/>
      <c r="C5" s="220"/>
      <c r="D5" s="220"/>
      <c r="E5" s="220"/>
      <c r="F5" s="220"/>
    </row>
    <row r="6" spans="1:6">
      <c r="A6" s="223" t="s">
        <v>0</v>
      </c>
      <c r="B6" s="223"/>
      <c r="C6" s="223"/>
      <c r="D6" s="223"/>
      <c r="E6" s="223"/>
      <c r="F6" s="223"/>
    </row>
    <row r="7" spans="1:6">
      <c r="A7" s="226" t="s">
        <v>1</v>
      </c>
      <c r="B7" s="226"/>
      <c r="C7" s="226"/>
      <c r="D7" s="226"/>
      <c r="E7" s="226"/>
      <c r="F7" s="226"/>
    </row>
    <row r="8" spans="1:6">
      <c r="A8" s="10" t="s">
        <v>33</v>
      </c>
      <c r="B8" s="11"/>
      <c r="C8" s="11"/>
      <c r="D8" s="11"/>
      <c r="E8" s="11"/>
      <c r="F8" s="11"/>
    </row>
    <row r="9" spans="1:6" ht="32.25" customHeight="1">
      <c r="A9" s="229" t="s">
        <v>2</v>
      </c>
      <c r="B9" s="229"/>
      <c r="C9" s="229"/>
      <c r="D9" s="229"/>
      <c r="E9" s="229"/>
      <c r="F9" s="229"/>
    </row>
    <row r="10" spans="1:6" ht="32.25" customHeight="1">
      <c r="A10" s="229"/>
      <c r="B10" s="229"/>
      <c r="C10" s="229"/>
      <c r="D10" s="229"/>
      <c r="E10" s="229"/>
      <c r="F10" s="229"/>
    </row>
    <row r="11" spans="1:6" ht="40.5" customHeight="1">
      <c r="A11" s="266" t="s">
        <v>3</v>
      </c>
      <c r="B11" s="232"/>
      <c r="C11" s="232"/>
      <c r="D11" s="232"/>
      <c r="E11" s="232"/>
      <c r="F11" s="268"/>
    </row>
    <row r="12" spans="1:6" ht="12" thickBot="1">
      <c r="A12" s="234"/>
      <c r="B12" s="235"/>
      <c r="C12" s="235"/>
      <c r="D12" s="235"/>
      <c r="E12" s="235"/>
      <c r="F12" s="236"/>
    </row>
    <row r="13" spans="1:6" ht="32.25" customHeight="1">
      <c r="A13" s="246" t="s">
        <v>4</v>
      </c>
      <c r="B13" s="246" t="s">
        <v>5</v>
      </c>
      <c r="C13" s="249" t="s">
        <v>6</v>
      </c>
      <c r="D13" s="249" t="s">
        <v>7</v>
      </c>
      <c r="E13" s="239" t="s">
        <v>109</v>
      </c>
      <c r="F13" s="237" t="s">
        <v>117</v>
      </c>
    </row>
    <row r="14" spans="1:6" ht="30.75" customHeight="1">
      <c r="A14" s="247"/>
      <c r="B14" s="248"/>
      <c r="C14" s="250"/>
      <c r="D14" s="250"/>
      <c r="E14" s="240"/>
      <c r="F14" s="238"/>
    </row>
    <row r="15" spans="1:6" ht="27.75" customHeight="1">
      <c r="A15" s="12"/>
      <c r="B15" s="58" t="s">
        <v>38</v>
      </c>
      <c r="C15" s="13"/>
      <c r="D15" s="14"/>
      <c r="E15" s="50"/>
      <c r="F15" s="15"/>
    </row>
    <row r="16" spans="1:6" ht="27.75" customHeight="1">
      <c r="A16" s="146">
        <v>1</v>
      </c>
      <c r="B16" s="59" t="s">
        <v>43</v>
      </c>
      <c r="C16" s="127" t="s">
        <v>6</v>
      </c>
      <c r="D16" s="128">
        <v>1</v>
      </c>
      <c r="E16" s="53"/>
      <c r="F16" s="47">
        <f>+E16*1.3</f>
        <v>0</v>
      </c>
    </row>
    <row r="17" spans="1:8" ht="27.75" customHeight="1">
      <c r="A17" s="146">
        <v>2</v>
      </c>
      <c r="B17" s="138" t="str">
        <f>+'APU 2025'!B14</f>
        <v>SUMINISTRO E INSTALACIÓN DE TANQUE DE AGUA DE 5000 LTS</v>
      </c>
      <c r="C17" s="129" t="s">
        <v>6</v>
      </c>
      <c r="D17" s="130">
        <v>1</v>
      </c>
      <c r="E17" s="53"/>
      <c r="F17" s="47">
        <f t="shared" ref="F17:F23" si="0">+E17*1.3</f>
        <v>0</v>
      </c>
    </row>
    <row r="18" spans="1:8" ht="42" customHeight="1">
      <c r="A18" s="147">
        <v>3</v>
      </c>
      <c r="B18" s="21" t="str">
        <f>+'APU 2025'!B22</f>
        <v>SUMINISTRO E INSTALACIÓN EQUIPO DE PRESIÓN HIDRONEUMATICO (BOMBA) DE 1HP PARA RED HIDRÁULICA DE LA DT</v>
      </c>
      <c r="C18" s="129" t="s">
        <v>6</v>
      </c>
      <c r="D18" s="130">
        <v>1</v>
      </c>
      <c r="E18" s="53"/>
      <c r="F18" s="47">
        <f t="shared" si="0"/>
        <v>0</v>
      </c>
    </row>
    <row r="19" spans="1:8" ht="42" customHeight="1">
      <c r="A19" s="146">
        <v>4</v>
      </c>
      <c r="B19" s="21" t="s">
        <v>44</v>
      </c>
      <c r="C19" s="16" t="s">
        <v>6</v>
      </c>
      <c r="D19" s="17">
        <v>1</v>
      </c>
      <c r="E19" s="125"/>
      <c r="F19" s="47">
        <f t="shared" si="0"/>
        <v>0</v>
      </c>
    </row>
    <row r="20" spans="1:8" ht="24.75" customHeight="1">
      <c r="A20" s="146">
        <v>5</v>
      </c>
      <c r="B20" s="22" t="s">
        <v>46</v>
      </c>
      <c r="C20" s="16" t="s">
        <v>6</v>
      </c>
      <c r="D20" s="17">
        <v>1</v>
      </c>
      <c r="E20" s="53"/>
      <c r="F20" s="47">
        <f t="shared" si="0"/>
        <v>0</v>
      </c>
      <c r="H20" s="8"/>
    </row>
    <row r="21" spans="1:8" ht="42" customHeight="1">
      <c r="A21" s="146">
        <v>6</v>
      </c>
      <c r="B21" s="20" t="str">
        <f>+'APU 2025'!B55</f>
        <v>DESMONTE, TRASLADO E INSTALACIÓN DE DOS AIRES ACONDICIONADOS A UNA DISTANCIA DE 15ML, INCLUYE SUMINISTRO DE MATERIALES, TUBERÍA DE COBRE, ACCESORIOS, INSTALACIÓN ELÉCTRICA.</v>
      </c>
      <c r="C21" s="18" t="s">
        <v>6</v>
      </c>
      <c r="D21" s="19">
        <v>1</v>
      </c>
      <c r="E21" s="125"/>
      <c r="F21" s="47">
        <f t="shared" si="0"/>
        <v>0</v>
      </c>
    </row>
    <row r="22" spans="1:8" ht="24.75" customHeight="1">
      <c r="A22" s="146">
        <v>7</v>
      </c>
      <c r="B22" s="45" t="s">
        <v>47</v>
      </c>
      <c r="C22" s="16" t="s">
        <v>6</v>
      </c>
      <c r="D22" s="17">
        <v>1</v>
      </c>
      <c r="E22" s="53"/>
      <c r="F22" s="47">
        <f t="shared" si="0"/>
        <v>0</v>
      </c>
      <c r="H22" s="8"/>
    </row>
    <row r="23" spans="1:8" ht="24.75" customHeight="1">
      <c r="A23" s="146">
        <v>8</v>
      </c>
      <c r="B23" s="21" t="s">
        <v>45</v>
      </c>
      <c r="C23" s="16" t="s">
        <v>6</v>
      </c>
      <c r="D23" s="205">
        <v>10</v>
      </c>
      <c r="E23" s="119"/>
      <c r="F23" s="120">
        <f t="shared" si="0"/>
        <v>0</v>
      </c>
      <c r="H23" s="8"/>
    </row>
    <row r="24" spans="1:8" ht="12.75" thickBot="1">
      <c r="A24" s="43"/>
      <c r="B24" s="23"/>
      <c r="C24" s="23"/>
      <c r="D24" s="23"/>
      <c r="E24" s="23"/>
      <c r="F24" s="48"/>
    </row>
    <row r="25" spans="1:8" ht="12">
      <c r="A25" s="44"/>
      <c r="B25" s="241" t="s">
        <v>111</v>
      </c>
      <c r="C25" s="242"/>
      <c r="D25" s="242"/>
      <c r="E25" s="25"/>
      <c r="F25" s="26">
        <f>SUM(E16:E23)</f>
        <v>0</v>
      </c>
    </row>
    <row r="26" spans="1:8" ht="12">
      <c r="A26" s="44"/>
      <c r="B26" s="182" t="s">
        <v>119</v>
      </c>
      <c r="C26" s="183"/>
      <c r="D26" s="183"/>
      <c r="E26" s="183"/>
      <c r="F26" s="184">
        <f>SUM(F16:F23)</f>
        <v>0</v>
      </c>
    </row>
    <row r="27" spans="1:8">
      <c r="A27" s="24"/>
      <c r="B27" s="182" t="s">
        <v>118</v>
      </c>
      <c r="C27" s="183"/>
      <c r="D27" s="183"/>
      <c r="E27" s="28"/>
      <c r="F27" s="29">
        <f>+F25*E27</f>
        <v>0</v>
      </c>
    </row>
    <row r="28" spans="1:8" ht="12">
      <c r="A28" s="24"/>
      <c r="B28" s="148" t="s">
        <v>107</v>
      </c>
      <c r="C28" s="27"/>
      <c r="D28" s="28"/>
      <c r="E28" s="28"/>
      <c r="F28" s="149">
        <f>ROUND((+F27*0.19),0)</f>
        <v>0</v>
      </c>
    </row>
    <row r="29" spans="1:8">
      <c r="A29" s="24"/>
      <c r="B29" s="30" t="s">
        <v>31</v>
      </c>
      <c r="C29" s="27"/>
      <c r="D29" s="28"/>
      <c r="E29" s="28"/>
      <c r="F29" s="121">
        <f>ROUND(F27+F28,0)</f>
        <v>0</v>
      </c>
      <c r="G29" s="150"/>
    </row>
    <row r="30" spans="1:8" ht="13.5" thickBot="1">
      <c r="A30" s="24"/>
      <c r="B30" s="31" t="s">
        <v>32</v>
      </c>
      <c r="C30" s="32"/>
      <c r="D30" s="33"/>
      <c r="E30" s="51"/>
      <c r="F30" s="122">
        <f>F29</f>
        <v>0</v>
      </c>
      <c r="G30" s="41"/>
      <c r="H30" s="34"/>
    </row>
    <row r="31" spans="1:8" ht="12" thickBot="1">
      <c r="A31" s="24"/>
      <c r="B31" s="24"/>
      <c r="C31" s="24"/>
      <c r="D31" s="35"/>
      <c r="E31" s="35"/>
      <c r="F31" s="36"/>
    </row>
    <row r="32" spans="1:8">
      <c r="A32" s="54" t="s">
        <v>49</v>
      </c>
      <c r="B32" s="37"/>
      <c r="C32" s="37"/>
      <c r="D32" s="37"/>
      <c r="E32" s="37"/>
      <c r="F32" s="38"/>
    </row>
    <row r="33" spans="1:6" ht="33.75" customHeight="1">
      <c r="A33" s="243" t="s">
        <v>17</v>
      </c>
      <c r="B33" s="244"/>
      <c r="C33" s="245" t="s">
        <v>8</v>
      </c>
      <c r="D33" s="245"/>
      <c r="E33" s="52"/>
      <c r="F33" s="39" t="s">
        <v>9</v>
      </c>
    </row>
    <row r="34" spans="1:6" ht="48" customHeight="1">
      <c r="A34" s="243" t="s">
        <v>10</v>
      </c>
      <c r="B34" s="244"/>
      <c r="C34" s="262" t="s">
        <v>11</v>
      </c>
      <c r="D34" s="263"/>
      <c r="E34" s="49"/>
      <c r="F34" s="40"/>
    </row>
    <row r="35" spans="1:6">
      <c r="A35" s="243" t="s">
        <v>18</v>
      </c>
      <c r="B35" s="244"/>
      <c r="C35" s="262" t="s">
        <v>12</v>
      </c>
      <c r="D35" s="263"/>
      <c r="E35" s="49"/>
      <c r="F35" s="40"/>
    </row>
    <row r="36" spans="1:6" ht="40.5" customHeight="1">
      <c r="A36" s="260"/>
      <c r="B36" s="261"/>
      <c r="C36" s="262" t="s">
        <v>13</v>
      </c>
      <c r="D36" s="263"/>
      <c r="E36" s="49"/>
      <c r="F36" s="40"/>
    </row>
    <row r="37" spans="1:6" ht="46.5" customHeight="1">
      <c r="A37" s="243" t="s">
        <v>34</v>
      </c>
      <c r="B37" s="244"/>
      <c r="C37" s="262" t="s">
        <v>14</v>
      </c>
      <c r="D37" s="263"/>
      <c r="E37" s="49"/>
      <c r="F37" s="40"/>
    </row>
    <row r="38" spans="1:6" ht="52.5" customHeight="1">
      <c r="A38" s="264" t="s">
        <v>35</v>
      </c>
      <c r="B38" s="244"/>
      <c r="C38" s="265"/>
      <c r="D38" s="265"/>
      <c r="E38" s="266"/>
      <c r="F38" s="267"/>
    </row>
    <row r="40" spans="1:6">
      <c r="A40" s="186"/>
      <c r="B40" s="186"/>
    </row>
    <row r="41" spans="1:6">
      <c r="A41" s="186"/>
      <c r="B41" s="186"/>
    </row>
  </sheetData>
  <mergeCells count="28">
    <mergeCell ref="A7:F7"/>
    <mergeCell ref="A2:F2"/>
    <mergeCell ref="A3:F3"/>
    <mergeCell ref="A4:F4"/>
    <mergeCell ref="A5:F5"/>
    <mergeCell ref="A6:F6"/>
    <mergeCell ref="A35:B35"/>
    <mergeCell ref="C35:D35"/>
    <mergeCell ref="A9:F10"/>
    <mergeCell ref="A11:F11"/>
    <mergeCell ref="A12:F12"/>
    <mergeCell ref="A13:A14"/>
    <mergeCell ref="B13:B14"/>
    <mergeCell ref="C13:C14"/>
    <mergeCell ref="D13:D14"/>
    <mergeCell ref="E13:E14"/>
    <mergeCell ref="F13:F14"/>
    <mergeCell ref="B25:D25"/>
    <mergeCell ref="A33:B33"/>
    <mergeCell ref="C33:D33"/>
    <mergeCell ref="A34:B34"/>
    <mergeCell ref="C34:D34"/>
    <mergeCell ref="A36:B36"/>
    <mergeCell ref="C36:D36"/>
    <mergeCell ref="A37:B37"/>
    <mergeCell ref="C37:D37"/>
    <mergeCell ref="A38:B38"/>
    <mergeCell ref="C38:F38"/>
  </mergeCells>
  <printOptions horizontalCentered="1" verticalCentered="1"/>
  <pageMargins left="0.23622047244094491" right="0.23622047244094491" top="1.1023622047244095" bottom="0.74803149606299213" header="0.31496062992125984" footer="0.31496062992125984"/>
  <pageSetup scale="59" orientation="portrait" r:id="rId1"/>
  <headerFooter>
    <oddHeader>&amp;L&amp;"Arial,Normal"&amp;8&amp;K01+011CÓDIGO: CCE-EICP-FM-32
VERSIÓN: 1&amp;C&amp;"Arial,Negrita"&amp;8&amp;K01+010
MÍNIMA CUANTÍA DE INFRAESTRUCTURA DE TRANSPORTE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FC2A1-CD0F-489F-B877-49CA302A5665}">
  <dimension ref="A1:M72"/>
  <sheetViews>
    <sheetView topLeftCell="A54" workbookViewId="0">
      <selection activeCell="B82" sqref="B82"/>
    </sheetView>
  </sheetViews>
  <sheetFormatPr baseColWidth="10" defaultRowHeight="15"/>
  <cols>
    <col min="1" max="1" width="10.5703125" customWidth="1"/>
    <col min="2" max="2" width="84.42578125" customWidth="1"/>
    <col min="3" max="3" width="11.5703125" customWidth="1"/>
    <col min="5" max="5" width="20.85546875" style="60" bestFit="1" customWidth="1"/>
    <col min="6" max="6" width="21" customWidth="1"/>
    <col min="7" max="7" width="17.7109375" style="60" customWidth="1"/>
    <col min="8" max="8" width="18.85546875" customWidth="1"/>
    <col min="10" max="10" width="14.140625" bestFit="1" customWidth="1"/>
  </cols>
  <sheetData>
    <row r="1" spans="1:10" ht="18.75">
      <c r="A1" s="269" t="s">
        <v>19</v>
      </c>
      <c r="B1" s="269"/>
      <c r="C1" s="269"/>
      <c r="D1" s="269"/>
      <c r="E1" s="269"/>
      <c r="F1" s="269"/>
      <c r="G1" s="269"/>
      <c r="H1" s="269"/>
    </row>
    <row r="2" spans="1:10" ht="18.75">
      <c r="A2" s="269" t="s">
        <v>104</v>
      </c>
      <c r="B2" s="269"/>
      <c r="C2" s="269"/>
      <c r="D2" s="269"/>
      <c r="E2" s="269"/>
      <c r="F2" s="269"/>
      <c r="G2" s="269"/>
      <c r="H2" s="269"/>
    </row>
    <row r="3" spans="1:10" ht="18.75">
      <c r="A3" s="269"/>
      <c r="B3" s="269"/>
      <c r="C3" s="269"/>
      <c r="D3" s="269"/>
      <c r="E3" s="269"/>
      <c r="F3" s="269"/>
      <c r="G3" s="269"/>
      <c r="H3" s="269"/>
    </row>
    <row r="4" spans="1:10">
      <c r="E4" s="102"/>
      <c r="G4" s="102"/>
    </row>
    <row r="5" spans="1:10">
      <c r="A5" s="56"/>
      <c r="B5" s="57"/>
      <c r="C5" s="57"/>
      <c r="D5" s="57"/>
      <c r="E5" s="103"/>
      <c r="F5" s="57"/>
      <c r="G5" s="103"/>
      <c r="H5" s="57"/>
    </row>
    <row r="6" spans="1:10">
      <c r="A6" s="66" t="s">
        <v>15</v>
      </c>
      <c r="B6" s="66" t="s">
        <v>5</v>
      </c>
      <c r="C6" s="66" t="s">
        <v>20</v>
      </c>
      <c r="D6" s="66" t="s">
        <v>21</v>
      </c>
      <c r="E6" s="104" t="s">
        <v>22</v>
      </c>
      <c r="F6" s="67" t="s">
        <v>23</v>
      </c>
      <c r="G6" s="114" t="s">
        <v>24</v>
      </c>
      <c r="H6" s="68" t="s">
        <v>25</v>
      </c>
    </row>
    <row r="7" spans="1:10">
      <c r="A7" s="123"/>
      <c r="B7" s="3"/>
      <c r="C7" s="3"/>
      <c r="D7" s="3"/>
      <c r="E7" s="105"/>
      <c r="F7" s="69" t="s">
        <v>26</v>
      </c>
      <c r="G7" s="115"/>
      <c r="H7" s="63">
        <v>0.3</v>
      </c>
    </row>
    <row r="8" spans="1:10" ht="49.15" customHeight="1">
      <c r="A8" s="206">
        <v>1</v>
      </c>
      <c r="B8" s="180" t="s">
        <v>106</v>
      </c>
      <c r="C8" s="72" t="s">
        <v>71</v>
      </c>
      <c r="D8" s="73">
        <v>1</v>
      </c>
      <c r="E8" s="106">
        <f>SUM(G9:G10)</f>
        <v>16380000</v>
      </c>
      <c r="F8" s="74"/>
      <c r="G8" s="116"/>
      <c r="H8" s="65">
        <f>ROUND(E8*1.3,0)</f>
        <v>21294000</v>
      </c>
    </row>
    <row r="9" spans="1:10">
      <c r="A9" s="71"/>
      <c r="B9" s="76" t="s">
        <v>115</v>
      </c>
      <c r="C9" s="76" t="s">
        <v>27</v>
      </c>
      <c r="D9" s="77">
        <v>1</v>
      </c>
      <c r="E9" s="107">
        <f>+Personal!F46</f>
        <v>1170000</v>
      </c>
      <c r="F9" s="78">
        <v>0.08</v>
      </c>
      <c r="G9" s="107">
        <f>ROUND((D9*E9/F9),0)</f>
        <v>14625000</v>
      </c>
      <c r="H9" s="63"/>
    </row>
    <row r="10" spans="1:10">
      <c r="A10" s="71"/>
      <c r="B10" s="76" t="s">
        <v>105</v>
      </c>
      <c r="C10" s="76" t="s">
        <v>29</v>
      </c>
      <c r="D10" s="77">
        <v>0.12</v>
      </c>
      <c r="E10" s="107">
        <f>+G9</f>
        <v>14625000</v>
      </c>
      <c r="F10" s="78">
        <v>0</v>
      </c>
      <c r="G10" s="107">
        <f>ROUND((D10*E10),0)</f>
        <v>1755000</v>
      </c>
      <c r="H10" s="63"/>
    </row>
    <row r="11" spans="1:10">
      <c r="A11" s="56"/>
      <c r="B11" s="57"/>
      <c r="C11" s="57"/>
      <c r="D11" s="57"/>
      <c r="E11" s="103"/>
      <c r="F11" s="57"/>
      <c r="G11" s="103"/>
      <c r="H11" s="57"/>
    </row>
    <row r="12" spans="1:10">
      <c r="A12" s="139" t="s">
        <v>15</v>
      </c>
      <c r="B12" s="139" t="s">
        <v>5</v>
      </c>
      <c r="C12" s="139" t="s">
        <v>20</v>
      </c>
      <c r="D12" s="139" t="s">
        <v>21</v>
      </c>
      <c r="E12" s="141" t="s">
        <v>22</v>
      </c>
      <c r="F12" s="140" t="s">
        <v>23</v>
      </c>
      <c r="G12" s="142" t="s">
        <v>24</v>
      </c>
      <c r="H12" s="143" t="s">
        <v>25</v>
      </c>
    </row>
    <row r="13" spans="1:10">
      <c r="A13" s="3"/>
      <c r="B13" s="3"/>
      <c r="C13" s="3"/>
      <c r="D13" s="3"/>
      <c r="E13" s="108"/>
      <c r="F13" s="69" t="s">
        <v>26</v>
      </c>
      <c r="G13" s="117"/>
      <c r="H13" s="135">
        <v>0.3</v>
      </c>
    </row>
    <row r="14" spans="1:10">
      <c r="A14" s="124">
        <v>2</v>
      </c>
      <c r="B14" s="61" t="s">
        <v>74</v>
      </c>
      <c r="C14" s="6" t="s">
        <v>71</v>
      </c>
      <c r="D14" s="131">
        <v>1</v>
      </c>
      <c r="E14" s="132">
        <f>SUM(G15:G18)</f>
        <v>4983750</v>
      </c>
      <c r="F14" s="133"/>
      <c r="G14" s="134"/>
      <c r="H14" s="145">
        <f>ROUND(E14*1.3,0)</f>
        <v>6478875</v>
      </c>
    </row>
    <row r="15" spans="1:10" ht="42" customHeight="1">
      <c r="A15" s="124"/>
      <c r="B15" s="173" t="s">
        <v>76</v>
      </c>
      <c r="C15" s="7" t="s">
        <v>75</v>
      </c>
      <c r="D15" s="62">
        <v>1</v>
      </c>
      <c r="E15" s="136">
        <v>4800000</v>
      </c>
      <c r="F15" s="190">
        <v>1</v>
      </c>
      <c r="G15" s="137">
        <f t="shared" ref="G15:G16" si="0">ROUND((D15*E15*F15),0)</f>
        <v>4800000</v>
      </c>
      <c r="H15" s="70"/>
      <c r="J15" s="175"/>
    </row>
    <row r="16" spans="1:10">
      <c r="A16" s="3"/>
      <c r="B16" s="42" t="s">
        <v>77</v>
      </c>
      <c r="C16" s="7" t="s">
        <v>78</v>
      </c>
      <c r="D16" s="62">
        <v>1</v>
      </c>
      <c r="E16" s="136">
        <v>60000</v>
      </c>
      <c r="F16" s="190">
        <v>1</v>
      </c>
      <c r="G16" s="137">
        <f t="shared" si="0"/>
        <v>60000</v>
      </c>
      <c r="H16" s="70"/>
      <c r="J16" s="175"/>
    </row>
    <row r="17" spans="1:10">
      <c r="A17" s="3"/>
      <c r="B17" s="42" t="s">
        <v>79</v>
      </c>
      <c r="C17" s="7" t="s">
        <v>27</v>
      </c>
      <c r="D17" s="62">
        <v>1</v>
      </c>
      <c r="E17" s="109">
        <f>+Personal!F8</f>
        <v>225000</v>
      </c>
      <c r="F17" s="190">
        <v>0.5</v>
      </c>
      <c r="G17" s="137">
        <f>ROUND((D17*E17*F17),0)</f>
        <v>112500</v>
      </c>
      <c r="H17" s="70"/>
    </row>
    <row r="18" spans="1:10">
      <c r="A18" s="3"/>
      <c r="B18" s="42" t="s">
        <v>28</v>
      </c>
      <c r="C18" s="7" t="s">
        <v>29</v>
      </c>
      <c r="D18" s="62">
        <v>0.1</v>
      </c>
      <c r="E18" s="136">
        <f>G17</f>
        <v>112500</v>
      </c>
      <c r="F18" s="190">
        <v>0</v>
      </c>
      <c r="G18" s="137">
        <f>ROUND((D18*E18),0)</f>
        <v>11250</v>
      </c>
      <c r="H18" s="70"/>
    </row>
    <row r="19" spans="1:10">
      <c r="A19" s="56"/>
      <c r="B19" s="57"/>
      <c r="C19" s="57"/>
      <c r="D19" s="57"/>
      <c r="E19" s="103"/>
      <c r="F19" s="57"/>
      <c r="G19" s="103"/>
      <c r="H19" s="57"/>
    </row>
    <row r="20" spans="1:10">
      <c r="A20" s="66" t="s">
        <v>15</v>
      </c>
      <c r="B20" s="66" t="s">
        <v>5</v>
      </c>
      <c r="C20" s="66" t="s">
        <v>20</v>
      </c>
      <c r="D20" s="66" t="s">
        <v>21</v>
      </c>
      <c r="E20" s="104" t="s">
        <v>22</v>
      </c>
      <c r="F20" s="67" t="s">
        <v>23</v>
      </c>
      <c r="G20" s="114" t="s">
        <v>24</v>
      </c>
      <c r="H20" s="68" t="s">
        <v>25</v>
      </c>
    </row>
    <row r="21" spans="1:10">
      <c r="A21" s="3"/>
      <c r="B21" s="3"/>
      <c r="C21" s="3"/>
      <c r="D21" s="3"/>
      <c r="E21" s="110"/>
      <c r="F21" s="69" t="s">
        <v>26</v>
      </c>
      <c r="G21" s="110"/>
      <c r="H21" s="63">
        <v>0.3</v>
      </c>
    </row>
    <row r="22" spans="1:10" ht="29.45" customHeight="1">
      <c r="A22" s="124">
        <v>3</v>
      </c>
      <c r="B22" s="174" t="s">
        <v>120</v>
      </c>
      <c r="C22" s="83" t="s">
        <v>71</v>
      </c>
      <c r="D22" s="79">
        <v>1</v>
      </c>
      <c r="E22" s="110">
        <f>SUM(G23:G30)</f>
        <v>4141923</v>
      </c>
      <c r="F22" s="82"/>
      <c r="G22" s="118"/>
      <c r="H22" s="65">
        <f>ROUND(E22*1.3,0)</f>
        <v>5384500</v>
      </c>
    </row>
    <row r="23" spans="1:10" ht="27.6" customHeight="1">
      <c r="A23" s="3"/>
      <c r="B23" s="76" t="s">
        <v>80</v>
      </c>
      <c r="C23" s="76" t="s">
        <v>75</v>
      </c>
      <c r="D23" s="81">
        <v>1</v>
      </c>
      <c r="E23" s="107">
        <v>3900000</v>
      </c>
      <c r="F23" s="82">
        <v>1</v>
      </c>
      <c r="G23" s="107">
        <f>ROUND((D23*E23*F23),0)</f>
        <v>3900000</v>
      </c>
      <c r="H23" s="84"/>
      <c r="J23" s="176"/>
    </row>
    <row r="24" spans="1:10" ht="27.6" customHeight="1">
      <c r="A24" s="3"/>
      <c r="B24" s="76" t="s">
        <v>83</v>
      </c>
      <c r="C24" s="76" t="s">
        <v>82</v>
      </c>
      <c r="D24" s="81">
        <v>5</v>
      </c>
      <c r="E24" s="107">
        <v>4200</v>
      </c>
      <c r="F24" s="82">
        <v>1.05</v>
      </c>
      <c r="G24" s="107">
        <f>ROUND((D24*E24*F24),0)</f>
        <v>22050</v>
      </c>
      <c r="H24" s="84"/>
      <c r="J24" s="176"/>
    </row>
    <row r="25" spans="1:10" ht="27.6" customHeight="1">
      <c r="A25" s="3"/>
      <c r="B25" s="76" t="s">
        <v>81</v>
      </c>
      <c r="C25" s="76" t="s">
        <v>82</v>
      </c>
      <c r="D25" s="81">
        <v>5</v>
      </c>
      <c r="E25" s="107">
        <v>9000</v>
      </c>
      <c r="F25" s="82">
        <v>1.05</v>
      </c>
      <c r="G25" s="107">
        <f>ROUND((D25*E25*F25),0)</f>
        <v>47250</v>
      </c>
      <c r="H25" s="84"/>
    </row>
    <row r="26" spans="1:10">
      <c r="A26" s="3"/>
      <c r="B26" s="76" t="s">
        <v>42</v>
      </c>
      <c r="C26" s="76" t="s">
        <v>39</v>
      </c>
      <c r="D26" s="81">
        <v>0.3</v>
      </c>
      <c r="E26" s="107">
        <f>+G25+G24</f>
        <v>69300</v>
      </c>
      <c r="F26" s="82">
        <v>1</v>
      </c>
      <c r="G26" s="107">
        <f t="shared" ref="G26:G30" si="1">ROUND((D26*E26*F26),0)</f>
        <v>20790</v>
      </c>
      <c r="H26" s="84"/>
    </row>
    <row r="27" spans="1:10">
      <c r="A27" s="3"/>
      <c r="B27" s="76" t="s">
        <v>40</v>
      </c>
      <c r="C27" s="76" t="s">
        <v>30</v>
      </c>
      <c r="D27" s="85">
        <v>2.9000000000000001E-2</v>
      </c>
      <c r="E27" s="107">
        <v>47500</v>
      </c>
      <c r="F27" s="82">
        <v>1.03</v>
      </c>
      <c r="G27" s="107">
        <f t="shared" si="1"/>
        <v>1419</v>
      </c>
      <c r="H27" s="84"/>
    </row>
    <row r="28" spans="1:10">
      <c r="A28" s="3"/>
      <c r="B28" s="76" t="s">
        <v>41</v>
      </c>
      <c r="C28" s="76" t="s">
        <v>30</v>
      </c>
      <c r="D28" s="85">
        <v>0.02</v>
      </c>
      <c r="E28" s="107">
        <v>92900</v>
      </c>
      <c r="F28" s="82">
        <v>1.03</v>
      </c>
      <c r="G28" s="107">
        <f t="shared" si="1"/>
        <v>1914</v>
      </c>
      <c r="H28" s="84"/>
    </row>
    <row r="29" spans="1:10">
      <c r="A29" s="3"/>
      <c r="B29" s="76" t="s">
        <v>79</v>
      </c>
      <c r="C29" s="76" t="s">
        <v>27</v>
      </c>
      <c r="D29" s="81">
        <v>1</v>
      </c>
      <c r="E29" s="109">
        <f>+Personal!F8</f>
        <v>225000</v>
      </c>
      <c r="F29" s="82">
        <v>0.6</v>
      </c>
      <c r="G29" s="107">
        <f t="shared" si="1"/>
        <v>135000</v>
      </c>
      <c r="H29" s="84"/>
    </row>
    <row r="30" spans="1:10">
      <c r="A30" s="3"/>
      <c r="B30" s="76" t="s">
        <v>28</v>
      </c>
      <c r="C30" s="76" t="s">
        <v>29</v>
      </c>
      <c r="D30" s="81">
        <v>0.1</v>
      </c>
      <c r="E30" s="107">
        <f>+G29</f>
        <v>135000</v>
      </c>
      <c r="F30" s="82">
        <v>1</v>
      </c>
      <c r="G30" s="107">
        <f t="shared" si="1"/>
        <v>13500</v>
      </c>
      <c r="H30" s="84"/>
    </row>
    <row r="31" spans="1:10">
      <c r="A31" s="56"/>
      <c r="B31" s="57"/>
      <c r="C31" s="57"/>
      <c r="D31" s="57"/>
      <c r="E31" s="103"/>
      <c r="F31" s="57"/>
      <c r="G31" s="103"/>
      <c r="H31" s="57"/>
    </row>
    <row r="32" spans="1:10">
      <c r="A32" s="66" t="s">
        <v>15</v>
      </c>
      <c r="B32" s="66" t="s">
        <v>5</v>
      </c>
      <c r="C32" s="66" t="s">
        <v>20</v>
      </c>
      <c r="D32" s="66" t="s">
        <v>21</v>
      </c>
      <c r="E32" s="104" t="s">
        <v>22</v>
      </c>
      <c r="F32" s="67" t="s">
        <v>23</v>
      </c>
      <c r="G32" s="114" t="s">
        <v>24</v>
      </c>
      <c r="H32" s="68" t="s">
        <v>25</v>
      </c>
    </row>
    <row r="33" spans="1:10">
      <c r="A33" s="3"/>
      <c r="B33" s="3"/>
      <c r="C33" s="3"/>
      <c r="D33" s="3"/>
      <c r="E33" s="108"/>
      <c r="F33" s="69" t="s">
        <v>26</v>
      </c>
      <c r="G33" s="117"/>
      <c r="H33" s="86">
        <v>0.3</v>
      </c>
    </row>
    <row r="34" spans="1:10" ht="25.5">
      <c r="A34" s="124">
        <v>4</v>
      </c>
      <c r="B34" s="88" t="s">
        <v>84</v>
      </c>
      <c r="C34" s="87" t="s">
        <v>30</v>
      </c>
      <c r="D34" s="89"/>
      <c r="E34" s="111">
        <f>ROUND(SUM(G34:G40),0)</f>
        <v>1343915</v>
      </c>
      <c r="F34" s="90"/>
      <c r="G34" s="111"/>
      <c r="H34" s="64">
        <f>ROUND((E34*H33)+E34,0)</f>
        <v>1747090</v>
      </c>
    </row>
    <row r="35" spans="1:10">
      <c r="A35" s="91"/>
      <c r="B35" s="92" t="s">
        <v>85</v>
      </c>
      <c r="C35" s="92" t="s">
        <v>82</v>
      </c>
      <c r="D35" s="93">
        <v>35</v>
      </c>
      <c r="E35" s="107">
        <v>22500</v>
      </c>
      <c r="F35" s="94">
        <v>1.05</v>
      </c>
      <c r="G35" s="112">
        <f t="shared" ref="G35:G36" si="2">ROUND((D35*E35*F35),0)</f>
        <v>826875</v>
      </c>
      <c r="H35" s="2"/>
    </row>
    <row r="36" spans="1:10">
      <c r="A36" s="91"/>
      <c r="B36" s="92" t="s">
        <v>86</v>
      </c>
      <c r="C36" s="92" t="s">
        <v>75</v>
      </c>
      <c r="D36" s="93">
        <v>2</v>
      </c>
      <c r="E36" s="107">
        <v>35000</v>
      </c>
      <c r="F36" s="94">
        <v>1</v>
      </c>
      <c r="G36" s="112">
        <f t="shared" si="2"/>
        <v>70000</v>
      </c>
      <c r="H36" s="2"/>
    </row>
    <row r="37" spans="1:10">
      <c r="A37" s="91"/>
      <c r="B37" s="92" t="s">
        <v>87</v>
      </c>
      <c r="C37" s="92" t="s">
        <v>75</v>
      </c>
      <c r="D37" s="93">
        <v>1</v>
      </c>
      <c r="E37" s="107">
        <v>40000</v>
      </c>
      <c r="F37" s="94">
        <v>1</v>
      </c>
      <c r="G37" s="112">
        <f>ROUND((D37*E37),0)</f>
        <v>40000</v>
      </c>
      <c r="H37" s="2"/>
    </row>
    <row r="38" spans="1:10">
      <c r="A38" s="91"/>
      <c r="B38" s="92" t="s">
        <v>90</v>
      </c>
      <c r="C38" s="92" t="s">
        <v>75</v>
      </c>
      <c r="D38" s="93">
        <v>1</v>
      </c>
      <c r="E38" s="107">
        <v>15000</v>
      </c>
      <c r="F38" s="94">
        <v>1</v>
      </c>
      <c r="G38" s="112">
        <f t="shared" ref="G38" si="3">ROUND((D38*E38*F38),0)</f>
        <v>15000</v>
      </c>
      <c r="H38" s="2"/>
    </row>
    <row r="39" spans="1:10">
      <c r="A39" s="91"/>
      <c r="B39" s="92" t="s">
        <v>89</v>
      </c>
      <c r="C39" s="92" t="s">
        <v>27</v>
      </c>
      <c r="D39" s="93">
        <v>1</v>
      </c>
      <c r="E39" s="107">
        <f>+Personal!F38</f>
        <v>297000</v>
      </c>
      <c r="F39" s="94">
        <v>1.2</v>
      </c>
      <c r="G39" s="112">
        <f>ROUND((D39*E39*F39),0)</f>
        <v>356400</v>
      </c>
      <c r="H39" s="2"/>
    </row>
    <row r="40" spans="1:10">
      <c r="A40" s="91"/>
      <c r="B40" s="92" t="s">
        <v>28</v>
      </c>
      <c r="C40" s="92" t="s">
        <v>29</v>
      </c>
      <c r="D40" s="93">
        <v>0.1</v>
      </c>
      <c r="E40" s="112">
        <f>G39</f>
        <v>356400</v>
      </c>
      <c r="F40" s="94">
        <v>1</v>
      </c>
      <c r="G40" s="112">
        <f>ROUND((D40*E40),0)</f>
        <v>35640</v>
      </c>
      <c r="H40" s="2"/>
    </row>
    <row r="41" spans="1:10">
      <c r="A41" s="56"/>
      <c r="B41" s="57"/>
      <c r="C41" s="57"/>
      <c r="D41" s="57"/>
      <c r="E41" s="103"/>
      <c r="F41" s="57"/>
      <c r="G41" s="103"/>
      <c r="H41" s="57"/>
    </row>
    <row r="42" spans="1:10">
      <c r="A42" s="66" t="s">
        <v>15</v>
      </c>
      <c r="B42" s="66" t="s">
        <v>5</v>
      </c>
      <c r="C42" s="66" t="s">
        <v>20</v>
      </c>
      <c r="D42" s="66" t="s">
        <v>21</v>
      </c>
      <c r="E42" s="104" t="s">
        <v>22</v>
      </c>
      <c r="F42" s="67" t="s">
        <v>23</v>
      </c>
      <c r="G42" s="114" t="s">
        <v>24</v>
      </c>
      <c r="H42" s="68" t="s">
        <v>25</v>
      </c>
    </row>
    <row r="43" spans="1:10">
      <c r="A43" s="3"/>
      <c r="B43" s="3"/>
      <c r="C43" s="3"/>
      <c r="D43" s="3"/>
      <c r="E43" s="108"/>
      <c r="F43" s="69" t="s">
        <v>26</v>
      </c>
      <c r="G43" s="117"/>
      <c r="H43" s="63">
        <v>0.3</v>
      </c>
    </row>
    <row r="44" spans="1:10" ht="25.5">
      <c r="A44" s="124" t="s">
        <v>48</v>
      </c>
      <c r="B44" s="88" t="s">
        <v>122</v>
      </c>
      <c r="C44" s="75" t="s">
        <v>36</v>
      </c>
      <c r="D44" s="95"/>
      <c r="E44" s="110">
        <f>ROUND(SUM(G44:G51),0)</f>
        <v>4578050</v>
      </c>
      <c r="F44" s="80"/>
      <c r="G44" s="110"/>
      <c r="H44" s="64">
        <f>ROUND((E44*H43)+E44,0)</f>
        <v>5951465</v>
      </c>
      <c r="J44" s="176"/>
    </row>
    <row r="45" spans="1:10">
      <c r="A45" s="91"/>
      <c r="B45" s="92" t="s">
        <v>94</v>
      </c>
      <c r="C45" s="76" t="s">
        <v>82</v>
      </c>
      <c r="D45" s="96">
        <v>40</v>
      </c>
      <c r="E45" s="107">
        <v>40500</v>
      </c>
      <c r="F45" s="82">
        <v>1.05</v>
      </c>
      <c r="G45" s="107">
        <f>ROUND((D45*E45),0)</f>
        <v>1620000</v>
      </c>
      <c r="H45" s="2"/>
    </row>
    <row r="46" spans="1:10">
      <c r="A46" s="91"/>
      <c r="B46" s="92" t="s">
        <v>87</v>
      </c>
      <c r="C46" s="76" t="s">
        <v>92</v>
      </c>
      <c r="D46" s="97">
        <v>1</v>
      </c>
      <c r="E46" s="107">
        <v>40000</v>
      </c>
      <c r="F46" s="82">
        <v>1</v>
      </c>
      <c r="G46" s="107">
        <f t="shared" ref="G46:G51" si="4">ROUND((D46*E46*F46),0)</f>
        <v>40000</v>
      </c>
      <c r="H46" s="2"/>
    </row>
    <row r="47" spans="1:10">
      <c r="A47" s="91"/>
      <c r="B47" s="92" t="s">
        <v>93</v>
      </c>
      <c r="C47" s="76" t="s">
        <v>92</v>
      </c>
      <c r="D47" s="97">
        <v>1</v>
      </c>
      <c r="E47" s="107">
        <v>25000</v>
      </c>
      <c r="F47" s="82">
        <v>1</v>
      </c>
      <c r="G47" s="107">
        <f t="shared" si="4"/>
        <v>25000</v>
      </c>
      <c r="H47" s="2"/>
    </row>
    <row r="48" spans="1:10">
      <c r="A48" s="91"/>
      <c r="B48" s="92" t="s">
        <v>90</v>
      </c>
      <c r="C48" s="76" t="s">
        <v>92</v>
      </c>
      <c r="D48" s="97">
        <v>2</v>
      </c>
      <c r="E48" s="107">
        <v>15000</v>
      </c>
      <c r="F48" s="82">
        <v>1</v>
      </c>
      <c r="G48" s="107">
        <f t="shared" si="4"/>
        <v>30000</v>
      </c>
      <c r="H48" s="2"/>
    </row>
    <row r="49" spans="1:13">
      <c r="A49" s="91"/>
      <c r="B49" s="92" t="s">
        <v>91</v>
      </c>
      <c r="C49" s="76" t="s">
        <v>82</v>
      </c>
      <c r="D49" s="97">
        <v>40</v>
      </c>
      <c r="E49" s="107">
        <v>56500</v>
      </c>
      <c r="F49" s="82">
        <v>1.05</v>
      </c>
      <c r="G49" s="107">
        <f t="shared" si="4"/>
        <v>2373000</v>
      </c>
      <c r="H49" s="2"/>
    </row>
    <row r="50" spans="1:13">
      <c r="A50" s="91"/>
      <c r="B50" s="92" t="s">
        <v>89</v>
      </c>
      <c r="C50" s="76" t="s">
        <v>27</v>
      </c>
      <c r="D50" s="97">
        <v>1</v>
      </c>
      <c r="E50" s="107">
        <f>+Personal!F38</f>
        <v>297000</v>
      </c>
      <c r="F50" s="82">
        <v>1.5</v>
      </c>
      <c r="G50" s="107">
        <f t="shared" si="4"/>
        <v>445500</v>
      </c>
      <c r="H50" s="2"/>
    </row>
    <row r="51" spans="1:13">
      <c r="A51" s="91"/>
      <c r="B51" s="92" t="s">
        <v>28</v>
      </c>
      <c r="C51" s="92" t="s">
        <v>29</v>
      </c>
      <c r="D51" s="98">
        <v>0.1</v>
      </c>
      <c r="E51" s="107">
        <f>+G50</f>
        <v>445500</v>
      </c>
      <c r="F51" s="94">
        <v>1</v>
      </c>
      <c r="G51" s="112">
        <f t="shared" si="4"/>
        <v>44550</v>
      </c>
      <c r="H51" s="2"/>
    </row>
    <row r="52" spans="1:13">
      <c r="A52" s="56"/>
      <c r="B52" s="57"/>
      <c r="C52" s="57"/>
      <c r="D52" s="57"/>
      <c r="E52" s="103"/>
      <c r="F52" s="57"/>
      <c r="G52" s="103"/>
      <c r="H52" s="57"/>
      <c r="J52" s="167"/>
      <c r="K52" s="167"/>
      <c r="L52" s="167"/>
      <c r="M52" s="167"/>
    </row>
    <row r="53" spans="1:13">
      <c r="A53" s="66" t="s">
        <v>15</v>
      </c>
      <c r="B53" s="66" t="s">
        <v>5</v>
      </c>
      <c r="C53" s="66" t="s">
        <v>20</v>
      </c>
      <c r="D53" s="66" t="s">
        <v>21</v>
      </c>
      <c r="E53" s="104" t="s">
        <v>22</v>
      </c>
      <c r="F53" s="67" t="s">
        <v>23</v>
      </c>
      <c r="G53" s="114" t="s">
        <v>24</v>
      </c>
      <c r="H53" s="68" t="s">
        <v>25</v>
      </c>
      <c r="J53" s="167"/>
      <c r="K53" s="167"/>
      <c r="L53" s="167"/>
      <c r="M53" s="167"/>
    </row>
    <row r="54" spans="1:13">
      <c r="A54" s="3"/>
      <c r="B54" s="3"/>
      <c r="C54" s="3"/>
      <c r="D54" s="3"/>
      <c r="E54" s="105"/>
      <c r="F54" s="3" t="s">
        <v>37</v>
      </c>
      <c r="G54" s="115"/>
      <c r="H54" s="86">
        <v>0.3</v>
      </c>
      <c r="J54" s="167"/>
      <c r="K54" s="167"/>
      <c r="L54" s="167"/>
      <c r="M54" s="167"/>
    </row>
    <row r="55" spans="1:13" ht="45">
      <c r="A55" s="124">
        <v>6</v>
      </c>
      <c r="B55" s="177" t="s">
        <v>129</v>
      </c>
      <c r="C55" s="3"/>
      <c r="D55" s="3"/>
      <c r="E55" s="110">
        <f>ROUND(SUM(G56:G62),0)</f>
        <v>2167947</v>
      </c>
      <c r="F55" s="2"/>
      <c r="G55" s="115"/>
      <c r="H55" s="65">
        <f>ROUND((E55*H54)+E55,0)</f>
        <v>2818331</v>
      </c>
      <c r="J55" s="167"/>
      <c r="K55" s="167"/>
      <c r="L55" s="167"/>
      <c r="M55" s="167"/>
    </row>
    <row r="56" spans="1:13">
      <c r="A56" s="124"/>
      <c r="B56" s="178" t="s">
        <v>95</v>
      </c>
      <c r="C56" s="5" t="s">
        <v>82</v>
      </c>
      <c r="D56" s="5">
        <v>30</v>
      </c>
      <c r="E56" s="107">
        <v>38500</v>
      </c>
      <c r="F56" s="144">
        <v>1</v>
      </c>
      <c r="G56" s="189">
        <f t="shared" ref="G56:G58" si="5">ROUND((E56*D56),0)</f>
        <v>1155000</v>
      </c>
      <c r="H56" s="65"/>
    </row>
    <row r="57" spans="1:13">
      <c r="A57" s="124"/>
      <c r="B57" s="178" t="s">
        <v>97</v>
      </c>
      <c r="C57" s="5" t="s">
        <v>96</v>
      </c>
      <c r="D57" s="5">
        <v>0.15</v>
      </c>
      <c r="E57" s="107">
        <f>+G56</f>
        <v>1155000</v>
      </c>
      <c r="F57" s="144">
        <v>1.05</v>
      </c>
      <c r="G57" s="189">
        <f>+D57*E57*F57</f>
        <v>181912.5</v>
      </c>
      <c r="H57" s="65"/>
    </row>
    <row r="58" spans="1:13" ht="30">
      <c r="A58" s="124"/>
      <c r="B58" s="178" t="s">
        <v>98</v>
      </c>
      <c r="C58" s="5" t="s">
        <v>75</v>
      </c>
      <c r="D58" s="5">
        <v>1</v>
      </c>
      <c r="E58" s="107">
        <v>280000</v>
      </c>
      <c r="F58" s="217">
        <v>1</v>
      </c>
      <c r="G58" s="189">
        <f t="shared" si="5"/>
        <v>280000</v>
      </c>
      <c r="H58" s="65"/>
    </row>
    <row r="59" spans="1:13">
      <c r="A59" s="124"/>
      <c r="B59" s="178" t="s">
        <v>99</v>
      </c>
      <c r="C59" s="5" t="s">
        <v>82</v>
      </c>
      <c r="D59" s="5">
        <v>12</v>
      </c>
      <c r="E59" s="107">
        <v>4000</v>
      </c>
      <c r="F59" s="144">
        <v>1.05</v>
      </c>
      <c r="G59" s="189">
        <f>ROUND((E59*D59*F59),0)</f>
        <v>50400</v>
      </c>
      <c r="H59" s="65"/>
    </row>
    <row r="60" spans="1:13">
      <c r="A60" s="124"/>
      <c r="B60" s="178" t="s">
        <v>100</v>
      </c>
      <c r="C60" s="5" t="s">
        <v>96</v>
      </c>
      <c r="D60" s="5">
        <v>0.2</v>
      </c>
      <c r="E60" s="107">
        <f>+G59</f>
        <v>50400</v>
      </c>
      <c r="F60" s="144">
        <v>1.05</v>
      </c>
      <c r="G60" s="189">
        <f>ROUND((E60*D60*F60),0)</f>
        <v>10584</v>
      </c>
      <c r="H60" s="65"/>
    </row>
    <row r="61" spans="1:13">
      <c r="A61" s="124"/>
      <c r="B61" s="178" t="s">
        <v>89</v>
      </c>
      <c r="C61" s="76" t="s">
        <v>27</v>
      </c>
      <c r="D61" s="5">
        <v>1</v>
      </c>
      <c r="E61" s="107">
        <f>+Personal!F38</f>
        <v>297000</v>
      </c>
      <c r="F61" s="144">
        <v>1.5</v>
      </c>
      <c r="G61" s="189">
        <f>ROUND((E61*D61*F61),0)</f>
        <v>445500</v>
      </c>
      <c r="H61" s="65"/>
    </row>
    <row r="62" spans="1:13">
      <c r="A62" s="124"/>
      <c r="B62" s="178" t="s">
        <v>28</v>
      </c>
      <c r="C62" s="92" t="s">
        <v>29</v>
      </c>
      <c r="D62" s="5">
        <v>0.1</v>
      </c>
      <c r="E62" s="107">
        <f>+G61</f>
        <v>445500</v>
      </c>
      <c r="F62" s="144"/>
      <c r="G62" s="189">
        <f>ROUND((E62*D62),0)</f>
        <v>44550</v>
      </c>
      <c r="H62" s="65"/>
    </row>
    <row r="63" spans="1:13">
      <c r="A63" s="56"/>
      <c r="B63" s="57"/>
      <c r="C63" s="57"/>
      <c r="D63" s="57"/>
      <c r="E63" s="103"/>
      <c r="F63" s="57"/>
      <c r="G63" s="103"/>
      <c r="H63" s="57"/>
    </row>
    <row r="64" spans="1:13">
      <c r="A64" s="66" t="s">
        <v>15</v>
      </c>
      <c r="B64" s="66" t="s">
        <v>5</v>
      </c>
      <c r="C64" s="66" t="s">
        <v>20</v>
      </c>
      <c r="D64" s="66" t="s">
        <v>21</v>
      </c>
      <c r="E64" s="104" t="s">
        <v>22</v>
      </c>
      <c r="F64" s="67" t="s">
        <v>23</v>
      </c>
      <c r="G64" s="114" t="s">
        <v>24</v>
      </c>
      <c r="H64" s="68" t="s">
        <v>25</v>
      </c>
    </row>
    <row r="65" spans="1:10">
      <c r="A65" s="3"/>
      <c r="B65" s="46"/>
      <c r="C65" s="99"/>
      <c r="D65" s="3"/>
      <c r="E65" s="105"/>
      <c r="F65" s="3" t="s">
        <v>37</v>
      </c>
      <c r="G65" s="115"/>
      <c r="H65" s="70"/>
    </row>
    <row r="66" spans="1:10">
      <c r="A66" s="124">
        <v>7</v>
      </c>
      <c r="B66" s="179" t="s">
        <v>101</v>
      </c>
      <c r="C66" s="99"/>
      <c r="D66" s="3"/>
      <c r="E66" s="110">
        <f>ROUND(SUM(G67:G71),0)</f>
        <v>767912</v>
      </c>
      <c r="F66" s="2"/>
      <c r="G66" s="115"/>
      <c r="H66" s="126">
        <f>ROUND(E66*1.3,0)</f>
        <v>998286</v>
      </c>
      <c r="J66" s="167"/>
    </row>
    <row r="67" spans="1:10" ht="15.75">
      <c r="A67" s="100"/>
      <c r="B67" s="173" t="s">
        <v>102</v>
      </c>
      <c r="C67" s="92" t="s">
        <v>92</v>
      </c>
      <c r="D67" s="5">
        <v>16</v>
      </c>
      <c r="E67" s="107">
        <v>12600</v>
      </c>
      <c r="F67" s="2">
        <v>1</v>
      </c>
      <c r="G67" s="113">
        <f>ROUND(D67*E67*F67,0)</f>
        <v>201600</v>
      </c>
      <c r="H67" s="1"/>
      <c r="J67" s="167"/>
    </row>
    <row r="68" spans="1:10">
      <c r="A68" s="4"/>
      <c r="B68" s="55" t="s">
        <v>103</v>
      </c>
      <c r="C68" s="92" t="s">
        <v>92</v>
      </c>
      <c r="D68" s="101">
        <v>12</v>
      </c>
      <c r="E68" s="113">
        <v>32500</v>
      </c>
      <c r="F68" s="2">
        <v>1</v>
      </c>
      <c r="G68" s="113">
        <f t="shared" ref="G68:G70" si="6">ROUND(D68*E68*F68,0)</f>
        <v>390000</v>
      </c>
      <c r="H68" s="2"/>
      <c r="J68" s="211"/>
    </row>
    <row r="69" spans="1:10">
      <c r="A69" s="4"/>
      <c r="B69" s="55" t="s">
        <v>123</v>
      </c>
      <c r="C69" s="92" t="s">
        <v>92</v>
      </c>
      <c r="D69" s="101">
        <v>3</v>
      </c>
      <c r="E69" s="113">
        <v>37000</v>
      </c>
      <c r="F69" s="2">
        <v>1</v>
      </c>
      <c r="G69" s="113">
        <f t="shared" si="6"/>
        <v>111000</v>
      </c>
      <c r="H69" s="2"/>
    </row>
    <row r="70" spans="1:10">
      <c r="A70" s="4"/>
      <c r="B70" s="55" t="s">
        <v>89</v>
      </c>
      <c r="C70" s="76" t="s">
        <v>27</v>
      </c>
      <c r="D70" s="101">
        <v>1</v>
      </c>
      <c r="E70" s="113">
        <f>+Personal!F38</f>
        <v>297000</v>
      </c>
      <c r="F70" s="2">
        <v>0.2</v>
      </c>
      <c r="G70" s="113">
        <f t="shared" si="6"/>
        <v>59400</v>
      </c>
      <c r="H70" s="2"/>
    </row>
    <row r="71" spans="1:10">
      <c r="A71" s="4"/>
      <c r="B71" s="76" t="s">
        <v>28</v>
      </c>
      <c r="C71" s="92" t="s">
        <v>78</v>
      </c>
      <c r="D71" s="101">
        <v>0.1</v>
      </c>
      <c r="E71" s="113">
        <f>+G70</f>
        <v>59400</v>
      </c>
      <c r="F71" s="2"/>
      <c r="G71" s="113">
        <v>5912</v>
      </c>
      <c r="H71" s="2"/>
    </row>
    <row r="72" spans="1:10">
      <c r="A72" s="56"/>
      <c r="B72" s="57"/>
      <c r="C72" s="57"/>
      <c r="D72" s="57"/>
      <c r="E72" s="57"/>
      <c r="F72" s="57"/>
      <c r="G72" s="57"/>
      <c r="H72" s="57"/>
    </row>
  </sheetData>
  <mergeCells count="3">
    <mergeCell ref="A1:H1"/>
    <mergeCell ref="A2:H2"/>
    <mergeCell ref="A3:H3"/>
  </mergeCells>
  <phoneticPr fontId="17" type="noConversion"/>
  <pageMargins left="0.7" right="0.7" top="0.75" bottom="0.75" header="0.3" footer="0.3"/>
  <pageSetup orientation="portrait" r:id="rId1"/>
  <ignoredErrors>
    <ignoredError sqref="G57" formula="1"/>
    <ignoredError sqref="A4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FA21F-437D-4813-98F9-E283926E9DA6}">
  <dimension ref="B1:K46"/>
  <sheetViews>
    <sheetView workbookViewId="0">
      <selection activeCell="L24" sqref="L24"/>
    </sheetView>
  </sheetViews>
  <sheetFormatPr baseColWidth="10" defaultRowHeight="15"/>
  <cols>
    <col min="1" max="1" width="4.28515625" customWidth="1"/>
    <col min="2" max="2" width="13.7109375" customWidth="1"/>
    <col min="3" max="3" width="12.85546875" customWidth="1"/>
    <col min="4" max="4" width="13.42578125" customWidth="1"/>
    <col min="5" max="5" width="12.85546875" customWidth="1"/>
    <col min="6" max="6" width="15.85546875" customWidth="1"/>
    <col min="9" max="9" width="12.7109375" bestFit="1" customWidth="1"/>
    <col min="11" max="11" width="12.7109375" bestFit="1" customWidth="1"/>
  </cols>
  <sheetData>
    <row r="1" spans="2:6" ht="15.75" thickBot="1"/>
    <row r="2" spans="2:6" ht="15.75" thickBot="1">
      <c r="B2" s="275" t="s">
        <v>50</v>
      </c>
      <c r="C2" s="276"/>
      <c r="D2" s="276"/>
      <c r="E2" s="276"/>
      <c r="F2" s="277"/>
    </row>
    <row r="3" spans="2:6" ht="15.75" thickBot="1">
      <c r="B3" s="278"/>
      <c r="C3" s="279"/>
      <c r="D3" s="279"/>
      <c r="E3" s="279"/>
      <c r="F3" s="280"/>
    </row>
    <row r="4" spans="2:6">
      <c r="B4" s="151" t="s">
        <v>51</v>
      </c>
      <c r="C4" s="270" t="s">
        <v>52</v>
      </c>
      <c r="D4" s="271"/>
      <c r="E4" s="271"/>
      <c r="F4" s="272"/>
    </row>
    <row r="5" spans="2:6">
      <c r="B5" s="152" t="s">
        <v>53</v>
      </c>
      <c r="C5" s="2" t="s">
        <v>54</v>
      </c>
      <c r="D5" s="2" t="s">
        <v>55</v>
      </c>
      <c r="E5" s="153" t="s">
        <v>56</v>
      </c>
      <c r="F5" s="154" t="s">
        <v>57</v>
      </c>
    </row>
    <row r="6" spans="2:6">
      <c r="B6" s="152" t="s">
        <v>58</v>
      </c>
      <c r="C6" s="2">
        <v>1</v>
      </c>
      <c r="D6" s="153">
        <v>70000</v>
      </c>
      <c r="E6" s="153">
        <v>1.8</v>
      </c>
      <c r="F6" s="154">
        <f>+C6*D6*E6</f>
        <v>126000</v>
      </c>
    </row>
    <row r="7" spans="2:6" ht="15.75" thickBot="1">
      <c r="B7" s="155" t="s">
        <v>59</v>
      </c>
      <c r="C7" s="156">
        <v>1</v>
      </c>
      <c r="D7" s="157">
        <v>55000</v>
      </c>
      <c r="E7" s="157">
        <v>1.8</v>
      </c>
      <c r="F7" s="158">
        <f>+C7*D7*E7</f>
        <v>99000</v>
      </c>
    </row>
    <row r="8" spans="2:6" ht="15.75" thickBot="1">
      <c r="B8" s="159"/>
      <c r="D8" s="160"/>
      <c r="E8" s="160"/>
      <c r="F8" s="161">
        <f>+F6+F7</f>
        <v>225000</v>
      </c>
    </row>
    <row r="9" spans="2:6" ht="15.75" thickBot="1">
      <c r="B9" s="159"/>
      <c r="D9" s="160"/>
      <c r="E9" s="160"/>
      <c r="F9" s="162"/>
    </row>
    <row r="10" spans="2:6">
      <c r="B10" s="151" t="s">
        <v>60</v>
      </c>
      <c r="C10" s="270" t="s">
        <v>61</v>
      </c>
      <c r="D10" s="271"/>
      <c r="E10" s="271"/>
      <c r="F10" s="272"/>
    </row>
    <row r="11" spans="2:6">
      <c r="B11" s="152" t="s">
        <v>53</v>
      </c>
      <c r="C11" s="2" t="s">
        <v>54</v>
      </c>
      <c r="D11" s="2" t="s">
        <v>55</v>
      </c>
      <c r="E11" s="153" t="s">
        <v>56</v>
      </c>
      <c r="F11" s="154" t="s">
        <v>57</v>
      </c>
    </row>
    <row r="12" spans="2:6">
      <c r="B12" s="152" t="s">
        <v>58</v>
      </c>
      <c r="C12" s="2">
        <v>1</v>
      </c>
      <c r="D12" s="153">
        <v>70000</v>
      </c>
      <c r="E12" s="153">
        <v>1.8</v>
      </c>
      <c r="F12" s="154">
        <f>+C12*D12*E12</f>
        <v>126000</v>
      </c>
    </row>
    <row r="13" spans="2:6" ht="15.75" thickBot="1">
      <c r="B13" s="155" t="s">
        <v>59</v>
      </c>
      <c r="C13" s="156">
        <v>2</v>
      </c>
      <c r="D13" s="157">
        <v>55000</v>
      </c>
      <c r="E13" s="157">
        <v>1.8</v>
      </c>
      <c r="F13" s="158">
        <f>+C13*D13*E13</f>
        <v>198000</v>
      </c>
    </row>
    <row r="14" spans="2:6" ht="15.75" thickBot="1">
      <c r="B14" s="159"/>
      <c r="D14" s="160"/>
      <c r="E14" s="160"/>
      <c r="F14" s="161">
        <f>+F12+F13</f>
        <v>324000</v>
      </c>
    </row>
    <row r="15" spans="2:6" ht="15.75" thickBot="1">
      <c r="B15" s="159"/>
      <c r="D15" s="160"/>
      <c r="E15" s="160"/>
      <c r="F15" s="162"/>
    </row>
    <row r="16" spans="2:6">
      <c r="B16" s="151" t="s">
        <v>62</v>
      </c>
      <c r="C16" s="270" t="s">
        <v>63</v>
      </c>
      <c r="D16" s="271"/>
      <c r="E16" s="271"/>
      <c r="F16" s="272"/>
    </row>
    <row r="17" spans="2:6">
      <c r="B17" s="152" t="s">
        <v>53</v>
      </c>
      <c r="C17" s="2" t="s">
        <v>54</v>
      </c>
      <c r="D17" s="2" t="s">
        <v>55</v>
      </c>
      <c r="E17" s="153" t="s">
        <v>56</v>
      </c>
      <c r="F17" s="154" t="s">
        <v>57</v>
      </c>
    </row>
    <row r="18" spans="2:6">
      <c r="B18" s="152" t="s">
        <v>58</v>
      </c>
      <c r="C18" s="2">
        <v>1</v>
      </c>
      <c r="D18" s="153">
        <v>70000</v>
      </c>
      <c r="E18" s="153">
        <v>1.8</v>
      </c>
      <c r="F18" s="154">
        <f>+C18*D18*E18</f>
        <v>126000</v>
      </c>
    </row>
    <row r="19" spans="2:6" ht="15.75" thickBot="1">
      <c r="B19" s="155" t="s">
        <v>59</v>
      </c>
      <c r="C19" s="156">
        <v>3</v>
      </c>
      <c r="D19" s="157">
        <v>55000</v>
      </c>
      <c r="E19" s="157">
        <v>1.8</v>
      </c>
      <c r="F19" s="158">
        <f>+C19*D19*E19</f>
        <v>297000</v>
      </c>
    </row>
    <row r="20" spans="2:6" ht="15.75" thickBot="1">
      <c r="B20" s="159"/>
      <c r="D20" s="160"/>
      <c r="E20" s="160"/>
      <c r="F20" s="161">
        <f>+F18+F19</f>
        <v>423000</v>
      </c>
    </row>
    <row r="21" spans="2:6" ht="15.75" thickBot="1">
      <c r="B21" s="159"/>
      <c r="F21" s="163"/>
    </row>
    <row r="22" spans="2:6">
      <c r="B22" s="151" t="s">
        <v>64</v>
      </c>
      <c r="C22" s="270" t="s">
        <v>65</v>
      </c>
      <c r="D22" s="271"/>
      <c r="E22" s="271"/>
      <c r="F22" s="272"/>
    </row>
    <row r="23" spans="2:6">
      <c r="B23" s="152" t="s">
        <v>53</v>
      </c>
      <c r="C23" s="2" t="s">
        <v>54</v>
      </c>
      <c r="D23" s="2" t="s">
        <v>55</v>
      </c>
      <c r="E23" s="153" t="s">
        <v>56</v>
      </c>
      <c r="F23" s="154" t="s">
        <v>57</v>
      </c>
    </row>
    <row r="24" spans="2:6">
      <c r="B24" s="152" t="s">
        <v>58</v>
      </c>
      <c r="C24" s="2">
        <v>1</v>
      </c>
      <c r="D24" s="153">
        <v>70000</v>
      </c>
      <c r="E24" s="153">
        <v>1.8</v>
      </c>
      <c r="F24" s="154">
        <f>+C24*D24*E24</f>
        <v>126000</v>
      </c>
    </row>
    <row r="25" spans="2:6" ht="15.75" thickBot="1">
      <c r="B25" s="155" t="s">
        <v>59</v>
      </c>
      <c r="C25" s="156">
        <v>4</v>
      </c>
      <c r="D25" s="157">
        <v>55000</v>
      </c>
      <c r="E25" s="157">
        <v>1.8</v>
      </c>
      <c r="F25" s="158">
        <f>+C25*D25*E25</f>
        <v>396000</v>
      </c>
    </row>
    <row r="26" spans="2:6" ht="15.75" thickBot="1">
      <c r="B26" s="159"/>
      <c r="D26" s="160"/>
      <c r="E26" s="160"/>
      <c r="F26" s="161">
        <f>+F24+F25</f>
        <v>522000</v>
      </c>
    </row>
    <row r="27" spans="2:6" ht="15.75" thickBot="1">
      <c r="B27" s="159"/>
      <c r="F27" s="163"/>
    </row>
    <row r="28" spans="2:6">
      <c r="B28" s="151" t="s">
        <v>66</v>
      </c>
      <c r="C28" s="270" t="s">
        <v>68</v>
      </c>
      <c r="D28" s="271"/>
      <c r="E28" s="271"/>
      <c r="F28" s="272"/>
    </row>
    <row r="29" spans="2:6">
      <c r="B29" s="152" t="s">
        <v>53</v>
      </c>
      <c r="C29" s="2" t="s">
        <v>54</v>
      </c>
      <c r="D29" s="2" t="s">
        <v>55</v>
      </c>
      <c r="E29" s="153" t="s">
        <v>56</v>
      </c>
      <c r="F29" s="154" t="s">
        <v>57</v>
      </c>
    </row>
    <row r="30" spans="2:6">
      <c r="B30" s="152" t="s">
        <v>58</v>
      </c>
      <c r="C30" s="2">
        <v>1</v>
      </c>
      <c r="D30" s="153">
        <v>70000</v>
      </c>
      <c r="E30" s="153">
        <v>1.8</v>
      </c>
      <c r="F30" s="154">
        <f>+C30*D30*E30</f>
        <v>126000</v>
      </c>
    </row>
    <row r="31" spans="2:6" ht="15.75" thickBot="1">
      <c r="B31" s="155" t="s">
        <v>59</v>
      </c>
      <c r="C31" s="156">
        <v>5</v>
      </c>
      <c r="D31" s="157">
        <v>55000</v>
      </c>
      <c r="E31" s="157">
        <v>1.8</v>
      </c>
      <c r="F31" s="158">
        <f>+C31*D31*E31</f>
        <v>495000</v>
      </c>
    </row>
    <row r="32" spans="2:6" ht="15.75" thickBot="1">
      <c r="B32" s="159"/>
      <c r="D32" s="160"/>
      <c r="E32" s="160"/>
      <c r="F32" s="161">
        <f>+F30+F31</f>
        <v>621000</v>
      </c>
    </row>
    <row r="33" spans="2:11" ht="15.75" thickBot="1">
      <c r="B33" s="159"/>
      <c r="F33" s="163"/>
    </row>
    <row r="34" spans="2:11">
      <c r="B34" s="151" t="s">
        <v>67</v>
      </c>
      <c r="C34" s="270" t="s">
        <v>88</v>
      </c>
      <c r="D34" s="271"/>
      <c r="E34" s="271"/>
      <c r="F34" s="272"/>
    </row>
    <row r="35" spans="2:11">
      <c r="B35" s="152" t="s">
        <v>53</v>
      </c>
      <c r="C35" s="2" t="s">
        <v>54</v>
      </c>
      <c r="D35" s="2" t="s">
        <v>55</v>
      </c>
      <c r="E35" s="153" t="s">
        <v>56</v>
      </c>
      <c r="F35" s="154" t="s">
        <v>57</v>
      </c>
    </row>
    <row r="36" spans="2:11">
      <c r="B36" s="152" t="s">
        <v>72</v>
      </c>
      <c r="C36" s="2">
        <v>1</v>
      </c>
      <c r="D36" s="153">
        <v>100000</v>
      </c>
      <c r="E36" s="153">
        <v>1.8</v>
      </c>
      <c r="F36" s="154">
        <f>+C36*D36*E36</f>
        <v>180000</v>
      </c>
    </row>
    <row r="37" spans="2:11" ht="15.75" thickBot="1">
      <c r="B37" s="155" t="s">
        <v>73</v>
      </c>
      <c r="C37" s="156">
        <v>1</v>
      </c>
      <c r="D37" s="157">
        <v>65000</v>
      </c>
      <c r="E37" s="157">
        <v>1.8</v>
      </c>
      <c r="F37" s="158">
        <f>+C37*D37*E37</f>
        <v>117000</v>
      </c>
      <c r="I37" s="167"/>
      <c r="J37" s="167"/>
      <c r="K37" s="167"/>
    </row>
    <row r="38" spans="2:11" ht="15.75" thickBot="1">
      <c r="B38" s="164"/>
      <c r="C38" s="165"/>
      <c r="D38" s="166"/>
      <c r="E38" s="166"/>
      <c r="F38" s="161">
        <f>+F36+F37</f>
        <v>297000</v>
      </c>
      <c r="I38" s="167"/>
      <c r="J38" s="167"/>
      <c r="K38" s="167"/>
    </row>
    <row r="39" spans="2:11" ht="15.75" thickBot="1">
      <c r="B39" s="159"/>
      <c r="F39" s="163"/>
      <c r="I39" s="167"/>
      <c r="J39" s="167"/>
      <c r="K39" s="167"/>
    </row>
    <row r="40" spans="2:11" ht="15.75" thickBot="1">
      <c r="B40" s="168" t="s">
        <v>69</v>
      </c>
      <c r="C40" s="273" t="s">
        <v>114</v>
      </c>
      <c r="D40" s="273"/>
      <c r="E40" s="273"/>
      <c r="F40" s="274"/>
      <c r="I40" s="167"/>
      <c r="J40" s="167"/>
      <c r="K40" s="167"/>
    </row>
    <row r="41" spans="2:11">
      <c r="B41" s="169" t="s">
        <v>53</v>
      </c>
      <c r="C41" s="170" t="s">
        <v>54</v>
      </c>
      <c r="D41" s="170" t="s">
        <v>55</v>
      </c>
      <c r="E41" s="171" t="s">
        <v>56</v>
      </c>
      <c r="F41" s="172" t="s">
        <v>57</v>
      </c>
      <c r="I41" s="167"/>
      <c r="J41" s="167"/>
      <c r="K41" s="167"/>
    </row>
    <row r="42" spans="2:11">
      <c r="B42" s="152" t="s">
        <v>70</v>
      </c>
      <c r="C42" s="2">
        <v>1</v>
      </c>
      <c r="D42" s="153">
        <v>270000</v>
      </c>
      <c r="E42" s="153">
        <v>1.8</v>
      </c>
      <c r="F42" s="154">
        <f>+C42*D42*E42</f>
        <v>486000</v>
      </c>
    </row>
    <row r="43" spans="2:11">
      <c r="B43" s="152" t="s">
        <v>113</v>
      </c>
      <c r="C43" s="2">
        <v>1</v>
      </c>
      <c r="D43" s="153">
        <v>150000</v>
      </c>
      <c r="E43" s="153">
        <v>1.8</v>
      </c>
      <c r="F43" s="154">
        <f>+C43*D43*E43</f>
        <v>270000</v>
      </c>
    </row>
    <row r="44" spans="2:11">
      <c r="B44" s="152" t="s">
        <v>72</v>
      </c>
      <c r="C44" s="2">
        <v>1</v>
      </c>
      <c r="D44" s="153">
        <v>100000</v>
      </c>
      <c r="E44" s="153">
        <v>1.8</v>
      </c>
      <c r="F44" s="154">
        <f>+C44*D44*E44</f>
        <v>180000</v>
      </c>
    </row>
    <row r="45" spans="2:11" ht="15.75" thickBot="1">
      <c r="B45" s="155" t="s">
        <v>73</v>
      </c>
      <c r="C45" s="156">
        <v>2</v>
      </c>
      <c r="D45" s="157">
        <v>65000</v>
      </c>
      <c r="E45" s="157">
        <v>1.8</v>
      </c>
      <c r="F45" s="158">
        <f>+C45*D45*E45</f>
        <v>234000</v>
      </c>
    </row>
    <row r="46" spans="2:11" ht="15.75" thickBot="1">
      <c r="B46" s="164"/>
      <c r="C46" s="165"/>
      <c r="D46" s="166"/>
      <c r="E46" s="166"/>
      <c r="F46" s="161">
        <f>+F42+F43+F44+F45</f>
        <v>1170000</v>
      </c>
    </row>
  </sheetData>
  <mergeCells count="9">
    <mergeCell ref="C28:F28"/>
    <mergeCell ref="C34:F34"/>
    <mergeCell ref="C40:F40"/>
    <mergeCell ref="B2:F2"/>
    <mergeCell ref="B3:F3"/>
    <mergeCell ref="C4:F4"/>
    <mergeCell ref="C10:F10"/>
    <mergeCell ref="C16:F16"/>
    <mergeCell ref="C22:F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9591E6B0457D24A94D9AB33543C4C73" ma:contentTypeVersion="16" ma:contentTypeDescription="Crear nuevo documento." ma:contentTypeScope="" ma:versionID="39d46145bc48c1e47f4413008e245953">
  <xsd:schema xmlns:xsd="http://www.w3.org/2001/XMLSchema" xmlns:xs="http://www.w3.org/2001/XMLSchema" xmlns:p="http://schemas.microsoft.com/office/2006/metadata/properties" xmlns:ns2="1c2fd02f-7a83-45e3-9e94-6e556a43814d" xmlns:ns3="d8401223-fa46-468a-b698-03987d5a9d21" targetNamespace="http://schemas.microsoft.com/office/2006/metadata/properties" ma:root="true" ma:fieldsID="0a51aa641241b6ef4baf5e5093f4886b" ns2:_="" ns3:_="">
    <xsd:import namespace="1c2fd02f-7a83-45e3-9e94-6e556a43814d"/>
    <xsd:import namespace="d8401223-fa46-468a-b698-03987d5a9d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d02f-7a83-45e3-9e94-6e556a4381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55b72034-804b-4688-9d57-39051bc5f4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401223-fa46-468a-b698-03987d5a9d2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17ea58b-6d5c-4f50-b568-29c1117351f1}" ma:internalName="TaxCatchAll" ma:showField="CatchAllData" ma:web="d8401223-fa46-468a-b698-03987d5a9d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8401223-fa46-468a-b698-03987d5a9d21">
      <UserInfo>
        <DisplayName/>
        <AccountId xsi:nil="true"/>
        <AccountType/>
      </UserInfo>
    </SharedWithUsers>
    <TaxCatchAll xmlns="d8401223-fa46-468a-b698-03987d5a9d21" xsi:nil="true"/>
    <lcf76f155ced4ddcb4097134ff3c332f xmlns="1c2fd02f-7a83-45e3-9e94-6e556a43814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09A5BE-758E-419F-8651-8122DF483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2fd02f-7a83-45e3-9e94-6e556a43814d"/>
    <ds:schemaRef ds:uri="d8401223-fa46-468a-b698-03987d5a9d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a6cb9e4b-f1d1-4245-83ec-6cad768d538a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9d85dbaf-23eb-4e57-a637-93dcacc8b1a1"/>
    <ds:schemaRef ds:uri="http://www.w3.org/XML/1998/namespace"/>
    <ds:schemaRef ds:uri="d8401223-fa46-468a-b698-03987d5a9d21"/>
    <ds:schemaRef ds:uri="1c2fd02f-7a83-45e3-9e94-6e556a43814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Presupuesto Oficial</vt:lpstr>
      <vt:lpstr>PROPUESTA ECONOMICA</vt:lpstr>
      <vt:lpstr>APU 2025</vt:lpstr>
      <vt:lpstr>Personal</vt:lpstr>
      <vt:lpstr>'Presupuesto Oficial'!Área_de_impresión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Administrador</cp:lastModifiedBy>
  <cp:revision/>
  <cp:lastPrinted>2024-08-20T15:29:26Z</cp:lastPrinted>
  <dcterms:created xsi:type="dcterms:W3CDTF">2018-04-18T13:08:10Z</dcterms:created>
  <dcterms:modified xsi:type="dcterms:W3CDTF">2025-07-17T23:00:45Z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0x010100C9591E6B0457D24A94D9AB33543C4C73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