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3c1da57db504723d/Escritorio/SECRETARIA DISTRITAL AMBIENTE/PROCESOS SDA 2025/PROCESO INTERVENTORÍA RESTAURACIÓN/Interventoría 12 de junio de 2025 Interventoria/"/>
    </mc:Choice>
  </mc:AlternateContent>
  <xr:revisionPtr revIDLastSave="0" documentId="8_{7789C025-9C2F-4DE3-A726-6A10891153C4}" xr6:coauthVersionLast="47" xr6:coauthVersionMax="47" xr10:uidLastSave="{00000000-0000-0000-0000-000000000000}"/>
  <bookViews>
    <workbookView xWindow="-120" yWindow="-120" windowWidth="29040" windowHeight="15720" tabRatio="747" activeTab="5" xr2:uid="{5B66A0DD-D5CE-4313-A3A1-244D6B0507E6}"/>
  </bookViews>
  <sheets>
    <sheet name="COTIZACION 1" sheetId="1" r:id="rId1"/>
    <sheet name="COTIZACION 2" sheetId="2" r:id="rId2"/>
    <sheet name="PRECIOS HISTORICOS" sheetId="7" r:id="rId3"/>
    <sheet name="FACTOR MULTIPLICADOR" sheetId="11" r:id="rId4"/>
    <sheet name="ANALISIS DE PRECIOS" sheetId="5" r:id="rId5"/>
    <sheet name="VALOR TOTAL" sheetId="8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4" i="5" l="1"/>
  <c r="Y5" i="5" s="1"/>
  <c r="Y6" i="5" s="1"/>
  <c r="Y7" i="5" s="1"/>
  <c r="Y8" i="5" s="1"/>
  <c r="Y9" i="5" s="1"/>
  <c r="Y10" i="5" s="1"/>
  <c r="Y11" i="5" s="1"/>
  <c r="W3" i="11"/>
  <c r="U3" i="11"/>
  <c r="F3" i="11"/>
  <c r="K3" i="11" s="1"/>
  <c r="H3" i="11"/>
  <c r="I3" i="11" s="1"/>
  <c r="T3" i="11"/>
  <c r="S3" i="11"/>
  <c r="R3" i="11"/>
  <c r="Q3" i="11"/>
  <c r="S5" i="5"/>
  <c r="T5" i="5"/>
  <c r="U5" i="5"/>
  <c r="V5" i="5"/>
  <c r="S6" i="5"/>
  <c r="T6" i="5"/>
  <c r="U6" i="5"/>
  <c r="V6" i="5"/>
  <c r="S7" i="5"/>
  <c r="T7" i="5"/>
  <c r="U7" i="5"/>
  <c r="V7" i="5"/>
  <c r="S8" i="5"/>
  <c r="T8" i="5"/>
  <c r="U8" i="5"/>
  <c r="V8" i="5"/>
  <c r="S9" i="5"/>
  <c r="T9" i="5"/>
  <c r="U9" i="5"/>
  <c r="V9" i="5"/>
  <c r="S10" i="5"/>
  <c r="T10" i="5"/>
  <c r="U10" i="5"/>
  <c r="V10" i="5"/>
  <c r="S11" i="5"/>
  <c r="T11" i="5"/>
  <c r="U11" i="5"/>
  <c r="V11" i="5"/>
  <c r="T4" i="5"/>
  <c r="AC13" i="5"/>
  <c r="N4" i="7"/>
  <c r="G8" i="5"/>
  <c r="F8" i="5"/>
  <c r="G5" i="5"/>
  <c r="G6" i="5"/>
  <c r="G7" i="5"/>
  <c r="G9" i="5"/>
  <c r="G10" i="5"/>
  <c r="G11" i="5"/>
  <c r="G4" i="5"/>
  <c r="J8" i="7"/>
  <c r="J9" i="7"/>
  <c r="J10" i="7"/>
  <c r="J11" i="7"/>
  <c r="J12" i="7"/>
  <c r="J13" i="7"/>
  <c r="J14" i="7"/>
  <c r="J7" i="7"/>
  <c r="M4" i="7"/>
  <c r="H8" i="7"/>
  <c r="H9" i="7"/>
  <c r="H10" i="7"/>
  <c r="H11" i="7"/>
  <c r="H12" i="7"/>
  <c r="H13" i="7"/>
  <c r="H14" i="7"/>
  <c r="H7" i="7"/>
  <c r="E8" i="7"/>
  <c r="E9" i="7"/>
  <c r="E10" i="7"/>
  <c r="E11" i="7"/>
  <c r="E12" i="7"/>
  <c r="E13" i="7"/>
  <c r="M13" i="7" s="1"/>
  <c r="E14" i="7"/>
  <c r="E7" i="7"/>
  <c r="M8" i="7"/>
  <c r="M9" i="7"/>
  <c r="M10" i="7"/>
  <c r="M11" i="7"/>
  <c r="M12" i="7"/>
  <c r="M14" i="7"/>
  <c r="M7" i="7"/>
  <c r="F5" i="5"/>
  <c r="F6" i="5"/>
  <c r="F7" i="5"/>
  <c r="F9" i="5"/>
  <c r="F10" i="5"/>
  <c r="F11" i="5"/>
  <c r="F4" i="5"/>
  <c r="E5" i="5"/>
  <c r="O5" i="5" s="1"/>
  <c r="E6" i="5"/>
  <c r="O6" i="5" s="1"/>
  <c r="E7" i="5"/>
  <c r="O7" i="5" s="1"/>
  <c r="E8" i="5"/>
  <c r="E9" i="5"/>
  <c r="E10" i="5"/>
  <c r="O10" i="5" s="1"/>
  <c r="E11" i="5"/>
  <c r="E4" i="5"/>
  <c r="O4" i="5" s="1"/>
  <c r="L3" i="11" l="1"/>
  <c r="M3" i="11"/>
  <c r="N3" i="11"/>
  <c r="O8" i="5"/>
  <c r="O11" i="5"/>
  <c r="O9" i="5"/>
  <c r="I27" i="1" l="1"/>
  <c r="D8" i="8" l="1"/>
  <c r="D7" i="8"/>
  <c r="D10" i="8" s="1"/>
  <c r="S4" i="5"/>
  <c r="G10" i="7"/>
  <c r="I10" i="7" s="1"/>
  <c r="F7" i="7"/>
  <c r="I8" i="7"/>
  <c r="I9" i="7"/>
  <c r="I11" i="7"/>
  <c r="I12" i="7"/>
  <c r="I13" i="7"/>
  <c r="I14" i="7"/>
  <c r="I7" i="7"/>
  <c r="F9" i="7"/>
  <c r="F11" i="7"/>
  <c r="F12" i="7"/>
  <c r="F13" i="7"/>
  <c r="F14" i="7"/>
  <c r="F8" i="7"/>
  <c r="F10" i="7"/>
  <c r="H4" i="5"/>
  <c r="J11" i="2"/>
  <c r="H11" i="2"/>
  <c r="H10" i="2"/>
  <c r="J10" i="2" s="1"/>
  <c r="J9" i="2"/>
  <c r="H9" i="2"/>
  <c r="H8" i="2"/>
  <c r="J8" i="2" s="1"/>
  <c r="J7" i="2"/>
  <c r="H7" i="2"/>
  <c r="H6" i="2"/>
  <c r="J6" i="2" s="1"/>
  <c r="J5" i="2"/>
  <c r="H5" i="2"/>
  <c r="H4" i="2"/>
  <c r="J4" i="2" s="1"/>
  <c r="H12" i="1"/>
  <c r="J12" i="1" s="1"/>
  <c r="J11" i="1"/>
  <c r="H11" i="1"/>
  <c r="H10" i="1"/>
  <c r="J10" i="1" s="1"/>
  <c r="H9" i="1"/>
  <c r="J9" i="1" s="1"/>
  <c r="H8" i="1"/>
  <c r="J8" i="1" s="1"/>
  <c r="H7" i="1"/>
  <c r="J7" i="1" s="1"/>
  <c r="H6" i="1"/>
  <c r="J6" i="1" s="1"/>
  <c r="H5" i="1"/>
  <c r="J5" i="1" s="1"/>
  <c r="J13" i="1" s="1"/>
  <c r="D19" i="1" s="1"/>
  <c r="P4" i="5" l="1"/>
  <c r="P5" i="5"/>
  <c r="P9" i="5"/>
  <c r="P7" i="5"/>
  <c r="P6" i="5"/>
  <c r="I7" i="5"/>
  <c r="U4" i="5"/>
  <c r="V4" i="5"/>
  <c r="H7" i="5"/>
  <c r="H9" i="5"/>
  <c r="I4" i="5"/>
  <c r="H11" i="5"/>
  <c r="J12" i="2"/>
  <c r="D18" i="2" s="1"/>
  <c r="D20" i="1"/>
  <c r="D21" i="1" s="1"/>
  <c r="X4" i="5" l="1"/>
  <c r="Z4" i="5" s="1"/>
  <c r="AA4" i="5" s="1"/>
  <c r="AB4" i="5" s="1"/>
  <c r="K14" i="7"/>
  <c r="L14" i="7" s="1"/>
  <c r="J15" i="7"/>
  <c r="K15" i="7" s="1"/>
  <c r="L15" i="7" s="1"/>
  <c r="M4" i="5"/>
  <c r="P10" i="5"/>
  <c r="P11" i="5"/>
  <c r="H8" i="5"/>
  <c r="I6" i="5"/>
  <c r="H5" i="5"/>
  <c r="H6" i="5"/>
  <c r="I8" i="5"/>
  <c r="P8" i="5"/>
  <c r="I11" i="5"/>
  <c r="H10" i="5"/>
  <c r="I9" i="5"/>
  <c r="I5" i="5"/>
  <c r="I10" i="5"/>
  <c r="M7" i="5"/>
  <c r="L7" i="5"/>
  <c r="K7" i="5"/>
  <c r="L4" i="5"/>
  <c r="K4" i="5"/>
  <c r="D19" i="2"/>
  <c r="D20" i="2"/>
  <c r="K8" i="5" l="1"/>
  <c r="M5" i="5"/>
  <c r="M9" i="5"/>
  <c r="X6" i="5"/>
  <c r="Z6" i="5" s="1"/>
  <c r="AA6" i="5" s="1"/>
  <c r="AB6" i="5" s="1"/>
  <c r="M6" i="5"/>
  <c r="X5" i="5"/>
  <c r="Z5" i="5" s="1"/>
  <c r="X11" i="5"/>
  <c r="Z11" i="5" s="1"/>
  <c r="AA11" i="5" s="1"/>
  <c r="AB11" i="5" s="1"/>
  <c r="X7" i="5"/>
  <c r="Z7" i="5" s="1"/>
  <c r="AA7" i="5" s="1"/>
  <c r="AB7" i="5" s="1"/>
  <c r="X10" i="5"/>
  <c r="Z10" i="5" s="1"/>
  <c r="AA10" i="5" s="1"/>
  <c r="AB10" i="5" s="1"/>
  <c r="X8" i="5"/>
  <c r="Z8" i="5" s="1"/>
  <c r="AA8" i="5" s="1"/>
  <c r="AB8" i="5" s="1"/>
  <c r="X9" i="5"/>
  <c r="Z9" i="5" s="1"/>
  <c r="AA9" i="5" s="1"/>
  <c r="AB9" i="5" s="1"/>
  <c r="L8" i="5"/>
  <c r="L6" i="5"/>
  <c r="M8" i="5"/>
  <c r="K6" i="5"/>
  <c r="L10" i="5"/>
  <c r="K10" i="5"/>
  <c r="M10" i="5"/>
  <c r="K5" i="5"/>
  <c r="L5" i="5"/>
  <c r="M11" i="5"/>
  <c r="L11" i="5"/>
  <c r="K11" i="5"/>
  <c r="K9" i="5"/>
  <c r="L9" i="5"/>
  <c r="AA5" i="5" l="1"/>
  <c r="AB5" i="5" s="1"/>
  <c r="AB12" i="5" s="1"/>
  <c r="E9" i="8" s="1"/>
  <c r="Z12" i="5"/>
  <c r="E7" i="8" s="1"/>
  <c r="AA12" i="5" l="1"/>
  <c r="E8" i="8" s="1"/>
  <c r="F8" i="8" s="1"/>
  <c r="F9" i="8"/>
  <c r="AB14" i="5"/>
  <c r="AB15" i="5" s="1"/>
  <c r="AB16" i="5" s="1"/>
  <c r="Z14" i="5"/>
  <c r="AA14" i="5" l="1"/>
  <c r="AA15" i="5" s="1"/>
  <c r="AA16" i="5" s="1"/>
  <c r="AA17" i="5" s="1"/>
  <c r="AB17" i="5"/>
  <c r="F7" i="8"/>
  <c r="Z15" i="5"/>
  <c r="Z16" i="5" s="1"/>
  <c r="AC14" i="5" l="1"/>
  <c r="AC16" i="5"/>
  <c r="Z17" i="5"/>
  <c r="F10" i="8"/>
  <c r="F12" i="8" s="1"/>
</calcChain>
</file>

<file path=xl/sharedStrings.xml><?xml version="1.0" encoding="utf-8"?>
<sst xmlns="http://schemas.openxmlformats.org/spreadsheetml/2006/main" count="179" uniqueCount="73">
  <si>
    <t>NIT. 900.965.653-5</t>
  </si>
  <si>
    <t>COSTOS DE PERSONAL</t>
  </si>
  <si>
    <t>ITEM</t>
  </si>
  <si>
    <t>DESCRIPCION</t>
  </si>
  <si>
    <t>UNIDAD DE MEDIDA</t>
  </si>
  <si>
    <t>CANTIDAD</t>
  </si>
  <si>
    <t>VALOR DE HONORARIO / MES</t>
  </si>
  <si>
    <t>% DEDICACION</t>
  </si>
  <si>
    <t>SUBTOTAL</t>
  </si>
  <si>
    <t>FACTOR MULTIPLICADOR</t>
  </si>
  <si>
    <t>VALOR TOTAL</t>
  </si>
  <si>
    <t>Director de Interventoría</t>
  </si>
  <si>
    <t>PERSONAL</t>
  </si>
  <si>
    <t>Coordinador profesional ambiental de restauración</t>
  </si>
  <si>
    <t>Coordinador Profesional SST</t>
  </si>
  <si>
    <t>Coordinador SIG</t>
  </si>
  <si>
    <t>Abogado ambiental</t>
  </si>
  <si>
    <t>Profesional Financiero</t>
  </si>
  <si>
    <r>
      <t>Residente de Interventoría</t>
    </r>
    <r>
      <rPr>
        <sz val="7"/>
        <color rgb="FF000000"/>
        <rFont val="Arial"/>
        <family val="2"/>
      </rPr>
      <t xml:space="preserve"> </t>
    </r>
    <r>
      <rPr>
        <sz val="9"/>
        <color theme="1"/>
        <rFont val="Arial"/>
        <family val="2"/>
      </rPr>
      <t>para el componente 1 de implementación</t>
    </r>
  </si>
  <si>
    <r>
      <t>Residente de Interventoría para el componente 2 mantenimiento</t>
    </r>
    <r>
      <rPr>
        <sz val="7"/>
        <color rgb="FF000000"/>
        <rFont val="Arial"/>
        <family val="2"/>
      </rPr>
      <t xml:space="preserve"> </t>
    </r>
  </si>
  <si>
    <t>TOTAL COSTOS DE PERSONAL (A)</t>
  </si>
  <si>
    <t>Nota 1: Los perfiles del personal a cotizar se encuentran descritos en el anexo técnico de interventoría</t>
  </si>
  <si>
    <t>Nota 2: Señor interesado, la Entidad se permite señalar que con la presentación de su cotización, la misma deberá ir acompañada en documento independiente con la justificación del factor multiplicador propuesto.</t>
  </si>
  <si>
    <t>Nota 3. Señor interesado,tenga en cuenta al momento de elaborar su cotización que en el concepto de factor multiplicador deberá tener en cuenta todos los costos directos e indirectos que se genere en el marco de la ejecución del contrato.</t>
  </si>
  <si>
    <t>IVA 19%</t>
  </si>
  <si>
    <t>VALOR TOTAL COTIZACION</t>
  </si>
  <si>
    <t>Future Forest Solutions SAS</t>
  </si>
  <si>
    <t>CONSULTORES, DESARROLLO Y AMBIENTE SAS BIC</t>
  </si>
  <si>
    <t>CANTIDAD COTIZACIONES</t>
  </si>
  <si>
    <t>PROMEDIO</t>
  </si>
  <si>
    <t>PRECIOS HISTORICOS CONTRATOS SDA</t>
  </si>
  <si>
    <t>DESV. ESTÁNDAR</t>
  </si>
  <si>
    <t>COEFICIENTE DE VARIACION</t>
  </si>
  <si>
    <t>MEDIA
ARMONICA</t>
  </si>
  <si>
    <t>MEDIA
GEOMETRICA</t>
  </si>
  <si>
    <t>MEDIANA</t>
  </si>
  <si>
    <t>MEDIA 
ARITMÉTICA</t>
  </si>
  <si>
    <t>PRECIO DE REFERENCIA</t>
  </si>
  <si>
    <t>HERRAMIENTA ESTADISTICA UTILIZADA</t>
  </si>
  <si>
    <t>ARMONICA</t>
  </si>
  <si>
    <t>INTERCONSTRUCCIONES &amp; DISEÑO SAS</t>
  </si>
  <si>
    <t>VALOR UNITARIO</t>
  </si>
  <si>
    <t>ipc dic 2022</t>
  </si>
  <si>
    <t>VALORES DE REFERENCIA</t>
  </si>
  <si>
    <t>ESTUDIO TECNICOS Y CONSTRUCCIONES</t>
  </si>
  <si>
    <t>valor indexado a marzo 2025</t>
  </si>
  <si>
    <t>F.M</t>
  </si>
  <si>
    <t>INDICE DE INDEXACION</t>
  </si>
  <si>
    <t>OBSERVACIONES</t>
  </si>
  <si>
    <t>VALOR TOTAL DEL PROCESO</t>
  </si>
  <si>
    <t>PRESUPUESTO TOTAL</t>
  </si>
  <si>
    <t>ARIMETICA</t>
  </si>
  <si>
    <t>PLAZO</t>
  </si>
  <si>
    <t>VALOR TOTAL VIGENCIA</t>
  </si>
  <si>
    <t>TOTAL</t>
  </si>
  <si>
    <t>IVA</t>
  </si>
  <si>
    <t>VIGENCIA</t>
  </si>
  <si>
    <t>FM</t>
  </si>
  <si>
    <t>VALOR MES CONTRATO SIN IVA</t>
  </si>
  <si>
    <t>VALOR DE REFERENCIA  SIN F.M.</t>
  </si>
  <si>
    <t>IPC</t>
  </si>
  <si>
    <r>
      <t xml:space="preserve">VALOR UNITARIO DE REFERENCIA 
</t>
    </r>
    <r>
      <rPr>
        <b/>
        <sz val="11"/>
        <color theme="1"/>
        <rFont val="Aptos Narrow"/>
        <family val="2"/>
        <scheme val="minor"/>
      </rPr>
      <t>2025</t>
    </r>
  </si>
  <si>
    <t>VALOR MENSUAL SIN IVA</t>
  </si>
  <si>
    <t>VALOR MES CON IVA</t>
  </si>
  <si>
    <t>PLAZO TOTAL</t>
  </si>
  <si>
    <t>SE PERMITE UN COEFICIENTE DE VARIACION DEL 36% CON EL FIN DE CONSERVAR LA 3 MUESTRAS Y ESTABLECER UN PRECIO REAL DEL MERACDO</t>
  </si>
  <si>
    <t>SE PERMITE UN COEFICIENTE DE VARIACION DEL 56% CON EL FIN DE CONSERVAR LA 3 MUESTRAS Y ESTABLECER UN PRECIO REAL DEL MERACDO</t>
  </si>
  <si>
    <t>NTERCONSTRUCCIONES &amp; DISEÑO SAS</t>
  </si>
  <si>
    <t>FACTOR MULTIPLICADOR DE REFERENCIA</t>
  </si>
  <si>
    <t>VARIABLE DE AJUSTE</t>
  </si>
  <si>
    <t xml:space="preserve">FACTOR MULTIPLIDOR DE  REFERENCIA </t>
  </si>
  <si>
    <t>SE UTILIZA VARIABLE DE AJUSTE AL FACTOR MULTIPLICADOR CON EL FIN DE ESTABLECER PRESUPUESTO APROBADO VF</t>
  </si>
  <si>
    <t>PLAZO DEL CONTRATO
(meses)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</si>
</sst>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_);_(&quot;$&quot;\ * \(#,##0\);_(&quot;$&quot;\ * &quot;-&quot;??_);_(@_)"/>
    <numFmt numFmtId="165" formatCode="_-&quot;$&quot;\ * #,##0_-;\-&quot;$&quot;\ * #,##0_-;_-&quot;$&quot;\ * &quot;-&quot;??_-;_-@_-"/>
    <numFmt numFmtId="166" formatCode="_-* #,##0_-;\-* #,##0_-;_-* &quot;-&quot;??_-;_-@"/>
    <numFmt numFmtId="167" formatCode="_-&quot;$&quot;\ * #,##0.0_-;\-&quot;$&quot;\ * #,##0.0_-;_-&quot;$&quot;\ * &quot;-&quot;??_-;_-@_-"/>
    <numFmt numFmtId="168" formatCode="_-* #,##0.0000_-;\-* #,##0.0000_-;_-* &quot;-&quot;??_-;_-@_-"/>
    <numFmt numFmtId="169" formatCode="_-* #,##0.00_-;\-* #,##0.00_-;_-* &quot;-&quot;????_-;_-@_-"/>
  </numFmts>
  <fonts count="1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sz val="7"/>
      <color rgb="FF000000"/>
      <name val="Arial"/>
      <family val="2"/>
    </font>
    <font>
      <b/>
      <i/>
      <sz val="9"/>
      <color theme="1"/>
      <name val="Aptos Narrow"/>
      <family val="2"/>
      <scheme val="minor"/>
    </font>
    <font>
      <sz val="10"/>
      <color rgb="FF000000"/>
      <name val="Segoe UI"/>
      <family val="2"/>
    </font>
    <font>
      <sz val="10"/>
      <color theme="1"/>
      <name val="Calibri"/>
      <family val="2"/>
    </font>
    <font>
      <sz val="10"/>
      <color theme="0"/>
      <name val="Calibri"/>
      <family val="2"/>
    </font>
    <font>
      <sz val="10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11"/>
      <color theme="1"/>
      <name val="Calibri"/>
      <family val="2"/>
    </font>
    <font>
      <sz val="9"/>
      <name val="Segoe UI"/>
      <family val="2"/>
      <charset val="204"/>
    </font>
    <font>
      <b/>
      <sz val="12"/>
      <color theme="1"/>
      <name val="Aptos Narrow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EF2CB"/>
        <bgColor rgb="FFFEF2CB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rgb="FFFFD965"/>
        <bgColor rgb="FFFFD96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theme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6C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rgb="FFFFD965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rgb="FFFFD96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rgb="FFFFD965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3">
    <xf numFmtId="0" fontId="0" fillId="0" borderId="0" xfId="0"/>
    <xf numFmtId="0" fontId="2" fillId="2" borderId="7" xfId="0" applyFont="1" applyFill="1" applyBorder="1" applyAlignment="1">
      <alignment horizontal="center" vertical="center" wrapText="1"/>
    </xf>
    <xf numFmtId="43" fontId="2" fillId="2" borderId="7" xfId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43" fontId="0" fillId="3" borderId="7" xfId="1" applyFont="1" applyFill="1" applyBorder="1" applyAlignment="1" applyProtection="1">
      <alignment horizontal="center" vertical="center"/>
      <protection locked="0"/>
    </xf>
    <xf numFmtId="9" fontId="0" fillId="0" borderId="7" xfId="3" applyFont="1" applyBorder="1" applyAlignment="1" applyProtection="1">
      <alignment horizontal="center" vertical="center"/>
    </xf>
    <xf numFmtId="43" fontId="0" fillId="0" borderId="7" xfId="1" applyFont="1" applyBorder="1" applyAlignment="1">
      <alignment horizontal="center" vertical="center"/>
    </xf>
    <xf numFmtId="0" fontId="0" fillId="3" borderId="7" xfId="0" applyFill="1" applyBorder="1" applyAlignment="1" applyProtection="1">
      <alignment horizontal="center" vertical="center"/>
      <protection locked="0"/>
    </xf>
    <xf numFmtId="44" fontId="0" fillId="0" borderId="7" xfId="2" applyFont="1" applyBorder="1" applyAlignment="1" applyProtection="1">
      <alignment horizontal="center" vertical="center"/>
    </xf>
    <xf numFmtId="44" fontId="2" fillId="0" borderId="7" xfId="2" applyFont="1" applyBorder="1" applyAlignment="1" applyProtection="1">
      <alignment horizontal="right"/>
    </xf>
    <xf numFmtId="0" fontId="5" fillId="0" borderId="0" xfId="0" applyFont="1"/>
    <xf numFmtId="0" fontId="2" fillId="0" borderId="0" xfId="0" applyFont="1"/>
    <xf numFmtId="44" fontId="0" fillId="0" borderId="0" xfId="2" applyFont="1" applyBorder="1" applyProtection="1"/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43" fontId="0" fillId="0" borderId="0" xfId="1" applyFont="1" applyProtection="1">
      <protection locked="0"/>
    </xf>
    <xf numFmtId="0" fontId="2" fillId="0" borderId="7" xfId="0" applyFont="1" applyBorder="1"/>
    <xf numFmtId="44" fontId="2" fillId="0" borderId="7" xfId="0" applyNumberFormat="1" applyFont="1" applyBorder="1"/>
    <xf numFmtId="44" fontId="2" fillId="0" borderId="7" xfId="2" applyFont="1" applyBorder="1" applyProtection="1"/>
    <xf numFmtId="44" fontId="0" fillId="3" borderId="7" xfId="2" applyFont="1" applyFill="1" applyBorder="1" applyAlignment="1" applyProtection="1">
      <alignment horizontal="center" vertical="center"/>
      <protection locked="0"/>
    </xf>
    <xf numFmtId="44" fontId="0" fillId="0" borderId="7" xfId="2" applyFont="1" applyBorder="1" applyAlignment="1">
      <alignment horizontal="center" vertical="center"/>
    </xf>
    <xf numFmtId="44" fontId="0" fillId="0" borderId="7" xfId="2" applyFont="1" applyBorder="1" applyAlignment="1" applyProtection="1">
      <alignment horizontal="right"/>
    </xf>
    <xf numFmtId="0" fontId="0" fillId="0" borderId="7" xfId="0" applyBorder="1" applyAlignment="1">
      <alignment horizontal="center" vertical="center"/>
    </xf>
    <xf numFmtId="44" fontId="0" fillId="0" borderId="7" xfId="0" applyNumberFormat="1" applyBorder="1" applyAlignment="1">
      <alignment horizontal="center" vertical="center"/>
    </xf>
    <xf numFmtId="44" fontId="0" fillId="0" borderId="7" xfId="2" applyFont="1" applyBorder="1" applyAlignment="1">
      <alignment horizontal="left" vertical="center" wrapText="1"/>
    </xf>
    <xf numFmtId="44" fontId="0" fillId="0" borderId="0" xfId="0" applyNumberFormat="1"/>
    <xf numFmtId="44" fontId="0" fillId="0" borderId="0" xfId="2" applyFont="1"/>
    <xf numFmtId="0" fontId="7" fillId="5" borderId="7" xfId="0" applyFont="1" applyFill="1" applyBorder="1" applyAlignment="1">
      <alignment horizontal="center" vertical="center"/>
    </xf>
    <xf numFmtId="165" fontId="8" fillId="6" borderId="7" xfId="0" applyNumberFormat="1" applyFont="1" applyFill="1" applyBorder="1" applyAlignment="1">
      <alignment horizontal="center" vertical="center"/>
    </xf>
    <xf numFmtId="9" fontId="9" fillId="8" borderId="7" xfId="3" applyFont="1" applyFill="1" applyBorder="1" applyAlignment="1">
      <alignment vertical="center"/>
    </xf>
    <xf numFmtId="0" fontId="0" fillId="3" borderId="7" xfId="0" applyFill="1" applyBorder="1" applyAlignment="1">
      <alignment horizontal="center" vertical="center" wrapText="1"/>
    </xf>
    <xf numFmtId="164" fontId="6" fillId="5" borderId="7" xfId="2" applyNumberFormat="1" applyFont="1" applyFill="1" applyBorder="1" applyAlignment="1">
      <alignment horizontal="right" vertical="center"/>
    </xf>
    <xf numFmtId="0" fontId="0" fillId="5" borderId="7" xfId="0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166" fontId="12" fillId="9" borderId="7" xfId="0" applyNumberFormat="1" applyFont="1" applyFill="1" applyBorder="1" applyAlignment="1">
      <alignment horizontal="center" vertical="center"/>
    </xf>
    <xf numFmtId="0" fontId="0" fillId="10" borderId="7" xfId="0" applyFill="1" applyBorder="1" applyAlignment="1">
      <alignment horizontal="center" vertical="center" wrapText="1"/>
    </xf>
    <xf numFmtId="9" fontId="12" fillId="11" borderId="7" xfId="0" applyNumberFormat="1" applyFont="1" applyFill="1" applyBorder="1" applyAlignment="1">
      <alignment horizontal="center" vertical="center"/>
    </xf>
    <xf numFmtId="0" fontId="12" fillId="12" borderId="7" xfId="0" applyFont="1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4" borderId="7" xfId="0" applyFill="1" applyBorder="1" applyAlignment="1">
      <alignment horizontal="center" vertical="center" wrapText="1"/>
    </xf>
    <xf numFmtId="165" fontId="7" fillId="7" borderId="7" xfId="2" applyNumberFormat="1" applyFont="1" applyFill="1" applyBorder="1" applyAlignment="1">
      <alignment horizontal="center" vertical="center"/>
    </xf>
    <xf numFmtId="17" fontId="0" fillId="0" borderId="0" xfId="0" applyNumberFormat="1"/>
    <xf numFmtId="44" fontId="0" fillId="0" borderId="7" xfId="2" applyFont="1" applyBorder="1" applyAlignment="1">
      <alignment horizontal="center" vertical="center" wrapText="1"/>
    </xf>
    <xf numFmtId="0" fontId="13" fillId="15" borderId="7" xfId="0" applyFont="1" applyFill="1" applyBorder="1" applyAlignment="1">
      <alignment horizontal="center"/>
    </xf>
    <xf numFmtId="17" fontId="0" fillId="0" borderId="7" xfId="0" applyNumberFormat="1" applyBorder="1" applyAlignment="1">
      <alignment horizontal="center"/>
    </xf>
    <xf numFmtId="44" fontId="0" fillId="5" borderId="7" xfId="0" applyNumberForma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44" fontId="2" fillId="0" borderId="7" xfId="2" applyFont="1" applyBorder="1" applyAlignment="1">
      <alignment horizontal="center"/>
    </xf>
    <xf numFmtId="0" fontId="2" fillId="13" borderId="7" xfId="0" applyFont="1" applyFill="1" applyBorder="1" applyAlignment="1">
      <alignment horizontal="center" vertical="center" wrapText="1"/>
    </xf>
    <xf numFmtId="43" fontId="0" fillId="0" borderId="0" xfId="1" applyFont="1"/>
    <xf numFmtId="44" fontId="0" fillId="13" borderId="7" xfId="2" applyFont="1" applyFill="1" applyBorder="1" applyAlignment="1">
      <alignment horizontal="center" vertical="center" wrapText="1"/>
    </xf>
    <xf numFmtId="9" fontId="12" fillId="11" borderId="7" xfId="0" applyNumberFormat="1" applyFont="1" applyFill="1" applyBorder="1" applyAlignment="1">
      <alignment horizontal="left" vertical="center" wrapText="1"/>
    </xf>
    <xf numFmtId="0" fontId="14" fillId="13" borderId="7" xfId="0" applyFont="1" applyFill="1" applyBorder="1" applyAlignment="1">
      <alignment horizontal="center" vertical="center"/>
    </xf>
    <xf numFmtId="9" fontId="2" fillId="0" borderId="7" xfId="3" applyFont="1" applyBorder="1"/>
    <xf numFmtId="165" fontId="2" fillId="0" borderId="7" xfId="2" applyNumberFormat="1" applyFont="1" applyBorder="1" applyAlignment="1">
      <alignment horizontal="center"/>
    </xf>
    <xf numFmtId="165" fontId="2" fillId="0" borderId="0" xfId="2" applyNumberFormat="1" applyFont="1" applyBorder="1"/>
    <xf numFmtId="165" fontId="2" fillId="19" borderId="7" xfId="2" applyNumberFormat="1" applyFont="1" applyFill="1" applyBorder="1"/>
    <xf numFmtId="165" fontId="2" fillId="20" borderId="7" xfId="0" applyNumberFormat="1" applyFont="1" applyFill="1" applyBorder="1"/>
    <xf numFmtId="43" fontId="0" fillId="13" borderId="7" xfId="1" applyFont="1" applyFill="1" applyBorder="1" applyAlignment="1">
      <alignment horizontal="center" vertical="center" wrapText="1"/>
    </xf>
    <xf numFmtId="43" fontId="0" fillId="0" borderId="0" xfId="0" applyNumberFormat="1"/>
    <xf numFmtId="0" fontId="0" fillId="17" borderId="7" xfId="0" applyFill="1" applyBorder="1" applyAlignment="1">
      <alignment vertical="center" wrapText="1"/>
    </xf>
    <xf numFmtId="167" fontId="0" fillId="17" borderId="7" xfId="0" applyNumberFormat="1" applyFill="1" applyBorder="1" applyAlignment="1">
      <alignment vertical="center" wrapText="1"/>
    </xf>
    <xf numFmtId="165" fontId="0" fillId="17" borderId="7" xfId="0" applyNumberFormat="1" applyFill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0" fontId="0" fillId="18" borderId="7" xfId="0" applyFill="1" applyBorder="1" applyAlignment="1">
      <alignment vertical="center" wrapText="1"/>
    </xf>
    <xf numFmtId="44" fontId="0" fillId="18" borderId="7" xfId="2" applyFont="1" applyFill="1" applyBorder="1" applyAlignment="1">
      <alignment vertical="center" wrapText="1"/>
    </xf>
    <xf numFmtId="44" fontId="0" fillId="0" borderId="7" xfId="2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21" borderId="7" xfId="0" applyFill="1" applyBorder="1" applyAlignment="1">
      <alignment horizontal="center" vertical="center"/>
    </xf>
    <xf numFmtId="10" fontId="0" fillId="21" borderId="7" xfId="3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9" fontId="0" fillId="0" borderId="0" xfId="3" applyFont="1" applyAlignment="1">
      <alignment vertical="center"/>
    </xf>
    <xf numFmtId="165" fontId="0" fillId="0" borderId="7" xfId="2" applyNumberFormat="1" applyFont="1" applyBorder="1" applyAlignment="1">
      <alignment vertical="center"/>
    </xf>
    <xf numFmtId="2" fontId="0" fillId="22" borderId="7" xfId="0" applyNumberFormat="1" applyFill="1" applyBorder="1" applyAlignment="1">
      <alignment horizontal="center" vertical="center"/>
    </xf>
    <xf numFmtId="44" fontId="0" fillId="0" borderId="7" xfId="2" applyFont="1" applyBorder="1" applyAlignment="1">
      <alignment vertical="center"/>
    </xf>
    <xf numFmtId="165" fontId="0" fillId="0" borderId="0" xfId="2" applyNumberFormat="1" applyFont="1" applyAlignment="1">
      <alignment vertical="center"/>
    </xf>
    <xf numFmtId="44" fontId="0" fillId="4" borderId="6" xfId="0" applyNumberFormat="1" applyFill="1" applyBorder="1" applyAlignment="1">
      <alignment vertical="center"/>
    </xf>
    <xf numFmtId="44" fontId="0" fillId="0" borderId="0" xfId="2" applyFont="1" applyAlignment="1">
      <alignment vertical="center"/>
    </xf>
    <xf numFmtId="43" fontId="0" fillId="0" borderId="0" xfId="1" applyFont="1" applyAlignment="1">
      <alignment vertical="center"/>
    </xf>
    <xf numFmtId="44" fontId="0" fillId="0" borderId="0" xfId="0" applyNumberFormat="1" applyAlignment="1">
      <alignment vertical="center"/>
    </xf>
    <xf numFmtId="0" fontId="0" fillId="0" borderId="7" xfId="0" applyBorder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43" fontId="2" fillId="0" borderId="0" xfId="1" applyFont="1" applyAlignment="1">
      <alignment vertical="center"/>
    </xf>
    <xf numFmtId="44" fontId="0" fillId="0" borderId="0" xfId="2" applyFont="1" applyBorder="1" applyAlignment="1" applyProtection="1">
      <alignment vertical="center"/>
    </xf>
    <xf numFmtId="43" fontId="7" fillId="7" borderId="7" xfId="1" applyFont="1" applyFill="1" applyBorder="1" applyAlignment="1">
      <alignment horizontal="center" vertical="center"/>
    </xf>
    <xf numFmtId="0" fontId="0" fillId="22" borderId="7" xfId="0" applyFill="1" applyBorder="1" applyAlignment="1">
      <alignment horizontal="center" vertical="center" wrapText="1"/>
    </xf>
    <xf numFmtId="0" fontId="12" fillId="23" borderId="7" xfId="0" applyFont="1" applyFill="1" applyBorder="1" applyAlignment="1">
      <alignment horizontal="center" vertical="center" wrapText="1"/>
    </xf>
    <xf numFmtId="0" fontId="12" fillId="25" borderId="7" xfId="0" applyFont="1" applyFill="1" applyBorder="1" applyAlignment="1">
      <alignment horizontal="center" vertical="center" wrapText="1"/>
    </xf>
    <xf numFmtId="0" fontId="13" fillId="15" borderId="7" xfId="0" applyFont="1" applyFill="1" applyBorder="1" applyAlignment="1">
      <alignment horizontal="center" vertical="center"/>
    </xf>
    <xf numFmtId="168" fontId="0" fillId="0" borderId="7" xfId="0" applyNumberFormat="1" applyBorder="1" applyAlignment="1">
      <alignment vertical="center"/>
    </xf>
    <xf numFmtId="43" fontId="0" fillId="24" borderId="7" xfId="0" applyNumberFormat="1" applyFill="1" applyBorder="1" applyAlignment="1">
      <alignment vertical="center"/>
    </xf>
    <xf numFmtId="169" fontId="0" fillId="26" borderId="7" xfId="0" applyNumberFormat="1" applyFill="1" applyBorder="1" applyAlignment="1">
      <alignment vertical="center"/>
    </xf>
    <xf numFmtId="0" fontId="0" fillId="19" borderId="7" xfId="0" applyFill="1" applyBorder="1" applyAlignment="1">
      <alignment vertical="center"/>
    </xf>
    <xf numFmtId="0" fontId="12" fillId="27" borderId="7" xfId="0" applyFont="1" applyFill="1" applyBorder="1" applyAlignment="1">
      <alignment horizontal="center" vertical="center" wrapText="1"/>
    </xf>
    <xf numFmtId="165" fontId="2" fillId="0" borderId="7" xfId="0" applyNumberFormat="1" applyFont="1" applyBorder="1"/>
    <xf numFmtId="0" fontId="5" fillId="0" borderId="0" xfId="0" applyFont="1" applyAlignment="1">
      <alignment horizontal="left" vertical="top" wrapText="1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0" borderId="7" xfId="0" applyFont="1" applyBorder="1" applyAlignment="1">
      <alignment horizontal="right"/>
    </xf>
    <xf numFmtId="0" fontId="5" fillId="0" borderId="0" xfId="0" applyFont="1" applyAlignment="1">
      <alignment horizontal="left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16" borderId="8" xfId="0" applyFill="1" applyBorder="1" applyAlignment="1">
      <alignment horizontal="center" vertical="center" wrapText="1"/>
    </xf>
    <xf numFmtId="0" fontId="0" fillId="16" borderId="1" xfId="0" applyFill="1" applyBorder="1" applyAlignment="1">
      <alignment horizontal="center" vertical="center" wrapText="1"/>
    </xf>
    <xf numFmtId="17" fontId="0" fillId="0" borderId="0" xfId="0" applyNumberFormat="1" applyAlignment="1">
      <alignment horizontal="right"/>
    </xf>
    <xf numFmtId="0" fontId="2" fillId="13" borderId="7" xfId="0" applyFont="1" applyFill="1" applyBorder="1" applyAlignment="1">
      <alignment horizontal="center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9">
    <dxf>
      <font>
        <color theme="1"/>
      </font>
      <fill>
        <patternFill patternType="solid">
          <fgColor theme="9" tint="0.59996337778862885"/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1"/>
      </font>
      <fill>
        <patternFill patternType="solid">
          <fgColor theme="9" tint="0.59996337778862885"/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159039</xdr:colOff>
      <xdr:row>14</xdr:row>
      <xdr:rowOff>152400</xdr:rowOff>
    </xdr:from>
    <xdr:to>
      <xdr:col>8</xdr:col>
      <xdr:colOff>940981</xdr:colOff>
      <xdr:row>27</xdr:row>
      <xdr:rowOff>34761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C6F3BF0-44FE-49C7-0AB3-8F00EE402A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70279" y="4587240"/>
          <a:ext cx="2820367" cy="2247100"/>
        </a:xfrm>
        <a:prstGeom prst="rect">
          <a:avLst/>
        </a:prstGeom>
      </xdr:spPr>
    </xdr:pic>
    <xdr:clientData/>
  </xdr:twoCellAnchor>
  <xdr:twoCellAnchor editAs="oneCell">
    <xdr:from>
      <xdr:col>3</xdr:col>
      <xdr:colOff>56215</xdr:colOff>
      <xdr:row>14</xdr:row>
      <xdr:rowOff>114300</xdr:rowOff>
    </xdr:from>
    <xdr:to>
      <xdr:col>5</xdr:col>
      <xdr:colOff>1090339</xdr:colOff>
      <xdr:row>29</xdr:row>
      <xdr:rowOff>155990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E3AC993-618C-0F6E-AD25-9C9B34D9CB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012775" y="4549140"/>
          <a:ext cx="3082410" cy="2786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25922-DB6E-4B34-ABF7-F24215C76FD6}">
  <dimension ref="B1:J27"/>
  <sheetViews>
    <sheetView zoomScale="70" zoomScaleNormal="70" workbookViewId="0">
      <selection activeCell="F22" sqref="F22"/>
    </sheetView>
  </sheetViews>
  <sheetFormatPr baseColWidth="10" defaultRowHeight="15" x14ac:dyDescent="0.25"/>
  <cols>
    <col min="3" max="4" width="23.140625" customWidth="1"/>
    <col min="5" max="5" width="10.7109375" customWidth="1"/>
    <col min="6" max="6" width="17.140625" bestFit="1" customWidth="1"/>
    <col min="7" max="7" width="19.7109375" customWidth="1"/>
    <col min="8" max="8" width="14.85546875" bestFit="1" customWidth="1"/>
    <col min="9" max="9" width="10.85546875" bestFit="1" customWidth="1"/>
    <col min="10" max="10" width="31.7109375" customWidth="1"/>
  </cols>
  <sheetData>
    <row r="1" spans="2:10" ht="19.7" customHeight="1" x14ac:dyDescent="0.25">
      <c r="B1" s="104" t="s">
        <v>27</v>
      </c>
      <c r="C1" s="105"/>
      <c r="D1" s="105"/>
      <c r="E1" s="105"/>
      <c r="F1" s="105"/>
      <c r="G1" s="105"/>
      <c r="H1" s="105"/>
      <c r="I1" s="105"/>
      <c r="J1" s="106"/>
    </row>
    <row r="2" spans="2:10" ht="19.7" customHeight="1" x14ac:dyDescent="0.25">
      <c r="B2" s="107" t="s">
        <v>0</v>
      </c>
      <c r="C2" s="108"/>
      <c r="D2" s="108"/>
      <c r="E2" s="108"/>
      <c r="F2" s="108"/>
      <c r="G2" s="108"/>
      <c r="H2" s="108"/>
      <c r="I2" s="108"/>
      <c r="J2" s="109"/>
    </row>
    <row r="3" spans="2:10" x14ac:dyDescent="0.25">
      <c r="B3" s="110" t="s">
        <v>1</v>
      </c>
      <c r="C3" s="111"/>
      <c r="D3" s="111"/>
      <c r="E3" s="111"/>
      <c r="F3" s="111"/>
      <c r="G3" s="111"/>
      <c r="H3" s="111"/>
      <c r="I3" s="111"/>
      <c r="J3" s="112"/>
    </row>
    <row r="4" spans="2:10" ht="45" x14ac:dyDescent="0.25">
      <c r="B4" s="1" t="s">
        <v>2</v>
      </c>
      <c r="C4" s="1" t="s">
        <v>3</v>
      </c>
      <c r="D4" s="1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1" t="s">
        <v>9</v>
      </c>
      <c r="J4" s="1" t="s">
        <v>10</v>
      </c>
    </row>
    <row r="5" spans="2:10" ht="30" customHeight="1" x14ac:dyDescent="0.25">
      <c r="B5" s="1">
        <v>1</v>
      </c>
      <c r="C5" s="3" t="s">
        <v>11</v>
      </c>
      <c r="D5" s="4" t="s">
        <v>12</v>
      </c>
      <c r="E5" s="4">
        <v>1</v>
      </c>
      <c r="F5" s="5">
        <v>5000000</v>
      </c>
      <c r="G5" s="6">
        <v>1</v>
      </c>
      <c r="H5" s="7">
        <f>+E5*F5*G5</f>
        <v>5000000</v>
      </c>
      <c r="I5" s="8">
        <v>2.5</v>
      </c>
      <c r="J5" s="9">
        <f>+H5*I5</f>
        <v>12500000</v>
      </c>
    </row>
    <row r="6" spans="2:10" ht="30" customHeight="1" x14ac:dyDescent="0.25">
      <c r="B6" s="1">
        <v>2</v>
      </c>
      <c r="C6" s="3" t="s">
        <v>13</v>
      </c>
      <c r="D6" s="4" t="s">
        <v>12</v>
      </c>
      <c r="E6" s="4">
        <v>1</v>
      </c>
      <c r="F6" s="5">
        <v>5000000</v>
      </c>
      <c r="G6" s="6">
        <v>1</v>
      </c>
      <c r="H6" s="7">
        <f>+E6*F6*G6</f>
        <v>5000000</v>
      </c>
      <c r="I6" s="8">
        <v>2.5</v>
      </c>
      <c r="J6" s="9">
        <f>+H6*I6</f>
        <v>12500000</v>
      </c>
    </row>
    <row r="7" spans="2:10" ht="30" customHeight="1" x14ac:dyDescent="0.25">
      <c r="B7" s="1">
        <v>3</v>
      </c>
      <c r="C7" s="3" t="s">
        <v>14</v>
      </c>
      <c r="D7" s="4" t="s">
        <v>12</v>
      </c>
      <c r="E7" s="4">
        <v>1</v>
      </c>
      <c r="F7" s="5">
        <v>5000000</v>
      </c>
      <c r="G7" s="6">
        <v>1</v>
      </c>
      <c r="H7" s="7">
        <f t="shared" ref="H7:H12" si="0">+E7*F7*G7</f>
        <v>5000000</v>
      </c>
      <c r="I7" s="8">
        <v>2.5</v>
      </c>
      <c r="J7" s="9">
        <f t="shared" ref="J7:J12" si="1">+H7*I7</f>
        <v>12500000</v>
      </c>
    </row>
    <row r="8" spans="2:10" ht="30" customHeight="1" x14ac:dyDescent="0.25">
      <c r="B8" s="1">
        <v>4</v>
      </c>
      <c r="C8" s="3" t="s">
        <v>15</v>
      </c>
      <c r="D8" s="4" t="s">
        <v>12</v>
      </c>
      <c r="E8" s="4">
        <v>1</v>
      </c>
      <c r="F8" s="5">
        <v>5000000</v>
      </c>
      <c r="G8" s="6">
        <v>1</v>
      </c>
      <c r="H8" s="7">
        <f t="shared" si="0"/>
        <v>5000000</v>
      </c>
      <c r="I8" s="8">
        <v>2.5</v>
      </c>
      <c r="J8" s="9">
        <f t="shared" si="1"/>
        <v>12500000</v>
      </c>
    </row>
    <row r="9" spans="2:10" ht="30" customHeight="1" x14ac:dyDescent="0.25">
      <c r="B9" s="1">
        <v>5</v>
      </c>
      <c r="C9" s="3" t="s">
        <v>16</v>
      </c>
      <c r="D9" s="4" t="s">
        <v>12</v>
      </c>
      <c r="E9" s="4">
        <v>1</v>
      </c>
      <c r="F9" s="5">
        <v>7500000</v>
      </c>
      <c r="G9" s="6">
        <v>0.5</v>
      </c>
      <c r="H9" s="7">
        <f t="shared" si="0"/>
        <v>3750000</v>
      </c>
      <c r="I9" s="8">
        <v>2.5</v>
      </c>
      <c r="J9" s="9">
        <f t="shared" si="1"/>
        <v>9375000</v>
      </c>
    </row>
    <row r="10" spans="2:10" ht="30" customHeight="1" x14ac:dyDescent="0.25">
      <c r="B10" s="1">
        <v>6</v>
      </c>
      <c r="C10" s="3" t="s">
        <v>17</v>
      </c>
      <c r="D10" s="4" t="s">
        <v>12</v>
      </c>
      <c r="E10" s="4">
        <v>1</v>
      </c>
      <c r="F10" s="5">
        <v>5000000</v>
      </c>
      <c r="G10" s="6">
        <v>1</v>
      </c>
      <c r="H10" s="7">
        <f>+E10*F10*G10</f>
        <v>5000000</v>
      </c>
      <c r="I10" s="8">
        <v>2.5</v>
      </c>
      <c r="J10" s="9">
        <f t="shared" si="1"/>
        <v>12500000</v>
      </c>
    </row>
    <row r="11" spans="2:10" ht="30" customHeight="1" x14ac:dyDescent="0.25">
      <c r="B11" s="1">
        <v>7</v>
      </c>
      <c r="C11" s="3" t="s">
        <v>18</v>
      </c>
      <c r="D11" s="4" t="s">
        <v>12</v>
      </c>
      <c r="E11" s="4">
        <v>3</v>
      </c>
      <c r="F11" s="5">
        <v>5000000</v>
      </c>
      <c r="G11" s="6">
        <v>1</v>
      </c>
      <c r="H11" s="7">
        <f>+E11*F11*G11</f>
        <v>15000000</v>
      </c>
      <c r="I11" s="8">
        <v>2.5</v>
      </c>
      <c r="J11" s="9">
        <f>+H11*I11</f>
        <v>37500000</v>
      </c>
    </row>
    <row r="12" spans="2:10" ht="30" customHeight="1" x14ac:dyDescent="0.25">
      <c r="B12" s="1">
        <v>8</v>
      </c>
      <c r="C12" s="3" t="s">
        <v>19</v>
      </c>
      <c r="D12" s="4" t="s">
        <v>12</v>
      </c>
      <c r="E12" s="4">
        <v>8</v>
      </c>
      <c r="F12" s="5">
        <v>4500000</v>
      </c>
      <c r="G12" s="6">
        <v>1</v>
      </c>
      <c r="H12" s="7">
        <f t="shared" si="0"/>
        <v>36000000</v>
      </c>
      <c r="I12" s="8">
        <v>2.5</v>
      </c>
      <c r="J12" s="9">
        <f t="shared" si="1"/>
        <v>90000000</v>
      </c>
    </row>
    <row r="13" spans="2:10" x14ac:dyDescent="0.25">
      <c r="B13" s="113" t="s">
        <v>20</v>
      </c>
      <c r="C13" s="113"/>
      <c r="D13" s="113"/>
      <c r="E13" s="113"/>
      <c r="F13" s="113"/>
      <c r="G13" s="113"/>
      <c r="H13" s="113"/>
      <c r="I13" s="113"/>
      <c r="J13" s="10">
        <f>SUM(J5:J12)</f>
        <v>199375000</v>
      </c>
    </row>
    <row r="14" spans="2:10" s="73" customFormat="1" ht="34.35" customHeight="1" x14ac:dyDescent="0.25">
      <c r="B14" s="88" t="s">
        <v>21</v>
      </c>
      <c r="C14" s="89"/>
      <c r="D14" s="89"/>
      <c r="E14" s="89"/>
      <c r="F14" s="90"/>
      <c r="G14" s="89"/>
      <c r="H14" s="90"/>
      <c r="I14" s="89"/>
      <c r="J14" s="91"/>
    </row>
    <row r="15" spans="2:10" s="73" customFormat="1" ht="34.35" customHeight="1" x14ac:dyDescent="0.25">
      <c r="B15" s="114" t="s">
        <v>22</v>
      </c>
      <c r="C15" s="114"/>
      <c r="D15" s="114"/>
      <c r="E15" s="114"/>
      <c r="F15" s="114"/>
      <c r="G15" s="114"/>
      <c r="H15" s="114"/>
      <c r="I15" s="114"/>
      <c r="J15" s="114"/>
    </row>
    <row r="16" spans="2:10" s="73" customFormat="1" ht="25.7" customHeight="1" x14ac:dyDescent="0.25">
      <c r="B16" s="103" t="s">
        <v>23</v>
      </c>
      <c r="C16" s="103"/>
      <c r="D16" s="103"/>
      <c r="E16" s="103"/>
      <c r="F16" s="103"/>
      <c r="G16" s="103"/>
      <c r="H16" s="103"/>
      <c r="I16" s="103"/>
      <c r="J16" s="103"/>
    </row>
    <row r="17" spans="2:10" ht="20.45" customHeight="1" x14ac:dyDescent="0.25">
      <c r="B17" s="103"/>
      <c r="C17" s="103"/>
      <c r="D17" s="103"/>
      <c r="E17" s="103"/>
      <c r="F17" s="103"/>
      <c r="G17" s="103"/>
      <c r="H17" s="103"/>
      <c r="I17" s="103"/>
      <c r="J17" s="103"/>
    </row>
    <row r="18" spans="2:10" x14ac:dyDescent="0.25">
      <c r="B18" s="14"/>
      <c r="C18" s="15"/>
      <c r="D18" s="15"/>
      <c r="E18" s="15"/>
      <c r="F18" s="16"/>
      <c r="G18" s="15"/>
      <c r="H18" s="16"/>
      <c r="I18" s="15"/>
      <c r="J18" s="15"/>
    </row>
    <row r="19" spans="2:10" x14ac:dyDescent="0.25">
      <c r="B19" s="14"/>
      <c r="C19" s="17" t="s">
        <v>8</v>
      </c>
      <c r="D19" s="18">
        <f>+J13</f>
        <v>199375000</v>
      </c>
      <c r="E19" s="15"/>
      <c r="F19" s="16"/>
      <c r="G19" s="15"/>
      <c r="H19" s="16"/>
      <c r="I19" s="15"/>
      <c r="J19" s="15"/>
    </row>
    <row r="20" spans="2:10" x14ac:dyDescent="0.25">
      <c r="B20" s="14"/>
      <c r="C20" s="17" t="s">
        <v>24</v>
      </c>
      <c r="D20" s="19">
        <f>D19*19%</f>
        <v>37881250</v>
      </c>
      <c r="E20" s="15"/>
      <c r="F20" s="16"/>
      <c r="G20" s="15"/>
      <c r="H20" s="16"/>
      <c r="I20" s="15"/>
      <c r="J20" s="15"/>
    </row>
    <row r="21" spans="2:10" x14ac:dyDescent="0.25">
      <c r="B21" s="14"/>
      <c r="C21" s="17" t="s">
        <v>25</v>
      </c>
      <c r="D21" s="19">
        <f>SUM(D19:D20)</f>
        <v>237256250</v>
      </c>
      <c r="E21" s="15"/>
      <c r="F21" s="16"/>
      <c r="G21" s="15"/>
      <c r="H21" s="16"/>
      <c r="I21" s="15"/>
      <c r="J21" s="15"/>
    </row>
    <row r="25" spans="2:10" x14ac:dyDescent="0.25">
      <c r="I25">
        <v>17</v>
      </c>
    </row>
    <row r="26" spans="2:10" x14ac:dyDescent="0.25">
      <c r="I26">
        <v>0.8</v>
      </c>
    </row>
    <row r="27" spans="2:10" x14ac:dyDescent="0.25">
      <c r="I27">
        <f>+I25*I26</f>
        <v>13.600000000000001</v>
      </c>
    </row>
  </sheetData>
  <mergeCells count="6">
    <mergeCell ref="B16:J17"/>
    <mergeCell ref="B1:J1"/>
    <mergeCell ref="B2:J2"/>
    <mergeCell ref="B3:J3"/>
    <mergeCell ref="B13:I13"/>
    <mergeCell ref="B15:J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54EAC-93D9-4D99-9A08-3770FC035106}">
  <dimension ref="B1:J20"/>
  <sheetViews>
    <sheetView zoomScale="70" zoomScaleNormal="70" workbookViewId="0">
      <selection activeCell="B15" sqref="B15:J16"/>
    </sheetView>
  </sheetViews>
  <sheetFormatPr baseColWidth="10" defaultRowHeight="41.45" customHeight="1" x14ac:dyDescent="0.25"/>
  <cols>
    <col min="2" max="2" width="11.7109375" customWidth="1"/>
    <col min="3" max="3" width="22.85546875" bestFit="1" customWidth="1"/>
    <col min="4" max="4" width="16.42578125" bestFit="1" customWidth="1"/>
    <col min="5" max="5" width="9.7109375" bestFit="1" customWidth="1"/>
    <col min="6" max="6" width="17.140625" bestFit="1" customWidth="1"/>
    <col min="7" max="7" width="10.42578125" bestFit="1" customWidth="1"/>
    <col min="8" max="8" width="23" customWidth="1"/>
    <col min="9" max="9" width="10.85546875" bestFit="1" customWidth="1"/>
    <col min="10" max="10" width="30.42578125" customWidth="1"/>
  </cols>
  <sheetData>
    <row r="1" spans="2:10" ht="41.45" customHeight="1" x14ac:dyDescent="0.25">
      <c r="B1" s="104" t="s">
        <v>26</v>
      </c>
      <c r="C1" s="105"/>
      <c r="D1" s="105"/>
      <c r="E1" s="105"/>
      <c r="F1" s="105"/>
      <c r="G1" s="105"/>
      <c r="H1" s="105"/>
      <c r="I1" s="105"/>
      <c r="J1" s="106"/>
    </row>
    <row r="2" spans="2:10" ht="41.45" customHeight="1" x14ac:dyDescent="0.25">
      <c r="B2" s="110" t="s">
        <v>1</v>
      </c>
      <c r="C2" s="111"/>
      <c r="D2" s="111"/>
      <c r="E2" s="111"/>
      <c r="F2" s="111"/>
      <c r="G2" s="111"/>
      <c r="H2" s="111"/>
      <c r="I2" s="111"/>
      <c r="J2" s="112"/>
    </row>
    <row r="3" spans="2:10" ht="41.45" customHeight="1" x14ac:dyDescent="0.25"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</row>
    <row r="4" spans="2:10" ht="41.45" customHeight="1" x14ac:dyDescent="0.25">
      <c r="B4" s="1">
        <v>1</v>
      </c>
      <c r="C4" s="3" t="s">
        <v>11</v>
      </c>
      <c r="D4" s="4" t="s">
        <v>12</v>
      </c>
      <c r="E4" s="4">
        <v>1</v>
      </c>
      <c r="F4" s="20">
        <v>8000000</v>
      </c>
      <c r="G4" s="6">
        <v>1</v>
      </c>
      <c r="H4" s="21">
        <f>+E4*F4*G4</f>
        <v>8000000</v>
      </c>
      <c r="I4" s="8">
        <v>1.7150000000000001</v>
      </c>
      <c r="J4" s="9">
        <f>+H4*I4</f>
        <v>13720000</v>
      </c>
    </row>
    <row r="5" spans="2:10" ht="41.45" customHeight="1" x14ac:dyDescent="0.25">
      <c r="B5" s="1">
        <v>2</v>
      </c>
      <c r="C5" s="3" t="s">
        <v>13</v>
      </c>
      <c r="D5" s="4" t="s">
        <v>12</v>
      </c>
      <c r="E5" s="4">
        <v>1</v>
      </c>
      <c r="F5" s="20">
        <v>5500000</v>
      </c>
      <c r="G5" s="6">
        <v>1</v>
      </c>
      <c r="H5" s="21">
        <f>+E5*F5*G5</f>
        <v>5500000</v>
      </c>
      <c r="I5" s="8">
        <v>1.7150000000000001</v>
      </c>
      <c r="J5" s="9">
        <f>+H5*I5</f>
        <v>9432500</v>
      </c>
    </row>
    <row r="6" spans="2:10" ht="41.45" customHeight="1" x14ac:dyDescent="0.25">
      <c r="B6" s="1">
        <v>3</v>
      </c>
      <c r="C6" s="3" t="s">
        <v>14</v>
      </c>
      <c r="D6" s="4" t="s">
        <v>12</v>
      </c>
      <c r="E6" s="4">
        <v>1</v>
      </c>
      <c r="F6" s="20">
        <v>4500000</v>
      </c>
      <c r="G6" s="6">
        <v>1</v>
      </c>
      <c r="H6" s="21">
        <f t="shared" ref="H6:H11" si="0">+E6*F6*G6</f>
        <v>4500000</v>
      </c>
      <c r="I6" s="8">
        <v>1.7150000000000001</v>
      </c>
      <c r="J6" s="9">
        <f t="shared" ref="J6:J11" si="1">+H6*I6</f>
        <v>7717500</v>
      </c>
    </row>
    <row r="7" spans="2:10" ht="41.45" customHeight="1" x14ac:dyDescent="0.25">
      <c r="B7" s="1">
        <v>4</v>
      </c>
      <c r="C7" s="3" t="s">
        <v>15</v>
      </c>
      <c r="D7" s="4" t="s">
        <v>12</v>
      </c>
      <c r="E7" s="4">
        <v>1</v>
      </c>
      <c r="F7" s="20">
        <v>5500000</v>
      </c>
      <c r="G7" s="6">
        <v>1</v>
      </c>
      <c r="H7" s="21">
        <f t="shared" si="0"/>
        <v>5500000</v>
      </c>
      <c r="I7" s="8">
        <v>1.7150000000000001</v>
      </c>
      <c r="J7" s="9">
        <f t="shared" si="1"/>
        <v>9432500</v>
      </c>
    </row>
    <row r="8" spans="2:10" ht="41.45" customHeight="1" x14ac:dyDescent="0.25">
      <c r="B8" s="1">
        <v>5</v>
      </c>
      <c r="C8" s="3" t="s">
        <v>16</v>
      </c>
      <c r="D8" s="4" t="s">
        <v>12</v>
      </c>
      <c r="E8" s="4">
        <v>1</v>
      </c>
      <c r="F8" s="20">
        <v>4500000</v>
      </c>
      <c r="G8" s="6">
        <v>0.5</v>
      </c>
      <c r="H8" s="21">
        <f t="shared" si="0"/>
        <v>2250000</v>
      </c>
      <c r="I8" s="8">
        <v>1.7150000000000001</v>
      </c>
      <c r="J8" s="9">
        <f t="shared" si="1"/>
        <v>3858750</v>
      </c>
    </row>
    <row r="9" spans="2:10" ht="41.45" customHeight="1" x14ac:dyDescent="0.25">
      <c r="B9" s="1">
        <v>6</v>
      </c>
      <c r="C9" s="3" t="s">
        <v>17</v>
      </c>
      <c r="D9" s="4" t="s">
        <v>12</v>
      </c>
      <c r="E9" s="4">
        <v>1</v>
      </c>
      <c r="F9" s="20">
        <v>4500000</v>
      </c>
      <c r="G9" s="6">
        <v>1</v>
      </c>
      <c r="H9" s="21">
        <f>+E9*F9*G9</f>
        <v>4500000</v>
      </c>
      <c r="I9" s="8">
        <v>1.7150000000000001</v>
      </c>
      <c r="J9" s="9">
        <f t="shared" si="1"/>
        <v>7717500</v>
      </c>
    </row>
    <row r="10" spans="2:10" ht="41.45" customHeight="1" x14ac:dyDescent="0.25">
      <c r="B10" s="1">
        <v>7</v>
      </c>
      <c r="C10" s="3" t="s">
        <v>18</v>
      </c>
      <c r="D10" s="4" t="s">
        <v>12</v>
      </c>
      <c r="E10" s="4">
        <v>3</v>
      </c>
      <c r="F10" s="20">
        <v>4000000</v>
      </c>
      <c r="G10" s="6">
        <v>1</v>
      </c>
      <c r="H10" s="21">
        <f>+E10*F10*G10</f>
        <v>12000000</v>
      </c>
      <c r="I10" s="8">
        <v>1.7150000000000001</v>
      </c>
      <c r="J10" s="9">
        <f>+H10*I10</f>
        <v>20580000</v>
      </c>
    </row>
    <row r="11" spans="2:10" ht="41.45" customHeight="1" x14ac:dyDescent="0.25">
      <c r="B11" s="1">
        <v>8</v>
      </c>
      <c r="C11" s="3" t="s">
        <v>19</v>
      </c>
      <c r="D11" s="4" t="s">
        <v>12</v>
      </c>
      <c r="E11" s="4">
        <v>8</v>
      </c>
      <c r="F11" s="20">
        <v>4000000</v>
      </c>
      <c r="G11" s="6">
        <v>1</v>
      </c>
      <c r="H11" s="21">
        <f t="shared" si="0"/>
        <v>32000000</v>
      </c>
      <c r="I11" s="8">
        <v>1.7150000000000001</v>
      </c>
      <c r="J11" s="9">
        <f t="shared" si="1"/>
        <v>54880000</v>
      </c>
    </row>
    <row r="12" spans="2:10" ht="41.45" customHeight="1" x14ac:dyDescent="0.25">
      <c r="B12" s="113" t="s">
        <v>20</v>
      </c>
      <c r="C12" s="113"/>
      <c r="D12" s="113"/>
      <c r="E12" s="113"/>
      <c r="F12" s="113"/>
      <c r="G12" s="113"/>
      <c r="H12" s="113"/>
      <c r="I12" s="113"/>
      <c r="J12" s="22">
        <f>SUM(J4:J11)</f>
        <v>127338750</v>
      </c>
    </row>
    <row r="13" spans="2:10" ht="41.45" customHeight="1" x14ac:dyDescent="0.25">
      <c r="B13" s="11" t="s">
        <v>21</v>
      </c>
      <c r="C13" s="12"/>
      <c r="D13" s="12"/>
      <c r="E13" s="12"/>
      <c r="F13" s="12"/>
      <c r="G13" s="12"/>
      <c r="H13" s="12"/>
      <c r="I13" s="12"/>
      <c r="J13" s="13"/>
    </row>
    <row r="14" spans="2:10" ht="41.45" customHeight="1" x14ac:dyDescent="0.25">
      <c r="B14" s="103" t="s">
        <v>22</v>
      </c>
      <c r="C14" s="103"/>
      <c r="D14" s="103"/>
      <c r="E14" s="103"/>
      <c r="F14" s="103"/>
      <c r="G14" s="103"/>
      <c r="H14" s="103"/>
      <c r="I14" s="103"/>
      <c r="J14" s="103"/>
    </row>
    <row r="15" spans="2:10" ht="41.45" customHeight="1" x14ac:dyDescent="0.25">
      <c r="B15" s="103" t="s">
        <v>23</v>
      </c>
      <c r="C15" s="103"/>
      <c r="D15" s="103"/>
      <c r="E15" s="103"/>
      <c r="F15" s="103"/>
      <c r="G15" s="103"/>
      <c r="H15" s="103"/>
      <c r="I15" s="103"/>
      <c r="J15" s="103"/>
    </row>
    <row r="16" spans="2:10" ht="41.45" customHeight="1" x14ac:dyDescent="0.25">
      <c r="B16" s="103"/>
      <c r="C16" s="103"/>
      <c r="D16" s="103"/>
      <c r="E16" s="103"/>
      <c r="F16" s="103"/>
      <c r="G16" s="103"/>
      <c r="H16" s="103"/>
      <c r="I16" s="103"/>
      <c r="J16" s="103"/>
    </row>
    <row r="17" spans="2:10" ht="41.45" customHeight="1" x14ac:dyDescent="0.25">
      <c r="B17" s="14"/>
      <c r="C17" s="15"/>
      <c r="D17" s="15"/>
      <c r="E17" s="15"/>
      <c r="F17" s="15"/>
      <c r="G17" s="15"/>
      <c r="H17" s="15"/>
      <c r="I17" s="15"/>
      <c r="J17" s="15"/>
    </row>
    <row r="18" spans="2:10" ht="41.45" customHeight="1" x14ac:dyDescent="0.25">
      <c r="B18" s="14"/>
      <c r="C18" s="23" t="s">
        <v>8</v>
      </c>
      <c r="D18" s="24">
        <f>+J12</f>
        <v>127338750</v>
      </c>
      <c r="E18" s="15"/>
      <c r="F18" s="15"/>
      <c r="G18" s="15"/>
      <c r="H18" s="15"/>
      <c r="I18" s="15"/>
      <c r="J18" s="15"/>
    </row>
    <row r="19" spans="2:10" ht="41.45" customHeight="1" x14ac:dyDescent="0.25">
      <c r="B19" s="14"/>
      <c r="C19" s="23" t="s">
        <v>24</v>
      </c>
      <c r="D19" s="25">
        <f>D18*(0.19)</f>
        <v>24194362.5</v>
      </c>
      <c r="E19" s="15"/>
      <c r="F19" s="15"/>
      <c r="G19" s="15"/>
      <c r="H19" s="15"/>
      <c r="I19" s="15"/>
      <c r="J19" s="15"/>
    </row>
    <row r="20" spans="2:10" ht="41.45" customHeight="1" x14ac:dyDescent="0.25">
      <c r="B20" s="14"/>
      <c r="C20" s="23" t="s">
        <v>25</v>
      </c>
      <c r="D20" s="9">
        <f>D18+D19</f>
        <v>151533112.5</v>
      </c>
      <c r="E20" s="15"/>
      <c r="F20" s="15"/>
      <c r="G20" s="15"/>
      <c r="H20" s="15"/>
      <c r="I20" s="15"/>
      <c r="J20" s="15"/>
    </row>
  </sheetData>
  <mergeCells count="5">
    <mergeCell ref="B2:J2"/>
    <mergeCell ref="B12:I12"/>
    <mergeCell ref="B14:J14"/>
    <mergeCell ref="B15:J16"/>
    <mergeCell ref="B1:J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706A4-5888-4CF9-81DE-94E860DAA681}">
  <dimension ref="B1:N16"/>
  <sheetViews>
    <sheetView zoomScale="85" zoomScaleNormal="85" workbookViewId="0">
      <selection activeCell="G5" sqref="G5:I5"/>
    </sheetView>
  </sheetViews>
  <sheetFormatPr baseColWidth="10" defaultRowHeight="15" x14ac:dyDescent="0.25"/>
  <cols>
    <col min="2" max="2" width="21.85546875" customWidth="1"/>
    <col min="3" max="3" width="9.7109375" bestFit="1" customWidth="1"/>
    <col min="4" max="4" width="14.85546875" bestFit="1" customWidth="1"/>
    <col min="5" max="5" width="15.140625" bestFit="1" customWidth="1"/>
    <col min="6" max="6" width="16.140625" bestFit="1" customWidth="1"/>
    <col min="7" max="7" width="14.85546875" bestFit="1" customWidth="1"/>
    <col min="8" max="8" width="15.140625" bestFit="1" customWidth="1"/>
    <col min="9" max="9" width="16.140625" bestFit="1" customWidth="1"/>
    <col min="10" max="10" width="21.85546875" bestFit="1" customWidth="1"/>
    <col min="11" max="11" width="19.140625" bestFit="1" customWidth="1"/>
    <col min="12" max="12" width="17.42578125" bestFit="1" customWidth="1"/>
    <col min="13" max="13" width="15.7109375" bestFit="1" customWidth="1"/>
  </cols>
  <sheetData>
    <row r="1" spans="2:14" x14ac:dyDescent="0.25">
      <c r="D1" s="46"/>
      <c r="E1" t="s">
        <v>42</v>
      </c>
      <c r="F1" s="46">
        <v>45717</v>
      </c>
    </row>
    <row r="2" spans="2:14" x14ac:dyDescent="0.25">
      <c r="C2" s="121" t="s">
        <v>47</v>
      </c>
      <c r="D2" s="121"/>
      <c r="E2">
        <v>126.03</v>
      </c>
      <c r="F2">
        <v>148.68</v>
      </c>
    </row>
    <row r="3" spans="2:14" x14ac:dyDescent="0.25">
      <c r="D3" s="46"/>
    </row>
    <row r="4" spans="2:14" x14ac:dyDescent="0.25">
      <c r="D4" s="49" t="s">
        <v>46</v>
      </c>
      <c r="E4" s="48">
        <v>1.87</v>
      </c>
      <c r="G4" s="49" t="s">
        <v>46</v>
      </c>
      <c r="H4" s="48">
        <v>2.7</v>
      </c>
      <c r="J4" s="63">
        <v>2.29</v>
      </c>
      <c r="K4">
        <v>1.7150000000000001</v>
      </c>
      <c r="L4">
        <v>2.5</v>
      </c>
      <c r="M4" s="64">
        <f>AVERAGE(J4:L4)</f>
        <v>2.1683333333333334</v>
      </c>
      <c r="N4">
        <f>+AVERAGE(E4,H4,K4,L4)</f>
        <v>2.19625</v>
      </c>
    </row>
    <row r="5" spans="2:14" ht="28.7" customHeight="1" x14ac:dyDescent="0.25">
      <c r="D5" s="115" t="s">
        <v>40</v>
      </c>
      <c r="E5" s="115"/>
      <c r="F5" s="115"/>
      <c r="G5" s="116" t="s">
        <v>44</v>
      </c>
      <c r="H5" s="117"/>
      <c r="I5" s="118"/>
      <c r="J5" s="119" t="s">
        <v>37</v>
      </c>
    </row>
    <row r="6" spans="2:14" ht="30" x14ac:dyDescent="0.25">
      <c r="B6" s="1" t="s">
        <v>3</v>
      </c>
      <c r="C6" s="1" t="s">
        <v>5</v>
      </c>
      <c r="D6" s="33" t="s">
        <v>41</v>
      </c>
      <c r="E6" s="33" t="s">
        <v>45</v>
      </c>
      <c r="F6" s="33" t="s">
        <v>43</v>
      </c>
      <c r="G6" s="31" t="s">
        <v>41</v>
      </c>
      <c r="H6" s="31" t="s">
        <v>45</v>
      </c>
      <c r="I6" s="31" t="s">
        <v>43</v>
      </c>
      <c r="J6" s="120"/>
    </row>
    <row r="7" spans="2:14" ht="28.7" customHeight="1" x14ac:dyDescent="0.25">
      <c r="B7" s="3" t="s">
        <v>11</v>
      </c>
      <c r="C7" s="4">
        <v>1</v>
      </c>
      <c r="D7" s="47">
        <v>9230000</v>
      </c>
      <c r="E7" s="47">
        <f>(($F$2/$E$2)*D7)*C7</f>
        <v>10888807.426803142</v>
      </c>
      <c r="F7" s="47">
        <f>+E7*C7*$E$4</f>
        <v>20362069.888121877</v>
      </c>
      <c r="G7" s="47">
        <v>8000000</v>
      </c>
      <c r="H7" s="47">
        <f>(($F$2/$E$2)*G7)*C7</f>
        <v>9437752.9159723874</v>
      </c>
      <c r="I7" s="47">
        <f>+H7*C7*$H$4</f>
        <v>25481932.873125449</v>
      </c>
      <c r="J7" s="55">
        <f>+AVERAGE(E7,H7)</f>
        <v>10163280.171387766</v>
      </c>
      <c r="M7" s="26">
        <f>+AVERAGE(E7,H7)</f>
        <v>10163280.171387766</v>
      </c>
    </row>
    <row r="8" spans="2:14" ht="28.7" customHeight="1" x14ac:dyDescent="0.25">
      <c r="B8" s="3" t="s">
        <v>13</v>
      </c>
      <c r="C8" s="4">
        <v>1</v>
      </c>
      <c r="D8" s="47">
        <v>7880443</v>
      </c>
      <c r="E8" s="47">
        <f t="shared" ref="E8:E14" si="0">(($F$2/$E$2)*D8)*C8</f>
        <v>9296709.2378005236</v>
      </c>
      <c r="F8" s="47">
        <f t="shared" ref="F8:F14" si="1">+E8*C8*$E$4</f>
        <v>17384846.274686981</v>
      </c>
      <c r="G8" s="47">
        <v>4000000</v>
      </c>
      <c r="H8" s="47">
        <f t="shared" ref="H8:H14" si="2">(($F$2/$E$2)*G8)*C8</f>
        <v>4718876.4579861937</v>
      </c>
      <c r="I8" s="47">
        <f t="shared" ref="I8:I14" si="3">+H8*C8*$H$4</f>
        <v>12740966.436562724</v>
      </c>
      <c r="J8" s="55">
        <f t="shared" ref="J8:J14" si="4">+AVERAGE(E8,H8)</f>
        <v>7007792.8478933591</v>
      </c>
      <c r="M8" s="26">
        <f t="shared" ref="M8:M14" si="5">+AVERAGE(E8,H8)</f>
        <v>7007792.8478933591</v>
      </c>
    </row>
    <row r="9" spans="2:14" ht="28.7" customHeight="1" x14ac:dyDescent="0.25">
      <c r="B9" s="3" t="s">
        <v>14</v>
      </c>
      <c r="C9" s="4">
        <v>1</v>
      </c>
      <c r="D9" s="47">
        <v>4970718</v>
      </c>
      <c r="E9" s="47">
        <f t="shared" si="0"/>
        <v>5864051.0373720545</v>
      </c>
      <c r="F9" s="47">
        <f t="shared" si="1"/>
        <v>10965775.439885743</v>
      </c>
      <c r="G9" s="47">
        <v>3500000</v>
      </c>
      <c r="H9" s="47">
        <f t="shared" si="2"/>
        <v>4129016.9007379194</v>
      </c>
      <c r="I9" s="47">
        <f t="shared" si="3"/>
        <v>11148345.631992383</v>
      </c>
      <c r="J9" s="55">
        <f t="shared" si="4"/>
        <v>4996533.9690549867</v>
      </c>
      <c r="M9" s="26">
        <f t="shared" si="5"/>
        <v>4996533.9690549867</v>
      </c>
    </row>
    <row r="10" spans="2:14" ht="28.7" customHeight="1" x14ac:dyDescent="0.25">
      <c r="B10" s="3" t="s">
        <v>15</v>
      </c>
      <c r="C10" s="4">
        <v>1</v>
      </c>
      <c r="D10" s="47">
        <v>7880443</v>
      </c>
      <c r="E10" s="47">
        <f t="shared" si="0"/>
        <v>9296709.2378005236</v>
      </c>
      <c r="F10" s="47">
        <f t="shared" si="1"/>
        <v>17384846.274686981</v>
      </c>
      <c r="G10" s="47">
        <f>5000000*0.8</f>
        <v>4000000</v>
      </c>
      <c r="H10" s="47">
        <f t="shared" si="2"/>
        <v>4718876.4579861937</v>
      </c>
      <c r="I10" s="47">
        <f t="shared" si="3"/>
        <v>12740966.436562724</v>
      </c>
      <c r="J10" s="55">
        <f t="shared" si="4"/>
        <v>7007792.8478933591</v>
      </c>
      <c r="M10" s="26">
        <f t="shared" si="5"/>
        <v>7007792.8478933591</v>
      </c>
    </row>
    <row r="11" spans="2:14" ht="28.7" customHeight="1" x14ac:dyDescent="0.25">
      <c r="B11" s="3" t="s">
        <v>16</v>
      </c>
      <c r="C11" s="4">
        <v>1</v>
      </c>
      <c r="D11" s="47">
        <v>7880443</v>
      </c>
      <c r="E11" s="47">
        <f t="shared" si="0"/>
        <v>9296709.2378005236</v>
      </c>
      <c r="F11" s="47">
        <f t="shared" si="1"/>
        <v>17384846.274686981</v>
      </c>
      <c r="G11" s="47">
        <v>4000000</v>
      </c>
      <c r="H11" s="47">
        <f t="shared" si="2"/>
        <v>4718876.4579861937</v>
      </c>
      <c r="I11" s="47">
        <f t="shared" si="3"/>
        <v>12740966.436562724</v>
      </c>
      <c r="J11" s="55">
        <f t="shared" si="4"/>
        <v>7007792.8478933591</v>
      </c>
      <c r="M11" s="26">
        <f t="shared" si="5"/>
        <v>7007792.8478933591</v>
      </c>
    </row>
    <row r="12" spans="2:14" ht="28.7" customHeight="1" x14ac:dyDescent="0.25">
      <c r="B12" s="3" t="s">
        <v>17</v>
      </c>
      <c r="C12" s="4">
        <v>1</v>
      </c>
      <c r="D12" s="47">
        <v>7022777</v>
      </c>
      <c r="E12" s="47">
        <f t="shared" si="0"/>
        <v>8284904.2637467273</v>
      </c>
      <c r="F12" s="47">
        <f t="shared" si="1"/>
        <v>15492770.97320638</v>
      </c>
      <c r="G12" s="47">
        <v>3000000</v>
      </c>
      <c r="H12" s="47">
        <f t="shared" si="2"/>
        <v>3539157.343489645</v>
      </c>
      <c r="I12" s="47">
        <f t="shared" si="3"/>
        <v>9555724.8274220414</v>
      </c>
      <c r="J12" s="55">
        <f t="shared" si="4"/>
        <v>5912030.8036181862</v>
      </c>
      <c r="M12" s="26">
        <f t="shared" si="5"/>
        <v>5912030.8036181862</v>
      </c>
    </row>
    <row r="13" spans="2:14" ht="28.7" customHeight="1" x14ac:dyDescent="0.25">
      <c r="B13" s="3" t="s">
        <v>18</v>
      </c>
      <c r="C13" s="4">
        <v>3</v>
      </c>
      <c r="D13" s="47">
        <v>4970718</v>
      </c>
      <c r="E13" s="47">
        <f t="shared" si="0"/>
        <v>17592153.112116165</v>
      </c>
      <c r="F13" s="47">
        <f t="shared" si="1"/>
        <v>98691978.958971694</v>
      </c>
      <c r="G13" s="47">
        <v>3800000</v>
      </c>
      <c r="H13" s="47">
        <f t="shared" si="2"/>
        <v>13448797.905260652</v>
      </c>
      <c r="I13" s="47">
        <f t="shared" si="3"/>
        <v>108935263.0326113</v>
      </c>
      <c r="J13" s="55">
        <f t="shared" si="4"/>
        <v>15520475.508688409</v>
      </c>
      <c r="M13" s="26">
        <f t="shared" si="5"/>
        <v>15520475.508688409</v>
      </c>
    </row>
    <row r="14" spans="2:14" ht="28.7" customHeight="1" x14ac:dyDescent="0.25">
      <c r="B14" s="3" t="s">
        <v>19</v>
      </c>
      <c r="C14" s="4">
        <v>8</v>
      </c>
      <c r="D14" s="47">
        <v>4970718</v>
      </c>
      <c r="E14" s="47">
        <f t="shared" si="0"/>
        <v>46912408.298976436</v>
      </c>
      <c r="F14" s="47">
        <f t="shared" si="1"/>
        <v>701809628.15268755</v>
      </c>
      <c r="G14" s="47">
        <v>3800000</v>
      </c>
      <c r="H14" s="47">
        <f t="shared" si="2"/>
        <v>35863461.08069507</v>
      </c>
      <c r="I14" s="47">
        <f t="shared" si="3"/>
        <v>774650759.34301353</v>
      </c>
      <c r="J14" s="55">
        <f t="shared" si="4"/>
        <v>41387934.689835757</v>
      </c>
      <c r="K14" s="27">
        <f>+J14/0.19</f>
        <v>217831235.20966187</v>
      </c>
      <c r="L14" s="26">
        <f>+J14-K14</f>
        <v>-176443300.51982611</v>
      </c>
      <c r="M14" s="26">
        <f t="shared" si="5"/>
        <v>41387934.689835757</v>
      </c>
    </row>
    <row r="15" spans="2:14" x14ac:dyDescent="0.25">
      <c r="J15" s="26">
        <f>SUM(J7:J14)</f>
        <v>99003633.686265185</v>
      </c>
      <c r="K15" s="27">
        <f>+J15*19%</f>
        <v>18810690.400390387</v>
      </c>
      <c r="L15" s="26">
        <f>+J15-K15</f>
        <v>80192943.285874799</v>
      </c>
    </row>
    <row r="16" spans="2:14" x14ac:dyDescent="0.25">
      <c r="K16" s="27"/>
    </row>
  </sheetData>
  <mergeCells count="4">
    <mergeCell ref="D5:F5"/>
    <mergeCell ref="G5:I5"/>
    <mergeCell ref="J5:J6"/>
    <mergeCell ref="C2:D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65FE7-3F1E-45E6-AA32-B8E78D09443B}">
  <dimension ref="B1:X3"/>
  <sheetViews>
    <sheetView topLeftCell="I1" zoomScale="85" zoomScaleNormal="85" workbookViewId="0">
      <selection activeCell="K13" sqref="K13"/>
    </sheetView>
  </sheetViews>
  <sheetFormatPr baseColWidth="10" defaultColWidth="11.42578125" defaultRowHeight="15" x14ac:dyDescent="0.25"/>
  <cols>
    <col min="1" max="6" width="11.42578125" style="73"/>
    <col min="7" max="7" width="1.140625" style="73" customWidth="1"/>
    <col min="8" max="9" width="11.42578125" style="73"/>
    <col min="10" max="10" width="3.42578125" style="73" customWidth="1"/>
    <col min="11" max="14" width="11.42578125" style="73"/>
    <col min="15" max="15" width="11.28515625" style="73" customWidth="1"/>
    <col min="16" max="16" width="1.85546875" style="73" customWidth="1"/>
    <col min="17" max="22" width="11.42578125" style="73"/>
    <col min="23" max="23" width="14" style="73" customWidth="1"/>
    <col min="24" max="24" width="32.7109375" style="73" customWidth="1"/>
    <col min="25" max="16384" width="11.42578125" style="73"/>
  </cols>
  <sheetData>
    <row r="1" spans="2:24" x14ac:dyDescent="0.25">
      <c r="K1" s="78">
        <v>0.3</v>
      </c>
      <c r="L1" s="78">
        <v>-0.3</v>
      </c>
    </row>
    <row r="2" spans="2:24" ht="90" x14ac:dyDescent="0.25">
      <c r="B2" s="93" t="s">
        <v>67</v>
      </c>
      <c r="C2" s="93" t="s">
        <v>44</v>
      </c>
      <c r="D2" s="93" t="s">
        <v>26</v>
      </c>
      <c r="E2" s="93" t="s">
        <v>27</v>
      </c>
      <c r="F2" s="44" t="s">
        <v>29</v>
      </c>
      <c r="H2" s="40" t="s">
        <v>31</v>
      </c>
      <c r="I2" s="40" t="s">
        <v>32</v>
      </c>
      <c r="K2" s="93" t="s">
        <v>67</v>
      </c>
      <c r="L2" s="93" t="s">
        <v>44</v>
      </c>
      <c r="M2" s="93" t="s">
        <v>26</v>
      </c>
      <c r="N2" s="93" t="s">
        <v>27</v>
      </c>
      <c r="O2" s="44" t="s">
        <v>38</v>
      </c>
      <c r="Q2" s="42" t="s">
        <v>33</v>
      </c>
      <c r="R2" s="42" t="s">
        <v>34</v>
      </c>
      <c r="S2" s="42" t="s">
        <v>35</v>
      </c>
      <c r="T2" s="101" t="s">
        <v>36</v>
      </c>
      <c r="U2" s="94" t="s">
        <v>68</v>
      </c>
      <c r="V2" s="42" t="s">
        <v>69</v>
      </c>
      <c r="W2" s="95" t="s">
        <v>70</v>
      </c>
      <c r="X2" s="42" t="s">
        <v>48</v>
      </c>
    </row>
    <row r="3" spans="2:24" ht="60" x14ac:dyDescent="0.25">
      <c r="B3" s="96">
        <v>1.87</v>
      </c>
      <c r="C3" s="96"/>
      <c r="D3" s="87">
        <v>1.7150000000000001</v>
      </c>
      <c r="E3" s="87">
        <v>2.5</v>
      </c>
      <c r="F3" s="100">
        <f>AVERAGEIF(B3:E3,"&gt;0",B3:E3)</f>
        <v>2.0283333333333333</v>
      </c>
      <c r="H3" s="39">
        <f>+_xlfn.STDEV.S(B3:E3)</f>
        <v>0.41576235199129563</v>
      </c>
      <c r="I3" s="41">
        <f>IFERROR(H3/AVERAGEIF(B3:E3,"&gt;0",B3:E3),0)</f>
        <v>0.20497733048050729</v>
      </c>
      <c r="K3" s="30">
        <f>IF(OR(((B3-$F3)/$F3)&gt;$K$1,((B3-$F3)/$F3)&lt;$L$1),0,(B3-$F3)/$F3)</f>
        <v>-7.8060805258833132E-2</v>
      </c>
      <c r="L3" s="30">
        <f>IF(OR(((C3-$F3)/$F3)&gt;$K$1,((C3-$F3)/$F3)&lt;$L$1),0,(C3-$F3)/$F3)</f>
        <v>0</v>
      </c>
      <c r="M3" s="30">
        <f>IF(OR(((D3-$F3)/$F3)&gt;$K$1,((D3-$F3)/$F3)&lt;$L$1),0,(D3-$F3)/$F3)</f>
        <v>-0.15447822514379617</v>
      </c>
      <c r="N3" s="30">
        <f>IF(OR(((E3-$F3)/$F3)&gt;$K$1,((E3-$F3)/$F3)&lt;$L$1),0,(E3-$F3)/$F3)</f>
        <v>0.23253903040262944</v>
      </c>
      <c r="O3" s="87" t="s">
        <v>51</v>
      </c>
      <c r="Q3" s="92">
        <f>IFERROR(+HARMEAN(B3:E3),0)</f>
        <v>1.976480231397217</v>
      </c>
      <c r="R3" s="92">
        <f>IFERROR(+GEOMEAN(B3:E3),0)</f>
        <v>2.0014676727049605</v>
      </c>
      <c r="S3" s="92">
        <f>IFERROR(MEDIAN(B3:E3),0)</f>
        <v>1.87</v>
      </c>
      <c r="T3" s="92">
        <f>IFERROR(+AVERAGE(B3:E3),0)</f>
        <v>2.0283333333333333</v>
      </c>
      <c r="U3" s="98">
        <f>+T3</f>
        <v>2.0283333333333333</v>
      </c>
      <c r="V3" s="97">
        <v>1.4869103755519308E-2</v>
      </c>
      <c r="W3" s="99">
        <f>+U3+V3</f>
        <v>2.0432024370888526</v>
      </c>
      <c r="X3" s="68" t="s">
        <v>71</v>
      </c>
    </row>
  </sheetData>
  <conditionalFormatting sqref="I3">
    <cfRule type="cellIs" dxfId="8" priority="7" operator="greaterThan">
      <formula>0.3</formula>
    </cfRule>
    <cfRule type="cellIs" dxfId="7" priority="8" operator="lessThan">
      <formula>0.3</formula>
    </cfRule>
  </conditionalFormatting>
  <conditionalFormatting sqref="K3:N3">
    <cfRule type="cellIs" dxfId="6" priority="1" operator="lessThan">
      <formula>0</formula>
    </cfRule>
    <cfRule type="cellIs" dxfId="5" priority="2" operator="greater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E4D9E-CF4F-41D8-94C1-8F8B66E884A8}">
  <dimension ref="A1:AC20"/>
  <sheetViews>
    <sheetView topLeftCell="I1" zoomScale="55" zoomScaleNormal="55" workbookViewId="0">
      <selection activeCell="AB16" sqref="AB16"/>
    </sheetView>
  </sheetViews>
  <sheetFormatPr baseColWidth="10" defaultColWidth="11.42578125" defaultRowHeight="26.45" customHeight="1" x14ac:dyDescent="0.25"/>
  <cols>
    <col min="1" max="1" width="11.42578125" style="73"/>
    <col min="2" max="2" width="27.85546875" style="73" bestFit="1" customWidth="1"/>
    <col min="3" max="4" width="11.42578125" style="73" customWidth="1"/>
    <col min="5" max="6" width="16.28515625" style="73" customWidth="1"/>
    <col min="7" max="8" width="12.42578125" style="73" customWidth="1"/>
    <col min="9" max="9" width="13.85546875" style="73" customWidth="1"/>
    <col min="10" max="10" width="1.85546875" style="73" customWidth="1"/>
    <col min="11" max="13" width="15.28515625" style="73" customWidth="1"/>
    <col min="14" max="14" width="1.85546875" style="73" customWidth="1"/>
    <col min="15" max="15" width="11.42578125" style="73" customWidth="1"/>
    <col min="16" max="16" width="12.140625" style="73" customWidth="1"/>
    <col min="17" max="17" width="27" style="73" customWidth="1"/>
    <col min="18" max="18" width="4.140625" style="73" customWidth="1"/>
    <col min="19" max="22" width="15.85546875" style="73" customWidth="1"/>
    <col min="23" max="24" width="21.140625" style="73" customWidth="1"/>
    <col min="25" max="25" width="22.140625" style="73" customWidth="1"/>
    <col min="26" max="26" width="18.7109375" style="73" bestFit="1" customWidth="1"/>
    <col min="27" max="27" width="18.85546875" style="73" bestFit="1" customWidth="1"/>
    <col min="28" max="28" width="19.140625" style="73" bestFit="1" customWidth="1"/>
    <col min="29" max="29" width="19.42578125" style="73" customWidth="1"/>
    <col min="30" max="16384" width="11.42578125" style="73"/>
  </cols>
  <sheetData>
    <row r="1" spans="1:29" ht="26.45" customHeight="1" x14ac:dyDescent="0.25">
      <c r="K1" s="73">
        <v>0.3</v>
      </c>
      <c r="L1" s="73">
        <v>-0.3</v>
      </c>
      <c r="Q1" s="74"/>
    </row>
    <row r="2" spans="1:29" ht="26.45" customHeight="1" x14ac:dyDescent="0.25">
      <c r="Z2" s="75" t="s">
        <v>60</v>
      </c>
      <c r="AA2" s="76">
        <v>3.5000000000000003E-2</v>
      </c>
      <c r="AB2" s="76">
        <v>3.5000000000000003E-2</v>
      </c>
    </row>
    <row r="3" spans="1:29" s="77" customFormat="1" ht="49.7" customHeight="1" x14ac:dyDescent="0.25">
      <c r="A3" s="34" t="s">
        <v>2</v>
      </c>
      <c r="B3" s="34" t="s">
        <v>3</v>
      </c>
      <c r="C3" s="34" t="s">
        <v>4</v>
      </c>
      <c r="D3" s="34" t="s">
        <v>5</v>
      </c>
      <c r="E3" s="35" t="s">
        <v>27</v>
      </c>
      <c r="F3" s="35" t="s">
        <v>26</v>
      </c>
      <c r="G3" s="35" t="s">
        <v>30</v>
      </c>
      <c r="H3" s="37" t="s">
        <v>28</v>
      </c>
      <c r="I3" s="38" t="s">
        <v>29</v>
      </c>
      <c r="K3" s="36" t="s">
        <v>27</v>
      </c>
      <c r="L3" s="36" t="s">
        <v>26</v>
      </c>
      <c r="M3" s="35" t="s">
        <v>30</v>
      </c>
      <c r="O3" s="40" t="s">
        <v>31</v>
      </c>
      <c r="P3" s="40" t="s">
        <v>32</v>
      </c>
      <c r="Q3" s="40" t="s">
        <v>48</v>
      </c>
      <c r="S3" s="42" t="s">
        <v>33</v>
      </c>
      <c r="T3" s="42" t="s">
        <v>34</v>
      </c>
      <c r="U3" s="42" t="s">
        <v>35</v>
      </c>
      <c r="V3" s="42" t="s">
        <v>36</v>
      </c>
      <c r="W3" s="44" t="s">
        <v>38</v>
      </c>
      <c r="X3" s="44" t="s">
        <v>59</v>
      </c>
      <c r="Y3" s="44" t="s">
        <v>57</v>
      </c>
      <c r="Z3" s="43" t="s">
        <v>61</v>
      </c>
      <c r="AA3" s="57">
        <v>2026</v>
      </c>
      <c r="AB3" s="57">
        <v>2027</v>
      </c>
    </row>
    <row r="4" spans="1:29" ht="26.45" customHeight="1" x14ac:dyDescent="0.25">
      <c r="A4" s="1">
        <v>1</v>
      </c>
      <c r="B4" s="3" t="s">
        <v>11</v>
      </c>
      <c r="C4" s="4" t="s">
        <v>12</v>
      </c>
      <c r="D4" s="4">
        <v>1</v>
      </c>
      <c r="E4" s="50">
        <f>+'COTIZACION 1'!H5</f>
        <v>5000000</v>
      </c>
      <c r="F4" s="50">
        <f>+'COTIZACION 2'!H4</f>
        <v>8000000</v>
      </c>
      <c r="G4" s="32">
        <f>+'PRECIOS HISTORICOS'!J7</f>
        <v>10163280.171387766</v>
      </c>
      <c r="H4" s="28">
        <f t="shared" ref="H4:H11" si="0">+COUNTIF(E4:G4,"&gt;0")</f>
        <v>3</v>
      </c>
      <c r="I4" s="29">
        <f t="shared" ref="I4:I11" si="1">+AVERAGEIF(E4:G4,"&gt;0",E4:G4)</f>
        <v>7721093.3904625885</v>
      </c>
      <c r="J4" s="78"/>
      <c r="K4" s="30">
        <f t="shared" ref="K4:M11" si="2">IF(OR(((E4-$I4)/$I4)&gt;$K$1,((E4-$I4)/$I4)&lt;$L$1),0,(E4-$I4)/$I4)</f>
        <v>0</v>
      </c>
      <c r="L4" s="30">
        <f t="shared" si="2"/>
        <v>3.6122683075162434E-2</v>
      </c>
      <c r="M4" s="30">
        <f t="shared" si="2"/>
        <v>0</v>
      </c>
      <c r="O4" s="39">
        <f>+_xlfn.STDEV.S(E4:G4)</f>
        <v>2592914.8086071522</v>
      </c>
      <c r="P4" s="41">
        <f t="shared" ref="P4:P11" si="3">IFERROR(O4/AVERAGEIF(E4:G4,"&gt;0",E4:G4),0)</f>
        <v>0.33582223105992048</v>
      </c>
      <c r="Q4" s="56" t="s">
        <v>65</v>
      </c>
      <c r="S4" s="45">
        <f>IFERROR(+HARMEAN(E4:F4),0)</f>
        <v>6153846.1538461549</v>
      </c>
      <c r="T4" s="45">
        <f>IFERROR(+GEOMEAN(E4:G4),0)</f>
        <v>7407948.6470375899</v>
      </c>
      <c r="U4" s="45">
        <f>IFERROR(MEDIAN(E4:G4),0)</f>
        <v>8000000</v>
      </c>
      <c r="V4" s="45">
        <f>IFERROR(+AVERAGE(E4:G4),0)</f>
        <v>7721093.3904625885</v>
      </c>
      <c r="W4" s="23" t="s">
        <v>39</v>
      </c>
      <c r="X4" s="79">
        <f>+MIN(S4:V4)</f>
        <v>6153846.1538461549</v>
      </c>
      <c r="Y4" s="80">
        <f>+'FACTOR MULTIPLICADOR'!W3</f>
        <v>2.0432024370888526</v>
      </c>
      <c r="Z4" s="79">
        <f>+(X4*Y4)</f>
        <v>12573553.459008327</v>
      </c>
      <c r="AA4" s="81">
        <f>(Z4*(1+AA$2))</f>
        <v>13013627.830073617</v>
      </c>
      <c r="AB4" s="81">
        <f>+(AA4*(1+AB$2))</f>
        <v>13469104.804126194</v>
      </c>
    </row>
    <row r="5" spans="1:29" ht="26.45" customHeight="1" x14ac:dyDescent="0.25">
      <c r="A5" s="1">
        <v>2</v>
      </c>
      <c r="B5" s="3" t="s">
        <v>13</v>
      </c>
      <c r="C5" s="4" t="s">
        <v>12</v>
      </c>
      <c r="D5" s="4">
        <v>1</v>
      </c>
      <c r="E5" s="50">
        <f>+'COTIZACION 1'!H6</f>
        <v>5000000</v>
      </c>
      <c r="F5" s="50">
        <f>+'COTIZACION 2'!H5</f>
        <v>5500000</v>
      </c>
      <c r="G5" s="32">
        <f>+'PRECIOS HISTORICOS'!J8</f>
        <v>7007792.8478933591</v>
      </c>
      <c r="H5" s="28">
        <f t="shared" si="0"/>
        <v>3</v>
      </c>
      <c r="I5" s="29">
        <f t="shared" si="1"/>
        <v>5835930.9492977858</v>
      </c>
      <c r="K5" s="30">
        <f t="shared" si="2"/>
        <v>-0.14323866347294084</v>
      </c>
      <c r="L5" s="30">
        <f t="shared" si="2"/>
        <v>-5.7562529820234937E-2</v>
      </c>
      <c r="M5" s="30">
        <f t="shared" si="2"/>
        <v>0.20080119329317611</v>
      </c>
      <c r="O5" s="39">
        <f t="shared" ref="O5:O11" si="4">+_xlfn.STDEV.S(E5:G5)</f>
        <v>1045201.0486193666</v>
      </c>
      <c r="P5" s="41">
        <f t="shared" si="3"/>
        <v>0.17909756947092245</v>
      </c>
      <c r="Q5" s="56"/>
      <c r="S5" s="45">
        <f t="shared" ref="S5:S11" si="5">IFERROR(+HARMEAN(E5:F5),0)</f>
        <v>5238095.2380952379</v>
      </c>
      <c r="T5" s="45">
        <f t="shared" ref="T5:T11" si="6">IFERROR(+GEOMEAN(E5:G5),0)</f>
        <v>5776143.6195653323</v>
      </c>
      <c r="U5" s="45">
        <f t="shared" ref="U5:U11" si="7">IFERROR(MEDIAN(E5:G5),0)</f>
        <v>5500000</v>
      </c>
      <c r="V5" s="45">
        <f t="shared" ref="V5:V11" si="8">IFERROR(+AVERAGE(E5:G5),0)</f>
        <v>5835930.9492977858</v>
      </c>
      <c r="W5" s="23" t="s">
        <v>39</v>
      </c>
      <c r="X5" s="79">
        <f t="shared" ref="X5:X11" si="9">+MIN(S5:V5)</f>
        <v>5238095.2380952379</v>
      </c>
      <c r="Y5" s="80">
        <f>+Y4</f>
        <v>2.0432024370888526</v>
      </c>
      <c r="Z5" s="79">
        <f t="shared" ref="Z5:Z11" si="10">+(X5*Y5)</f>
        <v>10702488.956179705</v>
      </c>
      <c r="AA5" s="81">
        <f t="shared" ref="AA5:AA11" si="11">(Z5*(1+AA$2))</f>
        <v>11077076.069645993</v>
      </c>
      <c r="AB5" s="81">
        <f t="shared" ref="AB5:AB11" si="12">+(AA5*(1+AB$2))</f>
        <v>11464773.732083602</v>
      </c>
    </row>
    <row r="6" spans="1:29" ht="26.45" customHeight="1" x14ac:dyDescent="0.25">
      <c r="A6" s="1">
        <v>3</v>
      </c>
      <c r="B6" s="3" t="s">
        <v>14</v>
      </c>
      <c r="C6" s="4" t="s">
        <v>12</v>
      </c>
      <c r="D6" s="4">
        <v>1</v>
      </c>
      <c r="E6" s="50">
        <f>+'COTIZACION 1'!H7</f>
        <v>5000000</v>
      </c>
      <c r="F6" s="50">
        <f>+'COTIZACION 2'!H6</f>
        <v>4500000</v>
      </c>
      <c r="G6" s="32">
        <f>+'PRECIOS HISTORICOS'!J9</f>
        <v>4996533.9690549867</v>
      </c>
      <c r="H6" s="28">
        <f t="shared" si="0"/>
        <v>3</v>
      </c>
      <c r="I6" s="29">
        <f t="shared" si="1"/>
        <v>4832177.9896849953</v>
      </c>
      <c r="K6" s="30">
        <f t="shared" si="2"/>
        <v>3.4730097002479185E-2</v>
      </c>
      <c r="L6" s="30">
        <f t="shared" si="2"/>
        <v>-6.8742912697768735E-2</v>
      </c>
      <c r="M6" s="30">
        <f t="shared" si="2"/>
        <v>3.4012815695289744E-2</v>
      </c>
      <c r="O6" s="39">
        <f t="shared" si="4"/>
        <v>287679.79763271823</v>
      </c>
      <c r="P6" s="41">
        <f t="shared" si="3"/>
        <v>5.9534188982031222E-2</v>
      </c>
      <c r="Q6" s="56"/>
      <c r="S6" s="45">
        <f t="shared" si="5"/>
        <v>4736842.1052631577</v>
      </c>
      <c r="T6" s="45">
        <f t="shared" si="6"/>
        <v>4826331.1931500928</v>
      </c>
      <c r="U6" s="45">
        <f t="shared" si="7"/>
        <v>4996533.9690549867</v>
      </c>
      <c r="V6" s="45">
        <f t="shared" si="8"/>
        <v>4832177.9896849953</v>
      </c>
      <c r="W6" s="23" t="s">
        <v>39</v>
      </c>
      <c r="X6" s="79">
        <f t="shared" si="9"/>
        <v>4736842.1052631577</v>
      </c>
      <c r="Y6" s="80">
        <f t="shared" ref="Y6:Y11" si="13">+Y5</f>
        <v>2.0432024370888526</v>
      </c>
      <c r="Z6" s="79">
        <f t="shared" si="10"/>
        <v>9678327.3335787747</v>
      </c>
      <c r="AA6" s="81">
        <f t="shared" si="11"/>
        <v>10017068.79025403</v>
      </c>
      <c r="AB6" s="81">
        <f t="shared" si="12"/>
        <v>10367666.19791292</v>
      </c>
    </row>
    <row r="7" spans="1:29" ht="26.45" customHeight="1" x14ac:dyDescent="0.25">
      <c r="A7" s="1">
        <v>4</v>
      </c>
      <c r="B7" s="3" t="s">
        <v>15</v>
      </c>
      <c r="C7" s="4" t="s">
        <v>12</v>
      </c>
      <c r="D7" s="4">
        <v>1</v>
      </c>
      <c r="E7" s="50">
        <f>+'COTIZACION 1'!H8</f>
        <v>5000000</v>
      </c>
      <c r="F7" s="50">
        <f>+'COTIZACION 2'!H7</f>
        <v>5500000</v>
      </c>
      <c r="G7" s="32">
        <f>+'PRECIOS HISTORICOS'!J10</f>
        <v>7007792.8478933591</v>
      </c>
      <c r="H7" s="28">
        <f t="shared" si="0"/>
        <v>3</v>
      </c>
      <c r="I7" s="29">
        <f t="shared" si="1"/>
        <v>5835930.9492977858</v>
      </c>
      <c r="K7" s="30">
        <f t="shared" si="2"/>
        <v>-0.14323866347294084</v>
      </c>
      <c r="L7" s="30">
        <f t="shared" si="2"/>
        <v>-5.7562529820234937E-2</v>
      </c>
      <c r="M7" s="30">
        <f t="shared" si="2"/>
        <v>0.20080119329317611</v>
      </c>
      <c r="O7" s="39">
        <f t="shared" si="4"/>
        <v>1045201.0486193666</v>
      </c>
      <c r="P7" s="41">
        <f t="shared" si="3"/>
        <v>0.17909756947092245</v>
      </c>
      <c r="Q7" s="56"/>
      <c r="S7" s="45">
        <f t="shared" si="5"/>
        <v>5238095.2380952379</v>
      </c>
      <c r="T7" s="45">
        <f t="shared" si="6"/>
        <v>5776143.6195653323</v>
      </c>
      <c r="U7" s="45">
        <f t="shared" si="7"/>
        <v>5500000</v>
      </c>
      <c r="V7" s="45">
        <f t="shared" si="8"/>
        <v>5835930.9492977858</v>
      </c>
      <c r="W7" s="23" t="s">
        <v>39</v>
      </c>
      <c r="X7" s="79">
        <f t="shared" si="9"/>
        <v>5238095.2380952379</v>
      </c>
      <c r="Y7" s="80">
        <f t="shared" si="13"/>
        <v>2.0432024370888526</v>
      </c>
      <c r="Z7" s="79">
        <f t="shared" si="10"/>
        <v>10702488.956179705</v>
      </c>
      <c r="AA7" s="81">
        <f t="shared" si="11"/>
        <v>11077076.069645993</v>
      </c>
      <c r="AB7" s="81">
        <f t="shared" si="12"/>
        <v>11464773.732083602</v>
      </c>
    </row>
    <row r="8" spans="1:29" ht="26.45" customHeight="1" x14ac:dyDescent="0.25">
      <c r="A8" s="1">
        <v>5</v>
      </c>
      <c r="B8" s="3" t="s">
        <v>16</v>
      </c>
      <c r="C8" s="4" t="s">
        <v>12</v>
      </c>
      <c r="D8" s="4">
        <v>1</v>
      </c>
      <c r="E8" s="50">
        <f>+'COTIZACION 1'!H9</f>
        <v>3750000</v>
      </c>
      <c r="F8" s="50">
        <f>+'COTIZACION 2'!H8</f>
        <v>2250000</v>
      </c>
      <c r="G8" s="32">
        <f>+'PRECIOS HISTORICOS'!J11</f>
        <v>7007792.8478933591</v>
      </c>
      <c r="H8" s="28">
        <f t="shared" si="0"/>
        <v>3</v>
      </c>
      <c r="I8" s="29">
        <f t="shared" si="1"/>
        <v>4335930.9492977867</v>
      </c>
      <c r="J8" s="78"/>
      <c r="K8" s="30">
        <f t="shared" si="2"/>
        <v>-0.13513382850173836</v>
      </c>
      <c r="L8" s="30">
        <f t="shared" si="2"/>
        <v>0</v>
      </c>
      <c r="M8" s="30">
        <f t="shared" si="2"/>
        <v>0</v>
      </c>
      <c r="O8" s="39">
        <f t="shared" si="4"/>
        <v>2432413.308604246</v>
      </c>
      <c r="P8" s="41">
        <f t="shared" si="3"/>
        <v>0.56098986285705965</v>
      </c>
      <c r="Q8" s="56" t="s">
        <v>66</v>
      </c>
      <c r="S8" s="45">
        <f t="shared" si="5"/>
        <v>2812500</v>
      </c>
      <c r="T8" s="45">
        <f t="shared" si="6"/>
        <v>3895815.1946090721</v>
      </c>
      <c r="U8" s="45">
        <f t="shared" si="7"/>
        <v>3750000</v>
      </c>
      <c r="V8" s="45">
        <f t="shared" si="8"/>
        <v>4335930.9492977867</v>
      </c>
      <c r="W8" s="23" t="s">
        <v>39</v>
      </c>
      <c r="X8" s="79">
        <f t="shared" si="9"/>
        <v>2812500</v>
      </c>
      <c r="Y8" s="80">
        <f t="shared" si="13"/>
        <v>2.0432024370888526</v>
      </c>
      <c r="Z8" s="79">
        <f t="shared" si="10"/>
        <v>5746506.8543123985</v>
      </c>
      <c r="AA8" s="81">
        <f t="shared" si="11"/>
        <v>5947634.594213332</v>
      </c>
      <c r="AB8" s="81">
        <f t="shared" si="12"/>
        <v>6155801.8050107984</v>
      </c>
    </row>
    <row r="9" spans="1:29" ht="26.45" customHeight="1" x14ac:dyDescent="0.25">
      <c r="A9" s="1">
        <v>6</v>
      </c>
      <c r="B9" s="3" t="s">
        <v>17</v>
      </c>
      <c r="C9" s="4" t="s">
        <v>12</v>
      </c>
      <c r="D9" s="4">
        <v>1</v>
      </c>
      <c r="E9" s="50">
        <f>+'COTIZACION 1'!H10</f>
        <v>5000000</v>
      </c>
      <c r="F9" s="50">
        <f>+'COTIZACION 2'!H9</f>
        <v>4500000</v>
      </c>
      <c r="G9" s="32">
        <f>+'PRECIOS HISTORICOS'!J12</f>
        <v>5912030.8036181862</v>
      </c>
      <c r="H9" s="28">
        <f t="shared" si="0"/>
        <v>3</v>
      </c>
      <c r="I9" s="29">
        <f t="shared" si="1"/>
        <v>5137343.6012060614</v>
      </c>
      <c r="J9" s="78"/>
      <c r="K9" s="30">
        <f t="shared" si="2"/>
        <v>-2.6734361543155911E-2</v>
      </c>
      <c r="L9" s="30">
        <f t="shared" si="2"/>
        <v>-0.12406092538884032</v>
      </c>
      <c r="M9" s="30">
        <f t="shared" si="2"/>
        <v>0.15079528693199659</v>
      </c>
      <c r="O9" s="39">
        <f t="shared" si="4"/>
        <v>715964.52159715549</v>
      </c>
      <c r="P9" s="41">
        <f t="shared" si="3"/>
        <v>0.13936473344494091</v>
      </c>
      <c r="Q9" s="56"/>
      <c r="S9" s="45">
        <f t="shared" si="5"/>
        <v>4736842.1052631577</v>
      </c>
      <c r="T9" s="45">
        <f t="shared" si="6"/>
        <v>5104733.4380646544</v>
      </c>
      <c r="U9" s="45">
        <f t="shared" si="7"/>
        <v>5000000</v>
      </c>
      <c r="V9" s="45">
        <f t="shared" si="8"/>
        <v>5137343.6012060614</v>
      </c>
      <c r="W9" s="23" t="s">
        <v>39</v>
      </c>
      <c r="X9" s="79">
        <f t="shared" si="9"/>
        <v>4736842.1052631577</v>
      </c>
      <c r="Y9" s="80">
        <f t="shared" si="13"/>
        <v>2.0432024370888526</v>
      </c>
      <c r="Z9" s="79">
        <f t="shared" si="10"/>
        <v>9678327.3335787747</v>
      </c>
      <c r="AA9" s="81">
        <f t="shared" si="11"/>
        <v>10017068.79025403</v>
      </c>
      <c r="AB9" s="81">
        <f t="shared" si="12"/>
        <v>10367666.19791292</v>
      </c>
    </row>
    <row r="10" spans="1:29" ht="26.45" customHeight="1" x14ac:dyDescent="0.25">
      <c r="A10" s="1">
        <v>7</v>
      </c>
      <c r="B10" s="3" t="s">
        <v>18</v>
      </c>
      <c r="C10" s="4" t="s">
        <v>12</v>
      </c>
      <c r="D10" s="4">
        <v>3</v>
      </c>
      <c r="E10" s="50">
        <f>+'COTIZACION 1'!H11</f>
        <v>15000000</v>
      </c>
      <c r="F10" s="50">
        <f>+'COTIZACION 2'!H10</f>
        <v>12000000</v>
      </c>
      <c r="G10" s="32">
        <f>+'PRECIOS HISTORICOS'!J13</f>
        <v>15520475.508688409</v>
      </c>
      <c r="H10" s="28">
        <f t="shared" si="0"/>
        <v>3</v>
      </c>
      <c r="I10" s="29">
        <f t="shared" si="1"/>
        <v>14173491.836229468</v>
      </c>
      <c r="K10" s="30">
        <f t="shared" si="2"/>
        <v>5.8313658576206281E-2</v>
      </c>
      <c r="L10" s="30">
        <f t="shared" si="2"/>
        <v>-0.15334907313903498</v>
      </c>
      <c r="M10" s="30">
        <f t="shared" si="2"/>
        <v>9.5035414562829088E-2</v>
      </c>
      <c r="O10" s="39">
        <f t="shared" si="4"/>
        <v>1900203.6102489945</v>
      </c>
      <c r="P10" s="41">
        <f t="shared" si="3"/>
        <v>0.13406742898682192</v>
      </c>
      <c r="Q10" s="56"/>
      <c r="S10" s="45">
        <f t="shared" si="5"/>
        <v>13333333.333333334</v>
      </c>
      <c r="T10" s="45">
        <f t="shared" si="6"/>
        <v>14083994.365198988</v>
      </c>
      <c r="U10" s="45">
        <f t="shared" si="7"/>
        <v>15000000</v>
      </c>
      <c r="V10" s="45">
        <f t="shared" si="8"/>
        <v>14173491.836229468</v>
      </c>
      <c r="W10" s="23" t="s">
        <v>39</v>
      </c>
      <c r="X10" s="79">
        <f t="shared" si="9"/>
        <v>13333333.333333334</v>
      </c>
      <c r="Y10" s="80">
        <f t="shared" si="13"/>
        <v>2.0432024370888526</v>
      </c>
      <c r="Z10" s="79">
        <f t="shared" si="10"/>
        <v>27242699.161184702</v>
      </c>
      <c r="AA10" s="81">
        <f t="shared" si="11"/>
        <v>28196193.631826166</v>
      </c>
      <c r="AB10" s="81">
        <f t="shared" si="12"/>
        <v>29183060.408940081</v>
      </c>
    </row>
    <row r="11" spans="1:29" ht="26.45" customHeight="1" x14ac:dyDescent="0.25">
      <c r="A11" s="1">
        <v>8</v>
      </c>
      <c r="B11" s="3" t="s">
        <v>19</v>
      </c>
      <c r="C11" s="4" t="s">
        <v>12</v>
      </c>
      <c r="D11" s="4">
        <v>8</v>
      </c>
      <c r="E11" s="50">
        <f>+'COTIZACION 1'!H12</f>
        <v>36000000</v>
      </c>
      <c r="F11" s="50">
        <f>+'COTIZACION 2'!H11</f>
        <v>32000000</v>
      </c>
      <c r="G11" s="32">
        <f>+'PRECIOS HISTORICOS'!J14</f>
        <v>41387934.689835757</v>
      </c>
      <c r="H11" s="28">
        <f t="shared" si="0"/>
        <v>3</v>
      </c>
      <c r="I11" s="29">
        <f t="shared" si="1"/>
        <v>36462644.896611921</v>
      </c>
      <c r="K11" s="30">
        <f t="shared" si="2"/>
        <v>-1.2688188087389954E-2</v>
      </c>
      <c r="L11" s="30">
        <f t="shared" si="2"/>
        <v>-0.1223895005221244</v>
      </c>
      <c r="M11" s="30">
        <f t="shared" si="2"/>
        <v>0.13507768860951416</v>
      </c>
      <c r="O11" s="39">
        <f t="shared" si="4"/>
        <v>4711035.9434445258</v>
      </c>
      <c r="P11" s="41">
        <f t="shared" si="3"/>
        <v>0.12920170648076798</v>
      </c>
      <c r="Q11" s="56"/>
      <c r="S11" s="45">
        <f t="shared" si="5"/>
        <v>33882352.941176474</v>
      </c>
      <c r="T11" s="45">
        <f t="shared" si="6"/>
        <v>36261192.139853679</v>
      </c>
      <c r="U11" s="45">
        <f t="shared" si="7"/>
        <v>36000000</v>
      </c>
      <c r="V11" s="45">
        <f t="shared" si="8"/>
        <v>36462644.896611921</v>
      </c>
      <c r="W11" s="23" t="s">
        <v>39</v>
      </c>
      <c r="X11" s="79">
        <f t="shared" si="9"/>
        <v>33882352.941176474</v>
      </c>
      <c r="Y11" s="80">
        <f t="shared" si="13"/>
        <v>2.0432024370888526</v>
      </c>
      <c r="Z11" s="79">
        <f t="shared" si="10"/>
        <v>69228506.103716433</v>
      </c>
      <c r="AA11" s="81">
        <f t="shared" si="11"/>
        <v>71651503.817346498</v>
      </c>
      <c r="AB11" s="81">
        <f t="shared" si="12"/>
        <v>74159306.450953618</v>
      </c>
    </row>
    <row r="12" spans="1:29" ht="26.45" customHeight="1" x14ac:dyDescent="0.25">
      <c r="I12" s="82"/>
      <c r="Y12" s="65" t="s">
        <v>62</v>
      </c>
      <c r="Z12" s="66">
        <f>SUM(Z4:Z11)</f>
        <v>155552898.1577388</v>
      </c>
      <c r="AA12" s="67">
        <f t="shared" ref="AA12:AB12" si="14">SUM(AA4:AA11)</f>
        <v>160997249.59325963</v>
      </c>
      <c r="AB12" s="67">
        <f t="shared" si="14"/>
        <v>166632153.32902372</v>
      </c>
    </row>
    <row r="13" spans="1:29" ht="26.45" customHeight="1" x14ac:dyDescent="0.25">
      <c r="I13" s="82"/>
      <c r="Y13" s="68" t="s">
        <v>52</v>
      </c>
      <c r="Z13" s="69">
        <v>5</v>
      </c>
      <c r="AA13" s="69">
        <v>12</v>
      </c>
      <c r="AB13" s="69">
        <v>13</v>
      </c>
      <c r="AC13" s="23">
        <f>SUM(Z13:AB13)</f>
        <v>30</v>
      </c>
    </row>
    <row r="14" spans="1:29" ht="26.45" customHeight="1" x14ac:dyDescent="0.25">
      <c r="I14" s="82"/>
      <c r="Y14" s="70" t="s">
        <v>53</v>
      </c>
      <c r="Z14" s="71">
        <f>+Z12*Z13</f>
        <v>777764490.78869402</v>
      </c>
      <c r="AA14" s="71">
        <f t="shared" ref="AA14:AB14" si="15">+AA12*AA13</f>
        <v>1931966995.1191156</v>
      </c>
      <c r="AB14" s="71">
        <f t="shared" si="15"/>
        <v>2166217993.2773085</v>
      </c>
      <c r="AC14" s="83">
        <f>SUM(Z14:AB14)</f>
        <v>4875949479.1851177</v>
      </c>
    </row>
    <row r="15" spans="1:29" ht="26.45" customHeight="1" x14ac:dyDescent="0.25">
      <c r="Y15" s="68" t="s">
        <v>24</v>
      </c>
      <c r="Z15" s="72">
        <f>+Z14*0.19</f>
        <v>147775253.24985185</v>
      </c>
      <c r="AA15" s="72">
        <f t="shared" ref="AA15:AB15" si="16">+AA14*0.19</f>
        <v>367073729.07263196</v>
      </c>
      <c r="AB15" s="72">
        <f t="shared" si="16"/>
        <v>411581418.72268862</v>
      </c>
    </row>
    <row r="16" spans="1:29" ht="26.45" customHeight="1" x14ac:dyDescent="0.25">
      <c r="Y16" s="70" t="s">
        <v>54</v>
      </c>
      <c r="Z16" s="71">
        <f>SUM(Z14:Z15)</f>
        <v>925539744.03854585</v>
      </c>
      <c r="AA16" s="71">
        <f t="shared" ref="AA16:AB16" si="17">SUM(AA14:AA15)</f>
        <v>2299040724.1917477</v>
      </c>
      <c r="AB16" s="71">
        <f t="shared" si="17"/>
        <v>2577799411.9999971</v>
      </c>
      <c r="AC16" s="83">
        <f>SUM(Z16:AB16)</f>
        <v>5802379880.2302904</v>
      </c>
    </row>
    <row r="17" spans="25:29" ht="26.45" customHeight="1" x14ac:dyDescent="0.25">
      <c r="Y17" s="68" t="s">
        <v>63</v>
      </c>
      <c r="Z17" s="72">
        <f>+Z16/Z13</f>
        <v>185107948.80770916</v>
      </c>
      <c r="AA17" s="72">
        <f t="shared" ref="AA17:AB17" si="18">+AA16/AA13</f>
        <v>191586727.01597896</v>
      </c>
      <c r="AB17" s="72">
        <f t="shared" si="18"/>
        <v>198292262.46153826</v>
      </c>
    </row>
    <row r="18" spans="25:29" ht="26.45" customHeight="1" x14ac:dyDescent="0.25">
      <c r="AB18" s="84"/>
      <c r="AC18" s="84"/>
    </row>
    <row r="19" spans="25:29" ht="26.45" customHeight="1" x14ac:dyDescent="0.25">
      <c r="Z19" s="85"/>
      <c r="AA19" s="84"/>
      <c r="AB19" s="84"/>
    </row>
    <row r="20" spans="25:29" ht="26.45" customHeight="1" x14ac:dyDescent="0.25">
      <c r="AA20" s="86"/>
      <c r="AB20" s="86"/>
    </row>
  </sheetData>
  <conditionalFormatting sqref="H4:I11">
    <cfRule type="cellIs" dxfId="4" priority="7" operator="lessThan">
      <formula>3</formula>
    </cfRule>
  </conditionalFormatting>
  <conditionalFormatting sqref="K4:M11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P4:Q11">
    <cfRule type="cellIs" dxfId="1" priority="1" operator="greaterThan">
      <formula>0.3</formula>
    </cfRule>
    <cfRule type="cellIs" dxfId="0" priority="2" operator="lessThan">
      <formula>0.3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FF17D-1CDD-47FE-8443-34233E56D351}">
  <dimension ref="C5:G16"/>
  <sheetViews>
    <sheetView showGridLines="0" tabSelected="1" zoomScale="160" zoomScaleNormal="160" workbookViewId="0">
      <selection activeCell="F7" sqref="F7"/>
    </sheetView>
  </sheetViews>
  <sheetFormatPr baseColWidth="10" defaultRowHeight="15" x14ac:dyDescent="0.25"/>
  <cols>
    <col min="4" max="4" width="19.42578125" customWidth="1"/>
    <col min="5" max="5" width="17" customWidth="1"/>
    <col min="6" max="6" width="18.7109375" customWidth="1"/>
    <col min="7" max="7" width="18.140625" bestFit="1" customWidth="1"/>
  </cols>
  <sheetData>
    <row r="5" spans="3:7" x14ac:dyDescent="0.25">
      <c r="C5" s="122" t="s">
        <v>50</v>
      </c>
      <c r="D5" s="122"/>
      <c r="E5" s="122"/>
      <c r="F5" s="122"/>
    </row>
    <row r="6" spans="3:7" ht="45" x14ac:dyDescent="0.25">
      <c r="C6" s="53" t="s">
        <v>56</v>
      </c>
      <c r="D6" s="53" t="s">
        <v>72</v>
      </c>
      <c r="E6" s="53" t="s">
        <v>58</v>
      </c>
      <c r="F6" s="53" t="s">
        <v>49</v>
      </c>
    </row>
    <row r="7" spans="3:7" x14ac:dyDescent="0.25">
      <c r="C7" s="51">
        <v>2025</v>
      </c>
      <c r="D7" s="51">
        <f>+'ANALISIS DE PRECIOS'!Z13</f>
        <v>5</v>
      </c>
      <c r="E7" s="52">
        <f>+'ANALISIS DE PRECIOS'!Z12</f>
        <v>155552898.1577388</v>
      </c>
      <c r="F7" s="59">
        <f>ROUND((D7*E7),0)</f>
        <v>777764491</v>
      </c>
      <c r="G7" s="27"/>
    </row>
    <row r="8" spans="3:7" x14ac:dyDescent="0.25">
      <c r="C8" s="51">
        <v>2026</v>
      </c>
      <c r="D8" s="51">
        <f>+'ANALISIS DE PRECIOS'!AA13</f>
        <v>12</v>
      </c>
      <c r="E8" s="52">
        <f>+'ANALISIS DE PRECIOS'!AA12</f>
        <v>160997249.59325963</v>
      </c>
      <c r="F8" s="59">
        <f t="shared" ref="F8:F9" si="0">ROUND((D8*E8),0)</f>
        <v>1931966995</v>
      </c>
      <c r="G8" s="27"/>
    </row>
    <row r="9" spans="3:7" x14ac:dyDescent="0.25">
      <c r="C9" s="51">
        <v>2027</v>
      </c>
      <c r="D9" s="51">
        <v>13</v>
      </c>
      <c r="E9" s="52">
        <f>+'ANALISIS DE PRECIOS'!AB12</f>
        <v>166632153.32902372</v>
      </c>
      <c r="F9" s="59">
        <f t="shared" si="0"/>
        <v>2166217993</v>
      </c>
      <c r="G9" s="27"/>
    </row>
    <row r="10" spans="3:7" x14ac:dyDescent="0.25">
      <c r="C10" s="12" t="s">
        <v>64</v>
      </c>
      <c r="D10" s="51">
        <f>SUM(D7:D9)</f>
        <v>30</v>
      </c>
      <c r="E10" s="17" t="s">
        <v>8</v>
      </c>
      <c r="F10" s="62">
        <f>SUM(F7:F9)</f>
        <v>4875949479</v>
      </c>
      <c r="G10" s="102"/>
    </row>
    <row r="11" spans="3:7" x14ac:dyDescent="0.25">
      <c r="E11" s="17" t="s">
        <v>55</v>
      </c>
      <c r="F11" s="58">
        <v>0.19</v>
      </c>
    </row>
    <row r="12" spans="3:7" x14ac:dyDescent="0.25">
      <c r="E12" s="17" t="s">
        <v>54</v>
      </c>
      <c r="F12" s="61">
        <f>ROUND((F10*(1+F11)),0)</f>
        <v>5802379880</v>
      </c>
    </row>
    <row r="13" spans="3:7" x14ac:dyDescent="0.25">
      <c r="E13" s="12"/>
      <c r="F13" s="60"/>
    </row>
    <row r="14" spans="3:7" x14ac:dyDescent="0.25">
      <c r="F14" s="27"/>
    </row>
    <row r="15" spans="3:7" x14ac:dyDescent="0.25">
      <c r="E15" s="27"/>
      <c r="F15" s="54"/>
    </row>
    <row r="16" spans="3:7" x14ac:dyDescent="0.25">
      <c r="F16" s="27"/>
    </row>
  </sheetData>
  <mergeCells count="1">
    <mergeCell ref="C5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COTIZACION 1</vt:lpstr>
      <vt:lpstr>COTIZACION 2</vt:lpstr>
      <vt:lpstr>PRECIOS HISTORICOS</vt:lpstr>
      <vt:lpstr>FACTOR MULTIPLICADOR</vt:lpstr>
      <vt:lpstr>ANALISIS DE PRECIOS</vt:lpstr>
      <vt:lpstr>VALOR 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leonardo beltran</dc:creator>
  <cp:lastModifiedBy>jorge andres torres calderon</cp:lastModifiedBy>
  <dcterms:created xsi:type="dcterms:W3CDTF">2025-05-20T01:32:34Z</dcterms:created>
  <dcterms:modified xsi:type="dcterms:W3CDTF">2025-06-12T22:05:25Z</dcterms:modified>
</cp:coreProperties>
</file>