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poyo.gestion\Desktop\Avance Kate\ESCUELA DOS AGUAS\"/>
    </mc:Choice>
  </mc:AlternateContent>
  <bookViews>
    <workbookView xWindow="-120" yWindow="-120" windowWidth="20730" windowHeight="11160" activeTab="3"/>
  </bookViews>
  <sheets>
    <sheet name="PRESUPUESTO" sheetId="1" r:id="rId1"/>
    <sheet name="MANO DE OBRA" sheetId="4" r:id="rId2"/>
    <sheet name="APUS" sheetId="11" r:id="rId3"/>
    <sheet name="PRESUPUESTO (2)" sheetId="12" r:id="rId4"/>
  </sheets>
  <definedNames>
    <definedName name="_xlnm.Print_Area" localSheetId="0">PRESUPUESTO!$B$2:$G$57</definedName>
    <definedName name="_xlnm.Print_Area" localSheetId="3">'PRESUPUESTO (2)'!$B$1:$G$36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2" l="1"/>
  <c r="F17" i="12"/>
  <c r="B18" i="12"/>
  <c r="F18" i="12"/>
  <c r="G18" i="12" s="1"/>
  <c r="F30" i="12"/>
  <c r="G25" i="12"/>
  <c r="G24" i="12" s="1"/>
  <c r="E20" i="12"/>
  <c r="E15" i="12"/>
  <c r="F14" i="12"/>
  <c r="G14" i="12" s="1"/>
  <c r="F13" i="12"/>
  <c r="G13" i="12" s="1"/>
  <c r="B13" i="12"/>
  <c r="B14" i="12" s="1"/>
  <c r="B15" i="12" s="1"/>
  <c r="F12" i="12"/>
  <c r="G12" i="12" s="1"/>
  <c r="F10" i="12"/>
  <c r="G10" i="12" s="1"/>
  <c r="F9" i="12"/>
  <c r="E9" i="12"/>
  <c r="F8" i="12"/>
  <c r="G8" i="12" s="1"/>
  <c r="F216" i="11"/>
  <c r="F13" i="1"/>
  <c r="F1076" i="11"/>
  <c r="G1076" i="11" s="1"/>
  <c r="G1077" i="11" s="1"/>
  <c r="F1080" i="11" s="1"/>
  <c r="G1080" i="11" s="1"/>
  <c r="G1081" i="11" s="1"/>
  <c r="G1083" i="11" s="1"/>
  <c r="G1073" i="11"/>
  <c r="G1072" i="11"/>
  <c r="G1071" i="11"/>
  <c r="G1070" i="11"/>
  <c r="F12" i="1"/>
  <c r="G1049" i="11"/>
  <c r="F1052" i="11" s="1"/>
  <c r="G1052" i="11" s="1"/>
  <c r="G1053" i="11" s="1"/>
  <c r="G1055" i="11" s="1"/>
  <c r="G1048" i="11"/>
  <c r="G1045" i="11"/>
  <c r="G1044" i="11"/>
  <c r="G1043" i="11"/>
  <c r="G1042" i="11"/>
  <c r="F11" i="1"/>
  <c r="G1016" i="11"/>
  <c r="G1017" i="11" s="1"/>
  <c r="G1015" i="11"/>
  <c r="G1014" i="11"/>
  <c r="G17" i="12" l="1"/>
  <c r="G16" i="12" s="1"/>
  <c r="G9" i="12"/>
  <c r="G7" i="12" s="1"/>
  <c r="G1085" i="11"/>
  <c r="G1087" i="11"/>
  <c r="G1086" i="11"/>
  <c r="G1057" i="11"/>
  <c r="G1059" i="11"/>
  <c r="G1058" i="11"/>
  <c r="G14" i="11"/>
  <c r="G8" i="11"/>
  <c r="G7" i="11"/>
  <c r="L805" i="11"/>
  <c r="L804" i="11"/>
  <c r="L803" i="11"/>
  <c r="J802" i="11"/>
  <c r="L802" i="11" s="1"/>
  <c r="L801" i="11"/>
  <c r="L800" i="11"/>
  <c r="L799" i="11"/>
  <c r="L798" i="11"/>
  <c r="L797" i="11"/>
  <c r="L796" i="11"/>
  <c r="G987" i="11"/>
  <c r="G986" i="11"/>
  <c r="G985" i="11"/>
  <c r="F962" i="11"/>
  <c r="F963" i="11" s="1"/>
  <c r="G963" i="11" s="1"/>
  <c r="G962" i="11"/>
  <c r="G958" i="11"/>
  <c r="G957" i="11"/>
  <c r="G956" i="11"/>
  <c r="G955" i="11"/>
  <c r="G931" i="11"/>
  <c r="G924" i="11"/>
  <c r="G925" i="11"/>
  <c r="G927" i="11"/>
  <c r="G926" i="11"/>
  <c r="G905" i="11"/>
  <c r="G897" i="11"/>
  <c r="G896" i="11"/>
  <c r="G868" i="11"/>
  <c r="G869" i="11"/>
  <c r="G870" i="11"/>
  <c r="G867" i="11"/>
  <c r="G841" i="11"/>
  <c r="G840" i="11"/>
  <c r="G839" i="11"/>
  <c r="E31" i="1"/>
  <c r="J825" i="11"/>
  <c r="L825" i="11" s="1"/>
  <c r="J813" i="11"/>
  <c r="L828" i="11"/>
  <c r="L827" i="11"/>
  <c r="L826" i="11"/>
  <c r="L824" i="11"/>
  <c r="L823" i="11"/>
  <c r="L822" i="11"/>
  <c r="G1088" i="11" l="1"/>
  <c r="G1089" i="11" s="1"/>
  <c r="G1060" i="11"/>
  <c r="G1061" i="11" s="1"/>
  <c r="G9" i="11"/>
  <c r="G964" i="11"/>
  <c r="F967" i="11" s="1"/>
  <c r="G967" i="11" s="1"/>
  <c r="G968" i="11" s="1"/>
  <c r="K807" i="11"/>
  <c r="F35" i="1" s="1"/>
  <c r="F991" i="11"/>
  <c r="G988" i="11"/>
  <c r="G959" i="11"/>
  <c r="G928" i="11"/>
  <c r="G871" i="11"/>
  <c r="G898" i="11"/>
  <c r="G842" i="11"/>
  <c r="K830" i="11"/>
  <c r="F17" i="1" s="1"/>
  <c r="F992" i="11" l="1"/>
  <c r="G992" i="11" s="1"/>
  <c r="G1020" i="11"/>
  <c r="G1021" i="11" s="1"/>
  <c r="F1024" i="11" s="1"/>
  <c r="G1024" i="11" s="1"/>
  <c r="G1025" i="11" s="1"/>
  <c r="G1027" i="11" s="1"/>
  <c r="G991" i="11"/>
  <c r="G993" i="11" s="1"/>
  <c r="F996" i="11" s="1"/>
  <c r="G996" i="11" s="1"/>
  <c r="G997" i="11" s="1"/>
  <c r="G999" i="11" s="1"/>
  <c r="F23" i="12" s="1"/>
  <c r="G23" i="12" s="1"/>
  <c r="G970" i="11"/>
  <c r="E11" i="1"/>
  <c r="G11" i="1" s="1"/>
  <c r="G49" i="1"/>
  <c r="E48" i="1"/>
  <c r="E41" i="1"/>
  <c r="L813" i="11"/>
  <c r="L814" i="11"/>
  <c r="L812" i="11"/>
  <c r="G13" i="1"/>
  <c r="E35" i="1"/>
  <c r="J785" i="11"/>
  <c r="L785" i="11" s="1"/>
  <c r="L788" i="11"/>
  <c r="L787" i="11"/>
  <c r="L786" i="11"/>
  <c r="L784" i="11"/>
  <c r="L783" i="11"/>
  <c r="L782" i="11"/>
  <c r="L781" i="11"/>
  <c r="L780" i="11"/>
  <c r="L779" i="11"/>
  <c r="F44" i="1" l="1"/>
  <c r="G44" i="1" s="1"/>
  <c r="F22" i="12"/>
  <c r="G22" i="12" s="1"/>
  <c r="G21" i="12" s="1"/>
  <c r="G1031" i="11"/>
  <c r="G1029" i="11"/>
  <c r="G1030" i="11"/>
  <c r="G972" i="11"/>
  <c r="G974" i="11"/>
  <c r="G973" i="11"/>
  <c r="G1003" i="11"/>
  <c r="F45" i="1"/>
  <c r="G45" i="1" s="1"/>
  <c r="G1001" i="11"/>
  <c r="G1002" i="11"/>
  <c r="K816" i="11"/>
  <c r="K790" i="11"/>
  <c r="F41" i="1" l="1"/>
  <c r="F20" i="12"/>
  <c r="G20" i="12" s="1"/>
  <c r="G19" i="12" s="1"/>
  <c r="G43" i="1"/>
  <c r="G1032" i="11"/>
  <c r="G1033" i="11" s="1"/>
  <c r="G975" i="11"/>
  <c r="G976" i="11" s="1"/>
  <c r="G1004" i="11"/>
  <c r="G1005" i="11" s="1"/>
  <c r="G35" i="1"/>
  <c r="F34" i="1"/>
  <c r="E34" i="1" l="1"/>
  <c r="G34" i="1" s="1"/>
  <c r="G33" i="1" s="1"/>
  <c r="E30" i="1"/>
  <c r="E25" i="1"/>
  <c r="E26" i="1" s="1"/>
  <c r="E27" i="1"/>
  <c r="G755" i="11"/>
  <c r="G754" i="11"/>
  <c r="G753" i="11"/>
  <c r="G734" i="11"/>
  <c r="G729" i="11"/>
  <c r="G730" i="11" s="1"/>
  <c r="F733" i="11" s="1"/>
  <c r="G733" i="11" s="1"/>
  <c r="G725" i="11"/>
  <c r="G724" i="11"/>
  <c r="G705" i="11"/>
  <c r="G700" i="11"/>
  <c r="G701" i="11" s="1"/>
  <c r="F704" i="11" s="1"/>
  <c r="G704" i="11" s="1"/>
  <c r="G696" i="11"/>
  <c r="G695" i="11"/>
  <c r="E22" i="1"/>
  <c r="E23" i="1" s="1"/>
  <c r="E24" i="1" s="1"/>
  <c r="E19" i="1"/>
  <c r="E12" i="1"/>
  <c r="G12" i="1" s="1"/>
  <c r="B35" i="1"/>
  <c r="G706" i="11" l="1"/>
  <c r="G756" i="11"/>
  <c r="G726" i="11"/>
  <c r="G697" i="11"/>
  <c r="G735" i="11"/>
  <c r="G708" i="11" l="1"/>
  <c r="F25" i="1" s="1"/>
  <c r="G25" i="1" s="1"/>
  <c r="G737" i="11"/>
  <c r="F26" i="1" s="1"/>
  <c r="G26" i="1" s="1"/>
  <c r="G711" i="11"/>
  <c r="G710" i="11"/>
  <c r="G712" i="11"/>
  <c r="G740" i="11" l="1"/>
  <c r="G739" i="11"/>
  <c r="G713" i="11"/>
  <c r="G714" i="11" s="1"/>
  <c r="G741" i="11"/>
  <c r="G742" i="11" l="1"/>
  <c r="G743" i="11" s="1"/>
  <c r="G41" i="1"/>
  <c r="G40" i="1" l="1"/>
  <c r="B17" i="1" l="1"/>
  <c r="B18" i="1" s="1"/>
  <c r="B19" i="1" s="1"/>
  <c r="G675" i="11"/>
  <c r="G669" i="11"/>
  <c r="G670" i="11" s="1"/>
  <c r="D314" i="11" l="1"/>
  <c r="G121" i="11"/>
  <c r="G120" i="11"/>
  <c r="G117" i="11"/>
  <c r="G118" i="11" s="1"/>
  <c r="F122" i="11" s="1"/>
  <c r="G122" i="11" s="1"/>
  <c r="G114" i="11"/>
  <c r="G115" i="11" s="1"/>
  <c r="B10" i="1"/>
  <c r="B11" i="1" s="1"/>
  <c r="B12" i="1" s="1"/>
  <c r="B13" i="1" s="1"/>
  <c r="G123" i="11" l="1"/>
  <c r="G125" i="11" s="1"/>
  <c r="G127" i="11" l="1"/>
  <c r="G128" i="11"/>
  <c r="G129" i="11"/>
  <c r="G130" i="11" l="1"/>
  <c r="G131" i="11" s="1"/>
  <c r="F36" i="11" l="1"/>
  <c r="F11" i="11" s="1"/>
  <c r="G11" i="11" s="1"/>
  <c r="G12" i="11" s="1"/>
  <c r="F15" i="11" s="1"/>
  <c r="G15" i="11" s="1"/>
  <c r="G16" i="11" s="1"/>
  <c r="G18" i="11" s="1"/>
  <c r="F15" i="12" s="1"/>
  <c r="G15" i="12" s="1"/>
  <c r="G11" i="12" s="1"/>
  <c r="G26" i="12" s="1"/>
  <c r="G94" i="11"/>
  <c r="G93" i="11"/>
  <c r="G90" i="11"/>
  <c r="G91" i="11" s="1"/>
  <c r="F95" i="11" s="1"/>
  <c r="G95" i="11" s="1"/>
  <c r="J87" i="11"/>
  <c r="G87" i="11"/>
  <c r="G86" i="11"/>
  <c r="F145" i="11"/>
  <c r="G145" i="11" s="1"/>
  <c r="G29" i="12" l="1"/>
  <c r="G27" i="12"/>
  <c r="G28" i="12"/>
  <c r="G20" i="11"/>
  <c r="F19" i="1"/>
  <c r="G19" i="1" s="1"/>
  <c r="G22" i="11"/>
  <c r="G21" i="11"/>
  <c r="G88" i="11"/>
  <c r="G96" i="11"/>
  <c r="G23" i="11" l="1"/>
  <c r="G24" i="11" s="1"/>
  <c r="G30" i="12"/>
  <c r="G31" i="12" s="1"/>
  <c r="G98" i="11"/>
  <c r="G17" i="1" s="1"/>
  <c r="G102" i="11" l="1"/>
  <c r="G100" i="11"/>
  <c r="G101" i="11"/>
  <c r="G59" i="11"/>
  <c r="G60" i="11"/>
  <c r="G63" i="11"/>
  <c r="G64" i="11" s="1"/>
  <c r="F67" i="11" s="1"/>
  <c r="G67" i="11" s="1"/>
  <c r="G66" i="11"/>
  <c r="G39" i="11"/>
  <c r="G36" i="11"/>
  <c r="G37" i="11" s="1"/>
  <c r="F40" i="11" s="1"/>
  <c r="G40" i="11" s="1"/>
  <c r="G33" i="11"/>
  <c r="G32" i="11"/>
  <c r="G103" i="11" l="1"/>
  <c r="G104" i="11" s="1"/>
  <c r="G61" i="11"/>
  <c r="G68" i="11"/>
  <c r="G34" i="11"/>
  <c r="G41" i="11"/>
  <c r="G70" i="11" l="1"/>
  <c r="G73" i="11" s="1"/>
  <c r="G43" i="11"/>
  <c r="F16" i="1" l="1"/>
  <c r="G16" i="1" s="1"/>
  <c r="G47" i="11"/>
  <c r="G74" i="11"/>
  <c r="G72" i="11"/>
  <c r="G46" i="11"/>
  <c r="G45" i="11"/>
  <c r="G75" i="11" l="1"/>
  <c r="G76" i="11" s="1"/>
  <c r="G48" i="11"/>
  <c r="G49" i="11" s="1"/>
  <c r="G643" i="11"/>
  <c r="G644" i="11"/>
  <c r="G642" i="11"/>
  <c r="F621" i="11"/>
  <c r="G618" i="11"/>
  <c r="G617" i="11"/>
  <c r="G621" i="11" l="1"/>
  <c r="G622" i="11" s="1"/>
  <c r="F624" i="11" s="1"/>
  <c r="G624" i="11" s="1"/>
  <c r="G625" i="11" s="1"/>
  <c r="F647" i="11"/>
  <c r="G647" i="11" s="1"/>
  <c r="G648" i="11" s="1"/>
  <c r="F650" i="11" s="1"/>
  <c r="G650" i="11" s="1"/>
  <c r="G651" i="11" s="1"/>
  <c r="F672" i="11"/>
  <c r="G672" i="11" s="1"/>
  <c r="G673" i="11" s="1"/>
  <c r="F676" i="11" s="1"/>
  <c r="G676" i="11" s="1"/>
  <c r="G645" i="11"/>
  <c r="G619" i="11"/>
  <c r="G525" i="11"/>
  <c r="G524" i="11"/>
  <c r="G500" i="11"/>
  <c r="G499" i="11"/>
  <c r="G498" i="11"/>
  <c r="G497" i="11"/>
  <c r="G466" i="11"/>
  <c r="G465" i="11"/>
  <c r="G467" i="11"/>
  <c r="G468" i="11"/>
  <c r="G469" i="11"/>
  <c r="G470" i="11"/>
  <c r="G471" i="11"/>
  <c r="G472" i="11"/>
  <c r="G464" i="11"/>
  <c r="G627" i="11" l="1"/>
  <c r="G629" i="11" s="1"/>
  <c r="G677" i="11"/>
  <c r="G679" i="11" s="1"/>
  <c r="G653" i="11"/>
  <c r="G657" i="11" s="1"/>
  <c r="G526" i="11"/>
  <c r="G473" i="11"/>
  <c r="G501" i="11"/>
  <c r="G631" i="11" l="1"/>
  <c r="G630" i="11"/>
  <c r="G632" i="11" s="1"/>
  <c r="G633" i="11" s="1"/>
  <c r="G682" i="11"/>
  <c r="G683" i="11"/>
  <c r="G681" i="11"/>
  <c r="G655" i="11"/>
  <c r="G656" i="11"/>
  <c r="G444" i="11"/>
  <c r="G438" i="11"/>
  <c r="G437" i="11"/>
  <c r="G436" i="11"/>
  <c r="G417" i="11"/>
  <c r="G411" i="11"/>
  <c r="G410" i="11"/>
  <c r="G409" i="11"/>
  <c r="G408" i="11"/>
  <c r="G407" i="11"/>
  <c r="G314" i="11"/>
  <c r="G346" i="11"/>
  <c r="G347" i="11"/>
  <c r="G348" i="11"/>
  <c r="G349" i="11"/>
  <c r="G350" i="11"/>
  <c r="G351" i="11"/>
  <c r="G352" i="11"/>
  <c r="G353" i="11"/>
  <c r="G345" i="11"/>
  <c r="G344" i="11"/>
  <c r="G360" i="11"/>
  <c r="G359" i="11"/>
  <c r="F319" i="11"/>
  <c r="F320" i="11" s="1"/>
  <c r="G320" i="11" s="1"/>
  <c r="G324" i="11"/>
  <c r="G323" i="11"/>
  <c r="G315" i="11"/>
  <c r="G313" i="11"/>
  <c r="G312" i="11"/>
  <c r="G289" i="11"/>
  <c r="G242" i="11"/>
  <c r="G219" i="11"/>
  <c r="G213" i="11"/>
  <c r="G212" i="11"/>
  <c r="G211" i="11"/>
  <c r="G210" i="11"/>
  <c r="F189" i="11"/>
  <c r="F318" i="11" s="1"/>
  <c r="G318" i="11" s="1"/>
  <c r="G170" i="11"/>
  <c r="G146" i="11"/>
  <c r="F149" i="11" s="1"/>
  <c r="G149" i="11" s="1"/>
  <c r="G148" i="11"/>
  <c r="G658" i="11" l="1"/>
  <c r="G659" i="11" s="1"/>
  <c r="G684" i="11"/>
  <c r="G685" i="11" s="1"/>
  <c r="G439" i="11"/>
  <c r="F414" i="11"/>
  <c r="G412" i="11"/>
  <c r="G354" i="11"/>
  <c r="G316" i="11"/>
  <c r="G319" i="11"/>
  <c r="G321" i="11" s="1"/>
  <c r="F325" i="11" s="1"/>
  <c r="G325" i="11" s="1"/>
  <c r="G326" i="11" s="1"/>
  <c r="F167" i="11"/>
  <c r="G167" i="11" s="1"/>
  <c r="G168" i="11" s="1"/>
  <c r="F171" i="11" s="1"/>
  <c r="G171" i="11" s="1"/>
  <c r="G172" i="11" s="1"/>
  <c r="G174" i="11" s="1"/>
  <c r="F9" i="1" s="1"/>
  <c r="G214" i="11"/>
  <c r="G150" i="11"/>
  <c r="G152" i="11" s="1"/>
  <c r="G475" i="11" l="1"/>
  <c r="G476" i="11" s="1"/>
  <c r="F478" i="11" s="1"/>
  <c r="G478" i="11" s="1"/>
  <c r="G479" i="11" s="1"/>
  <c r="G481" i="11" s="1"/>
  <c r="F503" i="11"/>
  <c r="G328" i="11"/>
  <c r="F845" i="11"/>
  <c r="G176" i="11"/>
  <c r="G178" i="11"/>
  <c r="G177" i="11"/>
  <c r="G154" i="11"/>
  <c r="G156" i="11"/>
  <c r="G155" i="11"/>
  <c r="F874" i="11" l="1"/>
  <c r="G845" i="11"/>
  <c r="G846" i="11" s="1"/>
  <c r="F849" i="11" s="1"/>
  <c r="G849" i="11" s="1"/>
  <c r="G850" i="11" s="1"/>
  <c r="G852" i="11" s="1"/>
  <c r="F18" i="1"/>
  <c r="G18" i="1" s="1"/>
  <c r="G15" i="1" s="1"/>
  <c r="G503" i="11"/>
  <c r="G504" i="11" s="1"/>
  <c r="F506" i="11" s="1"/>
  <c r="G506" i="11" s="1"/>
  <c r="G507" i="11" s="1"/>
  <c r="G509" i="11" s="1"/>
  <c r="F528" i="11"/>
  <c r="G485" i="11"/>
  <c r="G484" i="11"/>
  <c r="G483" i="11"/>
  <c r="G331" i="11"/>
  <c r="G330" i="11"/>
  <c r="G332" i="11"/>
  <c r="F239" i="11"/>
  <c r="G216" i="11"/>
  <c r="G217" i="11" s="1"/>
  <c r="F220" i="11" s="1"/>
  <c r="G220" i="11" s="1"/>
  <c r="G221" i="11" s="1"/>
  <c r="G223" i="11" s="1"/>
  <c r="F22" i="1" s="1"/>
  <c r="G22" i="1" s="1"/>
  <c r="G157" i="11"/>
  <c r="G158" i="11" s="1"/>
  <c r="G179" i="11"/>
  <c r="G180" i="11" s="1"/>
  <c r="F28" i="1" l="1"/>
  <c r="G28" i="1" s="1"/>
  <c r="G855" i="11"/>
  <c r="G854" i="11"/>
  <c r="G856" i="11"/>
  <c r="G874" i="11"/>
  <c r="G875" i="11" s="1"/>
  <c r="F878" i="11" s="1"/>
  <c r="G878" i="11" s="1"/>
  <c r="G879" i="11" s="1"/>
  <c r="G881" i="11" s="1"/>
  <c r="F901" i="11"/>
  <c r="G528" i="11"/>
  <c r="G529" i="11" s="1"/>
  <c r="F531" i="11" s="1"/>
  <c r="G531" i="11" s="1"/>
  <c r="G532" i="11" s="1"/>
  <c r="G534" i="11" s="1"/>
  <c r="F759" i="11"/>
  <c r="G759" i="11" s="1"/>
  <c r="G760" i="11" s="1"/>
  <c r="F763" i="11" s="1"/>
  <c r="G763" i="11" s="1"/>
  <c r="G764" i="11" s="1"/>
  <c r="G766" i="11" s="1"/>
  <c r="F27" i="1" s="1"/>
  <c r="G27" i="1" s="1"/>
  <c r="G511" i="11"/>
  <c r="G512" i="11"/>
  <c r="G486" i="11"/>
  <c r="G487" i="11" s="1"/>
  <c r="G513" i="11"/>
  <c r="G333" i="11"/>
  <c r="G334" i="11" s="1"/>
  <c r="G227" i="11"/>
  <c r="G225" i="11"/>
  <c r="G226" i="11"/>
  <c r="G239" i="11"/>
  <c r="G240" i="11" s="1"/>
  <c r="F243" i="11" s="1"/>
  <c r="G243" i="11" s="1"/>
  <c r="G244" i="11" s="1"/>
  <c r="G246" i="11" s="1"/>
  <c r="F266" i="11"/>
  <c r="F292" i="11" s="1"/>
  <c r="F356" i="11" s="1"/>
  <c r="G901" i="11" l="1"/>
  <c r="G902" i="11" s="1"/>
  <c r="F906" i="11" s="1"/>
  <c r="G906" i="11" s="1"/>
  <c r="G907" i="11" s="1"/>
  <c r="G909" i="11" s="1"/>
  <c r="F932" i="11"/>
  <c r="G932" i="11" s="1"/>
  <c r="G933" i="11" s="1"/>
  <c r="F936" i="11" s="1"/>
  <c r="G936" i="11" s="1"/>
  <c r="G937" i="11" s="1"/>
  <c r="G939" i="11" s="1"/>
  <c r="F31" i="1" s="1"/>
  <c r="G31" i="1" s="1"/>
  <c r="G857" i="11"/>
  <c r="G858" i="11" s="1"/>
  <c r="G883" i="11"/>
  <c r="F29" i="1"/>
  <c r="G29" i="1" s="1"/>
  <c r="G885" i="11"/>
  <c r="G884" i="11"/>
  <c r="G537" i="11"/>
  <c r="F38" i="1"/>
  <c r="G38" i="1" s="1"/>
  <c r="G37" i="1" s="1"/>
  <c r="G536" i="11"/>
  <c r="G769" i="11"/>
  <c r="G770" i="11"/>
  <c r="G768" i="11"/>
  <c r="G538" i="11"/>
  <c r="G514" i="11"/>
  <c r="G515" i="11" s="1"/>
  <c r="F385" i="11"/>
  <c r="G356" i="11"/>
  <c r="G357" i="11" s="1"/>
  <c r="F361" i="11" s="1"/>
  <c r="G361" i="11" s="1"/>
  <c r="G362" i="11" s="1"/>
  <c r="G364" i="11" s="1"/>
  <c r="G228" i="11"/>
  <c r="G229" i="11" s="1"/>
  <c r="G248" i="11"/>
  <c r="G250" i="11"/>
  <c r="G249" i="11"/>
  <c r="G943" i="11" l="1"/>
  <c r="G941" i="11"/>
  <c r="G942" i="11"/>
  <c r="F30" i="1"/>
  <c r="G30" i="1" s="1"/>
  <c r="G913" i="11"/>
  <c r="G912" i="11"/>
  <c r="G911" i="11"/>
  <c r="G886" i="11"/>
  <c r="G887" i="11" s="1"/>
  <c r="G539" i="11"/>
  <c r="G540" i="11" s="1"/>
  <c r="G771" i="11"/>
  <c r="G772" i="11" s="1"/>
  <c r="F441" i="11"/>
  <c r="G441" i="11" s="1"/>
  <c r="G442" i="11" s="1"/>
  <c r="F445" i="11" s="1"/>
  <c r="G445" i="11" s="1"/>
  <c r="G446" i="11" s="1"/>
  <c r="G448" i="11" s="1"/>
  <c r="G414" i="11"/>
  <c r="G415" i="11" s="1"/>
  <c r="F418" i="11" s="1"/>
  <c r="G418" i="11" s="1"/>
  <c r="G419" i="11" s="1"/>
  <c r="G421" i="11" s="1"/>
  <c r="G367" i="11"/>
  <c r="G366" i="11"/>
  <c r="G368" i="11"/>
  <c r="G251" i="11"/>
  <c r="G252" i="11" s="1"/>
  <c r="F23" i="1" l="1"/>
  <c r="G23" i="1" s="1"/>
  <c r="F24" i="1"/>
  <c r="G24" i="1" s="1"/>
  <c r="G944" i="11"/>
  <c r="G945" i="11" s="1"/>
  <c r="G914" i="11"/>
  <c r="G915" i="11" s="1"/>
  <c r="G452" i="11"/>
  <c r="G451" i="11"/>
  <c r="G450" i="11"/>
  <c r="G425" i="11"/>
  <c r="G423" i="11"/>
  <c r="G424" i="11"/>
  <c r="G369" i="11"/>
  <c r="G370" i="11" s="1"/>
  <c r="G21" i="1" l="1"/>
  <c r="G426" i="11"/>
  <c r="G427" i="11" s="1"/>
  <c r="G453" i="11"/>
  <c r="G454" i="11" s="1"/>
  <c r="G9" i="1"/>
  <c r="L605" i="11" l="1"/>
  <c r="L604" i="11"/>
  <c r="L603" i="11"/>
  <c r="L602" i="11"/>
  <c r="L601" i="11"/>
  <c r="L600" i="11"/>
  <c r="L599" i="11"/>
  <c r="L598" i="11"/>
  <c r="L597" i="11"/>
  <c r="L596" i="11"/>
  <c r="L595" i="11"/>
  <c r="L594" i="11"/>
  <c r="L593" i="11"/>
  <c r="L592" i="11"/>
  <c r="K607" i="11" l="1"/>
  <c r="G381" i="11" l="1"/>
  <c r="G382" i="11"/>
  <c r="G385" i="11"/>
  <c r="G386" i="11" s="1"/>
  <c r="F388" i="11" s="1"/>
  <c r="G388" i="11" s="1"/>
  <c r="G389" i="11" s="1"/>
  <c r="G380" i="11"/>
  <c r="G383" i="11" l="1"/>
  <c r="G391" i="11" s="1"/>
  <c r="G393" i="11" l="1"/>
  <c r="G394" i="11"/>
  <c r="G395" i="11"/>
  <c r="G396" i="11" l="1"/>
  <c r="G397" i="11" s="1"/>
  <c r="G292" i="11" l="1"/>
  <c r="G293" i="11" s="1"/>
  <c r="F295" i="11" s="1"/>
  <c r="G295" i="11" s="1"/>
  <c r="G296" i="11" s="1"/>
  <c r="G288" i="11"/>
  <c r="G287" i="11"/>
  <c r="G290" i="11" l="1"/>
  <c r="G298" i="11" s="1"/>
  <c r="G266" i="11"/>
  <c r="G267" i="11" s="1"/>
  <c r="G263" i="11"/>
  <c r="G262" i="11"/>
  <c r="G300" i="11" l="1"/>
  <c r="G264" i="11"/>
  <c r="G301" i="11"/>
  <c r="G302" i="11"/>
  <c r="F269" i="11"/>
  <c r="G269" i="11" s="1"/>
  <c r="G270" i="11" s="1"/>
  <c r="G272" i="11" l="1"/>
  <c r="G303" i="11"/>
  <c r="G304" i="11" s="1"/>
  <c r="G274" i="11" l="1"/>
  <c r="G275" i="11"/>
  <c r="G276" i="11"/>
  <c r="G277" i="11" l="1"/>
  <c r="G278" i="11" s="1"/>
  <c r="G189" i="11" l="1"/>
  <c r="G190" i="11" s="1"/>
  <c r="F193" i="11" s="1"/>
  <c r="G193" i="11" s="1"/>
  <c r="G192" i="11"/>
  <c r="G194" i="11" l="1"/>
  <c r="G196" i="11" s="1"/>
  <c r="F10" i="1" l="1"/>
  <c r="G10" i="1" s="1"/>
  <c r="G8" i="1" s="1"/>
  <c r="G199" i="11"/>
  <c r="G198" i="11"/>
  <c r="G200" i="11"/>
  <c r="G201" i="11" l="1"/>
  <c r="G202" i="11" s="1"/>
  <c r="F54" i="1" l="1"/>
  <c r="D12" i="4" l="1"/>
  <c r="D11" i="4"/>
  <c r="D17" i="4" s="1"/>
  <c r="D8" i="4"/>
  <c r="D9" i="4" s="1"/>
  <c r="D18" i="4"/>
  <c r="D15" i="4"/>
  <c r="F575" i="11" l="1"/>
  <c r="G575" i="11" s="1"/>
  <c r="G576" i="11" s="1"/>
  <c r="F578" i="11" s="1"/>
  <c r="G578" i="11" s="1"/>
  <c r="G579" i="11" s="1"/>
  <c r="G581" i="11" s="1"/>
  <c r="F48" i="1" s="1"/>
  <c r="G48" i="1" s="1"/>
  <c r="G47" i="1" s="1"/>
  <c r="G50" i="1" s="1"/>
  <c r="G18" i="4"/>
  <c r="G17" i="4"/>
  <c r="G51" i="1" l="1"/>
  <c r="G52" i="1"/>
  <c r="G53" i="1"/>
  <c r="G584" i="11"/>
  <c r="G585" i="11"/>
  <c r="G583" i="11"/>
  <c r="G54" i="1" l="1"/>
  <c r="G55" i="1" s="1"/>
  <c r="G586" i="11"/>
  <c r="G587" i="11" s="1"/>
  <c r="E45" i="4"/>
  <c r="D79" i="4" l="1"/>
  <c r="D19" i="4"/>
  <c r="D23" i="4"/>
  <c r="D27" i="4"/>
  <c r="D31" i="4"/>
  <c r="D35" i="4"/>
  <c r="D39" i="4"/>
  <c r="D43" i="4"/>
  <c r="D47" i="4"/>
  <c r="D51" i="4"/>
  <c r="D55" i="4"/>
  <c r="D59" i="4"/>
  <c r="D63" i="4"/>
  <c r="D67" i="4"/>
  <c r="D71" i="4"/>
  <c r="D75" i="4"/>
  <c r="D16" i="4"/>
  <c r="D20" i="4"/>
  <c r="D24" i="4"/>
  <c r="D28" i="4"/>
  <c r="D32" i="4"/>
  <c r="D36" i="4"/>
  <c r="D40" i="4"/>
  <c r="D44" i="4"/>
  <c r="D48" i="4"/>
  <c r="D52" i="4"/>
  <c r="D56" i="4"/>
  <c r="D60" i="4"/>
  <c r="D64" i="4"/>
  <c r="F64" i="4" s="1"/>
  <c r="D68" i="4"/>
  <c r="D72" i="4"/>
  <c r="D76" i="4"/>
  <c r="D21" i="4"/>
  <c r="D25" i="4"/>
  <c r="D29" i="4"/>
  <c r="D33" i="4"/>
  <c r="D37" i="4"/>
  <c r="D41" i="4"/>
  <c r="D45" i="4"/>
  <c r="D49" i="4"/>
  <c r="D53" i="4"/>
  <c r="D57" i="4"/>
  <c r="D61" i="4"/>
  <c r="D65" i="4"/>
  <c r="D69" i="4"/>
  <c r="D73" i="4"/>
  <c r="D77" i="4"/>
  <c r="D22" i="4"/>
  <c r="D26" i="4"/>
  <c r="D30" i="4"/>
  <c r="D34" i="4"/>
  <c r="D38" i="4"/>
  <c r="D42" i="4"/>
  <c r="D46" i="4"/>
  <c r="D50" i="4"/>
  <c r="D54" i="4"/>
  <c r="D58" i="4"/>
  <c r="D62" i="4"/>
  <c r="D66" i="4"/>
  <c r="D70" i="4"/>
  <c r="D74" i="4"/>
  <c r="D78" i="4"/>
  <c r="G32" i="4" l="1"/>
  <c r="F551" i="11"/>
  <c r="G551" i="11" s="1"/>
  <c r="G552" i="11" s="1"/>
  <c r="F554" i="11" s="1"/>
  <c r="G554" i="11" s="1"/>
  <c r="G555" i="11" s="1"/>
  <c r="G557" i="11" s="1"/>
  <c r="G560" i="11" l="1"/>
  <c r="G561" i="11"/>
  <c r="G559" i="11"/>
  <c r="G562" i="11" l="1"/>
  <c r="G563" i="11" s="1"/>
  <c r="G57" i="1"/>
</calcChain>
</file>

<file path=xl/sharedStrings.xml><?xml version="1.0" encoding="utf-8"?>
<sst xmlns="http://schemas.openxmlformats.org/spreadsheetml/2006/main" count="1621" uniqueCount="371">
  <si>
    <t>ITEM</t>
  </si>
  <si>
    <t>DESCRPCIÓN</t>
  </si>
  <si>
    <t>UNIDAD</t>
  </si>
  <si>
    <t>CANTIDAD</t>
  </si>
  <si>
    <t>VALOR UNITARIO</t>
  </si>
  <si>
    <t>VALOR TOTAL</t>
  </si>
  <si>
    <t>TOTAL COSTOS DIRECTOS</t>
  </si>
  <si>
    <t>ADMINISTRACIÓN</t>
  </si>
  <si>
    <t>IMPREVISTOS</t>
  </si>
  <si>
    <t>UTILIDAD</t>
  </si>
  <si>
    <t>TOTAL  AIU</t>
  </si>
  <si>
    <t>VALOR COSTOS DIRECTOS + INDIRECTOS</t>
  </si>
  <si>
    <t>VALOR PROYECTO</t>
  </si>
  <si>
    <t>UND</t>
  </si>
  <si>
    <t>M3</t>
  </si>
  <si>
    <t>DESCRIPCION</t>
  </si>
  <si>
    <t>CANT.</t>
  </si>
  <si>
    <t>DESP.%</t>
  </si>
  <si>
    <t>PRECIO UNIT</t>
  </si>
  <si>
    <t>MANO DE OBRA</t>
  </si>
  <si>
    <t>HC</t>
  </si>
  <si>
    <t>SUBTOTAL MANO DE OBRA</t>
  </si>
  <si>
    <t>EQUIPO</t>
  </si>
  <si>
    <t>SUBTOTAL EQUIPO</t>
  </si>
  <si>
    <t>COSTOS INDIRECTOS</t>
  </si>
  <si>
    <t>ADMINISTRACION</t>
  </si>
  <si>
    <t>TOTAL COSTOS INDIRECTOS</t>
  </si>
  <si>
    <t>VALOR TOTAL ITEM</t>
  </si>
  <si>
    <t>Unidad: M3</t>
  </si>
  <si>
    <t>MATERIALES</t>
  </si>
  <si>
    <t>SUBTOTAL MATERIALES</t>
  </si>
  <si>
    <t>M.O. ALBANILERIA: 2 AYUDANTE</t>
  </si>
  <si>
    <t>HERRAMIENTA MENOR</t>
  </si>
  <si>
    <t>%</t>
  </si>
  <si>
    <t>LISTADO DE MANO DE OBRA</t>
  </si>
  <si>
    <t>unidad</t>
  </si>
  <si>
    <t>Ítem</t>
  </si>
  <si>
    <t>VALOR ($ COP)</t>
  </si>
  <si>
    <t>OBSERVACIONES</t>
  </si>
  <si>
    <t>mes</t>
  </si>
  <si>
    <t>día</t>
  </si>
  <si>
    <t>Jornal básico con factor prestacional</t>
  </si>
  <si>
    <t>Insumo</t>
  </si>
  <si>
    <t>Precio ($ COP)</t>
  </si>
  <si>
    <t xml:space="preserve">Maestro </t>
  </si>
  <si>
    <t>Almacenista</t>
  </si>
  <si>
    <t>Obrero</t>
  </si>
  <si>
    <t>Obrero (2)</t>
  </si>
  <si>
    <t>Obrero (3)</t>
  </si>
  <si>
    <t>Obrero (4)</t>
  </si>
  <si>
    <t>Obrero (5)</t>
  </si>
  <si>
    <t>Obrero (6)</t>
  </si>
  <si>
    <t>Obrero (7)</t>
  </si>
  <si>
    <t>Obrero (8)</t>
  </si>
  <si>
    <t>Obrero (9)</t>
  </si>
  <si>
    <t>Obrero (10)</t>
  </si>
  <si>
    <t>Obrero (prueba de carga)</t>
  </si>
  <si>
    <t xml:space="preserve">Obrero de hincado </t>
  </si>
  <si>
    <t>Obreros de hincado (2)</t>
  </si>
  <si>
    <t xml:space="preserve">Obrero de izado </t>
  </si>
  <si>
    <t>Obreros de izado (2)</t>
  </si>
  <si>
    <t>Oficial</t>
  </si>
  <si>
    <t>Oficial (2)</t>
  </si>
  <si>
    <t>Oficial (3)</t>
  </si>
  <si>
    <t>Oficial + 3 Ayudantes (armado e inyección de anclajes)</t>
  </si>
  <si>
    <t>Oficial experto en desmontaje</t>
  </si>
  <si>
    <t>Oficial experto en explosivos</t>
  </si>
  <si>
    <t xml:space="preserve">Oficial  Obrero (3) Cuadrilla de un oficial y 3 Obreros. </t>
  </si>
  <si>
    <t>1 Oficial y 1 Obrero.</t>
  </si>
  <si>
    <t>Cuadrilla de Un Oficial y (2) Obreros.</t>
  </si>
  <si>
    <t>Cuadrilla de un oficial y (4) Obreros.</t>
  </si>
  <si>
    <t>Cuadrilla de desmontaje (10 personas)</t>
  </si>
  <si>
    <t>Cuadrilla de fabricación</t>
  </si>
  <si>
    <t>Cadenero</t>
  </si>
  <si>
    <t>Cadeneros (2)</t>
  </si>
  <si>
    <t>Carpintero</t>
  </si>
  <si>
    <t>Armador</t>
  </si>
  <si>
    <t>Paletero</t>
  </si>
  <si>
    <t>Paletero (2)</t>
  </si>
  <si>
    <t>Rastrillero</t>
  </si>
  <si>
    <t>Rastrilleros (2)</t>
  </si>
  <si>
    <t>Cortador</t>
  </si>
  <si>
    <t>Operador prueba de integridad</t>
  </si>
  <si>
    <t xml:space="preserve">Operador de maquinaria pesada </t>
  </si>
  <si>
    <t>Perforador</t>
  </si>
  <si>
    <t>Perforador + Ayudante1 + Ayudante2</t>
  </si>
  <si>
    <t>Soldador</t>
  </si>
  <si>
    <t>Soldador (2)</t>
  </si>
  <si>
    <t>Soldador 1A</t>
  </si>
  <si>
    <t>Soldador experto en montaje y pruebas</t>
  </si>
  <si>
    <t>Celador</t>
  </si>
  <si>
    <t xml:space="preserve">Inspector </t>
  </si>
  <si>
    <t>Inspector de fabricación y montaje</t>
  </si>
  <si>
    <t>Técnico electricista</t>
  </si>
  <si>
    <t>Técnico y/o profesionale HSEQ para obra</t>
  </si>
  <si>
    <t>Topógrafo</t>
  </si>
  <si>
    <t>Calculista</t>
  </si>
  <si>
    <t>Dibujante</t>
  </si>
  <si>
    <t>Dibujante 2</t>
  </si>
  <si>
    <t xml:space="preserve">Técnico agricola, técnico en botanica y/o jardinero </t>
  </si>
  <si>
    <t>Ingeniero de montaje y prueba</t>
  </si>
  <si>
    <t>Ingeniero de Montaje y Prueba Pilote 1</t>
  </si>
  <si>
    <t>Ingeniero Especialista prueba de  integridad</t>
  </si>
  <si>
    <t xml:space="preserve">Ingeniero Geotecnista </t>
  </si>
  <si>
    <t>Ingeniero supervisor</t>
  </si>
  <si>
    <t>Ingeniero supervisor y director de prueba</t>
  </si>
  <si>
    <t>Ingeniero Supervisor y Director de Prueba Pilote</t>
  </si>
  <si>
    <t xml:space="preserve">Inspector de fabricacion montaje y pintura </t>
  </si>
  <si>
    <t>MANO DE OBRA
ANALISIS DE PRECIOS UNITARIOS</t>
  </si>
  <si>
    <t>Salario mínimo legal mensual vigente - SMLMV 2024 + Subsidio de transporte 2024</t>
  </si>
  <si>
    <t>Jornal + subsidio de transporte 2024</t>
  </si>
  <si>
    <t xml:space="preserve">Factor prestacional </t>
  </si>
  <si>
    <t>salario basico SMLMV 2024 con factor prestacional</t>
  </si>
  <si>
    <t>VJE</t>
  </si>
  <si>
    <t>AIU</t>
  </si>
  <si>
    <t>Ingeniero Residente</t>
  </si>
  <si>
    <t>Factor de Jornal 2024</t>
  </si>
  <si>
    <t>VOLQUETA 5 M3</t>
  </si>
  <si>
    <t>PRELIMINARES</t>
  </si>
  <si>
    <t>M2</t>
  </si>
  <si>
    <t>KLS</t>
  </si>
  <si>
    <t>GLN</t>
  </si>
  <si>
    <t>DIA</t>
  </si>
  <si>
    <t>Unidad: M2</t>
  </si>
  <si>
    <t>LBS</t>
  </si>
  <si>
    <t>Unidad: ML</t>
  </si>
  <si>
    <t>ML</t>
  </si>
  <si>
    <t>CUBIERTA</t>
  </si>
  <si>
    <t>RETIRO MATERIAL SOBRANTE</t>
  </si>
  <si>
    <t>DESM. CANAL GALVANIZADA</t>
  </si>
  <si>
    <t xml:space="preserve">MANO OBRA ALBANILERIA   1 AYUDANTE-1 OFI </t>
  </si>
  <si>
    <t>ANDAMIO METALICO TUBULAR</t>
  </si>
  <si>
    <t>U/D</t>
  </si>
  <si>
    <t>SOLDADURA TAPA GOTERAS</t>
  </si>
  <si>
    <t xml:space="preserve">MANO OBRA ALBANILERIA   1 AYUDANTE -1 OFI </t>
  </si>
  <si>
    <t>IGAS GRIS [SELLANTE] 5KG.</t>
  </si>
  <si>
    <t>LAM.GALVANIZADA      C.22</t>
  </si>
  <si>
    <t>PLATINA   1/ 8x1    x6M</t>
  </si>
  <si>
    <t>ESMALTE SINTETICO MATE</t>
  </si>
  <si>
    <t>MANO OBRA ALBANILERIA   2 AYUDANTE</t>
  </si>
  <si>
    <t>MANO OBRA CARP.TALLER   1 AYUDANTE-1 OF</t>
  </si>
  <si>
    <t xml:space="preserve">MANO OBRA PINTURA       1 AYUDANTE-1 OFI </t>
  </si>
  <si>
    <t>TIJERAS O DIAGONALES CORTAS O LARGAS</t>
  </si>
  <si>
    <t>SOLDADURA ESTAÑO PLATA 95-</t>
  </si>
  <si>
    <t>SUMINISTRO E INSTALACION DE SOLAPA LAMINA GALVANIZADA</t>
  </si>
  <si>
    <t xml:space="preserve">SOLAPA GALVANIZADA </t>
  </si>
  <si>
    <t>DESM.BAJANTES</t>
  </si>
  <si>
    <t>RASQUETEADA-LIJADA-RESANE</t>
  </si>
  <si>
    <t>VINILO MURO TIPO 1 3M</t>
  </si>
  <si>
    <t>REVISION PUNTOS HIDRAULICOS  DE AGUA FRIA</t>
  </si>
  <si>
    <t>SUMINISTRO E INSTALACION DE BAJANTES AGUAS LLUVIAS TUBERIA PVC DE 3"</t>
  </si>
  <si>
    <t>SOLDADURA PVC ,1/  4  GLN</t>
  </si>
  <si>
    <t>LIMPIADOR PVC 760-G 1/4 GL</t>
  </si>
  <si>
    <t>TUBO PVC 3"</t>
  </si>
  <si>
    <t xml:space="preserve">MANO OBRA HIDROSANIT.   1 AYUDANTE-1 OFI </t>
  </si>
  <si>
    <t>Unidad: UND</t>
  </si>
  <si>
    <t>KG</t>
  </si>
  <si>
    <t>AGUA</t>
  </si>
  <si>
    <t>ESTUCO LISTO POLVO</t>
  </si>
  <si>
    <t>LIJA 400              AGUA</t>
  </si>
  <si>
    <t>ACRONAL</t>
  </si>
  <si>
    <t>MANO OBRA PINTURA       1 AYUDANTE-1 OFI</t>
  </si>
  <si>
    <t>LTS</t>
  </si>
  <si>
    <t>PL</t>
  </si>
  <si>
    <t>M.O. PINTURA 1 AYUDANTE-1 OFI</t>
  </si>
  <si>
    <t>BROCHA CERDA MONA 4</t>
  </si>
  <si>
    <t>RODILLO FELPA</t>
  </si>
  <si>
    <t>CINTA ENMASCARAR</t>
  </si>
  <si>
    <t>VINILO TIPO 1</t>
  </si>
  <si>
    <t>ROL</t>
  </si>
  <si>
    <t>Unidad: PTO</t>
  </si>
  <si>
    <t>MANO OBRA HIDROSANIT.   1 AYUDANTE-1 OF</t>
  </si>
  <si>
    <t>LIMPIEZA GENERAL</t>
  </si>
  <si>
    <t>18-04-40-C.FALSO LAMINA PVC A=25CM E=10MM</t>
  </si>
  <si>
    <t>ITEM - Descripción</t>
  </si>
  <si>
    <t>Unidad</t>
  </si>
  <si>
    <t>Cant</t>
  </si>
  <si>
    <t>Desper</t>
  </si>
  <si>
    <t>Vr/Unitario</t>
  </si>
  <si>
    <t>Vr/Parcial</t>
  </si>
  <si>
    <t>000149-ALAMBRE GALVANIZADO # 12</t>
  </si>
  <si>
    <t>001232-PERFIL D CANAL 40 GALV 3.0</t>
  </si>
  <si>
    <t>001258-ANGULO 29x29x2440MM C.26</t>
  </si>
  <si>
    <t>002167-PERFIL D OMEGA 60 244-C26</t>
  </si>
  <si>
    <t>002320-PUNTILLA 1.1/2 AC</t>
  </si>
  <si>
    <t>6066-LAMINA PVC 25CM 10 MM 5950</t>
  </si>
  <si>
    <t>6068-PERFIL PVC PERIMETRAL S-S</t>
  </si>
  <si>
    <t>6069-PERFIL PVC PERIMETRAL C-S</t>
  </si>
  <si>
    <t>6070-PERFIL PVC PERIMETRAL P-P</t>
  </si>
  <si>
    <t>6071-PERFIL PVC SOPORTE SUJECCI</t>
  </si>
  <si>
    <t xml:space="preserve">MOPA01-MANO OBRA PANELERIA 1 OFICIAL-1AYUDANTE </t>
  </si>
  <si>
    <t>MQ0301-HERRAMIENTA MENOR</t>
  </si>
  <si>
    <t>GLB</t>
  </si>
  <si>
    <t xml:space="preserve">MQ0601-ANDAMIO METALICO TUBULAR </t>
  </si>
  <si>
    <t xml:space="preserve">U/D   </t>
  </si>
  <si>
    <t>MQ0605-CRUCETA ANDAMIO</t>
  </si>
  <si>
    <t>Materiales</t>
  </si>
  <si>
    <t>Equipo</t>
  </si>
  <si>
    <t>SubTotal</t>
  </si>
  <si>
    <t>Mano de Obra</t>
  </si>
  <si>
    <t>Otros</t>
  </si>
  <si>
    <t xml:space="preserve">RECORRIDO CUBIERTA EN TEJA METÁLICA, AJUSTE, LIMPIEZA Y SELLAMIENTO </t>
  </si>
  <si>
    <t xml:space="preserve">Tornillo Cubierta Estructura Metálica </t>
  </si>
  <si>
    <t>DESM. CIELO RASO PVC</t>
  </si>
  <si>
    <t>PUNTILLA ACERO  2"</t>
  </si>
  <si>
    <t>LB</t>
  </si>
  <si>
    <t>SUMINISTRO E INSTALACION DE LIMATESA</t>
  </si>
  <si>
    <t>LAMINA GALVANIZADA CAL.</t>
  </si>
  <si>
    <t xml:space="preserve">TORNILLO CUBIERTA ESTRUCTURA METÁLICA </t>
  </si>
  <si>
    <t>SUMINSTRO E INSTALACION DE CANAL GALVANIZADA INCLUYE SOPORTE CADA 2 METROS</t>
  </si>
  <si>
    <t>C.FALSO LAMINA PVC A=25CM E=10MM</t>
  </si>
  <si>
    <t>ALAMBRE GALV. #10</t>
  </si>
  <si>
    <t>PERFIL PVC PERIMETRAL S-S</t>
  </si>
  <si>
    <t>PERFIL PVC PERIMETRAL C-S</t>
  </si>
  <si>
    <t>PERFIL PVC PERIMETRAL P-P</t>
  </si>
  <si>
    <t>PERFIL PVC SOPORTE SUJECC</t>
  </si>
  <si>
    <t>PERFIL D CANAL 40 GALV 3.0</t>
  </si>
  <si>
    <t>ANGULO 29x29x2440MM C.26</t>
  </si>
  <si>
    <t>PERFIL D OMEGA 60 244-C26</t>
  </si>
  <si>
    <t>PUNTILLA 1.1/2 AC</t>
  </si>
  <si>
    <t>LAMINA PVC 25CM 10 MM 5950</t>
  </si>
  <si>
    <t xml:space="preserve">MANO OBRA PANELERIA 1 OFICIAL-1AYUDANTE </t>
  </si>
  <si>
    <t>SAL LAMP PVC</t>
  </si>
  <si>
    <t>ESTUCO PLASTICO MURO [PASTA]</t>
  </si>
  <si>
    <t>ESTUCO PLASTICO PASTA</t>
  </si>
  <si>
    <t>LIJA AGUA 400 - 9"X11" (23X28CM)</t>
  </si>
  <si>
    <t>LT</t>
  </si>
  <si>
    <t>SOLDADURA PVC 1/4 GLN</t>
  </si>
  <si>
    <t>ALAMBRE COBRE THWN #14</t>
  </si>
  <si>
    <t>ALAMBRE COBRE THWN #12</t>
  </si>
  <si>
    <t>ADAP. TERMINAL PVC 1/2"</t>
  </si>
  <si>
    <t>LIMPIADOR PVC 1/4 GLN (760 GRMS)</t>
  </si>
  <si>
    <t>TUBO PVC 1/2</t>
  </si>
  <si>
    <t>CAJA PVC OCTOGONAL</t>
  </si>
  <si>
    <t>ALAMBRE GALV. #18</t>
  </si>
  <si>
    <t>CINTA AISLANTE #33</t>
  </si>
  <si>
    <t>M.O. ELECTRICAS 1 AYUD. + 1 OFIC.</t>
  </si>
  <si>
    <t>M</t>
  </si>
  <si>
    <t>ACOMETIDA ELECTRICA NO.8 INCLUYE TUBERIA CONDUIT 3/4"</t>
  </si>
  <si>
    <t>CABLE COBRE THW #  8</t>
  </si>
  <si>
    <t xml:space="preserve">TUBO PVC   ,3/4"" X 3 MTS  </t>
  </si>
  <si>
    <t>BALA PANEL LED 24W</t>
  </si>
  <si>
    <t>Unidad: und</t>
  </si>
  <si>
    <t>Salario mínimo legal mensual vigente - SMLM básico 2025</t>
  </si>
  <si>
    <t>Subsidio de transporte 2025</t>
  </si>
  <si>
    <t xml:space="preserve">MUNICIPIO DE PUERTO TEJADA CAUCA </t>
  </si>
  <si>
    <t>SECRETARIA DE PLANEACION E  INFRAESTRUCTURA</t>
  </si>
  <si>
    <t>NIT 891500580-9</t>
  </si>
  <si>
    <t>SUMINISTO E INSTALACIÓN DE VIDRIO TEMPLADO INCOLORO 10 MM.</t>
  </si>
  <si>
    <t>VIDRIO TEMPLADO INCOL. 10MM</t>
  </si>
  <si>
    <t>SILICONA FRIA EN TUBO - 280 ML</t>
  </si>
  <si>
    <t>M.O. ALBANILERIA ACABADOS 1 AYUD. + 1 OFIC.</t>
  </si>
  <si>
    <t>CINTA ANTIDESLIZANTE PARA  GRADAS</t>
  </si>
  <si>
    <t>Cinta Antideslizante Alto Trafico Bicolor x50mm</t>
  </si>
  <si>
    <t>GALON</t>
  </si>
  <si>
    <t xml:space="preserve">ALCOHOL </t>
  </si>
  <si>
    <t xml:space="preserve">FIJADOR DE BORDES </t>
  </si>
  <si>
    <t xml:space="preserve">RECORRIDO CUBIERTA EN TEJA FIBROCEMENTO, AJUSTE, LIMPIEZA Y SELLAMIENTO </t>
  </si>
  <si>
    <t>GANCHO P/TEJA ASB. MADERA</t>
  </si>
  <si>
    <t>SUMINISTRO E INSTALACION TEJA FIBRO-CEMENTO</t>
  </si>
  <si>
    <t>TEJA ASB.CEMENTO P 7  # 6 (1.83*0.92)</t>
  </si>
  <si>
    <t xml:space="preserve">MANO OBRA ALBANILERIA   2 AYUDANTE-1 OFI </t>
  </si>
  <si>
    <t>CRUCETA ANDAMIO</t>
  </si>
  <si>
    <t xml:space="preserve">RECORRIDO CUBIERTA EN TEJA FIBROCEMENTO, AJUSTE, LIMPIEZA Y SELLAMIENTO  </t>
  </si>
  <si>
    <t xml:space="preserve"> DESMONTE CUBIERTA FIBRO CEMENTO</t>
  </si>
  <si>
    <t xml:space="preserve">SUMINSTRO E INSTALACION DE CANAL GALVANIZADA CAL.22 </t>
  </si>
  <si>
    <t>LIMPIEZA E IMPERMEABILIZACION DE VIGA CANAL PERIMETRAL</t>
  </si>
  <si>
    <t>ADITIVO LIQUIDO IMPERMEABI</t>
  </si>
  <si>
    <t>KL</t>
  </si>
  <si>
    <t>MANTENIMIENTO DE LA ESCUELA DOS AGUAS</t>
  </si>
  <si>
    <t>DEMOLICION ENCHAPE</t>
  </si>
  <si>
    <t>DESM. CANAL  GALVANIZADA</t>
  </si>
  <si>
    <t>LIMPIEZA CANAL PERIMETRAL</t>
  </si>
  <si>
    <t>PINTURAS Y ESTUCOS</t>
  </si>
  <si>
    <t>3.1</t>
  </si>
  <si>
    <t>ESTUCO MUROS</t>
  </si>
  <si>
    <t>RED ELECTRICA</t>
  </si>
  <si>
    <t>OBRAS VARIAS</t>
  </si>
  <si>
    <t>ESMALTE PARA VENTANAS-REJAS</t>
  </si>
  <si>
    <t>3.2</t>
  </si>
  <si>
    <t>3.3</t>
  </si>
  <si>
    <t>3.4</t>
  </si>
  <si>
    <t>3.5</t>
  </si>
  <si>
    <t>3.6</t>
  </si>
  <si>
    <t>3.7</t>
  </si>
  <si>
    <t>GRANIPLAX ESGRAFIADO</t>
  </si>
  <si>
    <t>KORAZA DOB VIDA SUPERF.REPELLO [2M]</t>
  </si>
  <si>
    <t>3.8</t>
  </si>
  <si>
    <t>3.9</t>
  </si>
  <si>
    <t>DEMOLICION RAMPA EN CONCRETO</t>
  </si>
  <si>
    <t>CONCRETO 3000 PSI RAMPA ENTRADA PRINCIPAL</t>
  </si>
  <si>
    <t>ENCHAPES</t>
  </si>
  <si>
    <t>KORAZA PLASTICA</t>
  </si>
  <si>
    <t>DESCRIPCIÓN</t>
  </si>
  <si>
    <t>JORNAL</t>
  </si>
  <si>
    <t>PREST,</t>
  </si>
  <si>
    <t>REND-CANT</t>
  </si>
  <si>
    <t>M.O. PINTURA 1 AYUD. + 1 OFIC.</t>
  </si>
  <si>
    <t>CANT</t>
  </si>
  <si>
    <t>TARIFA</t>
  </si>
  <si>
    <t>TOTAL</t>
  </si>
  <si>
    <t>ANDAMIO METÁLICO CERTIFICADO ALTURAS</t>
  </si>
  <si>
    <t>U</t>
  </si>
  <si>
    <t>ESGRAFIADO</t>
  </si>
  <si>
    <t>GRANIPLAST - ESGRAFIADO 30 KG</t>
  </si>
  <si>
    <t>BASE ESGRAFIADO</t>
  </si>
  <si>
    <t>ESMALTE REJAS VENTANAS</t>
  </si>
  <si>
    <t>DISOLVENTE</t>
  </si>
  <si>
    <t>ESMALTE NAVE METALICA H&lt;=2.2M A&lt;=1.0M-2C</t>
  </si>
  <si>
    <t xml:space="preserve">ENCHAPE CERÁMICO MUROS DE ANTEPECHO </t>
  </si>
  <si>
    <t>ENCHAPE CERAMICO PISO PARED 20-50 X 20-50 CM</t>
  </si>
  <si>
    <t>PEGACOR BLANCO</t>
  </si>
  <si>
    <t>WAIPE</t>
  </si>
  <si>
    <t>EMBOQUILLADOR LATEX</t>
  </si>
  <si>
    <t>CEMENTO BLANCO</t>
  </si>
  <si>
    <t>BTO</t>
  </si>
  <si>
    <t>CERAMICA 20-50 X 20-50 CM TRAF.I 4</t>
  </si>
  <si>
    <t>CRUCETA PLASTICA 1MM-ENCHA x 300 UND</t>
  </si>
  <si>
    <t>BOL</t>
  </si>
  <si>
    <t>MANO OBRA ALBANILERIA   2AYUDANTE</t>
  </si>
  <si>
    <t>MANO OBRA ALBANILERIA   1 OFI</t>
  </si>
  <si>
    <t>CORTADORA CERAMICA</t>
  </si>
  <si>
    <t>ENCHAPE CERAMICO TRAFICO 4 ANDEN FACHADA PRINCIPAL</t>
  </si>
  <si>
    <t>DESMONTE APARATO SANTARIO EXISTENTE</t>
  </si>
  <si>
    <t>KM</t>
  </si>
  <si>
    <t xml:space="preserve">ME0105-MEZCLA CONCRETO  3000 PSI (21  MPA)              </t>
  </si>
  <si>
    <t xml:space="preserve">MOAG11-MANO OBRA ALBANILERIA   3AYUDANTE-1 OFI           </t>
  </si>
  <si>
    <t xml:space="preserve">CONCRETO  3000 PSI </t>
  </si>
  <si>
    <t>APARATOS SANITARIOS</t>
  </si>
  <si>
    <t>ORINAL BLANCO INSTITUCIONAL</t>
  </si>
  <si>
    <t>OTROS</t>
  </si>
  <si>
    <t>SANITARIO BLANCO INSTITUCIONAL  LINEA ECONOMICA</t>
  </si>
  <si>
    <t>SUMINISTRO E INSTALACION TEJA TRAPEZOIDAL</t>
  </si>
  <si>
    <t>TEJA AJOVER TRAPEZOIDAL    SUPER   .35MM</t>
  </si>
  <si>
    <t>000879-TORN P/LAM AUT.1/2-14X3/4</t>
  </si>
  <si>
    <t>000887-TORN P/LAM AUT.1/4-14X7/8</t>
  </si>
  <si>
    <t>001144-TEJA AJOVER SUPER TRAPEZOI</t>
  </si>
  <si>
    <t>MOAG11-MANO OBRA ALBANILERIA   1 AYUDANTE-1 OFI</t>
  </si>
  <si>
    <t>MQ0601-ANDAMIO METALICO TUBULAR</t>
  </si>
  <si>
    <t>3.10</t>
  </si>
  <si>
    <t>ESMALTE PASAMANOS METALICO TUBULAR-REDONDO</t>
  </si>
  <si>
    <t>ESMALTE NAVE METALICA H: 2.2-2.4 M  A: 1.0M-1,1M -2C</t>
  </si>
  <si>
    <t>LIJA AGUA 230 - 9"X11" (23X28CM)</t>
  </si>
  <si>
    <t>DISOLVENTE PARA PINTURA (TINNER)</t>
  </si>
  <si>
    <t>M.O. PINTURA 1 AYUDANTE + 1 OFICIAL</t>
  </si>
  <si>
    <t>ESMALTE MARCO METALICO 0.70-1.10</t>
  </si>
  <si>
    <t>CINTA ENMASCARAR 1-1/2"X40M</t>
  </si>
  <si>
    <t>ROLLO</t>
  </si>
  <si>
    <t>ESMALTE MARCO METALICO 0.70-1.100</t>
  </si>
  <si>
    <t>DIVISIONES DE BAÑO EN LAMINA GALVANIZADA CAL. 20 3X1,10X1,90</t>
  </si>
  <si>
    <t xml:space="preserve">ESMALTE SOBRE MURO </t>
  </si>
  <si>
    <t>ESMALTE SEMIBRILLANTE</t>
  </si>
  <si>
    <t>ESMALTE SOBRE MURO</t>
  </si>
  <si>
    <t>ANDAMIO METALICO CERTIFICADO ALTURAS</t>
  </si>
  <si>
    <t>ESMALTE BARANDA TUBO 2-3 LINEAS+PARALES</t>
  </si>
  <si>
    <t>ANTICORROSIVO ROJO</t>
  </si>
  <si>
    <t xml:space="preserve">M.O. PINTURA 1 AYUDANTE </t>
  </si>
  <si>
    <t>SANITARIO LINEA ECONOMICA</t>
  </si>
  <si>
    <t>MANGUERA FLEXIBLE GRIFLEX 40CM</t>
  </si>
  <si>
    <t>M.O. HIDROSANIT. 1 AYUDANTE + 1 OFICIAL</t>
  </si>
  <si>
    <t>M.O. ALB. ACABADOS 1 AYUDANTE + 1 OFICIAL</t>
  </si>
  <si>
    <t>ORINAL LINEA ECONOMICA</t>
  </si>
  <si>
    <t>CERAMICA PARED 35X45</t>
  </si>
  <si>
    <t>LIMPIEZA CANAL METALICA DLLO. 51-100CM</t>
  </si>
  <si>
    <t>M.O. 1 AYUDANTE</t>
  </si>
  <si>
    <t>DEMOLICION ENCHAPE CERAMICO</t>
  </si>
  <si>
    <t>DESMONTE APARATO SANITARIO</t>
  </si>
  <si>
    <t>VINILO MUROS  (2 MANOS)</t>
  </si>
  <si>
    <t>GUSTAVO ADOLFO CAICEDO VIVEROS</t>
  </si>
  <si>
    <t>Secretario de Planeación e Infraestructura</t>
  </si>
  <si>
    <r>
      <rPr>
        <b/>
        <sz val="16"/>
        <color rgb="FFFF0000"/>
        <rFont val="Calibri"/>
        <family val="2"/>
        <scheme val="minor"/>
      </rPr>
      <t>AUNAR ESFUERZOS A TRAVÉS DE CONVENIO SOLIDARIO DE OBRA PARA EL ENLUCIMIENTO Y MEJORAMIENTO DE LAS INSTALACIONES DE LA ESCUELA DOS AGUAS DEL MUNICIPIO DE PUERTO TEJADA CAUCA</t>
    </r>
    <r>
      <rPr>
        <b/>
        <sz val="16"/>
        <color theme="1"/>
        <rFont val="Calibri"/>
        <family val="2"/>
        <scheme val="minor"/>
      </rPr>
      <t xml:space="preserve">   “OBRAS PARA EL ENLUCIMIENTO Y MEJORAMIENTO DE LAS INSTALACIONES DE LA ESCUELA DOS AGUAS DEL MUNICIPIO DE PUERTO TEJADA CAUCA.”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</si>
</sst>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-* #,##0.00_-;\-* #,##0.00_-;_-* &quot;-&quot;??_-;_-@_-"/>
    <numFmt numFmtId="164" formatCode="&quot;$&quot;\ #,##0;[Red]\-&quot;$&quot;\ #,##0"/>
    <numFmt numFmtId="165" formatCode="_-&quot;$&quot;\ * #,##0.00_-;\-&quot;$&quot;\ * #,##0.00_-;_-&quot;$&quot;\ * &quot;-&quot;??_-;_-@_-"/>
    <numFmt numFmtId="166" formatCode="0.0"/>
    <numFmt numFmtId="167" formatCode="&quot;$&quot;#,##0.0"/>
    <numFmt numFmtId="168" formatCode="[$$-240A]\ #,##0.0"/>
    <numFmt numFmtId="169" formatCode="&quot;$&quot;\ #,##0.00"/>
    <numFmt numFmtId="170" formatCode="_ &quot;$&quot;\ * #,##0.00_ ;_ &quot;$&quot;\ * \-#,##0.00_ ;_ &quot;$&quot;\ * &quot;-&quot;??_ ;_ @_ "/>
    <numFmt numFmtId="171" formatCode="[$$-240A]\ #,##0.00"/>
    <numFmt numFmtId="172" formatCode="[$$-240A]\ #,##0"/>
    <numFmt numFmtId="173" formatCode="0.000"/>
    <numFmt numFmtId="174" formatCode="_-&quot;$&quot;\ * #,##0_-;\-&quot;$&quot;\ * #,##0_-;_-&quot;$&quot;\ * &quot;-&quot;??_-;_-@_-"/>
  </numFmts>
  <fonts count="2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9"/>
      <name val="Calibri Light"/>
      <family val="2"/>
      <scheme val="major"/>
    </font>
    <font>
      <sz val="10"/>
      <name val="Calibri Light"/>
      <family val="2"/>
      <scheme val="major"/>
    </font>
    <font>
      <sz val="9"/>
      <name val="Calibri Light"/>
      <family val="2"/>
      <scheme val="maj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2"/>
      <color theme="1" tint="0.1499984740745262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Arial"/>
      <family val="2"/>
    </font>
    <font>
      <b/>
      <sz val="16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DEEEE9"/>
        <bgColor indexed="64"/>
      </patternFill>
    </fill>
    <fill>
      <gradientFill degree="90">
        <stop position="0">
          <color rgb="FF73ED82"/>
        </stop>
        <stop position="1">
          <color rgb="FF28E4E4"/>
        </stop>
      </gradientFill>
    </fill>
    <fill>
      <patternFill patternType="solid">
        <fgColor rgb="FF28E4E4"/>
        <bgColor indexed="64"/>
      </patternFill>
    </fill>
    <fill>
      <patternFill patternType="solid">
        <fgColor theme="5" tint="0.79998168889431442"/>
        <bgColor auto="1"/>
      </patternFill>
    </fill>
    <fill>
      <patternFill patternType="solid">
        <fgColor rgb="FFDFEB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23919D"/>
      </left>
      <right style="thin">
        <color rgb="FF23919D"/>
      </right>
      <top style="thin">
        <color rgb="FF23919D"/>
      </top>
      <bottom style="thin">
        <color rgb="FF23919D"/>
      </bottom>
      <diagonal/>
    </border>
    <border>
      <left style="thin">
        <color rgb="FF23919D"/>
      </left>
      <right/>
      <top style="thin">
        <color rgb="FF23919D"/>
      </top>
      <bottom style="thin">
        <color rgb="FF23919D"/>
      </bottom>
      <diagonal/>
    </border>
    <border>
      <left/>
      <right/>
      <top style="thin">
        <color rgb="FF23919D"/>
      </top>
      <bottom style="thin">
        <color rgb="FF23919D"/>
      </bottom>
      <diagonal/>
    </border>
    <border>
      <left/>
      <right style="thin">
        <color rgb="FF23919D"/>
      </right>
      <top style="thin">
        <color rgb="FF23919D"/>
      </top>
      <bottom style="thin">
        <color rgb="FF23919D"/>
      </bottom>
      <diagonal/>
    </border>
    <border>
      <left style="thin">
        <color rgb="FF23919D"/>
      </left>
      <right/>
      <top style="thin">
        <color rgb="FF23919D"/>
      </top>
      <bottom/>
      <diagonal/>
    </border>
    <border>
      <left style="thin">
        <color rgb="FF23919D"/>
      </left>
      <right style="thin">
        <color rgb="FF23919D"/>
      </right>
      <top style="thin">
        <color rgb="FF23919D"/>
      </top>
      <bottom/>
      <diagonal/>
    </border>
    <border>
      <left/>
      <right/>
      <top style="thin">
        <color rgb="FF23919D"/>
      </top>
      <bottom/>
      <diagonal/>
    </border>
    <border>
      <left/>
      <right style="thin">
        <color rgb="FF23919D"/>
      </right>
      <top style="thin">
        <color rgb="FF23919D"/>
      </top>
      <bottom/>
      <diagonal/>
    </border>
    <border>
      <left style="thin">
        <color rgb="FF23919D"/>
      </left>
      <right/>
      <top/>
      <bottom style="thin">
        <color rgb="FF23919D"/>
      </bottom>
      <diagonal/>
    </border>
    <border>
      <left/>
      <right/>
      <top/>
      <bottom style="thin">
        <color rgb="FF23919D"/>
      </bottom>
      <diagonal/>
    </border>
    <border>
      <left/>
      <right style="thin">
        <color rgb="FF23919D"/>
      </right>
      <top/>
      <bottom style="thin">
        <color rgb="FF23919D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4" borderId="0" applyNumberFormat="0" applyBorder="0" applyAlignment="0" applyProtection="0"/>
    <xf numFmtId="0" fontId="9" fillId="0" borderId="30" applyNumberFormat="0" applyFill="0" applyAlignment="0" applyProtection="0"/>
    <xf numFmtId="0" fontId="3" fillId="0" borderId="0"/>
    <xf numFmtId="9" fontId="10" fillId="0" borderId="0" applyFont="0" applyFill="0" applyBorder="0" applyAlignment="0" applyProtection="0"/>
    <xf numFmtId="0" fontId="3" fillId="0" borderId="0"/>
    <xf numFmtId="0" fontId="17" fillId="0" borderId="0"/>
    <xf numFmtId="170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8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2" fontId="1" fillId="0" borderId="0" xfId="0" applyNumberFormat="1" applyFont="1"/>
    <xf numFmtId="0" fontId="6" fillId="2" borderId="10" xfId="0" applyFont="1" applyFill="1" applyBorder="1" applyAlignment="1" applyProtection="1">
      <alignment horizontal="center" vertical="center"/>
      <protection hidden="1"/>
    </xf>
    <xf numFmtId="43" fontId="5" fillId="2" borderId="13" xfId="1" applyFont="1" applyFill="1" applyBorder="1" applyAlignment="1" applyProtection="1">
      <alignment horizontal="center" vertical="center"/>
      <protection hidden="1"/>
    </xf>
    <xf numFmtId="0" fontId="6" fillId="2" borderId="0" xfId="0" applyFont="1" applyFill="1" applyAlignment="1" applyProtection="1">
      <alignment horizontal="center" vertical="center"/>
      <protection hidden="1"/>
    </xf>
    <xf numFmtId="43" fontId="5" fillId="2" borderId="16" xfId="1" applyFont="1" applyFill="1" applyBorder="1" applyAlignment="1" applyProtection="1">
      <alignment horizontal="center" vertical="center"/>
      <protection hidden="1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43" fontId="7" fillId="3" borderId="18" xfId="1" applyFont="1" applyFill="1" applyBorder="1" applyAlignment="1" applyProtection="1">
      <alignment horizontal="center" vertical="center"/>
      <protection hidden="1"/>
    </xf>
    <xf numFmtId="43" fontId="7" fillId="3" borderId="19" xfId="1" applyFont="1" applyFill="1" applyBorder="1" applyAlignment="1" applyProtection="1">
      <alignment horizontal="center" vertical="center"/>
      <protection hidden="1"/>
    </xf>
    <xf numFmtId="0" fontId="7" fillId="0" borderId="11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43" fontId="7" fillId="0" borderId="0" xfId="1" applyFont="1" applyFill="1" applyBorder="1" applyAlignment="1" applyProtection="1">
      <alignment horizontal="right" vertical="center"/>
      <protection hidden="1"/>
    </xf>
    <xf numFmtId="43" fontId="7" fillId="0" borderId="16" xfId="1" applyFont="1" applyFill="1" applyBorder="1" applyAlignment="1" applyProtection="1">
      <alignment horizontal="right" vertical="center"/>
      <protection hidden="1"/>
    </xf>
    <xf numFmtId="0" fontId="5" fillId="0" borderId="11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 indent="1"/>
    </xf>
    <xf numFmtId="0" fontId="7" fillId="0" borderId="18" xfId="0" applyFont="1" applyBorder="1" applyAlignment="1">
      <alignment horizontal="center" vertical="center"/>
    </xf>
    <xf numFmtId="2" fontId="7" fillId="0" borderId="18" xfId="0" applyNumberFormat="1" applyFont="1" applyBorder="1" applyAlignment="1">
      <alignment horizontal="center" vertical="center"/>
    </xf>
    <xf numFmtId="10" fontId="7" fillId="0" borderId="18" xfId="3" applyNumberFormat="1" applyFont="1" applyFill="1" applyBorder="1" applyAlignment="1" applyProtection="1">
      <alignment horizontal="center" vertical="center"/>
    </xf>
    <xf numFmtId="165" fontId="7" fillId="0" borderId="18" xfId="2" applyFont="1" applyFill="1" applyBorder="1" applyAlignment="1" applyProtection="1">
      <alignment horizontal="right" vertical="center"/>
      <protection hidden="1"/>
    </xf>
    <xf numFmtId="165" fontId="7" fillId="0" borderId="19" xfId="2" applyFont="1" applyFill="1" applyBorder="1" applyAlignment="1" applyProtection="1">
      <alignment horizontal="right" vertical="center"/>
      <protection hidden="1"/>
    </xf>
    <xf numFmtId="165" fontId="5" fillId="0" borderId="20" xfId="2" applyFont="1" applyFill="1" applyBorder="1" applyAlignment="1" applyProtection="1">
      <alignment horizontal="right" vertical="center"/>
      <protection hidden="1"/>
    </xf>
    <xf numFmtId="0" fontId="5" fillId="0" borderId="11" xfId="0" quotePrefix="1" applyFont="1" applyBorder="1" applyAlignment="1">
      <alignment horizontal="left" vertical="center"/>
    </xf>
    <xf numFmtId="165" fontId="7" fillId="0" borderId="16" xfId="2" applyFont="1" applyFill="1" applyBorder="1" applyAlignment="1" applyProtection="1">
      <alignment horizontal="right" vertical="center"/>
      <protection hidden="1"/>
    </xf>
    <xf numFmtId="165" fontId="5" fillId="3" borderId="23" xfId="2" applyFont="1" applyFill="1" applyBorder="1" applyAlignment="1" applyProtection="1">
      <alignment horizontal="right" vertical="center"/>
      <protection hidden="1"/>
    </xf>
    <xf numFmtId="0" fontId="5" fillId="0" borderId="21" xfId="0" applyFont="1" applyBorder="1" applyAlignment="1">
      <alignment horizontal="left" vertical="center" indent="3"/>
    </xf>
    <xf numFmtId="0" fontId="7" fillId="0" borderId="22" xfId="0" applyFont="1" applyBorder="1" applyAlignment="1">
      <alignment horizontal="center" vertical="center"/>
    </xf>
    <xf numFmtId="0" fontId="7" fillId="0" borderId="22" xfId="0" applyFont="1" applyBorder="1" applyAlignment="1">
      <alignment vertical="center"/>
    </xf>
    <xf numFmtId="43" fontId="7" fillId="0" borderId="0" xfId="1" applyFont="1" applyFill="1" applyBorder="1" applyAlignment="1">
      <alignment horizontal="right" vertical="center"/>
    </xf>
    <xf numFmtId="43" fontId="7" fillId="0" borderId="24" xfId="1" applyFont="1" applyFill="1" applyBorder="1" applyAlignment="1">
      <alignment horizontal="right" vertical="center"/>
    </xf>
    <xf numFmtId="0" fontId="7" fillId="0" borderId="21" xfId="0" applyFont="1" applyBorder="1" applyAlignment="1">
      <alignment horizontal="left" vertical="center" indent="5"/>
    </xf>
    <xf numFmtId="0" fontId="7" fillId="0" borderId="25" xfId="0" applyFont="1" applyBorder="1" applyAlignment="1">
      <alignment vertical="center"/>
    </xf>
    <xf numFmtId="43" fontId="7" fillId="0" borderId="26" xfId="1" applyFont="1" applyFill="1" applyBorder="1" applyAlignment="1">
      <alignment horizontal="right" vertical="center"/>
    </xf>
    <xf numFmtId="165" fontId="7" fillId="0" borderId="24" xfId="2" applyFont="1" applyFill="1" applyBorder="1" applyAlignment="1">
      <alignment horizontal="right" vertical="center"/>
    </xf>
    <xf numFmtId="165" fontId="5" fillId="3" borderId="16" xfId="2" applyFont="1" applyFill="1" applyBorder="1" applyAlignment="1">
      <alignment horizontal="right" vertical="center"/>
    </xf>
    <xf numFmtId="165" fontId="5" fillId="2" borderId="29" xfId="2" applyFont="1" applyFill="1" applyBorder="1" applyAlignment="1" applyProtection="1">
      <alignment horizontal="right" vertical="center"/>
      <protection hidden="1"/>
    </xf>
    <xf numFmtId="43" fontId="7" fillId="0" borderId="18" xfId="1" applyFont="1" applyFill="1" applyBorder="1" applyAlignment="1" applyProtection="1">
      <alignment horizontal="right" vertical="center"/>
      <protection hidden="1"/>
    </xf>
    <xf numFmtId="0" fontId="13" fillId="5" borderId="31" xfId="5" applyFont="1" applyFill="1" applyBorder="1" applyAlignment="1" applyProtection="1">
      <alignment vertical="center"/>
    </xf>
    <xf numFmtId="0" fontId="13" fillId="5" borderId="32" xfId="5" applyFont="1" applyFill="1" applyBorder="1" applyAlignment="1" applyProtection="1">
      <alignment vertical="center" wrapText="1"/>
    </xf>
    <xf numFmtId="169" fontId="13" fillId="5" borderId="31" xfId="5" applyNumberFormat="1" applyFont="1" applyFill="1" applyBorder="1" applyAlignment="1" applyProtection="1">
      <alignment horizontal="center" vertical="center"/>
    </xf>
    <xf numFmtId="0" fontId="13" fillId="5" borderId="31" xfId="5" applyFont="1" applyFill="1" applyBorder="1" applyAlignment="1" applyProtection="1">
      <alignment vertical="center" wrapText="1"/>
    </xf>
    <xf numFmtId="9" fontId="13" fillId="5" borderId="31" xfId="5" applyNumberFormat="1" applyFont="1" applyFill="1" applyBorder="1" applyAlignment="1" applyProtection="1">
      <alignment horizontal="center" vertical="center"/>
    </xf>
    <xf numFmtId="167" fontId="13" fillId="5" borderId="31" xfId="5" applyNumberFormat="1" applyFont="1" applyFill="1" applyBorder="1" applyAlignment="1" applyProtection="1">
      <alignment horizontal="center" vertical="center"/>
    </xf>
    <xf numFmtId="0" fontId="14" fillId="0" borderId="0" xfId="0" applyFont="1"/>
    <xf numFmtId="0" fontId="15" fillId="5" borderId="31" xfId="5" applyFont="1" applyFill="1" applyBorder="1" applyAlignment="1" applyProtection="1">
      <alignment horizontal="center" vertical="center"/>
    </xf>
    <xf numFmtId="0" fontId="15" fillId="5" borderId="31" xfId="5" applyFont="1" applyFill="1" applyBorder="1" applyAlignment="1" applyProtection="1">
      <alignment horizontal="left" vertical="center" wrapText="1"/>
    </xf>
    <xf numFmtId="0" fontId="15" fillId="5" borderId="31" xfId="5" applyFont="1" applyFill="1" applyBorder="1" applyAlignment="1" applyProtection="1">
      <alignment horizontal="center" vertical="center" wrapText="1"/>
    </xf>
    <xf numFmtId="168" fontId="15" fillId="0" borderId="31" xfId="6" applyNumberFormat="1" applyFont="1" applyBorder="1" applyProtection="1">
      <protection locked="0"/>
    </xf>
    <xf numFmtId="0" fontId="15" fillId="0" borderId="31" xfId="6" applyFont="1" applyBorder="1" applyProtection="1">
      <protection locked="0"/>
    </xf>
    <xf numFmtId="165" fontId="0" fillId="0" borderId="0" xfId="0" applyNumberFormat="1"/>
    <xf numFmtId="169" fontId="0" fillId="0" borderId="0" xfId="0" applyNumberFormat="1"/>
    <xf numFmtId="0" fontId="2" fillId="7" borderId="31" xfId="5" applyFont="1" applyFill="1" applyBorder="1" applyAlignment="1" applyProtection="1">
      <alignment vertical="center" wrapText="1"/>
    </xf>
    <xf numFmtId="0" fontId="2" fillId="7" borderId="31" xfId="5" applyFont="1" applyFill="1" applyBorder="1" applyAlignment="1" applyProtection="1">
      <alignment vertical="center"/>
    </xf>
    <xf numFmtId="3" fontId="2" fillId="7" borderId="31" xfId="4" applyNumberFormat="1" applyFont="1" applyFill="1" applyBorder="1" applyAlignment="1" applyProtection="1">
      <alignment horizontal="center" vertical="center"/>
    </xf>
    <xf numFmtId="0" fontId="2" fillId="7" borderId="31" xfId="5" applyFont="1" applyFill="1" applyBorder="1" applyAlignment="1" applyProtection="1">
      <alignment horizontal="center" vertical="center"/>
    </xf>
    <xf numFmtId="0" fontId="2" fillId="7" borderId="31" xfId="5" applyFont="1" applyFill="1" applyBorder="1" applyAlignment="1" applyProtection="1">
      <alignment horizontal="center" vertical="center" wrapText="1"/>
    </xf>
    <xf numFmtId="0" fontId="2" fillId="7" borderId="35" xfId="5" applyFont="1" applyFill="1" applyBorder="1" applyAlignment="1" applyProtection="1">
      <alignment horizontal="center" vertical="center" wrapText="1"/>
    </xf>
    <xf numFmtId="168" fontId="16" fillId="7" borderId="36" xfId="4" applyNumberFormat="1" applyFont="1" applyFill="1" applyBorder="1" applyAlignment="1" applyProtection="1">
      <alignment horizontal="center" vertical="center"/>
    </xf>
    <xf numFmtId="165" fontId="15" fillId="0" borderId="31" xfId="6" applyNumberFormat="1" applyFont="1" applyBorder="1" applyProtection="1">
      <protection locked="0"/>
    </xf>
    <xf numFmtId="2" fontId="15" fillId="5" borderId="31" xfId="5" applyNumberFormat="1" applyFont="1" applyFill="1" applyBorder="1" applyAlignment="1" applyProtection="1">
      <alignment horizontal="center" vertical="center" wrapText="1"/>
    </xf>
    <xf numFmtId="172" fontId="16" fillId="7" borderId="36" xfId="4" applyNumberFormat="1" applyFont="1" applyFill="1" applyBorder="1" applyAlignment="1" applyProtection="1">
      <alignment horizontal="center" vertical="center"/>
    </xf>
    <xf numFmtId="171" fontId="0" fillId="0" borderId="0" xfId="0" applyNumberFormat="1"/>
    <xf numFmtId="165" fontId="1" fillId="0" borderId="0" xfId="2" applyFont="1"/>
    <xf numFmtId="171" fontId="15" fillId="0" borderId="31" xfId="6" applyNumberFormat="1" applyFont="1" applyBorder="1" applyProtection="1">
      <protection locked="0"/>
    </xf>
    <xf numFmtId="173" fontId="7" fillId="0" borderId="18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7" fillId="0" borderId="11" xfId="0" quotePrefix="1" applyFont="1" applyBorder="1" applyAlignment="1">
      <alignment horizontal="left" vertical="center"/>
    </xf>
    <xf numFmtId="10" fontId="7" fillId="0" borderId="0" xfId="3" applyNumberFormat="1" applyFont="1" applyAlignment="1">
      <alignment horizontal="center" vertical="center"/>
    </xf>
    <xf numFmtId="10" fontId="7" fillId="0" borderId="18" xfId="0" applyNumberFormat="1" applyFont="1" applyBorder="1" applyAlignment="1">
      <alignment horizontal="center" vertical="center"/>
    </xf>
    <xf numFmtId="43" fontId="7" fillId="0" borderId="0" xfId="1" applyFont="1" applyFill="1" applyBorder="1" applyAlignment="1" applyProtection="1">
      <alignment horizontal="center" vertical="center"/>
      <protection hidden="1"/>
    </xf>
    <xf numFmtId="0" fontId="7" fillId="0" borderId="44" xfId="0" applyFont="1" applyBorder="1" applyAlignment="1">
      <alignment horizontal="left" vertical="top"/>
    </xf>
    <xf numFmtId="0" fontId="7" fillId="0" borderId="18" xfId="0" applyFont="1" applyBorder="1" applyAlignment="1">
      <alignment horizontal="center"/>
    </xf>
    <xf numFmtId="0" fontId="18" fillId="9" borderId="4" xfId="0" applyFont="1" applyFill="1" applyBorder="1" applyAlignment="1">
      <alignment vertical="center" wrapText="1"/>
    </xf>
    <xf numFmtId="0" fontId="18" fillId="9" borderId="1" xfId="0" applyFont="1" applyFill="1" applyBorder="1" applyAlignment="1">
      <alignment horizontal="center" vertical="center" wrapText="1"/>
    </xf>
    <xf numFmtId="0" fontId="18" fillId="9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 indent="1"/>
    </xf>
    <xf numFmtId="0" fontId="18" fillId="0" borderId="1" xfId="0" applyFont="1" applyBorder="1" applyAlignment="1">
      <alignment vertical="top" wrapText="1"/>
    </xf>
    <xf numFmtId="0" fontId="19" fillId="0" borderId="8" xfId="0" applyFont="1" applyBorder="1" applyAlignment="1">
      <alignment horizontal="left" vertical="center" wrapText="1" indent="2"/>
    </xf>
    <xf numFmtId="0" fontId="19" fillId="0" borderId="1" xfId="0" applyFont="1" applyBorder="1" applyAlignment="1">
      <alignment horizontal="left" vertical="center" wrapText="1" indent="3"/>
    </xf>
    <xf numFmtId="0" fontId="19" fillId="0" borderId="1" xfId="0" applyFont="1" applyBorder="1" applyAlignment="1">
      <alignment horizontal="left" vertical="center" wrapText="1" indent="4"/>
    </xf>
    <xf numFmtId="3" fontId="19" fillId="0" borderId="5" xfId="0" applyNumberFormat="1" applyFont="1" applyBorder="1" applyAlignment="1">
      <alignment horizontal="right" vertical="center" wrapText="1"/>
    </xf>
    <xf numFmtId="3" fontId="19" fillId="0" borderId="6" xfId="0" applyNumberFormat="1" applyFont="1" applyBorder="1" applyAlignment="1">
      <alignment horizontal="right" vertical="center" wrapText="1"/>
    </xf>
    <xf numFmtId="0" fontId="19" fillId="0" borderId="6" xfId="0" applyFont="1" applyBorder="1" applyAlignment="1">
      <alignment horizontal="right" vertical="center" wrapText="1"/>
    </xf>
    <xf numFmtId="43" fontId="0" fillId="0" borderId="0" xfId="1" applyFont="1"/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 wrapText="1" indent="1"/>
    </xf>
    <xf numFmtId="0" fontId="7" fillId="0" borderId="0" xfId="0" applyFont="1" applyAlignment="1">
      <alignment horizontal="right" vertical="center"/>
    </xf>
    <xf numFmtId="0" fontId="0" fillId="0" borderId="11" xfId="0" applyBorder="1"/>
    <xf numFmtId="0" fontId="0" fillId="0" borderId="16" xfId="0" applyBorder="1"/>
    <xf numFmtId="0" fontId="5" fillId="0" borderId="0" xfId="0" applyFont="1" applyAlignment="1" applyProtection="1">
      <alignment horizontal="center" vertical="center"/>
      <protection hidden="1"/>
    </xf>
    <xf numFmtId="165" fontId="5" fillId="0" borderId="0" xfId="2" applyFont="1" applyFill="1" applyBorder="1" applyAlignment="1" applyProtection="1">
      <alignment horizontal="right" vertical="center"/>
      <protection hidden="1"/>
    </xf>
    <xf numFmtId="43" fontId="1" fillId="0" borderId="0" xfId="1" applyFont="1"/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/>
    </xf>
    <xf numFmtId="165" fontId="14" fillId="0" borderId="9" xfId="0" applyNumberFormat="1" applyFont="1" applyBorder="1" applyAlignment="1">
      <alignment vertical="center"/>
    </xf>
    <xf numFmtId="166" fontId="14" fillId="0" borderId="8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165" fontId="14" fillId="0" borderId="1" xfId="0" applyNumberFormat="1" applyFont="1" applyBorder="1" applyAlignment="1">
      <alignment vertical="center"/>
    </xf>
    <xf numFmtId="43" fontId="1" fillId="0" borderId="0" xfId="0" applyNumberFormat="1" applyFont="1"/>
    <xf numFmtId="0" fontId="5" fillId="2" borderId="14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43" fontId="7" fillId="0" borderId="16" xfId="1" applyFont="1" applyFill="1" applyBorder="1" applyAlignment="1" applyProtection="1">
      <alignment horizontal="center" vertical="center"/>
      <protection hidden="1"/>
    </xf>
    <xf numFmtId="43" fontId="7" fillId="0" borderId="18" xfId="1" applyFont="1" applyBorder="1" applyAlignment="1">
      <alignment horizontal="center" vertical="center"/>
    </xf>
    <xf numFmtId="165" fontId="5" fillId="0" borderId="16" xfId="2" applyFont="1" applyFill="1" applyBorder="1" applyAlignment="1" applyProtection="1">
      <alignment horizontal="right" vertical="center"/>
      <protection hidden="1"/>
    </xf>
    <xf numFmtId="165" fontId="7" fillId="0" borderId="16" xfId="2" applyFont="1" applyFill="1" applyBorder="1" applyAlignment="1" applyProtection="1">
      <alignment horizontal="center" vertical="center"/>
      <protection hidden="1"/>
    </xf>
    <xf numFmtId="2" fontId="7" fillId="0" borderId="0" xfId="3" applyNumberFormat="1" applyFont="1" applyFill="1" applyBorder="1" applyAlignment="1" applyProtection="1">
      <alignment horizontal="center" vertical="center"/>
    </xf>
    <xf numFmtId="10" fontId="7" fillId="0" borderId="0" xfId="3" applyNumberFormat="1" applyFont="1" applyFill="1" applyBorder="1" applyAlignment="1" applyProtection="1">
      <alignment horizontal="center" vertical="center"/>
    </xf>
    <xf numFmtId="0" fontId="18" fillId="9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2" fontId="15" fillId="0" borderId="1" xfId="0" applyNumberFormat="1" applyFont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165" fontId="20" fillId="8" borderId="9" xfId="0" applyNumberFormat="1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2" fontId="20" fillId="0" borderId="1" xfId="0" applyNumberFormat="1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2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165" fontId="14" fillId="0" borderId="1" xfId="0" applyNumberFormat="1" applyFont="1" applyBorder="1" applyAlignment="1">
      <alignment horizontal="center"/>
    </xf>
    <xf numFmtId="0" fontId="14" fillId="0" borderId="1" xfId="0" applyFont="1" applyBorder="1"/>
    <xf numFmtId="165" fontId="20" fillId="0" borderId="9" xfId="0" applyNumberFormat="1" applyFont="1" applyBorder="1"/>
    <xf numFmtId="10" fontId="15" fillId="0" borderId="1" xfId="0" applyNumberFormat="1" applyFont="1" applyBorder="1"/>
    <xf numFmtId="165" fontId="14" fillId="0" borderId="9" xfId="0" applyNumberFormat="1" applyFont="1" applyBorder="1"/>
    <xf numFmtId="10" fontId="20" fillId="0" borderId="1" xfId="0" applyNumberFormat="1" applyFont="1" applyBorder="1"/>
    <xf numFmtId="2" fontId="14" fillId="0" borderId="1" xfId="0" applyNumberFormat="1" applyFont="1" applyBorder="1"/>
    <xf numFmtId="0" fontId="14" fillId="0" borderId="9" xfId="0" applyFont="1" applyBorder="1"/>
    <xf numFmtId="165" fontId="20" fillId="0" borderId="7" xfId="0" applyNumberFormat="1" applyFont="1" applyBorder="1"/>
    <xf numFmtId="2" fontId="18" fillId="0" borderId="1" xfId="0" applyNumberFormat="1" applyFont="1" applyBorder="1" applyAlignment="1">
      <alignment horizontal="left" vertical="center" wrapText="1" indent="1"/>
    </xf>
    <xf numFmtId="165" fontId="15" fillId="0" borderId="1" xfId="0" applyNumberFormat="1" applyFont="1" applyBorder="1" applyAlignment="1">
      <alignment vertical="center"/>
    </xf>
    <xf numFmtId="3" fontId="19" fillId="0" borderId="0" xfId="0" applyNumberFormat="1" applyFont="1" applyAlignment="1">
      <alignment horizontal="right" vertical="center" wrapText="1"/>
    </xf>
    <xf numFmtId="0" fontId="19" fillId="0" borderId="0" xfId="0" applyFont="1" applyAlignment="1">
      <alignment horizontal="right" vertical="center" wrapText="1"/>
    </xf>
    <xf numFmtId="3" fontId="19" fillId="0" borderId="0" xfId="0" applyNumberFormat="1" applyFont="1" applyAlignment="1">
      <alignment horizontal="left" vertical="center" wrapText="1" indent="6"/>
    </xf>
    <xf numFmtId="165" fontId="19" fillId="10" borderId="0" xfId="0" applyNumberFormat="1" applyFont="1" applyFill="1" applyAlignment="1">
      <alignment horizontal="right" vertical="center" wrapText="1"/>
    </xf>
    <xf numFmtId="164" fontId="19" fillId="10" borderId="0" xfId="0" applyNumberFormat="1" applyFont="1" applyFill="1" applyAlignment="1">
      <alignment horizontal="right" vertical="center" wrapText="1"/>
    </xf>
    <xf numFmtId="165" fontId="15" fillId="0" borderId="1" xfId="0" applyNumberFormat="1" applyFont="1" applyBorder="1" applyAlignment="1">
      <alignment horizontal="center" vertical="center"/>
    </xf>
    <xf numFmtId="165" fontId="1" fillId="0" borderId="0" xfId="0" applyNumberFormat="1" applyFont="1"/>
    <xf numFmtId="0" fontId="1" fillId="0" borderId="8" xfId="0" applyFont="1" applyBorder="1" applyAlignment="1">
      <alignment horizontal="center" vertical="center"/>
    </xf>
    <xf numFmtId="0" fontId="22" fillId="8" borderId="8" xfId="0" applyFont="1" applyFill="1" applyBorder="1" applyAlignment="1">
      <alignment horizontal="center" vertical="center"/>
    </xf>
    <xf numFmtId="0" fontId="22" fillId="8" borderId="1" xfId="0" applyFont="1" applyFill="1" applyBorder="1" applyAlignment="1">
      <alignment vertical="center"/>
    </xf>
    <xf numFmtId="165" fontId="22" fillId="8" borderId="9" xfId="0" applyNumberFormat="1" applyFont="1" applyFill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2" fontId="22" fillId="0" borderId="1" xfId="0" applyNumberFormat="1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9" xfId="0" applyNumberFormat="1" applyFont="1" applyBorder="1" applyAlignment="1">
      <alignment vertical="center"/>
    </xf>
    <xf numFmtId="165" fontId="26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vertical="center"/>
    </xf>
    <xf numFmtId="0" fontId="26" fillId="0" borderId="1" xfId="0" applyFont="1" applyBorder="1" applyAlignment="1">
      <alignment horizontal="left" vertical="center"/>
    </xf>
    <xf numFmtId="165" fontId="26" fillId="0" borderId="1" xfId="0" applyNumberFormat="1" applyFont="1" applyBorder="1" applyAlignment="1">
      <alignment vertical="center"/>
    </xf>
    <xf numFmtId="166" fontId="1" fillId="0" borderId="8" xfId="0" applyNumberFormat="1" applyFont="1" applyBorder="1" applyAlignment="1">
      <alignment horizontal="center" vertical="center"/>
    </xf>
    <xf numFmtId="0" fontId="1" fillId="0" borderId="1" xfId="0" applyFont="1" applyBorder="1"/>
    <xf numFmtId="2" fontId="26" fillId="0" borderId="1" xfId="0" applyNumberFormat="1" applyFont="1" applyBorder="1" applyAlignment="1">
      <alignment horizontal="center" vertical="center"/>
    </xf>
    <xf numFmtId="174" fontId="1" fillId="0" borderId="1" xfId="0" applyNumberFormat="1" applyFont="1" applyBorder="1" applyAlignment="1">
      <alignment vertical="center"/>
    </xf>
    <xf numFmtId="165" fontId="22" fillId="0" borderId="9" xfId="0" applyNumberFormat="1" applyFont="1" applyBorder="1"/>
    <xf numFmtId="10" fontId="26" fillId="0" borderId="1" xfId="0" applyNumberFormat="1" applyFont="1" applyBorder="1"/>
    <xf numFmtId="165" fontId="1" fillId="0" borderId="9" xfId="0" applyNumberFormat="1" applyFont="1" applyBorder="1"/>
    <xf numFmtId="10" fontId="22" fillId="0" borderId="1" xfId="0" applyNumberFormat="1" applyFont="1" applyBorder="1"/>
    <xf numFmtId="165" fontId="22" fillId="0" borderId="7" xfId="0" applyNumberFormat="1" applyFont="1" applyBorder="1"/>
    <xf numFmtId="0" fontId="20" fillId="0" borderId="8" xfId="0" applyFont="1" applyBorder="1" applyAlignment="1">
      <alignment horizontal="right"/>
    </xf>
    <xf numFmtId="0" fontId="20" fillId="0" borderId="1" xfId="0" applyFont="1" applyBorder="1" applyAlignment="1">
      <alignment horizontal="right"/>
    </xf>
    <xf numFmtId="0" fontId="20" fillId="0" borderId="5" xfId="0" applyFont="1" applyBorder="1" applyAlignment="1">
      <alignment horizontal="right"/>
    </xf>
    <xf numFmtId="0" fontId="20" fillId="0" borderId="6" xfId="0" applyFont="1" applyBorder="1" applyAlignment="1">
      <alignment horizontal="right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right" vertical="center"/>
    </xf>
    <xf numFmtId="0" fontId="14" fillId="0" borderId="1" xfId="0" applyFont="1" applyBorder="1" applyAlignment="1">
      <alignment horizontal="right" vertical="center"/>
    </xf>
    <xf numFmtId="0" fontId="20" fillId="8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0" fontId="20" fillId="0" borderId="8" xfId="0" applyFont="1" applyBorder="1" applyAlignment="1">
      <alignment horizontal="right" vertical="center"/>
    </xf>
    <xf numFmtId="0" fontId="20" fillId="0" borderId="1" xfId="0" applyFont="1" applyBorder="1" applyAlignment="1">
      <alignment horizontal="right" vertical="center"/>
    </xf>
    <xf numFmtId="0" fontId="13" fillId="5" borderId="32" xfId="5" applyFont="1" applyFill="1" applyBorder="1" applyAlignment="1" applyProtection="1">
      <alignment horizontal="center" vertical="center" wrapText="1"/>
    </xf>
    <xf numFmtId="0" fontId="13" fillId="5" borderId="34" xfId="5" applyFont="1" applyFill="1" applyBorder="1" applyAlignment="1" applyProtection="1">
      <alignment horizontal="center" vertical="center" wrapText="1"/>
    </xf>
    <xf numFmtId="0" fontId="11" fillId="6" borderId="35" xfId="5" applyFont="1" applyFill="1" applyBorder="1" applyAlignment="1" applyProtection="1">
      <alignment horizontal="center" vertical="center" wrapText="1"/>
    </xf>
    <xf numFmtId="0" fontId="11" fillId="6" borderId="37" xfId="5" applyFont="1" applyFill="1" applyBorder="1" applyAlignment="1" applyProtection="1">
      <alignment horizontal="center" vertical="center"/>
    </xf>
    <xf numFmtId="0" fontId="11" fillId="6" borderId="38" xfId="5" applyFont="1" applyFill="1" applyBorder="1" applyAlignment="1" applyProtection="1">
      <alignment horizontal="center" vertical="center"/>
    </xf>
    <xf numFmtId="0" fontId="11" fillId="6" borderId="39" xfId="5" applyFont="1" applyFill="1" applyBorder="1" applyAlignment="1" applyProtection="1">
      <alignment horizontal="center" vertical="center"/>
    </xf>
    <xf numFmtId="0" fontId="11" fillId="6" borderId="40" xfId="5" applyFont="1" applyFill="1" applyBorder="1" applyAlignment="1" applyProtection="1">
      <alignment horizontal="center" vertical="center"/>
    </xf>
    <xf numFmtId="0" fontId="11" fillId="6" borderId="41" xfId="5" applyFont="1" applyFill="1" applyBorder="1" applyAlignment="1" applyProtection="1">
      <alignment horizontal="center" vertical="center"/>
    </xf>
    <xf numFmtId="0" fontId="12" fillId="7" borderId="32" xfId="5" applyFont="1" applyFill="1" applyBorder="1" applyAlignment="1" applyProtection="1">
      <alignment horizontal="center" vertical="center"/>
    </xf>
    <xf numFmtId="0" fontId="12" fillId="7" borderId="33" xfId="5" applyFont="1" applyFill="1" applyBorder="1" applyAlignment="1" applyProtection="1">
      <alignment horizontal="center" vertical="center"/>
    </xf>
    <xf numFmtId="0" fontId="2" fillId="7" borderId="32" xfId="5" applyFont="1" applyFill="1" applyBorder="1" applyAlignment="1" applyProtection="1">
      <alignment horizontal="center" vertical="center" wrapText="1"/>
    </xf>
    <xf numFmtId="0" fontId="2" fillId="7" borderId="34" xfId="5" applyFont="1" applyFill="1" applyBorder="1" applyAlignment="1" applyProtection="1">
      <alignment horizontal="center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174" fontId="18" fillId="0" borderId="1" xfId="2" applyNumberFormat="1" applyFont="1" applyBorder="1" applyAlignment="1">
      <alignment horizontal="center" vertical="center" wrapText="1"/>
    </xf>
    <xf numFmtId="165" fontId="18" fillId="0" borderId="1" xfId="2" applyFont="1" applyBorder="1" applyAlignment="1">
      <alignment horizontal="right" vertical="center" wrapText="1"/>
    </xf>
    <xf numFmtId="165" fontId="18" fillId="0" borderId="9" xfId="2" applyFont="1" applyBorder="1" applyAlignment="1">
      <alignment horizontal="right" vertical="center" wrapText="1"/>
    </xf>
    <xf numFmtId="0" fontId="19" fillId="0" borderId="47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48" xfId="0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 indent="3"/>
    </xf>
    <xf numFmtId="0" fontId="19" fillId="0" borderId="9" xfId="0" applyFont="1" applyBorder="1" applyAlignment="1">
      <alignment horizontal="left" vertical="center" wrapText="1" indent="3"/>
    </xf>
    <xf numFmtId="165" fontId="19" fillId="10" borderId="6" xfId="2" applyFont="1" applyFill="1" applyBorder="1" applyAlignment="1">
      <alignment horizontal="right" vertical="center" wrapText="1"/>
    </xf>
    <xf numFmtId="165" fontId="19" fillId="10" borderId="7" xfId="2" applyFont="1" applyFill="1" applyBorder="1" applyAlignment="1">
      <alignment horizontal="right" vertical="center" wrapText="1"/>
    </xf>
    <xf numFmtId="0" fontId="18" fillId="9" borderId="1" xfId="0" applyFont="1" applyFill="1" applyBorder="1" applyAlignment="1">
      <alignment horizontal="left" vertical="center" wrapText="1"/>
    </xf>
    <xf numFmtId="0" fontId="18" fillId="9" borderId="1" xfId="0" applyFont="1" applyFill="1" applyBorder="1" applyAlignment="1">
      <alignment horizontal="left" vertical="center" wrapText="1" indent="2"/>
    </xf>
    <xf numFmtId="0" fontId="18" fillId="9" borderId="9" xfId="0" applyFont="1" applyFill="1" applyBorder="1" applyAlignment="1">
      <alignment horizontal="left" vertical="center" wrapText="1" indent="2"/>
    </xf>
    <xf numFmtId="0" fontId="19" fillId="0" borderId="1" xfId="0" applyFont="1" applyBorder="1" applyAlignment="1">
      <alignment horizontal="left" vertical="center" wrapText="1" indent="1"/>
    </xf>
    <xf numFmtId="0" fontId="19" fillId="0" borderId="1" xfId="0" applyFont="1" applyBorder="1" applyAlignment="1">
      <alignment horizontal="center" vertical="center" wrapText="1"/>
    </xf>
    <xf numFmtId="3" fontId="19" fillId="0" borderId="6" xfId="0" applyNumberFormat="1" applyFont="1" applyBorder="1" applyAlignment="1">
      <alignment horizontal="left" vertical="center" wrapText="1" indent="6"/>
    </xf>
    <xf numFmtId="0" fontId="19" fillId="0" borderId="6" xfId="0" applyFont="1" applyBorder="1" applyAlignment="1">
      <alignment horizontal="right" vertical="center" wrapText="1"/>
    </xf>
    <xf numFmtId="165" fontId="19" fillId="10" borderId="6" xfId="0" applyNumberFormat="1" applyFont="1" applyFill="1" applyBorder="1" applyAlignment="1">
      <alignment horizontal="right" vertical="center" wrapText="1"/>
    </xf>
    <xf numFmtId="164" fontId="19" fillId="10" borderId="6" xfId="0" applyNumberFormat="1" applyFont="1" applyFill="1" applyBorder="1" applyAlignment="1">
      <alignment horizontal="right" vertical="center" wrapText="1"/>
    </xf>
    <xf numFmtId="164" fontId="19" fillId="10" borderId="7" xfId="0" applyNumberFormat="1" applyFont="1" applyFill="1" applyBorder="1" applyAlignment="1">
      <alignment horizontal="right" vertical="center" wrapText="1"/>
    </xf>
    <xf numFmtId="0" fontId="18" fillId="9" borderId="2" xfId="0" applyFont="1" applyFill="1" applyBorder="1" applyAlignment="1">
      <alignment horizontal="left" vertical="center" wrapText="1"/>
    </xf>
    <xf numFmtId="0" fontId="18" fillId="9" borderId="3" xfId="0" applyFont="1" applyFill="1" applyBorder="1" applyAlignment="1">
      <alignment horizontal="left" vertical="center" wrapText="1"/>
    </xf>
    <xf numFmtId="165" fontId="18" fillId="0" borderId="46" xfId="2" applyFont="1" applyFill="1" applyBorder="1" applyAlignment="1">
      <alignment horizontal="right" vertical="center" wrapText="1"/>
    </xf>
    <xf numFmtId="165" fontId="18" fillId="0" borderId="43" xfId="2" applyFont="1" applyFill="1" applyBorder="1" applyAlignment="1">
      <alignment horizontal="right" vertical="center" wrapText="1"/>
    </xf>
    <xf numFmtId="165" fontId="18" fillId="0" borderId="1" xfId="2" applyFont="1" applyFill="1" applyBorder="1" applyAlignment="1">
      <alignment horizontal="right" vertical="center" wrapText="1"/>
    </xf>
    <xf numFmtId="165" fontId="18" fillId="0" borderId="9" xfId="2" applyFont="1" applyFill="1" applyBorder="1" applyAlignment="1">
      <alignment horizontal="right" vertical="center" wrapText="1"/>
    </xf>
    <xf numFmtId="0" fontId="18" fillId="0" borderId="45" xfId="0" applyFont="1" applyBorder="1" applyAlignment="1">
      <alignment horizontal="left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43" xfId="0" applyFont="1" applyBorder="1" applyAlignment="1">
      <alignment horizontal="left" vertical="center" wrapText="1"/>
    </xf>
    <xf numFmtId="165" fontId="18" fillId="0" borderId="46" xfId="2" applyFont="1" applyFill="1" applyBorder="1" applyAlignment="1">
      <alignment horizontal="center" vertical="center" wrapText="1"/>
    </xf>
    <xf numFmtId="165" fontId="18" fillId="0" borderId="43" xfId="2" applyFont="1" applyFill="1" applyBorder="1" applyAlignment="1">
      <alignment horizontal="center" vertical="center" wrapText="1"/>
    </xf>
    <xf numFmtId="0" fontId="18" fillId="0" borderId="8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45" xfId="0" applyFont="1" applyBorder="1" applyAlignment="1">
      <alignment vertical="center" wrapText="1"/>
    </xf>
    <xf numFmtId="0" fontId="18" fillId="0" borderId="42" xfId="0" applyFont="1" applyBorder="1" applyAlignment="1">
      <alignment vertical="center" wrapText="1"/>
    </xf>
    <xf numFmtId="0" fontId="18" fillId="0" borderId="43" xfId="0" applyFont="1" applyBorder="1" applyAlignment="1">
      <alignment vertical="center" wrapText="1"/>
    </xf>
    <xf numFmtId="0" fontId="5" fillId="3" borderId="21" xfId="0" applyFont="1" applyFill="1" applyBorder="1" applyAlignment="1">
      <alignment horizontal="left" vertical="center" indent="1"/>
    </xf>
    <xf numFmtId="0" fontId="5" fillId="3" borderId="22" xfId="0" applyFont="1" applyFill="1" applyBorder="1" applyAlignment="1">
      <alignment horizontal="left" vertical="center" indent="1"/>
    </xf>
    <xf numFmtId="4" fontId="5" fillId="3" borderId="21" xfId="0" applyNumberFormat="1" applyFont="1" applyFill="1" applyBorder="1" applyAlignment="1">
      <alignment horizontal="left" vertical="center" indent="1"/>
    </xf>
    <xf numFmtId="4" fontId="5" fillId="3" borderId="22" xfId="0" applyNumberFormat="1" applyFont="1" applyFill="1" applyBorder="1" applyAlignment="1">
      <alignment horizontal="left" vertical="center" indent="1"/>
    </xf>
    <xf numFmtId="0" fontId="5" fillId="2" borderId="27" xfId="0" applyFont="1" applyFill="1" applyBorder="1" applyAlignment="1" applyProtection="1">
      <alignment horizontal="center" vertical="center"/>
      <protection hidden="1"/>
    </xf>
    <xf numFmtId="0" fontId="5" fillId="2" borderId="28" xfId="0" applyFont="1" applyFill="1" applyBorder="1" applyAlignment="1" applyProtection="1">
      <alignment horizontal="center" vertical="center"/>
      <protection hidden="1"/>
    </xf>
    <xf numFmtId="0" fontId="18" fillId="9" borderId="2" xfId="0" applyFont="1" applyFill="1" applyBorder="1" applyAlignment="1">
      <alignment vertical="center" wrapText="1"/>
    </xf>
    <xf numFmtId="0" fontId="18" fillId="9" borderId="3" xfId="0" applyFont="1" applyFill="1" applyBorder="1" applyAlignment="1">
      <alignment vertical="center" wrapText="1"/>
    </xf>
    <xf numFmtId="0" fontId="18" fillId="9" borderId="8" xfId="0" applyFont="1" applyFill="1" applyBorder="1" applyAlignment="1">
      <alignment horizontal="left" vertical="center" wrapText="1" indent="1"/>
    </xf>
    <xf numFmtId="0" fontId="18" fillId="9" borderId="1" xfId="0" applyFont="1" applyFill="1" applyBorder="1" applyAlignment="1">
      <alignment horizontal="left" vertical="center" wrapText="1" indent="1"/>
    </xf>
    <xf numFmtId="0" fontId="18" fillId="9" borderId="1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8" fillId="0" borderId="45" xfId="0" applyFont="1" applyBorder="1" applyAlignment="1">
      <alignment vertical="top" wrapText="1"/>
    </xf>
    <xf numFmtId="0" fontId="18" fillId="0" borderId="42" xfId="0" applyFont="1" applyBorder="1" applyAlignment="1">
      <alignment vertical="top" wrapText="1"/>
    </xf>
    <xf numFmtId="0" fontId="18" fillId="0" borderId="43" xfId="0" applyFont="1" applyBorder="1" applyAlignment="1">
      <alignment vertical="top" wrapText="1"/>
    </xf>
    <xf numFmtId="174" fontId="18" fillId="0" borderId="1" xfId="2" applyNumberFormat="1" applyFont="1" applyFill="1" applyBorder="1" applyAlignment="1">
      <alignment horizontal="center" vertical="center" wrapText="1"/>
    </xf>
    <xf numFmtId="0" fontId="18" fillId="11" borderId="2" xfId="0" applyFont="1" applyFill="1" applyBorder="1" applyAlignment="1">
      <alignment horizontal="left" vertical="center" wrapText="1"/>
    </xf>
    <xf numFmtId="0" fontId="18" fillId="11" borderId="3" xfId="0" applyFont="1" applyFill="1" applyBorder="1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2" fillId="0" borderId="5" xfId="0" applyFont="1" applyBorder="1" applyAlignment="1">
      <alignment horizontal="right"/>
    </xf>
    <xf numFmtId="0" fontId="22" fillId="0" borderId="6" xfId="0" applyFont="1" applyBorder="1" applyAlignment="1">
      <alignment horizontal="right"/>
    </xf>
    <xf numFmtId="0" fontId="22" fillId="0" borderId="8" xfId="0" applyFont="1" applyBorder="1" applyAlignment="1">
      <alignment horizontal="right"/>
    </xf>
    <xf numFmtId="0" fontId="22" fillId="0" borderId="1" xfId="0" applyFont="1" applyBorder="1" applyAlignment="1">
      <alignment horizontal="right"/>
    </xf>
    <xf numFmtId="0" fontId="1" fillId="0" borderId="8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22" fillId="0" borderId="8" xfId="0" applyFont="1" applyBorder="1" applyAlignment="1">
      <alignment horizontal="right" vertical="center"/>
    </xf>
    <xf numFmtId="0" fontId="22" fillId="0" borderId="1" xfId="0" applyFont="1" applyBorder="1" applyAlignment="1">
      <alignment horizontal="right" vertical="center"/>
    </xf>
    <xf numFmtId="0" fontId="23" fillId="0" borderId="2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49" fontId="24" fillId="0" borderId="3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center" vertical="center" wrapText="1"/>
    </xf>
    <xf numFmtId="49" fontId="24" fillId="0" borderId="9" xfId="0" applyNumberFormat="1" applyFont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center" vertical="top" wrapText="1"/>
    </xf>
    <xf numFmtId="49" fontId="24" fillId="0" borderId="9" xfId="0" applyNumberFormat="1" applyFont="1" applyBorder="1" applyAlignment="1">
      <alignment horizontal="center" vertical="top" wrapText="1"/>
    </xf>
    <xf numFmtId="0" fontId="25" fillId="0" borderId="8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</cellXfs>
  <cellStyles count="14">
    <cellStyle name="Bueno" xfId="4" builtinId="26"/>
    <cellStyle name="Millares" xfId="1" builtinId="3"/>
    <cellStyle name="Moneda" xfId="2" builtinId="4"/>
    <cellStyle name="Moneda 2 10" xfId="10"/>
    <cellStyle name="Normal" xfId="0" builtinId="0"/>
    <cellStyle name="Normal 11 2 2" xfId="9"/>
    <cellStyle name="Normal 2 3 2" xfId="8"/>
    <cellStyle name="Normal 4" xfId="6"/>
    <cellStyle name="Porcentaje" xfId="3" builtinId="5"/>
    <cellStyle name="Porcentaje 2" xfId="11"/>
    <cellStyle name="Porcentaje 3 2" xfId="13"/>
    <cellStyle name="Porcentaje 4" xfId="7"/>
    <cellStyle name="Porcentual 2" xfId="12"/>
    <cellStyle name="Total" xfId="5" builtinId="25"/>
  </cellStyles>
  <dxfs count="0"/>
  <tableStyles count="0" defaultTableStyle="TableStyleMedium2" defaultPivotStyle="PivotStyleLight16"/>
  <colors>
    <mruColors>
      <color rgb="FF28E4E4"/>
      <color rgb="FF73ED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107022</xdr:colOff>
      <xdr:row>1</xdr:row>
      <xdr:rowOff>85618</xdr:rowOff>
    </xdr:from>
    <xdr:to>
      <xdr:col>2</xdr:col>
      <xdr:colOff>64214</xdr:colOff>
      <xdr:row>4</xdr:row>
      <xdr:rowOff>74916</xdr:rowOff>
    </xdr:to>
    <xdr:pic>
      <xdr:nvPicPr>
        <xdr:cNvPr id="3" name="Imagen 2" descr="ESCUDO DEL MUNICIPIO">
          <a:extLst>
            <a:ext uri="{FF2B5EF4-FFF2-40B4-BE49-F238E27FC236}">
              <a16:creationId xmlns:a16="http://schemas.microsoft.com/office/drawing/2014/main" id="{E1CA76C8-A7AE-41A0-ADBB-CBD9D022BA53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3174" y="299663"/>
          <a:ext cx="834776" cy="7705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391204</xdr:colOff>
      <xdr:row>52</xdr:row>
      <xdr:rowOff>149043</xdr:rowOff>
    </xdr:from>
    <xdr:to>
      <xdr:col>13</xdr:col>
      <xdr:colOff>620144</xdr:colOff>
      <xdr:row>65</xdr:row>
      <xdr:rowOff>97290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5E2A6EE-0756-DC40-321E-3D7CD7CF797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4715" r="3283" b="10796"/>
        <a:stretch/>
      </xdr:blipFill>
      <xdr:spPr>
        <a:xfrm>
          <a:off x="7960177" y="336141"/>
          <a:ext cx="3613717" cy="2380524"/>
        </a:xfrm>
        <a:prstGeom prst="rect">
          <a:avLst/>
        </a:prstGeom>
      </xdr:spPr>
    </xdr:pic>
    <xdr:clientData/>
  </xdr:twoCellAnchor>
  <xdr:twoCellAnchor editAs="oneCell">
    <xdr:from>
      <xdr:col>7</xdr:col>
      <xdr:colOff>450737</xdr:colOff>
      <xdr:row>66</xdr:row>
      <xdr:rowOff>169093</xdr:rowOff>
    </xdr:from>
    <xdr:to>
      <xdr:col>13</xdr:col>
      <xdr:colOff>136071</xdr:colOff>
      <xdr:row>73</xdr:row>
      <xdr:rowOff>120421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9FFD3E6-D0BF-4D9A-A8AF-4C97682E9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19710" y="2975566"/>
          <a:ext cx="3070111" cy="12610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247649</xdr:colOff>
      <xdr:row>26</xdr:row>
      <xdr:rowOff>132916</xdr:rowOff>
    </xdr:from>
    <xdr:to>
      <xdr:col>14</xdr:col>
      <xdr:colOff>594632</xdr:colOff>
      <xdr:row>42</xdr:row>
      <xdr:rowOff>123825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13F93DE-F5AC-4A4E-9B30-46FF7552B9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-2636" t="23832" r="2636" b="12098"/>
        <a:stretch/>
      </xdr:blipFill>
      <xdr:spPr>
        <a:xfrm>
          <a:off x="7810499" y="323416"/>
          <a:ext cx="4476751" cy="3038909"/>
        </a:xfrm>
        <a:prstGeom prst="rect">
          <a:avLst/>
        </a:prstGeom>
      </xdr:spPr>
    </xdr:pic>
    <xdr:clientData/>
  </xdr:twoCellAnchor>
  <xdr:twoCellAnchor editAs="oneCell">
    <xdr:from>
      <xdr:col>13</xdr:col>
      <xdr:colOff>368815</xdr:colOff>
      <xdr:row>26</xdr:row>
      <xdr:rowOff>38100</xdr:rowOff>
    </xdr:from>
    <xdr:to>
      <xdr:col>19</xdr:col>
      <xdr:colOff>152399</xdr:colOff>
      <xdr:row>41</xdr:row>
      <xdr:rowOff>114299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A7A444C-2A12-43B7-A7C8-CE9B9618C7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4715" r="3283" b="10796"/>
        <a:stretch/>
      </xdr:blipFill>
      <xdr:spPr>
        <a:xfrm>
          <a:off x="12503665" y="419100"/>
          <a:ext cx="4355585" cy="29336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42928</xdr:colOff>
      <xdr:row>0</xdr:row>
      <xdr:rowOff>191094</xdr:rowOff>
    </xdr:from>
    <xdr:to>
      <xdr:col>2</xdr:col>
      <xdr:colOff>120</xdr:colOff>
      <xdr:row>2</xdr:row>
      <xdr:rowOff>201558</xdr:rowOff>
    </xdr:to>
    <xdr:pic>
      <xdr:nvPicPr>
        <xdr:cNvPr id="2" name="Imagen 1" descr="ESCUDO DEL MUNICIPIO">
          <a:extLst>
            <a:ext uri="{FF2B5EF4-FFF2-40B4-BE49-F238E27FC236}">
              <a16:creationId xmlns:a16="http://schemas.microsoft.com/office/drawing/2014/main" id="{D24E2C2B-F804-4E64-B62E-36E3987CE10F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6345" y="402761"/>
          <a:ext cx="835608" cy="7724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opLeftCell="A49" zoomScale="89" zoomScaleNormal="89" workbookViewId="0">
      <selection activeCell="C65" sqref="C65"/>
    </sheetView>
  </sheetViews>
  <sheetFormatPr baseColWidth="10" defaultRowHeight="15.75" x14ac:dyDescent="0.25"/>
  <cols>
    <col min="1" max="1" width="3.7109375" style="1" customWidth="1"/>
    <col min="2" max="2" width="13.140625" style="2" customWidth="1"/>
    <col min="3" max="3" width="77.85546875" style="1" customWidth="1"/>
    <col min="4" max="4" width="9.140625" style="1" bestFit="1" customWidth="1"/>
    <col min="5" max="5" width="11.85546875" style="3" bestFit="1" customWidth="1"/>
    <col min="6" max="6" width="23" style="1" customWidth="1"/>
    <col min="7" max="7" width="24.7109375" style="1" bestFit="1" customWidth="1"/>
    <col min="8" max="8" width="20.42578125" style="1" customWidth="1"/>
    <col min="9" max="9" width="20.42578125" style="1" bestFit="1" customWidth="1"/>
    <col min="10" max="14" width="11.42578125" style="1"/>
  </cols>
  <sheetData>
    <row r="1" spans="2:8" ht="16.5" thickBot="1" x14ac:dyDescent="0.3"/>
    <row r="2" spans="2:8" ht="15" customHeight="1" x14ac:dyDescent="0.25">
      <c r="B2" s="182"/>
      <c r="C2" s="186" t="s">
        <v>245</v>
      </c>
      <c r="D2" s="186"/>
      <c r="E2" s="186"/>
      <c r="F2" s="186"/>
      <c r="G2" s="187"/>
    </row>
    <row r="3" spans="2:8" ht="21.75" customHeight="1" x14ac:dyDescent="0.25">
      <c r="B3" s="183"/>
      <c r="C3" s="184" t="s">
        <v>247</v>
      </c>
      <c r="D3" s="184"/>
      <c r="E3" s="184"/>
      <c r="F3" s="184"/>
      <c r="G3" s="185"/>
    </row>
    <row r="4" spans="2:8" ht="24.75" customHeight="1" x14ac:dyDescent="0.25">
      <c r="B4" s="183"/>
      <c r="C4" s="184" t="s">
        <v>246</v>
      </c>
      <c r="D4" s="184"/>
      <c r="E4" s="184"/>
      <c r="F4" s="184"/>
      <c r="G4" s="185"/>
    </row>
    <row r="5" spans="2:8" ht="18" x14ac:dyDescent="0.25">
      <c r="B5" s="176" t="s">
        <v>269</v>
      </c>
      <c r="C5" s="177"/>
      <c r="D5" s="177"/>
      <c r="E5" s="177"/>
      <c r="F5" s="177"/>
      <c r="G5" s="178"/>
    </row>
    <row r="6" spans="2:8" ht="22.5" customHeight="1" x14ac:dyDescent="0.25">
      <c r="B6" s="119" t="s">
        <v>0</v>
      </c>
      <c r="C6" s="120" t="s">
        <v>1</v>
      </c>
      <c r="D6" s="120" t="s">
        <v>2</v>
      </c>
      <c r="E6" s="121" t="s">
        <v>3</v>
      </c>
      <c r="F6" s="120" t="s">
        <v>4</v>
      </c>
      <c r="G6" s="122" t="s">
        <v>5</v>
      </c>
    </row>
    <row r="7" spans="2:8" ht="8.1" customHeight="1" x14ac:dyDescent="0.25">
      <c r="B7" s="119"/>
      <c r="C7" s="120"/>
      <c r="D7" s="120"/>
      <c r="E7" s="121"/>
      <c r="F7" s="120"/>
      <c r="G7" s="122"/>
    </row>
    <row r="8" spans="2:8" ht="21" customHeight="1" x14ac:dyDescent="0.25">
      <c r="B8" s="116">
        <v>1</v>
      </c>
      <c r="C8" s="181" t="s">
        <v>118</v>
      </c>
      <c r="D8" s="181"/>
      <c r="E8" s="181"/>
      <c r="F8" s="181"/>
      <c r="G8" s="117">
        <f>SUM(G9:G13)</f>
        <v>1161554</v>
      </c>
    </row>
    <row r="9" spans="2:8" ht="21" customHeight="1" x14ac:dyDescent="0.25">
      <c r="B9" s="118">
        <v>1.1000000000000001</v>
      </c>
      <c r="C9" s="97" t="s">
        <v>271</v>
      </c>
      <c r="D9" s="98" t="s">
        <v>126</v>
      </c>
      <c r="E9" s="98">
        <v>21</v>
      </c>
      <c r="F9" s="99">
        <f>+APUS!G174</f>
        <v>9932</v>
      </c>
      <c r="G9" s="100">
        <f t="shared" ref="G9:G13" si="0">+ROUND(E9*F9,0)</f>
        <v>208572</v>
      </c>
      <c r="H9" s="96"/>
    </row>
    <row r="10" spans="2:8" ht="21" customHeight="1" x14ac:dyDescent="0.25">
      <c r="B10" s="118">
        <f>+B9+0.1</f>
        <v>1.2000000000000002</v>
      </c>
      <c r="C10" s="97" t="s">
        <v>128</v>
      </c>
      <c r="D10" s="98" t="s">
        <v>14</v>
      </c>
      <c r="E10" s="123">
        <v>4</v>
      </c>
      <c r="F10" s="99">
        <f>+APUS!G196</f>
        <v>29721</v>
      </c>
      <c r="G10" s="100">
        <f t="shared" si="0"/>
        <v>118884</v>
      </c>
      <c r="H10" s="96"/>
    </row>
    <row r="11" spans="2:8" ht="21" customHeight="1" x14ac:dyDescent="0.25">
      <c r="B11" s="118">
        <f t="shared" ref="B11:B13" si="1">+B10+0.1</f>
        <v>1.3000000000000003</v>
      </c>
      <c r="C11" s="97" t="s">
        <v>270</v>
      </c>
      <c r="D11" s="98" t="s">
        <v>119</v>
      </c>
      <c r="E11" s="98">
        <f>20*1.3+17.6*1.3+7</f>
        <v>55.88</v>
      </c>
      <c r="F11" s="143">
        <f>+APUS!G1027</f>
        <v>7045</v>
      </c>
      <c r="G11" s="100">
        <f t="shared" si="0"/>
        <v>393675</v>
      </c>
      <c r="H11" s="96"/>
    </row>
    <row r="12" spans="2:8" ht="21" customHeight="1" x14ac:dyDescent="0.25">
      <c r="B12" s="118">
        <f t="shared" si="1"/>
        <v>1.4000000000000004</v>
      </c>
      <c r="C12" s="97" t="s">
        <v>289</v>
      </c>
      <c r="D12" s="98" t="s">
        <v>119</v>
      </c>
      <c r="E12" s="98">
        <f>3.8*3.1</f>
        <v>11.78</v>
      </c>
      <c r="F12" s="143">
        <f>+APUS!G1055</f>
        <v>7912</v>
      </c>
      <c r="G12" s="100">
        <f t="shared" si="0"/>
        <v>93203</v>
      </c>
      <c r="H12" s="96"/>
    </row>
    <row r="13" spans="2:8" ht="21" customHeight="1" x14ac:dyDescent="0.25">
      <c r="B13" s="118">
        <f t="shared" si="1"/>
        <v>1.5000000000000004</v>
      </c>
      <c r="C13" s="97" t="s">
        <v>323</v>
      </c>
      <c r="D13" s="98" t="s">
        <v>13</v>
      </c>
      <c r="E13" s="98">
        <v>10</v>
      </c>
      <c r="F13" s="143">
        <f>+APUS!G1083</f>
        <v>34722</v>
      </c>
      <c r="G13" s="100">
        <f t="shared" si="0"/>
        <v>347220</v>
      </c>
      <c r="H13" s="96"/>
    </row>
    <row r="14" spans="2:8" ht="21" customHeight="1" x14ac:dyDescent="0.25">
      <c r="B14" s="118"/>
      <c r="C14" s="97"/>
      <c r="D14" s="98"/>
      <c r="E14" s="98"/>
      <c r="F14" s="99"/>
      <c r="G14" s="100"/>
      <c r="H14" s="104"/>
    </row>
    <row r="15" spans="2:8" ht="18.75" customHeight="1" x14ac:dyDescent="0.25">
      <c r="B15" s="116">
        <v>2</v>
      </c>
      <c r="C15" s="181" t="s">
        <v>127</v>
      </c>
      <c r="D15" s="181"/>
      <c r="E15" s="181"/>
      <c r="F15" s="181"/>
      <c r="G15" s="117">
        <f>SUM(G16:G19)</f>
        <v>4665504</v>
      </c>
      <c r="H15" s="104"/>
    </row>
    <row r="16" spans="2:8" ht="31.5" customHeight="1" x14ac:dyDescent="0.25">
      <c r="B16" s="118">
        <v>2.1</v>
      </c>
      <c r="C16" s="124" t="s">
        <v>263</v>
      </c>
      <c r="D16" s="98" t="s">
        <v>119</v>
      </c>
      <c r="E16" s="125">
        <v>45</v>
      </c>
      <c r="F16" s="99">
        <f>+APUS!G43</f>
        <v>21529</v>
      </c>
      <c r="G16" s="100">
        <f>+ROUND(E16*F16,0)</f>
        <v>968805</v>
      </c>
      <c r="H16" s="96"/>
    </row>
    <row r="17" spans="2:9" x14ac:dyDescent="0.25">
      <c r="B17" s="118">
        <f>+B16+0.1</f>
        <v>2.2000000000000002</v>
      </c>
      <c r="C17" s="124" t="s">
        <v>332</v>
      </c>
      <c r="D17" s="98" t="s">
        <v>119</v>
      </c>
      <c r="E17" s="125">
        <v>10</v>
      </c>
      <c r="F17" s="99">
        <f>+APUS!K830</f>
        <v>92326</v>
      </c>
      <c r="G17" s="100">
        <f t="shared" ref="G17:G18" si="2">+ROUND(E17*F17,0)</f>
        <v>923260</v>
      </c>
      <c r="H17" s="96"/>
    </row>
    <row r="18" spans="2:9" x14ac:dyDescent="0.25">
      <c r="B18" s="118">
        <f t="shared" ref="B18:B19" si="3">+B17+0.1</f>
        <v>2.3000000000000003</v>
      </c>
      <c r="C18" s="124" t="s">
        <v>265</v>
      </c>
      <c r="D18" s="98" t="s">
        <v>126</v>
      </c>
      <c r="E18" s="125">
        <v>21</v>
      </c>
      <c r="F18" s="103">
        <f>+APUS!G328</f>
        <v>120723</v>
      </c>
      <c r="G18" s="100">
        <f t="shared" si="2"/>
        <v>2535183</v>
      </c>
      <c r="H18" s="96"/>
    </row>
    <row r="19" spans="2:9" x14ac:dyDescent="0.25">
      <c r="B19" s="118">
        <f t="shared" si="3"/>
        <v>2.4000000000000004</v>
      </c>
      <c r="C19" s="102" t="s">
        <v>272</v>
      </c>
      <c r="D19" s="98" t="s">
        <v>126</v>
      </c>
      <c r="E19" s="98">
        <f>34+20.1</f>
        <v>54.1</v>
      </c>
      <c r="F19" s="137">
        <f>+APUS!G18</f>
        <v>4404</v>
      </c>
      <c r="G19" s="100">
        <f>+ROUND(E19*F19,0)</f>
        <v>238256</v>
      </c>
      <c r="H19" s="96"/>
    </row>
    <row r="20" spans="2:9" x14ac:dyDescent="0.25">
      <c r="B20" s="101"/>
      <c r="C20" s="102"/>
      <c r="D20" s="98"/>
      <c r="E20" s="98"/>
      <c r="F20" s="103"/>
      <c r="G20" s="100"/>
      <c r="H20" s="96"/>
    </row>
    <row r="21" spans="2:9" x14ac:dyDescent="0.25">
      <c r="B21" s="116">
        <v>3</v>
      </c>
      <c r="C21" s="181" t="s">
        <v>273</v>
      </c>
      <c r="D21" s="181"/>
      <c r="E21" s="181"/>
      <c r="F21" s="181"/>
      <c r="G21" s="117">
        <f>+SUM(G22:G31)</f>
        <v>36835016</v>
      </c>
      <c r="H21" s="96"/>
      <c r="I21" s="144"/>
    </row>
    <row r="22" spans="2:9" ht="21" customHeight="1" x14ac:dyDescent="0.25">
      <c r="B22" s="118" t="s">
        <v>274</v>
      </c>
      <c r="C22" s="97" t="s">
        <v>147</v>
      </c>
      <c r="D22" s="98" t="s">
        <v>119</v>
      </c>
      <c r="E22" s="98">
        <f>25.9+30+25+27+42+10.8+29+65+55+7+28+89+60+39+60</f>
        <v>592.70000000000005</v>
      </c>
      <c r="F22" s="99">
        <f>+APUS!G223</f>
        <v>3255</v>
      </c>
      <c r="G22" s="100">
        <f>+ROUND(E22*F22,0)</f>
        <v>1929239</v>
      </c>
    </row>
    <row r="23" spans="2:9" x14ac:dyDescent="0.25">
      <c r="B23" s="118" t="s">
        <v>279</v>
      </c>
      <c r="C23" s="102" t="s">
        <v>275</v>
      </c>
      <c r="D23" s="98" t="s">
        <v>119</v>
      </c>
      <c r="E23" s="98">
        <f>+E22</f>
        <v>592.70000000000005</v>
      </c>
      <c r="F23" s="103">
        <f>+APUS!G448</f>
        <v>16789</v>
      </c>
      <c r="G23" s="100">
        <f t="shared" ref="G23:G31" si="4">+ROUND(E23*F23,0)</f>
        <v>9950840</v>
      </c>
    </row>
    <row r="24" spans="2:9" x14ac:dyDescent="0.25">
      <c r="B24" s="118" t="s">
        <v>280</v>
      </c>
      <c r="C24" s="102" t="s">
        <v>367</v>
      </c>
      <c r="D24" s="98" t="s">
        <v>119</v>
      </c>
      <c r="E24" s="98">
        <f>+E23</f>
        <v>592.70000000000005</v>
      </c>
      <c r="F24" s="103">
        <f>+APUS!G421</f>
        <v>11924</v>
      </c>
      <c r="G24" s="100">
        <f t="shared" si="4"/>
        <v>7067355</v>
      </c>
    </row>
    <row r="25" spans="2:9" x14ac:dyDescent="0.25">
      <c r="B25" s="118" t="s">
        <v>281</v>
      </c>
      <c r="C25" s="102" t="s">
        <v>286</v>
      </c>
      <c r="D25" s="126" t="s">
        <v>119</v>
      </c>
      <c r="E25" s="126">
        <f>+(11.5*2)+40</f>
        <v>63</v>
      </c>
      <c r="F25" s="127">
        <f>+APUS!G708</f>
        <v>27186</v>
      </c>
      <c r="G25" s="100">
        <f t="shared" si="4"/>
        <v>1712718</v>
      </c>
    </row>
    <row r="26" spans="2:9" x14ac:dyDescent="0.25">
      <c r="B26" s="118" t="s">
        <v>282</v>
      </c>
      <c r="C26" s="102" t="s">
        <v>285</v>
      </c>
      <c r="D26" s="98" t="s">
        <v>119</v>
      </c>
      <c r="E26" s="98">
        <f>+E25</f>
        <v>63</v>
      </c>
      <c r="F26" s="103">
        <f>+APUS!G737</f>
        <v>31135</v>
      </c>
      <c r="G26" s="100">
        <f t="shared" si="4"/>
        <v>1961505</v>
      </c>
    </row>
    <row r="27" spans="2:9" x14ac:dyDescent="0.25">
      <c r="B27" s="118" t="s">
        <v>283</v>
      </c>
      <c r="C27" s="102" t="s">
        <v>278</v>
      </c>
      <c r="D27" s="98" t="s">
        <v>119</v>
      </c>
      <c r="E27" s="98">
        <f>2.73+4.62+3.12+7.8+2.795+2.34+3.12+3.12+3.17+6.24+3.67+3.67+3.67+2.82+2.47+2.47+1.82+1.69+3.9+12.6+13.65+2.4+5</f>
        <v>98.885000000000005</v>
      </c>
      <c r="F27" s="103">
        <f>+APUS!G766</f>
        <v>29284</v>
      </c>
      <c r="G27" s="100">
        <f t="shared" si="4"/>
        <v>2895748</v>
      </c>
    </row>
    <row r="28" spans="2:9" x14ac:dyDescent="0.25">
      <c r="B28" s="118" t="s">
        <v>284</v>
      </c>
      <c r="C28" s="102" t="s">
        <v>308</v>
      </c>
      <c r="D28" s="98" t="s">
        <v>13</v>
      </c>
      <c r="E28" s="98">
        <v>14</v>
      </c>
      <c r="F28" s="137">
        <f>+APUS!G852</f>
        <v>64651</v>
      </c>
      <c r="G28" s="100">
        <f t="shared" si="4"/>
        <v>905114</v>
      </c>
    </row>
    <row r="29" spans="2:9" x14ac:dyDescent="0.25">
      <c r="B29" s="118" t="s">
        <v>287</v>
      </c>
      <c r="C29" s="102" t="s">
        <v>348</v>
      </c>
      <c r="D29" s="98" t="s">
        <v>13</v>
      </c>
      <c r="E29" s="98">
        <v>14</v>
      </c>
      <c r="F29" s="137">
        <f>+APUS!G881</f>
        <v>36377</v>
      </c>
      <c r="G29" s="100">
        <f t="shared" si="4"/>
        <v>509278</v>
      </c>
    </row>
    <row r="30" spans="2:9" x14ac:dyDescent="0.25">
      <c r="B30" s="118" t="s">
        <v>288</v>
      </c>
      <c r="C30" s="102" t="s">
        <v>350</v>
      </c>
      <c r="D30" s="98" t="s">
        <v>119</v>
      </c>
      <c r="E30" s="98">
        <f>32+13+19+17+145+53+55+36+69+62</f>
        <v>501</v>
      </c>
      <c r="F30" s="137">
        <f>+APUS!G909</f>
        <v>17438</v>
      </c>
      <c r="G30" s="100">
        <f t="shared" si="4"/>
        <v>8736438</v>
      </c>
    </row>
    <row r="31" spans="2:9" x14ac:dyDescent="0.25">
      <c r="B31" s="118" t="s">
        <v>339</v>
      </c>
      <c r="C31" s="102" t="s">
        <v>340</v>
      </c>
      <c r="D31" s="98" t="s">
        <v>126</v>
      </c>
      <c r="E31" s="98">
        <f>+(6.2*4+1.5*8)*2</f>
        <v>73.599999999999994</v>
      </c>
      <c r="F31" s="137">
        <f>+APUS!G939</f>
        <v>15853</v>
      </c>
      <c r="G31" s="100">
        <f t="shared" si="4"/>
        <v>1166781</v>
      </c>
    </row>
    <row r="32" spans="2:9" x14ac:dyDescent="0.25">
      <c r="B32" s="118"/>
      <c r="C32" s="102"/>
      <c r="D32" s="98"/>
      <c r="E32" s="98"/>
      <c r="F32" s="103"/>
      <c r="G32" s="100"/>
    </row>
    <row r="33" spans="2:9" x14ac:dyDescent="0.25">
      <c r="B33" s="116">
        <v>4</v>
      </c>
      <c r="C33" s="181" t="s">
        <v>291</v>
      </c>
      <c r="D33" s="181"/>
      <c r="E33" s="181"/>
      <c r="F33" s="181"/>
      <c r="G33" s="117">
        <f>+G34+G35</f>
        <v>9717766</v>
      </c>
    </row>
    <row r="34" spans="2:9" x14ac:dyDescent="0.25">
      <c r="B34" s="118">
        <v>4.0999999999999996</v>
      </c>
      <c r="C34" s="102" t="s">
        <v>309</v>
      </c>
      <c r="D34" s="98" t="s">
        <v>119</v>
      </c>
      <c r="E34" s="98">
        <f>20.1*1.05+3.15+4.1+6.3+17.6+1+7.4+6+3</f>
        <v>69.655000000000001</v>
      </c>
      <c r="F34" s="103">
        <f>+APUS!K790</f>
        <v>91782</v>
      </c>
      <c r="G34" s="100">
        <f>+ROUND(E34*F34,0)</f>
        <v>6393075</v>
      </c>
    </row>
    <row r="35" spans="2:9" x14ac:dyDescent="0.25">
      <c r="B35" s="118">
        <f>+B34+0.1</f>
        <v>4.1999999999999993</v>
      </c>
      <c r="C35" s="102" t="s">
        <v>322</v>
      </c>
      <c r="D35" s="98" t="s">
        <v>119</v>
      </c>
      <c r="E35" s="98">
        <f>17.6*1.3+3.8*3.1</f>
        <v>34.660000000000004</v>
      </c>
      <c r="F35" s="103">
        <f>+APUS!K807</f>
        <v>95923</v>
      </c>
      <c r="G35" s="100">
        <f>+ROUND(E35*F35,0)</f>
        <v>3324691</v>
      </c>
    </row>
    <row r="36" spans="2:9" x14ac:dyDescent="0.25">
      <c r="B36" s="118"/>
      <c r="C36" s="102"/>
      <c r="D36" s="98"/>
      <c r="E36" s="98"/>
      <c r="F36" s="103"/>
      <c r="G36" s="100"/>
    </row>
    <row r="37" spans="2:9" x14ac:dyDescent="0.25">
      <c r="B37" s="116">
        <v>5</v>
      </c>
      <c r="C37" s="181" t="s">
        <v>276</v>
      </c>
      <c r="D37" s="181"/>
      <c r="E37" s="181"/>
      <c r="F37" s="181"/>
      <c r="G37" s="117">
        <f>+SUM(G38:G38)</f>
        <v>262844</v>
      </c>
    </row>
    <row r="38" spans="2:9" x14ac:dyDescent="0.25">
      <c r="B38" s="101">
        <v>5.0999999999999996</v>
      </c>
      <c r="C38" s="102" t="s">
        <v>241</v>
      </c>
      <c r="D38" s="98" t="s">
        <v>13</v>
      </c>
      <c r="E38" s="98">
        <v>4</v>
      </c>
      <c r="F38" s="103">
        <f>+APUS!G534</f>
        <v>65711</v>
      </c>
      <c r="G38" s="100">
        <f t="shared" ref="G38" si="5">+F38*E38</f>
        <v>262844</v>
      </c>
    </row>
    <row r="39" spans="2:9" x14ac:dyDescent="0.25">
      <c r="B39" s="101"/>
      <c r="C39" s="102"/>
      <c r="D39" s="98"/>
      <c r="E39" s="98"/>
      <c r="F39" s="103"/>
      <c r="G39" s="100"/>
    </row>
    <row r="40" spans="2:9" x14ac:dyDescent="0.25">
      <c r="B40" s="116">
        <v>5</v>
      </c>
      <c r="C40" s="181" t="s">
        <v>277</v>
      </c>
      <c r="D40" s="181"/>
      <c r="E40" s="181"/>
      <c r="F40" s="181"/>
      <c r="G40" s="117">
        <f>+SUM(G41:G41)</f>
        <v>677382.98399999994</v>
      </c>
    </row>
    <row r="41" spans="2:9" x14ac:dyDescent="0.25">
      <c r="B41" s="101">
        <v>5.0999999999999996</v>
      </c>
      <c r="C41" s="128" t="s">
        <v>290</v>
      </c>
      <c r="D41" s="98" t="s">
        <v>14</v>
      </c>
      <c r="E41" s="115">
        <f>3.8*3.1*0.1</f>
        <v>1.1779999999999999</v>
      </c>
      <c r="F41" s="103">
        <f>+APUS!K816</f>
        <v>575028</v>
      </c>
      <c r="G41" s="100">
        <f t="shared" ref="G41" si="6">+F41*E41</f>
        <v>677382.98399999994</v>
      </c>
    </row>
    <row r="42" spans="2:9" x14ac:dyDescent="0.25">
      <c r="B42" s="101"/>
      <c r="C42" s="102"/>
      <c r="D42" s="98"/>
      <c r="E42" s="98"/>
      <c r="F42" s="103"/>
      <c r="G42" s="100"/>
      <c r="H42" s="96"/>
    </row>
    <row r="43" spans="2:9" x14ac:dyDescent="0.25">
      <c r="B43" s="116">
        <v>6</v>
      </c>
      <c r="C43" s="181" t="s">
        <v>328</v>
      </c>
      <c r="D43" s="181"/>
      <c r="E43" s="181"/>
      <c r="F43" s="181"/>
      <c r="G43" s="117">
        <f>+G44+G45</f>
        <v>3960187</v>
      </c>
      <c r="H43" s="96"/>
    </row>
    <row r="44" spans="2:9" x14ac:dyDescent="0.25">
      <c r="B44" s="101">
        <v>6.1</v>
      </c>
      <c r="C44" s="102" t="s">
        <v>331</v>
      </c>
      <c r="D44" s="98" t="s">
        <v>13</v>
      </c>
      <c r="E44" s="98">
        <v>7</v>
      </c>
      <c r="F44" s="137">
        <f>+APUS!G970</f>
        <v>403735</v>
      </c>
      <c r="G44" s="100">
        <f>+F44*E44</f>
        <v>2826145</v>
      </c>
      <c r="H44" s="96"/>
    </row>
    <row r="45" spans="2:9" x14ac:dyDescent="0.25">
      <c r="B45" s="101">
        <v>6.2</v>
      </c>
      <c r="C45" s="102" t="s">
        <v>329</v>
      </c>
      <c r="D45" s="98" t="s">
        <v>13</v>
      </c>
      <c r="E45" s="98">
        <v>3</v>
      </c>
      <c r="F45" s="137">
        <f>+APUS!G999</f>
        <v>378014</v>
      </c>
      <c r="G45" s="100">
        <f>+F45*E45</f>
        <v>1134042</v>
      </c>
      <c r="H45" s="96"/>
    </row>
    <row r="46" spans="2:9" x14ac:dyDescent="0.25">
      <c r="B46" s="101"/>
      <c r="C46" s="102"/>
      <c r="D46" s="98"/>
      <c r="E46" s="98"/>
      <c r="F46" s="103"/>
      <c r="G46" s="100"/>
      <c r="H46" s="96"/>
    </row>
    <row r="47" spans="2:9" x14ac:dyDescent="0.25">
      <c r="B47" s="116">
        <v>7</v>
      </c>
      <c r="C47" s="181" t="s">
        <v>330</v>
      </c>
      <c r="D47" s="181"/>
      <c r="E47" s="181"/>
      <c r="F47" s="181"/>
      <c r="G47" s="117">
        <f>+G48+G49</f>
        <v>5214800</v>
      </c>
      <c r="H47" s="96"/>
      <c r="I47" s="104"/>
    </row>
    <row r="48" spans="2:9" x14ac:dyDescent="0.25">
      <c r="B48" s="101">
        <v>7.1</v>
      </c>
      <c r="C48" s="97" t="s">
        <v>172</v>
      </c>
      <c r="D48" s="98" t="s">
        <v>119</v>
      </c>
      <c r="E48" s="98">
        <f>20*10</f>
        <v>200</v>
      </c>
      <c r="F48" s="103">
        <f>+APUS!G581</f>
        <v>2074</v>
      </c>
      <c r="G48" s="100">
        <f>+F48*E48</f>
        <v>414800</v>
      </c>
      <c r="H48" s="96"/>
      <c r="I48" s="96"/>
    </row>
    <row r="49" spans="2:9" x14ac:dyDescent="0.25">
      <c r="B49" s="101">
        <v>7.2</v>
      </c>
      <c r="C49" s="102" t="s">
        <v>349</v>
      </c>
      <c r="D49" s="98" t="s">
        <v>13</v>
      </c>
      <c r="E49" s="98">
        <v>1</v>
      </c>
      <c r="F49" s="103">
        <v>4800000</v>
      </c>
      <c r="G49" s="100">
        <f>+F49*E49</f>
        <v>4800000</v>
      </c>
      <c r="H49" s="96"/>
      <c r="I49" s="96"/>
    </row>
    <row r="50" spans="2:9" x14ac:dyDescent="0.25">
      <c r="B50" s="172" t="s">
        <v>6</v>
      </c>
      <c r="C50" s="173"/>
      <c r="D50" s="173"/>
      <c r="E50" s="173"/>
      <c r="F50" s="173"/>
      <c r="G50" s="129">
        <f>+G8+G15+G21+G33+G37+G40+G43+G47</f>
        <v>62495053.983999997</v>
      </c>
      <c r="I50" s="104"/>
    </row>
    <row r="51" spans="2:9" x14ac:dyDescent="0.25">
      <c r="B51" s="179" t="s">
        <v>7</v>
      </c>
      <c r="C51" s="180"/>
      <c r="D51" s="180"/>
      <c r="E51" s="180"/>
      <c r="F51" s="130">
        <v>0.25</v>
      </c>
      <c r="G51" s="131">
        <f>+ROUND($G$50*F51,0)</f>
        <v>15623763</v>
      </c>
    </row>
    <row r="52" spans="2:9" x14ac:dyDescent="0.25">
      <c r="B52" s="179" t="s">
        <v>8</v>
      </c>
      <c r="C52" s="180"/>
      <c r="D52" s="180"/>
      <c r="E52" s="180"/>
      <c r="F52" s="130">
        <v>0.01</v>
      </c>
      <c r="G52" s="131">
        <f>+ROUND($G$50*F52,0)</f>
        <v>624951</v>
      </c>
      <c r="H52" s="96"/>
    </row>
    <row r="53" spans="2:9" x14ac:dyDescent="0.25">
      <c r="B53" s="179" t="s">
        <v>9</v>
      </c>
      <c r="C53" s="180"/>
      <c r="D53" s="180"/>
      <c r="E53" s="180"/>
      <c r="F53" s="130">
        <v>0.05</v>
      </c>
      <c r="G53" s="131">
        <f>+ROUND($G$50*F53,0)</f>
        <v>3124753</v>
      </c>
    </row>
    <row r="54" spans="2:9" x14ac:dyDescent="0.25">
      <c r="B54" s="188" t="s">
        <v>10</v>
      </c>
      <c r="C54" s="189"/>
      <c r="D54" s="189"/>
      <c r="E54" s="189"/>
      <c r="F54" s="132">
        <f>+SUM(F51:F53)</f>
        <v>0.31</v>
      </c>
      <c r="G54" s="131">
        <f>+SUM(G51:G53)</f>
        <v>19373467</v>
      </c>
      <c r="H54" s="104"/>
      <c r="I54" s="104"/>
    </row>
    <row r="55" spans="2:9" x14ac:dyDescent="0.25">
      <c r="B55" s="172" t="s">
        <v>11</v>
      </c>
      <c r="C55" s="173"/>
      <c r="D55" s="173"/>
      <c r="E55" s="173"/>
      <c r="F55" s="173"/>
      <c r="G55" s="131">
        <f>+SUM(G54,G50)</f>
        <v>81868520.983999997</v>
      </c>
      <c r="H55" s="96"/>
    </row>
    <row r="56" spans="2:9" x14ac:dyDescent="0.25">
      <c r="B56" s="118"/>
      <c r="C56" s="128"/>
      <c r="D56" s="128"/>
      <c r="E56" s="133"/>
      <c r="F56" s="128"/>
      <c r="G56" s="134"/>
      <c r="H56" s="104"/>
    </row>
    <row r="57" spans="2:9" ht="16.5" thickBot="1" x14ac:dyDescent="0.3">
      <c r="B57" s="174" t="s">
        <v>12</v>
      </c>
      <c r="C57" s="175"/>
      <c r="D57" s="175"/>
      <c r="E57" s="175"/>
      <c r="F57" s="175"/>
      <c r="G57" s="135">
        <f>+G55</f>
        <v>81868520.983999997</v>
      </c>
      <c r="I57" s="65"/>
    </row>
  </sheetData>
  <mergeCells count="20">
    <mergeCell ref="B2:B4"/>
    <mergeCell ref="C4:G4"/>
    <mergeCell ref="C3:G3"/>
    <mergeCell ref="C2:G2"/>
    <mergeCell ref="B54:E54"/>
    <mergeCell ref="C15:F15"/>
    <mergeCell ref="B55:F55"/>
    <mergeCell ref="B57:F57"/>
    <mergeCell ref="B5:G5"/>
    <mergeCell ref="B50:F50"/>
    <mergeCell ref="B53:E53"/>
    <mergeCell ref="B52:E52"/>
    <mergeCell ref="B51:E51"/>
    <mergeCell ref="C8:F8"/>
    <mergeCell ref="C21:F21"/>
    <mergeCell ref="C37:F37"/>
    <mergeCell ref="C40:F40"/>
    <mergeCell ref="C33:F33"/>
    <mergeCell ref="C43:F43"/>
    <mergeCell ref="C47:F47"/>
  </mergeCells>
  <phoneticPr fontId="2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52" orientation="landscape" r:id="rId1"/>
  <colBreaks count="1" manualBreakCount="1">
    <brk id="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79"/>
  <sheetViews>
    <sheetView topLeftCell="A16" zoomScale="85" zoomScaleNormal="85" workbookViewId="0">
      <selection activeCell="C34" sqref="C34"/>
    </sheetView>
  </sheetViews>
  <sheetFormatPr baseColWidth="10" defaultRowHeight="15" x14ac:dyDescent="0.25"/>
  <cols>
    <col min="2" max="2" width="8.85546875" style="46" bestFit="1" customWidth="1"/>
    <col min="3" max="3" width="50.42578125" style="46" customWidth="1"/>
    <col min="4" max="5" width="29.140625" style="46" customWidth="1"/>
    <col min="6" max="6" width="22.42578125" style="46" customWidth="1"/>
    <col min="7" max="7" width="15.5703125" bestFit="1" customWidth="1"/>
    <col min="8" max="8" width="14.5703125" bestFit="1" customWidth="1"/>
  </cols>
  <sheetData>
    <row r="2" spans="2:7" ht="30.75" customHeight="1" x14ac:dyDescent="0.25">
      <c r="B2" s="192" t="s">
        <v>108</v>
      </c>
      <c r="C2" s="193"/>
      <c r="D2" s="193"/>
      <c r="E2" s="193"/>
      <c r="F2" s="194"/>
    </row>
    <row r="3" spans="2:7" ht="30.75" customHeight="1" x14ac:dyDescent="0.25">
      <c r="B3" s="195"/>
      <c r="C3" s="196"/>
      <c r="D3" s="196"/>
      <c r="E3" s="196"/>
      <c r="F3" s="197"/>
    </row>
    <row r="4" spans="2:7" ht="30.75" customHeight="1" x14ac:dyDescent="0.25">
      <c r="B4" s="198" t="s">
        <v>34</v>
      </c>
      <c r="C4" s="199"/>
      <c r="D4" s="199"/>
      <c r="E4" s="199"/>
      <c r="F4" s="199"/>
    </row>
    <row r="5" spans="2:7" ht="18.75" customHeight="1" x14ac:dyDescent="0.25">
      <c r="B5" s="54" t="s">
        <v>35</v>
      </c>
      <c r="C5" s="55" t="s">
        <v>36</v>
      </c>
      <c r="D5" s="56" t="s">
        <v>37</v>
      </c>
      <c r="E5" s="200" t="s">
        <v>38</v>
      </c>
      <c r="F5" s="201"/>
    </row>
    <row r="6" spans="2:7" ht="33" customHeight="1" x14ac:dyDescent="0.25">
      <c r="B6" s="40" t="s">
        <v>39</v>
      </c>
      <c r="C6" s="41" t="s">
        <v>243</v>
      </c>
      <c r="D6" s="42">
        <v>1423500</v>
      </c>
      <c r="E6" s="190"/>
      <c r="F6" s="191"/>
    </row>
    <row r="7" spans="2:7" ht="33" customHeight="1" x14ac:dyDescent="0.25">
      <c r="B7" s="40" t="s">
        <v>39</v>
      </c>
      <c r="C7" s="41" t="s">
        <v>244</v>
      </c>
      <c r="D7" s="42">
        <v>200000</v>
      </c>
      <c r="E7" s="190"/>
      <c r="F7" s="191"/>
    </row>
    <row r="8" spans="2:7" ht="33" customHeight="1" x14ac:dyDescent="0.25">
      <c r="B8" s="40" t="s">
        <v>39</v>
      </c>
      <c r="C8" s="43" t="s">
        <v>109</v>
      </c>
      <c r="D8" s="42">
        <f>D6+D7</f>
        <v>1623500</v>
      </c>
      <c r="E8" s="190"/>
      <c r="F8" s="191"/>
    </row>
    <row r="9" spans="2:7" ht="33" customHeight="1" x14ac:dyDescent="0.25">
      <c r="B9" s="40" t="s">
        <v>40</v>
      </c>
      <c r="C9" s="41" t="s">
        <v>110</v>
      </c>
      <c r="D9" s="42">
        <f>D8/30</f>
        <v>54116.666666666664</v>
      </c>
      <c r="E9" s="190"/>
      <c r="F9" s="191"/>
    </row>
    <row r="10" spans="2:7" ht="33" customHeight="1" x14ac:dyDescent="0.25">
      <c r="B10" s="40" t="s">
        <v>33</v>
      </c>
      <c r="C10" s="41" t="s">
        <v>111</v>
      </c>
      <c r="D10" s="44">
        <v>0.85</v>
      </c>
      <c r="E10" s="190"/>
      <c r="F10" s="191"/>
    </row>
    <row r="11" spans="2:7" ht="33" customHeight="1" x14ac:dyDescent="0.25">
      <c r="B11" s="40" t="s">
        <v>40</v>
      </c>
      <c r="C11" s="43" t="s">
        <v>41</v>
      </c>
      <c r="D11" s="42">
        <f>(D6/30)+((D6/30)*D10)</f>
        <v>87782.5</v>
      </c>
      <c r="E11" s="190"/>
      <c r="F11" s="191"/>
    </row>
    <row r="12" spans="2:7" ht="33" customHeight="1" x14ac:dyDescent="0.25">
      <c r="B12" s="40" t="s">
        <v>39</v>
      </c>
      <c r="C12" s="43" t="s">
        <v>112</v>
      </c>
      <c r="D12" s="45">
        <f>D6+(D10*D6)</f>
        <v>2633475</v>
      </c>
      <c r="E12" s="190"/>
      <c r="F12" s="191"/>
    </row>
    <row r="14" spans="2:7" ht="15.75" x14ac:dyDescent="0.25">
      <c r="B14" s="57" t="s">
        <v>35</v>
      </c>
      <c r="C14" s="57" t="s">
        <v>42</v>
      </c>
      <c r="D14" s="56" t="s">
        <v>43</v>
      </c>
      <c r="E14" s="58" t="s">
        <v>116</v>
      </c>
      <c r="F14" s="59" t="s">
        <v>38</v>
      </c>
    </row>
    <row r="15" spans="2:7" ht="15.75" x14ac:dyDescent="0.25">
      <c r="B15" s="47" t="s">
        <v>40</v>
      </c>
      <c r="C15" s="48" t="s">
        <v>44</v>
      </c>
      <c r="D15" s="60">
        <f>+$D$11*E15</f>
        <v>95767.083157631656</v>
      </c>
      <c r="E15" s="62">
        <v>1.0909587122448285</v>
      </c>
      <c r="F15" s="50"/>
      <c r="G15" s="52"/>
    </row>
    <row r="16" spans="2:7" ht="15.75" x14ac:dyDescent="0.25">
      <c r="B16" s="47" t="s">
        <v>40</v>
      </c>
      <c r="C16" s="48" t="s">
        <v>45</v>
      </c>
      <c r="D16" s="60">
        <f t="shared" ref="D16:D78" si="0">+$D$11*E16</f>
        <v>92171.625</v>
      </c>
      <c r="E16" s="49">
        <v>1.05</v>
      </c>
      <c r="F16" s="51"/>
      <c r="G16" s="52"/>
    </row>
    <row r="17" spans="2:8" ht="15.75" x14ac:dyDescent="0.25">
      <c r="B17" s="47" t="s">
        <v>40</v>
      </c>
      <c r="C17" s="48" t="s">
        <v>46</v>
      </c>
      <c r="D17" s="60">
        <f>+$D$11*E17</f>
        <v>87782.5</v>
      </c>
      <c r="E17" s="49">
        <v>1</v>
      </c>
      <c r="F17" s="51"/>
      <c r="G17" s="53">
        <f>D17/8</f>
        <v>10972.8125</v>
      </c>
    </row>
    <row r="18" spans="2:8" ht="15.75" x14ac:dyDescent="0.25">
      <c r="B18" s="47" t="s">
        <v>40</v>
      </c>
      <c r="C18" s="48" t="s">
        <v>47</v>
      </c>
      <c r="D18" s="63">
        <f>+$D$11*E18</f>
        <v>175565</v>
      </c>
      <c r="E18" s="49">
        <v>2</v>
      </c>
      <c r="F18" s="51"/>
      <c r="G18" s="64">
        <f>D18/8</f>
        <v>21945.625</v>
      </c>
    </row>
    <row r="19" spans="2:8" ht="15.75" x14ac:dyDescent="0.25">
      <c r="B19" s="47" t="s">
        <v>40</v>
      </c>
      <c r="C19" s="48" t="s">
        <v>48</v>
      </c>
      <c r="D19" s="60">
        <f t="shared" si="0"/>
        <v>263347.5</v>
      </c>
      <c r="E19" s="49">
        <v>3</v>
      </c>
      <c r="F19" s="51"/>
    </row>
    <row r="20" spans="2:8" ht="15.75" x14ac:dyDescent="0.25">
      <c r="B20" s="47" t="s">
        <v>40</v>
      </c>
      <c r="C20" s="48" t="s">
        <v>49</v>
      </c>
      <c r="D20" s="60">
        <f t="shared" si="0"/>
        <v>351130</v>
      </c>
      <c r="E20" s="49">
        <v>4</v>
      </c>
      <c r="F20" s="51"/>
    </row>
    <row r="21" spans="2:8" ht="15.75" x14ac:dyDescent="0.25">
      <c r="B21" s="47" t="s">
        <v>40</v>
      </c>
      <c r="C21" s="48" t="s">
        <v>50</v>
      </c>
      <c r="D21" s="60">
        <f t="shared" si="0"/>
        <v>438912.5</v>
      </c>
      <c r="E21" s="49">
        <v>5</v>
      </c>
      <c r="F21" s="51"/>
      <c r="H21" s="64"/>
    </row>
    <row r="22" spans="2:8" ht="15.75" x14ac:dyDescent="0.25">
      <c r="B22" s="47" t="s">
        <v>40</v>
      </c>
      <c r="C22" s="48" t="s">
        <v>51</v>
      </c>
      <c r="D22" s="60">
        <f t="shared" si="0"/>
        <v>526695</v>
      </c>
      <c r="E22" s="49">
        <v>6</v>
      </c>
      <c r="F22" s="51"/>
    </row>
    <row r="23" spans="2:8" ht="15.75" x14ac:dyDescent="0.25">
      <c r="B23" s="47" t="s">
        <v>40</v>
      </c>
      <c r="C23" s="48" t="s">
        <v>52</v>
      </c>
      <c r="D23" s="60">
        <f t="shared" si="0"/>
        <v>614477.5</v>
      </c>
      <c r="E23" s="49">
        <v>7</v>
      </c>
      <c r="F23" s="51"/>
    </row>
    <row r="24" spans="2:8" ht="15.75" x14ac:dyDescent="0.25">
      <c r="B24" s="47" t="s">
        <v>40</v>
      </c>
      <c r="C24" s="48" t="s">
        <v>53</v>
      </c>
      <c r="D24" s="60">
        <f t="shared" si="0"/>
        <v>702260</v>
      </c>
      <c r="E24" s="49">
        <v>8</v>
      </c>
      <c r="F24" s="51"/>
    </row>
    <row r="25" spans="2:8" ht="15.75" x14ac:dyDescent="0.25">
      <c r="B25" s="47" t="s">
        <v>40</v>
      </c>
      <c r="C25" s="48" t="s">
        <v>54</v>
      </c>
      <c r="D25" s="60">
        <f t="shared" si="0"/>
        <v>790042.5</v>
      </c>
      <c r="E25" s="49">
        <v>9</v>
      </c>
      <c r="F25" s="51"/>
    </row>
    <row r="26" spans="2:8" ht="15.75" x14ac:dyDescent="0.25">
      <c r="B26" s="47" t="s">
        <v>40</v>
      </c>
      <c r="C26" s="48" t="s">
        <v>55</v>
      </c>
      <c r="D26" s="60">
        <f t="shared" si="0"/>
        <v>877825</v>
      </c>
      <c r="E26" s="49">
        <v>10</v>
      </c>
      <c r="F26" s="51"/>
    </row>
    <row r="27" spans="2:8" ht="15.75" x14ac:dyDescent="0.25">
      <c r="B27" s="47" t="s">
        <v>40</v>
      </c>
      <c r="C27" s="48" t="s">
        <v>56</v>
      </c>
      <c r="D27" s="60">
        <f t="shared" si="0"/>
        <v>92171.625</v>
      </c>
      <c r="E27" s="49">
        <v>1.05</v>
      </c>
      <c r="F27" s="51"/>
    </row>
    <row r="28" spans="2:8" ht="15.75" x14ac:dyDescent="0.25">
      <c r="B28" s="47" t="s">
        <v>40</v>
      </c>
      <c r="C28" s="48" t="s">
        <v>57</v>
      </c>
      <c r="D28" s="60">
        <f t="shared" si="0"/>
        <v>87782.5</v>
      </c>
      <c r="E28" s="49">
        <v>1</v>
      </c>
      <c r="F28" s="51"/>
    </row>
    <row r="29" spans="2:8" ht="15.75" x14ac:dyDescent="0.25">
      <c r="B29" s="47" t="s">
        <v>40</v>
      </c>
      <c r="C29" s="48" t="s">
        <v>58</v>
      </c>
      <c r="D29" s="60">
        <f t="shared" si="0"/>
        <v>164153.27500000002</v>
      </c>
      <c r="E29" s="49">
        <v>1.87</v>
      </c>
      <c r="F29" s="51"/>
    </row>
    <row r="30" spans="2:8" ht="15.75" x14ac:dyDescent="0.25">
      <c r="B30" s="47" t="s">
        <v>40</v>
      </c>
      <c r="C30" s="48" t="s">
        <v>59</v>
      </c>
      <c r="D30" s="60">
        <f t="shared" si="0"/>
        <v>87782.5</v>
      </c>
      <c r="E30" s="49">
        <v>1</v>
      </c>
      <c r="F30" s="51"/>
    </row>
    <row r="31" spans="2:8" ht="15.75" x14ac:dyDescent="0.25">
      <c r="B31" s="47" t="s">
        <v>40</v>
      </c>
      <c r="C31" s="48" t="s">
        <v>60</v>
      </c>
      <c r="D31" s="60">
        <f t="shared" si="0"/>
        <v>164153.27500000002</v>
      </c>
      <c r="E31" s="49">
        <v>1.87</v>
      </c>
      <c r="F31" s="51"/>
    </row>
    <row r="32" spans="2:8" ht="15.75" x14ac:dyDescent="0.25">
      <c r="B32" s="47" t="s">
        <v>40</v>
      </c>
      <c r="C32" s="48" t="s">
        <v>61</v>
      </c>
      <c r="D32" s="60">
        <f t="shared" si="0"/>
        <v>149230.25</v>
      </c>
      <c r="E32" s="49">
        <v>1.7</v>
      </c>
      <c r="F32" s="51"/>
      <c r="G32" s="64">
        <f>D32/8</f>
        <v>18653.78125</v>
      </c>
    </row>
    <row r="33" spans="2:6" ht="15.75" x14ac:dyDescent="0.25">
      <c r="B33" s="47" t="s">
        <v>40</v>
      </c>
      <c r="C33" s="48" t="s">
        <v>62</v>
      </c>
      <c r="D33" s="60">
        <f t="shared" si="0"/>
        <v>298460.5</v>
      </c>
      <c r="E33" s="49">
        <v>3.4</v>
      </c>
      <c r="F33" s="51"/>
    </row>
    <row r="34" spans="2:6" ht="15.75" x14ac:dyDescent="0.25">
      <c r="B34" s="47" t="s">
        <v>40</v>
      </c>
      <c r="C34" s="48" t="s">
        <v>63</v>
      </c>
      <c r="D34" s="60">
        <f t="shared" si="0"/>
        <v>447690.74999999994</v>
      </c>
      <c r="E34" s="49">
        <v>5.0999999999999996</v>
      </c>
      <c r="F34" s="51"/>
    </row>
    <row r="35" spans="2:6" ht="28.5" x14ac:dyDescent="0.25">
      <c r="B35" s="47" t="s">
        <v>40</v>
      </c>
      <c r="C35" s="48" t="s">
        <v>64</v>
      </c>
      <c r="D35" s="60">
        <f t="shared" si="0"/>
        <v>425745.12499999994</v>
      </c>
      <c r="E35" s="49">
        <v>4.8499999999999996</v>
      </c>
      <c r="F35" s="51"/>
    </row>
    <row r="36" spans="2:6" ht="15.75" x14ac:dyDescent="0.25">
      <c r="B36" s="47" t="s">
        <v>40</v>
      </c>
      <c r="C36" s="48" t="s">
        <v>65</v>
      </c>
      <c r="D36" s="60">
        <f t="shared" si="0"/>
        <v>175565</v>
      </c>
      <c r="E36" s="49">
        <v>2</v>
      </c>
      <c r="F36" s="51"/>
    </row>
    <row r="37" spans="2:6" ht="15.75" x14ac:dyDescent="0.25">
      <c r="B37" s="47" t="s">
        <v>40</v>
      </c>
      <c r="C37" s="48" t="s">
        <v>66</v>
      </c>
      <c r="D37" s="60">
        <f t="shared" si="0"/>
        <v>179954.12499999997</v>
      </c>
      <c r="E37" s="49">
        <v>2.0499999999999998</v>
      </c>
      <c r="F37" s="51"/>
    </row>
    <row r="38" spans="2:6" ht="28.5" x14ac:dyDescent="0.25">
      <c r="B38" s="47" t="s">
        <v>40</v>
      </c>
      <c r="C38" s="48" t="s">
        <v>67</v>
      </c>
      <c r="D38" s="60">
        <f t="shared" si="0"/>
        <v>412577.75</v>
      </c>
      <c r="E38" s="49">
        <v>4.7</v>
      </c>
      <c r="F38" s="51"/>
    </row>
    <row r="39" spans="2:6" ht="15.75" x14ac:dyDescent="0.25">
      <c r="B39" s="47" t="s">
        <v>40</v>
      </c>
      <c r="C39" s="48" t="s">
        <v>68</v>
      </c>
      <c r="D39" s="60">
        <f t="shared" si="0"/>
        <v>237012.75000000003</v>
      </c>
      <c r="E39" s="49">
        <v>2.7</v>
      </c>
      <c r="F39" s="51"/>
    </row>
    <row r="40" spans="2:6" ht="15.75" x14ac:dyDescent="0.25">
      <c r="B40" s="47" t="s">
        <v>40</v>
      </c>
      <c r="C40" s="48" t="s">
        <v>69</v>
      </c>
      <c r="D40" s="60">
        <f t="shared" si="0"/>
        <v>324795.25</v>
      </c>
      <c r="E40" s="49">
        <v>3.7</v>
      </c>
      <c r="F40" s="51"/>
    </row>
    <row r="41" spans="2:6" ht="15.75" x14ac:dyDescent="0.25">
      <c r="B41" s="47" t="s">
        <v>40</v>
      </c>
      <c r="C41" s="48" t="s">
        <v>70</v>
      </c>
      <c r="D41" s="60">
        <f t="shared" si="0"/>
        <v>500360.25</v>
      </c>
      <c r="E41" s="49">
        <v>5.7</v>
      </c>
      <c r="F41" s="51"/>
    </row>
    <row r="42" spans="2:6" ht="15.75" x14ac:dyDescent="0.25">
      <c r="B42" s="47" t="s">
        <v>40</v>
      </c>
      <c r="C42" s="48" t="s">
        <v>71</v>
      </c>
      <c r="D42" s="60">
        <f t="shared" si="0"/>
        <v>822522.02499999991</v>
      </c>
      <c r="E42" s="49">
        <v>9.3699999999999992</v>
      </c>
      <c r="F42" s="51"/>
    </row>
    <row r="43" spans="2:6" ht="15.75" x14ac:dyDescent="0.25">
      <c r="B43" s="47" t="s">
        <v>40</v>
      </c>
      <c r="C43" s="48" t="s">
        <v>72</v>
      </c>
      <c r="D43" s="60">
        <f t="shared" si="0"/>
        <v>448568.57500000001</v>
      </c>
      <c r="E43" s="49">
        <v>5.1100000000000003</v>
      </c>
      <c r="F43" s="51"/>
    </row>
    <row r="44" spans="2:6" ht="15.75" x14ac:dyDescent="0.25">
      <c r="B44" s="47" t="s">
        <v>40</v>
      </c>
      <c r="C44" s="48" t="s">
        <v>73</v>
      </c>
      <c r="D44" s="60">
        <f t="shared" si="0"/>
        <v>100949.87499999999</v>
      </c>
      <c r="E44" s="49">
        <v>1.1499999999999999</v>
      </c>
      <c r="F44" s="51"/>
    </row>
    <row r="45" spans="2:6" ht="15.75" x14ac:dyDescent="0.25">
      <c r="B45" s="47" t="s">
        <v>40</v>
      </c>
      <c r="C45" s="48" t="s">
        <v>74</v>
      </c>
      <c r="D45" s="60">
        <f t="shared" si="0"/>
        <v>201899.74999999997</v>
      </c>
      <c r="E45" s="49">
        <f>+E44*2</f>
        <v>2.2999999999999998</v>
      </c>
      <c r="F45" s="51"/>
    </row>
    <row r="46" spans="2:6" ht="15.75" x14ac:dyDescent="0.25">
      <c r="B46" s="47" t="s">
        <v>40</v>
      </c>
      <c r="C46" s="48" t="s">
        <v>75</v>
      </c>
      <c r="D46" s="60">
        <f t="shared" si="0"/>
        <v>175565</v>
      </c>
      <c r="E46" s="49">
        <v>2</v>
      </c>
      <c r="F46" s="51"/>
    </row>
    <row r="47" spans="2:6" ht="15.75" x14ac:dyDescent="0.25">
      <c r="B47" s="47" t="s">
        <v>40</v>
      </c>
      <c r="C47" s="48" t="s">
        <v>76</v>
      </c>
      <c r="D47" s="60">
        <f t="shared" si="0"/>
        <v>92171.625</v>
      </c>
      <c r="E47" s="49">
        <v>1.05</v>
      </c>
      <c r="F47" s="51"/>
    </row>
    <row r="48" spans="2:6" ht="15.75" x14ac:dyDescent="0.25">
      <c r="B48" s="47" t="s">
        <v>40</v>
      </c>
      <c r="C48" s="48" t="s">
        <v>77</v>
      </c>
      <c r="D48" s="60">
        <f t="shared" si="0"/>
        <v>87782.5</v>
      </c>
      <c r="E48" s="49">
        <v>1</v>
      </c>
      <c r="F48" s="51"/>
    </row>
    <row r="49" spans="2:6" ht="15.75" x14ac:dyDescent="0.25">
      <c r="B49" s="47" t="s">
        <v>40</v>
      </c>
      <c r="C49" s="48" t="s">
        <v>78</v>
      </c>
      <c r="D49" s="60">
        <f t="shared" si="0"/>
        <v>175565</v>
      </c>
      <c r="E49" s="49">
        <v>2</v>
      </c>
      <c r="F49" s="51"/>
    </row>
    <row r="50" spans="2:6" ht="15.75" x14ac:dyDescent="0.25">
      <c r="B50" s="47" t="s">
        <v>40</v>
      </c>
      <c r="C50" s="48" t="s">
        <v>79</v>
      </c>
      <c r="D50" s="60">
        <f t="shared" si="0"/>
        <v>112361.60000000001</v>
      </c>
      <c r="E50" s="49">
        <v>1.28</v>
      </c>
      <c r="F50" s="51"/>
    </row>
    <row r="51" spans="2:6" ht="15.75" x14ac:dyDescent="0.25">
      <c r="B51" s="47" t="s">
        <v>40</v>
      </c>
      <c r="C51" s="48" t="s">
        <v>80</v>
      </c>
      <c r="D51" s="60">
        <f t="shared" si="0"/>
        <v>224723.20000000001</v>
      </c>
      <c r="E51" s="49">
        <v>2.56</v>
      </c>
      <c r="F51" s="51"/>
    </row>
    <row r="52" spans="2:6" ht="15.75" x14ac:dyDescent="0.25">
      <c r="B52" s="47" t="s">
        <v>40</v>
      </c>
      <c r="C52" s="48" t="s">
        <v>81</v>
      </c>
      <c r="D52" s="60">
        <f t="shared" si="0"/>
        <v>114117.25</v>
      </c>
      <c r="E52" s="49">
        <v>1.3</v>
      </c>
      <c r="F52" s="51"/>
    </row>
    <row r="53" spans="2:6" ht="15.75" x14ac:dyDescent="0.25">
      <c r="B53" s="47" t="s">
        <v>40</v>
      </c>
      <c r="C53" s="48" t="s">
        <v>82</v>
      </c>
      <c r="D53" s="60">
        <f t="shared" si="0"/>
        <v>186976.72499999998</v>
      </c>
      <c r="E53" s="49">
        <v>2.13</v>
      </c>
      <c r="F53" s="51"/>
    </row>
    <row r="54" spans="2:6" ht="15.75" x14ac:dyDescent="0.25">
      <c r="B54" s="47" t="s">
        <v>40</v>
      </c>
      <c r="C54" s="48" t="s">
        <v>83</v>
      </c>
      <c r="D54" s="60">
        <f t="shared" si="0"/>
        <v>186976.72499999998</v>
      </c>
      <c r="E54" s="49">
        <v>2.13</v>
      </c>
      <c r="F54" s="51"/>
    </row>
    <row r="55" spans="2:6" ht="15.75" x14ac:dyDescent="0.25">
      <c r="B55" s="47" t="s">
        <v>40</v>
      </c>
      <c r="C55" s="48" t="s">
        <v>84</v>
      </c>
      <c r="D55" s="60">
        <f t="shared" si="0"/>
        <v>149230.25</v>
      </c>
      <c r="E55" s="49">
        <v>1.7</v>
      </c>
      <c r="F55" s="51"/>
    </row>
    <row r="56" spans="2:6" ht="15.75" x14ac:dyDescent="0.25">
      <c r="B56" s="47" t="s">
        <v>40</v>
      </c>
      <c r="C56" s="48" t="s">
        <v>85</v>
      </c>
      <c r="D56" s="60">
        <f t="shared" si="0"/>
        <v>333573.5</v>
      </c>
      <c r="E56" s="49">
        <v>3.8</v>
      </c>
      <c r="F56" s="51"/>
    </row>
    <row r="57" spans="2:6" ht="15.75" x14ac:dyDescent="0.25">
      <c r="B57" s="47" t="s">
        <v>40</v>
      </c>
      <c r="C57" s="48" t="s">
        <v>86</v>
      </c>
      <c r="D57" s="60">
        <f t="shared" si="0"/>
        <v>149230.25</v>
      </c>
      <c r="E57" s="49">
        <v>1.7</v>
      </c>
      <c r="F57" s="51"/>
    </row>
    <row r="58" spans="2:6" ht="15.75" x14ac:dyDescent="0.25">
      <c r="B58" s="47" t="s">
        <v>40</v>
      </c>
      <c r="C58" s="48" t="s">
        <v>87</v>
      </c>
      <c r="D58" s="60">
        <f t="shared" si="0"/>
        <v>298460.5</v>
      </c>
      <c r="E58" s="49">
        <v>3.4</v>
      </c>
      <c r="F58" s="51"/>
    </row>
    <row r="59" spans="2:6" ht="15.75" x14ac:dyDescent="0.25">
      <c r="B59" s="47" t="s">
        <v>40</v>
      </c>
      <c r="C59" s="48" t="s">
        <v>88</v>
      </c>
      <c r="D59" s="60">
        <f t="shared" si="0"/>
        <v>187854.55000000002</v>
      </c>
      <c r="E59" s="49">
        <v>2.14</v>
      </c>
      <c r="F59" s="51"/>
    </row>
    <row r="60" spans="2:6" ht="15.75" x14ac:dyDescent="0.25">
      <c r="B60" s="47" t="s">
        <v>40</v>
      </c>
      <c r="C60" s="48" t="s">
        <v>89</v>
      </c>
      <c r="D60" s="60">
        <f t="shared" si="0"/>
        <v>187854.55000000002</v>
      </c>
      <c r="E60" s="49">
        <v>2.14</v>
      </c>
      <c r="F60" s="51"/>
    </row>
    <row r="61" spans="2:6" ht="15.75" x14ac:dyDescent="0.25">
      <c r="B61" s="47" t="s">
        <v>40</v>
      </c>
      <c r="C61" s="48" t="s">
        <v>90</v>
      </c>
      <c r="D61" s="60">
        <f t="shared" si="0"/>
        <v>87782.5</v>
      </c>
      <c r="E61" s="49">
        <v>1</v>
      </c>
      <c r="F61" s="51"/>
    </row>
    <row r="62" spans="2:6" ht="15.75" x14ac:dyDescent="0.25">
      <c r="B62" s="47" t="s">
        <v>40</v>
      </c>
      <c r="C62" s="48" t="s">
        <v>91</v>
      </c>
      <c r="D62" s="60">
        <f t="shared" si="0"/>
        <v>140452</v>
      </c>
      <c r="E62" s="49">
        <v>1.6</v>
      </c>
      <c r="F62" s="51"/>
    </row>
    <row r="63" spans="2:6" ht="15.75" x14ac:dyDescent="0.25">
      <c r="B63" s="47" t="s">
        <v>40</v>
      </c>
      <c r="C63" s="48" t="s">
        <v>92</v>
      </c>
      <c r="D63" s="60">
        <f t="shared" si="0"/>
        <v>175565</v>
      </c>
      <c r="E63" s="49">
        <v>2</v>
      </c>
      <c r="F63" s="51"/>
    </row>
    <row r="64" spans="2:6" ht="15.75" x14ac:dyDescent="0.25">
      <c r="B64" s="47" t="s">
        <v>40</v>
      </c>
      <c r="C64" s="48" t="s">
        <v>93</v>
      </c>
      <c r="D64" s="60">
        <f t="shared" si="0"/>
        <v>140452</v>
      </c>
      <c r="E64" s="49">
        <v>1.6</v>
      </c>
      <c r="F64" s="66">
        <f>D64/8</f>
        <v>17556.5</v>
      </c>
    </row>
    <row r="65" spans="2:8" ht="15.75" x14ac:dyDescent="0.25">
      <c r="B65" s="47" t="s">
        <v>40</v>
      </c>
      <c r="C65" s="48" t="s">
        <v>94</v>
      </c>
      <c r="D65" s="60">
        <f t="shared" si="0"/>
        <v>131673.75</v>
      </c>
      <c r="E65" s="49">
        <v>1.5</v>
      </c>
      <c r="F65" s="51"/>
    </row>
    <row r="66" spans="2:8" ht="15.75" x14ac:dyDescent="0.25">
      <c r="B66" s="47" t="s">
        <v>40</v>
      </c>
      <c r="C66" s="48" t="s">
        <v>95</v>
      </c>
      <c r="D66" s="60">
        <f t="shared" si="0"/>
        <v>210678</v>
      </c>
      <c r="E66" s="49">
        <v>2.4</v>
      </c>
      <c r="F66" s="51"/>
    </row>
    <row r="67" spans="2:8" ht="15.75" x14ac:dyDescent="0.25">
      <c r="B67" s="47" t="s">
        <v>40</v>
      </c>
      <c r="C67" s="48" t="s">
        <v>96</v>
      </c>
      <c r="D67" s="60">
        <f t="shared" si="0"/>
        <v>438912.5</v>
      </c>
      <c r="E67" s="49">
        <v>5</v>
      </c>
      <c r="F67" s="51"/>
    </row>
    <row r="68" spans="2:8" ht="15.75" x14ac:dyDescent="0.25">
      <c r="B68" s="47" t="s">
        <v>40</v>
      </c>
      <c r="C68" s="48" t="s">
        <v>97</v>
      </c>
      <c r="D68" s="60">
        <f t="shared" si="0"/>
        <v>131673.75</v>
      </c>
      <c r="E68" s="49">
        <v>1.5</v>
      </c>
      <c r="F68" s="51"/>
    </row>
    <row r="69" spans="2:8" ht="15.75" x14ac:dyDescent="0.25">
      <c r="B69" s="47" t="s">
        <v>40</v>
      </c>
      <c r="C69" s="48" t="s">
        <v>98</v>
      </c>
      <c r="D69" s="60">
        <f t="shared" si="0"/>
        <v>131673.75</v>
      </c>
      <c r="E69" s="49">
        <v>1.5</v>
      </c>
      <c r="F69" s="51"/>
    </row>
    <row r="70" spans="2:8" ht="15.75" x14ac:dyDescent="0.25">
      <c r="B70" s="47" t="s">
        <v>40</v>
      </c>
      <c r="C70" s="48" t="s">
        <v>99</v>
      </c>
      <c r="D70" s="60">
        <f t="shared" si="0"/>
        <v>87782.5</v>
      </c>
      <c r="E70" s="49">
        <v>1</v>
      </c>
      <c r="F70" s="51"/>
    </row>
    <row r="71" spans="2:8" ht="15.75" x14ac:dyDescent="0.25">
      <c r="B71" s="47" t="s">
        <v>40</v>
      </c>
      <c r="C71" s="48" t="s">
        <v>100</v>
      </c>
      <c r="D71" s="60">
        <f t="shared" si="0"/>
        <v>681192.2</v>
      </c>
      <c r="E71" s="49">
        <v>7.76</v>
      </c>
      <c r="F71" s="51"/>
    </row>
    <row r="72" spans="2:8" ht="15.75" x14ac:dyDescent="0.25">
      <c r="B72" s="47" t="s">
        <v>40</v>
      </c>
      <c r="C72" s="48" t="s">
        <v>101</v>
      </c>
      <c r="D72" s="60">
        <f t="shared" si="0"/>
        <v>668902.65</v>
      </c>
      <c r="E72" s="49">
        <v>7.62</v>
      </c>
      <c r="F72" s="51"/>
    </row>
    <row r="73" spans="2:8" ht="15.75" x14ac:dyDescent="0.25">
      <c r="B73" s="47" t="s">
        <v>40</v>
      </c>
      <c r="C73" s="48" t="s">
        <v>102</v>
      </c>
      <c r="D73" s="60">
        <f t="shared" si="0"/>
        <v>574975.375</v>
      </c>
      <c r="E73" s="49">
        <v>6.55</v>
      </c>
      <c r="F73" s="51"/>
    </row>
    <row r="74" spans="2:8" ht="15.75" x14ac:dyDescent="0.25">
      <c r="B74" s="47" t="s">
        <v>40</v>
      </c>
      <c r="C74" s="48" t="s">
        <v>103</v>
      </c>
      <c r="D74" s="60">
        <f t="shared" si="0"/>
        <v>574975.375</v>
      </c>
      <c r="E74" s="49">
        <v>6.55</v>
      </c>
      <c r="F74" s="51"/>
    </row>
    <row r="75" spans="2:8" ht="15.75" x14ac:dyDescent="0.25">
      <c r="B75" s="47" t="s">
        <v>40</v>
      </c>
      <c r="C75" s="48" t="s">
        <v>104</v>
      </c>
      <c r="D75" s="60">
        <f t="shared" si="0"/>
        <v>517916.75000000006</v>
      </c>
      <c r="E75" s="49">
        <v>5.9</v>
      </c>
      <c r="F75" s="61"/>
      <c r="G75" s="52"/>
      <c r="H75" s="52"/>
    </row>
    <row r="76" spans="2:8" ht="15.75" x14ac:dyDescent="0.25">
      <c r="B76" s="47" t="s">
        <v>40</v>
      </c>
      <c r="C76" s="48" t="s">
        <v>105</v>
      </c>
      <c r="D76" s="60">
        <f t="shared" si="0"/>
        <v>798820.75</v>
      </c>
      <c r="E76" s="49">
        <v>9.1</v>
      </c>
      <c r="F76" s="51"/>
    </row>
    <row r="77" spans="2:8" ht="15.75" x14ac:dyDescent="0.25">
      <c r="B77" s="47" t="s">
        <v>40</v>
      </c>
      <c r="C77" s="48" t="s">
        <v>106</v>
      </c>
      <c r="D77" s="60">
        <f t="shared" si="0"/>
        <v>798820.75</v>
      </c>
      <c r="E77" s="49">
        <v>9.1</v>
      </c>
      <c r="F77" s="51"/>
    </row>
    <row r="78" spans="2:8" ht="15.75" x14ac:dyDescent="0.25">
      <c r="B78" s="47" t="s">
        <v>40</v>
      </c>
      <c r="C78" s="48" t="s">
        <v>107</v>
      </c>
      <c r="D78" s="60">
        <f t="shared" si="0"/>
        <v>193121.50000000003</v>
      </c>
      <c r="E78" s="49">
        <v>2.2000000000000002</v>
      </c>
      <c r="F78" s="51"/>
    </row>
    <row r="79" spans="2:8" ht="15.75" x14ac:dyDescent="0.25">
      <c r="B79" s="47" t="s">
        <v>40</v>
      </c>
      <c r="C79" s="48" t="s">
        <v>115</v>
      </c>
      <c r="D79" s="60">
        <f t="shared" ref="D79" si="1">+$D$11*E79</f>
        <v>201899.74999999997</v>
      </c>
      <c r="E79" s="49">
        <v>2.2999999999999998</v>
      </c>
      <c r="F79" s="51"/>
    </row>
  </sheetData>
  <mergeCells count="10">
    <mergeCell ref="E9:F9"/>
    <mergeCell ref="E11:F11"/>
    <mergeCell ref="E12:F12"/>
    <mergeCell ref="E10:F10"/>
    <mergeCell ref="B2:F3"/>
    <mergeCell ref="B4:F4"/>
    <mergeCell ref="E5:F5"/>
    <mergeCell ref="E6:F6"/>
    <mergeCell ref="E7:F7"/>
    <mergeCell ref="E8:F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089"/>
  <sheetViews>
    <sheetView topLeftCell="A971" zoomScale="112" zoomScaleNormal="112" workbookViewId="0">
      <selection activeCell="D978" sqref="D978"/>
    </sheetView>
  </sheetViews>
  <sheetFormatPr baseColWidth="10" defaultRowHeight="15" x14ac:dyDescent="0.25"/>
  <cols>
    <col min="1" max="1" width="6.28515625" customWidth="1"/>
    <col min="2" max="2" width="37.140625" customWidth="1"/>
    <col min="3" max="3" width="10.140625" bestFit="1" customWidth="1"/>
    <col min="4" max="4" width="8.7109375" bestFit="1" customWidth="1"/>
    <col min="6" max="6" width="13.42578125" customWidth="1"/>
    <col min="7" max="7" width="14.28515625" customWidth="1"/>
    <col min="9" max="9" width="8" customWidth="1"/>
    <col min="10" max="10" width="12.140625" bestFit="1" customWidth="1"/>
    <col min="11" max="11" width="7.42578125" customWidth="1"/>
    <col min="12" max="12" width="8.7109375" customWidth="1"/>
    <col min="13" max="13" width="3" bestFit="1" customWidth="1"/>
  </cols>
  <sheetData>
    <row r="2" spans="2:7" x14ac:dyDescent="0.25">
      <c r="B2" s="254" t="s">
        <v>363</v>
      </c>
      <c r="C2" s="255"/>
      <c r="D2" s="255"/>
      <c r="E2" s="255"/>
      <c r="F2" s="4"/>
      <c r="G2" s="5" t="s">
        <v>125</v>
      </c>
    </row>
    <row r="3" spans="2:7" x14ac:dyDescent="0.25">
      <c r="B3" s="256"/>
      <c r="C3" s="257"/>
      <c r="D3" s="257"/>
      <c r="E3" s="257"/>
      <c r="F3" s="6"/>
      <c r="G3" s="7"/>
    </row>
    <row r="4" spans="2:7" x14ac:dyDescent="0.25">
      <c r="B4" s="8" t="s">
        <v>15</v>
      </c>
      <c r="C4" s="9" t="s">
        <v>13</v>
      </c>
      <c r="D4" s="9" t="s">
        <v>16</v>
      </c>
      <c r="E4" s="9" t="s">
        <v>17</v>
      </c>
      <c r="F4" s="10" t="s">
        <v>18</v>
      </c>
      <c r="G4" s="11" t="s">
        <v>5</v>
      </c>
    </row>
    <row r="5" spans="2:7" x14ac:dyDescent="0.25">
      <c r="B5" s="12"/>
      <c r="C5" s="13"/>
      <c r="D5" s="14"/>
      <c r="E5" s="14"/>
      <c r="F5" s="15"/>
      <c r="G5" s="16"/>
    </row>
    <row r="6" spans="2:7" x14ac:dyDescent="0.25">
      <c r="B6" s="17" t="s">
        <v>29</v>
      </c>
      <c r="C6" s="13"/>
      <c r="D6" s="14"/>
      <c r="E6" s="14"/>
      <c r="F6" s="15"/>
      <c r="G6" s="16"/>
    </row>
    <row r="7" spans="2:7" x14ac:dyDescent="0.25">
      <c r="B7" s="18"/>
      <c r="C7" s="19"/>
      <c r="D7" s="67"/>
      <c r="E7" s="21"/>
      <c r="F7" s="22"/>
      <c r="G7" s="23">
        <f t="shared" ref="G7:G8" si="0">+(D7+D7*E7)*F7</f>
        <v>0</v>
      </c>
    </row>
    <row r="8" spans="2:7" x14ac:dyDescent="0.25">
      <c r="B8" s="18"/>
      <c r="C8" s="19"/>
      <c r="D8" s="67"/>
      <c r="E8" s="21"/>
      <c r="F8" s="22"/>
      <c r="G8" s="23">
        <f t="shared" si="0"/>
        <v>0</v>
      </c>
    </row>
    <row r="9" spans="2:7" x14ac:dyDescent="0.25">
      <c r="B9" s="12"/>
      <c r="C9" s="13"/>
      <c r="D9" s="14"/>
      <c r="E9" s="14"/>
      <c r="F9" s="15" t="s">
        <v>30</v>
      </c>
      <c r="G9" s="24">
        <f>SUM(G7:G8)</f>
        <v>0</v>
      </c>
    </row>
    <row r="10" spans="2:7" x14ac:dyDescent="0.25">
      <c r="B10" s="17" t="s">
        <v>19</v>
      </c>
      <c r="C10" s="13"/>
      <c r="D10" s="14"/>
      <c r="E10" s="14"/>
      <c r="F10" s="15"/>
      <c r="G10" s="16"/>
    </row>
    <row r="11" spans="2:7" x14ac:dyDescent="0.25">
      <c r="B11" s="18" t="s">
        <v>130</v>
      </c>
      <c r="C11" s="19" t="s">
        <v>20</v>
      </c>
      <c r="D11" s="20">
        <v>0.12</v>
      </c>
      <c r="E11" s="21">
        <v>0</v>
      </c>
      <c r="F11" s="22">
        <f>+F36</f>
        <v>29626.6</v>
      </c>
      <c r="G11" s="23">
        <f>+(D11+D11*E11)*F11</f>
        <v>3555.1919999999996</v>
      </c>
    </row>
    <row r="12" spans="2:7" x14ac:dyDescent="0.25">
      <c r="B12" s="12"/>
      <c r="C12" s="13"/>
      <c r="D12" s="14"/>
      <c r="E12" s="14"/>
      <c r="F12" s="15" t="s">
        <v>21</v>
      </c>
      <c r="G12" s="24">
        <f>SUM(G11:G11)</f>
        <v>3555.1919999999996</v>
      </c>
    </row>
    <row r="13" spans="2:7" x14ac:dyDescent="0.25">
      <c r="B13" s="25" t="s">
        <v>22</v>
      </c>
      <c r="C13" s="13"/>
      <c r="D13" s="14"/>
      <c r="E13" s="14"/>
      <c r="F13" s="15"/>
      <c r="G13" s="26"/>
    </row>
    <row r="14" spans="2:7" x14ac:dyDescent="0.25">
      <c r="B14" s="18" t="s">
        <v>131</v>
      </c>
      <c r="C14" s="19" t="s">
        <v>132</v>
      </c>
      <c r="D14" s="67">
        <v>0.1</v>
      </c>
      <c r="E14" s="21">
        <v>0</v>
      </c>
      <c r="F14" s="22">
        <v>6000</v>
      </c>
      <c r="G14" s="23">
        <f>+(D14+D14*E14)*F14</f>
        <v>600</v>
      </c>
    </row>
    <row r="15" spans="2:7" x14ac:dyDescent="0.25">
      <c r="B15" s="18" t="s">
        <v>32</v>
      </c>
      <c r="C15" s="19" t="s">
        <v>33</v>
      </c>
      <c r="D15" s="21">
        <v>7.0000000000000007E-2</v>
      </c>
      <c r="E15" s="21">
        <v>0</v>
      </c>
      <c r="F15" s="39">
        <f>+G12</f>
        <v>3555.1919999999996</v>
      </c>
      <c r="G15" s="23">
        <f>+(D15+D15*E15)*F15</f>
        <v>248.86344</v>
      </c>
    </row>
    <row r="16" spans="2:7" x14ac:dyDescent="0.25">
      <c r="B16" s="12"/>
      <c r="C16" s="13"/>
      <c r="D16" s="14"/>
      <c r="E16" s="14"/>
      <c r="F16" s="15" t="s">
        <v>23</v>
      </c>
      <c r="G16" s="24">
        <f>SUM(G14:G15)</f>
        <v>848.86343999999997</v>
      </c>
    </row>
    <row r="17" spans="2:7" x14ac:dyDescent="0.25">
      <c r="B17" s="12"/>
      <c r="C17" s="13"/>
      <c r="D17" s="14"/>
      <c r="E17" s="14"/>
      <c r="F17" s="15"/>
      <c r="G17" s="26"/>
    </row>
    <row r="18" spans="2:7" x14ac:dyDescent="0.25">
      <c r="B18" s="243" t="s">
        <v>6</v>
      </c>
      <c r="C18" s="244"/>
      <c r="D18" s="244"/>
      <c r="E18" s="244"/>
      <c r="F18" s="244"/>
      <c r="G18" s="27">
        <f>+ROUND(G16+G12+G9,0)</f>
        <v>4404</v>
      </c>
    </row>
    <row r="19" spans="2:7" x14ac:dyDescent="0.25">
      <c r="B19" s="28" t="s">
        <v>24</v>
      </c>
      <c r="C19" s="29"/>
      <c r="D19" s="30"/>
      <c r="E19" s="14"/>
      <c r="F19" s="31"/>
      <c r="G19" s="32"/>
    </row>
    <row r="20" spans="2:7" x14ac:dyDescent="0.25">
      <c r="B20" s="33" t="s">
        <v>25</v>
      </c>
      <c r="C20" s="29"/>
      <c r="D20" s="34"/>
      <c r="E20" s="71">
        <v>0.25</v>
      </c>
      <c r="F20" s="35"/>
      <c r="G20" s="36">
        <f>ROUND(G18*E20,0)</f>
        <v>1101</v>
      </c>
    </row>
    <row r="21" spans="2:7" x14ac:dyDescent="0.25">
      <c r="B21" s="33" t="s">
        <v>8</v>
      </c>
      <c r="C21" s="29"/>
      <c r="D21" s="34"/>
      <c r="E21" s="71">
        <v>0.01</v>
      </c>
      <c r="F21" s="35"/>
      <c r="G21" s="36">
        <f>ROUND(G18*E21,0)</f>
        <v>44</v>
      </c>
    </row>
    <row r="22" spans="2:7" x14ac:dyDescent="0.25">
      <c r="B22" s="33" t="s">
        <v>9</v>
      </c>
      <c r="C22" s="29"/>
      <c r="D22" s="34"/>
      <c r="E22" s="71">
        <v>0.05</v>
      </c>
      <c r="F22" s="35"/>
      <c r="G22" s="36">
        <f>ROUND(G18*E22,0)</f>
        <v>220</v>
      </c>
    </row>
    <row r="23" spans="2:7" x14ac:dyDescent="0.25">
      <c r="B23" s="245" t="s">
        <v>26</v>
      </c>
      <c r="C23" s="246"/>
      <c r="D23" s="246"/>
      <c r="E23" s="246"/>
      <c r="F23" s="246"/>
      <c r="G23" s="37">
        <f>SUM(G20:G22)</f>
        <v>1365</v>
      </c>
    </row>
    <row r="24" spans="2:7" x14ac:dyDescent="0.25">
      <c r="B24" s="247" t="s">
        <v>27</v>
      </c>
      <c r="C24" s="248"/>
      <c r="D24" s="248"/>
      <c r="E24" s="248"/>
      <c r="F24" s="248"/>
      <c r="G24" s="38">
        <f>+G23+G18</f>
        <v>5769</v>
      </c>
    </row>
    <row r="27" spans="2:7" x14ac:dyDescent="0.25">
      <c r="B27" s="254" t="s">
        <v>257</v>
      </c>
      <c r="C27" s="255"/>
      <c r="D27" s="255"/>
      <c r="E27" s="255"/>
      <c r="F27" s="4"/>
      <c r="G27" s="5" t="s">
        <v>123</v>
      </c>
    </row>
    <row r="28" spans="2:7" x14ac:dyDescent="0.25">
      <c r="B28" s="256"/>
      <c r="C28" s="257"/>
      <c r="D28" s="257"/>
      <c r="E28" s="257"/>
      <c r="F28" s="6"/>
      <c r="G28" s="7"/>
    </row>
    <row r="29" spans="2:7" x14ac:dyDescent="0.25">
      <c r="B29" s="8" t="s">
        <v>15</v>
      </c>
      <c r="C29" s="9" t="s">
        <v>13</v>
      </c>
      <c r="D29" s="9" t="s">
        <v>16</v>
      </c>
      <c r="E29" s="9" t="s">
        <v>17</v>
      </c>
      <c r="F29" s="10" t="s">
        <v>18</v>
      </c>
      <c r="G29" s="11" t="s">
        <v>5</v>
      </c>
    </row>
    <row r="30" spans="2:7" x14ac:dyDescent="0.25">
      <c r="B30" s="12"/>
      <c r="C30" s="13"/>
      <c r="D30" s="14"/>
      <c r="E30" s="14"/>
      <c r="F30" s="15"/>
      <c r="G30" s="16"/>
    </row>
    <row r="31" spans="2:7" x14ac:dyDescent="0.25">
      <c r="B31" s="17" t="s">
        <v>29</v>
      </c>
      <c r="C31" s="13"/>
      <c r="D31" s="14"/>
      <c r="E31" s="14"/>
      <c r="F31" s="15"/>
      <c r="G31" s="16"/>
    </row>
    <row r="32" spans="2:7" x14ac:dyDescent="0.25">
      <c r="B32" s="18" t="s">
        <v>258</v>
      </c>
      <c r="C32" s="19" t="s">
        <v>13</v>
      </c>
      <c r="D32" s="67">
        <v>2</v>
      </c>
      <c r="E32" s="21">
        <v>0</v>
      </c>
      <c r="F32" s="22">
        <v>1200</v>
      </c>
      <c r="G32" s="23">
        <f t="shared" ref="G32:G33" si="1">+(D32+D32*E32)*F32</f>
        <v>2400</v>
      </c>
    </row>
    <row r="33" spans="2:7" x14ac:dyDescent="0.25">
      <c r="B33" s="18" t="s">
        <v>133</v>
      </c>
      <c r="C33" s="19" t="s">
        <v>121</v>
      </c>
      <c r="D33" s="67">
        <v>0.03</v>
      </c>
      <c r="E33" s="21">
        <v>0</v>
      </c>
      <c r="F33" s="22">
        <v>431000</v>
      </c>
      <c r="G33" s="23">
        <f t="shared" si="1"/>
        <v>12930</v>
      </c>
    </row>
    <row r="34" spans="2:7" x14ac:dyDescent="0.25">
      <c r="B34" s="12"/>
      <c r="C34" s="13"/>
      <c r="D34" s="14"/>
      <c r="E34" s="14"/>
      <c r="F34" s="15" t="s">
        <v>30</v>
      </c>
      <c r="G34" s="24">
        <f>SUM(G32:G33)</f>
        <v>15330</v>
      </c>
    </row>
    <row r="35" spans="2:7" x14ac:dyDescent="0.25">
      <c r="B35" s="17" t="s">
        <v>19</v>
      </c>
      <c r="C35" s="13"/>
      <c r="D35" s="14"/>
      <c r="E35" s="14"/>
      <c r="F35" s="15"/>
      <c r="G35" s="16"/>
    </row>
    <row r="36" spans="2:7" x14ac:dyDescent="0.25">
      <c r="B36" s="18" t="s">
        <v>130</v>
      </c>
      <c r="C36" s="19" t="s">
        <v>20</v>
      </c>
      <c r="D36" s="20">
        <v>0.18</v>
      </c>
      <c r="E36" s="21">
        <v>0</v>
      </c>
      <c r="F36" s="22">
        <f>+F63</f>
        <v>29626.6</v>
      </c>
      <c r="G36" s="23">
        <f>+(D36+D36*E36)*F36</f>
        <v>5332.7879999999996</v>
      </c>
    </row>
    <row r="37" spans="2:7" x14ac:dyDescent="0.25">
      <c r="B37" s="12"/>
      <c r="C37" s="13"/>
      <c r="D37" s="14"/>
      <c r="E37" s="14"/>
      <c r="F37" s="15" t="s">
        <v>21</v>
      </c>
      <c r="G37" s="24">
        <f>SUM(G36:G36)</f>
        <v>5332.7879999999996</v>
      </c>
    </row>
    <row r="38" spans="2:7" x14ac:dyDescent="0.25">
      <c r="B38" s="25" t="s">
        <v>22</v>
      </c>
      <c r="C38" s="13"/>
      <c r="D38" s="14"/>
      <c r="E38" s="14"/>
      <c r="F38" s="15"/>
      <c r="G38" s="26"/>
    </row>
    <row r="39" spans="2:7" x14ac:dyDescent="0.25">
      <c r="B39" s="18" t="s">
        <v>131</v>
      </c>
      <c r="C39" s="19" t="s">
        <v>132</v>
      </c>
      <c r="D39" s="67">
        <v>0.1</v>
      </c>
      <c r="E39" s="21">
        <v>0</v>
      </c>
      <c r="F39" s="22">
        <v>6000</v>
      </c>
      <c r="G39" s="23">
        <f>+(D39+D39*E39)*F39</f>
        <v>600</v>
      </c>
    </row>
    <row r="40" spans="2:7" x14ac:dyDescent="0.25">
      <c r="B40" s="18" t="s">
        <v>32</v>
      </c>
      <c r="C40" s="19" t="s">
        <v>33</v>
      </c>
      <c r="D40" s="21">
        <v>0.05</v>
      </c>
      <c r="E40" s="21">
        <v>0</v>
      </c>
      <c r="F40" s="39">
        <f>+G37</f>
        <v>5332.7879999999996</v>
      </c>
      <c r="G40" s="23">
        <f>+(D40+D40*E40)*F40</f>
        <v>266.63939999999997</v>
      </c>
    </row>
    <row r="41" spans="2:7" x14ac:dyDescent="0.25">
      <c r="B41" s="12"/>
      <c r="C41" s="13"/>
      <c r="D41" s="14"/>
      <c r="E41" s="14"/>
      <c r="F41" s="15" t="s">
        <v>23</v>
      </c>
      <c r="G41" s="24">
        <f>SUM(G39:G40)</f>
        <v>866.63940000000002</v>
      </c>
    </row>
    <row r="42" spans="2:7" x14ac:dyDescent="0.25">
      <c r="B42" s="12"/>
      <c r="C42" s="13"/>
      <c r="D42" s="14"/>
      <c r="E42" s="14"/>
      <c r="F42" s="15"/>
      <c r="G42" s="26"/>
    </row>
    <row r="43" spans="2:7" x14ac:dyDescent="0.25">
      <c r="B43" s="243" t="s">
        <v>6</v>
      </c>
      <c r="C43" s="244"/>
      <c r="D43" s="244"/>
      <c r="E43" s="244"/>
      <c r="F43" s="244"/>
      <c r="G43" s="27">
        <f>+ROUND(G41+G37+G34,0)</f>
        <v>21529</v>
      </c>
    </row>
    <row r="44" spans="2:7" x14ac:dyDescent="0.25">
      <c r="B44" s="28" t="s">
        <v>24</v>
      </c>
      <c r="C44" s="29"/>
      <c r="D44" s="30"/>
      <c r="E44" s="14"/>
      <c r="F44" s="31"/>
      <c r="G44" s="32"/>
    </row>
    <row r="45" spans="2:7" x14ac:dyDescent="0.25">
      <c r="B45" s="33" t="s">
        <v>25</v>
      </c>
      <c r="C45" s="29"/>
      <c r="D45" s="34"/>
      <c r="E45" s="71">
        <v>0.25</v>
      </c>
      <c r="F45" s="35"/>
      <c r="G45" s="36">
        <f>ROUND(G43*E45,0)</f>
        <v>5382</v>
      </c>
    </row>
    <row r="46" spans="2:7" x14ac:dyDescent="0.25">
      <c r="B46" s="33" t="s">
        <v>8</v>
      </c>
      <c r="C46" s="29"/>
      <c r="D46" s="34"/>
      <c r="E46" s="71">
        <v>0.01</v>
      </c>
      <c r="F46" s="35"/>
      <c r="G46" s="36">
        <f>ROUND(G43*E46,0)</f>
        <v>215</v>
      </c>
    </row>
    <row r="47" spans="2:7" x14ac:dyDescent="0.25">
      <c r="B47" s="33" t="s">
        <v>9</v>
      </c>
      <c r="C47" s="29"/>
      <c r="D47" s="34"/>
      <c r="E47" s="71">
        <v>0.05</v>
      </c>
      <c r="F47" s="35"/>
      <c r="G47" s="36">
        <f>ROUND(G43*E47,0)</f>
        <v>1076</v>
      </c>
    </row>
    <row r="48" spans="2:7" x14ac:dyDescent="0.25">
      <c r="B48" s="245" t="s">
        <v>26</v>
      </c>
      <c r="C48" s="246"/>
      <c r="D48" s="246"/>
      <c r="E48" s="246"/>
      <c r="F48" s="246"/>
      <c r="G48" s="37">
        <f>SUM(G45:G47)</f>
        <v>6673</v>
      </c>
    </row>
    <row r="49" spans="2:7" x14ac:dyDescent="0.25">
      <c r="B49" s="247" t="s">
        <v>27</v>
      </c>
      <c r="C49" s="248"/>
      <c r="D49" s="248"/>
      <c r="E49" s="248"/>
      <c r="F49" s="248"/>
      <c r="G49" s="38">
        <f>+G48+G43</f>
        <v>28202</v>
      </c>
    </row>
    <row r="54" spans="2:7" x14ac:dyDescent="0.25">
      <c r="B54" s="254" t="s">
        <v>201</v>
      </c>
      <c r="C54" s="255"/>
      <c r="D54" s="255"/>
      <c r="E54" s="255"/>
      <c r="F54" s="4"/>
      <c r="G54" s="5" t="s">
        <v>123</v>
      </c>
    </row>
    <row r="55" spans="2:7" x14ac:dyDescent="0.25">
      <c r="B55" s="256"/>
      <c r="C55" s="257"/>
      <c r="D55" s="257"/>
      <c r="E55" s="257"/>
      <c r="F55" s="6"/>
      <c r="G55" s="7"/>
    </row>
    <row r="56" spans="2:7" x14ac:dyDescent="0.25">
      <c r="B56" s="8" t="s">
        <v>15</v>
      </c>
      <c r="C56" s="9" t="s">
        <v>13</v>
      </c>
      <c r="D56" s="9" t="s">
        <v>16</v>
      </c>
      <c r="E56" s="9" t="s">
        <v>17</v>
      </c>
      <c r="F56" s="10" t="s">
        <v>18</v>
      </c>
      <c r="G56" s="11" t="s">
        <v>5</v>
      </c>
    </row>
    <row r="57" spans="2:7" x14ac:dyDescent="0.25">
      <c r="B57" s="12"/>
      <c r="C57" s="13"/>
      <c r="D57" s="14"/>
      <c r="E57" s="14"/>
      <c r="F57" s="15"/>
      <c r="G57" s="16"/>
    </row>
    <row r="58" spans="2:7" x14ac:dyDescent="0.25">
      <c r="B58" s="17" t="s">
        <v>29</v>
      </c>
      <c r="C58" s="13"/>
      <c r="D58" s="14"/>
      <c r="E58" s="14"/>
      <c r="F58" s="15"/>
      <c r="G58" s="16"/>
    </row>
    <row r="59" spans="2:7" x14ac:dyDescent="0.25">
      <c r="B59" s="18" t="s">
        <v>202</v>
      </c>
      <c r="C59" s="19" t="s">
        <v>13</v>
      </c>
      <c r="D59" s="67">
        <v>4</v>
      </c>
      <c r="E59" s="21">
        <v>0</v>
      </c>
      <c r="F59" s="22">
        <v>705</v>
      </c>
      <c r="G59" s="23">
        <f t="shared" ref="G59:G60" si="2">+(D59+D59*E59)*F59</f>
        <v>2820</v>
      </c>
    </row>
    <row r="60" spans="2:7" x14ac:dyDescent="0.25">
      <c r="B60" s="18" t="s">
        <v>133</v>
      </c>
      <c r="C60" s="19" t="s">
        <v>121</v>
      </c>
      <c r="D60" s="67">
        <v>0.03</v>
      </c>
      <c r="E60" s="21">
        <v>0</v>
      </c>
      <c r="F60" s="22">
        <v>431600</v>
      </c>
      <c r="G60" s="23">
        <f t="shared" si="2"/>
        <v>12948</v>
      </c>
    </row>
    <row r="61" spans="2:7" x14ac:dyDescent="0.25">
      <c r="B61" s="12"/>
      <c r="C61" s="13"/>
      <c r="D61" s="14"/>
      <c r="E61" s="14"/>
      <c r="F61" s="15" t="s">
        <v>30</v>
      </c>
      <c r="G61" s="24">
        <f>SUM(G59:G60)</f>
        <v>15768</v>
      </c>
    </row>
    <row r="62" spans="2:7" x14ac:dyDescent="0.25">
      <c r="B62" s="17" t="s">
        <v>19</v>
      </c>
      <c r="C62" s="13"/>
      <c r="D62" s="14"/>
      <c r="E62" s="14"/>
      <c r="F62" s="15"/>
      <c r="G62" s="16"/>
    </row>
    <row r="63" spans="2:7" x14ac:dyDescent="0.25">
      <c r="B63" s="18" t="s">
        <v>130</v>
      </c>
      <c r="C63" s="19" t="s">
        <v>20</v>
      </c>
      <c r="D63" s="20">
        <v>0.18</v>
      </c>
      <c r="E63" s="21">
        <v>0</v>
      </c>
      <c r="F63" s="22">
        <v>29626.6</v>
      </c>
      <c r="G63" s="23">
        <f>+(D63+D63*E63)*F63</f>
        <v>5332.7879999999996</v>
      </c>
    </row>
    <row r="64" spans="2:7" x14ac:dyDescent="0.25">
      <c r="B64" s="12"/>
      <c r="C64" s="13"/>
      <c r="D64" s="14"/>
      <c r="E64" s="14"/>
      <c r="F64" s="15" t="s">
        <v>21</v>
      </c>
      <c r="G64" s="24">
        <f>SUM(G63:G63)</f>
        <v>5332.7879999999996</v>
      </c>
    </row>
    <row r="65" spans="2:7" x14ac:dyDescent="0.25">
      <c r="B65" s="25" t="s">
        <v>22</v>
      </c>
      <c r="C65" s="13"/>
      <c r="D65" s="14"/>
      <c r="E65" s="14"/>
      <c r="F65" s="15"/>
      <c r="G65" s="26"/>
    </row>
    <row r="66" spans="2:7" x14ac:dyDescent="0.25">
      <c r="B66" s="18" t="s">
        <v>131</v>
      </c>
      <c r="C66" s="19" t="s">
        <v>132</v>
      </c>
      <c r="D66" s="67">
        <v>0.2</v>
      </c>
      <c r="E66" s="21">
        <v>0</v>
      </c>
      <c r="F66" s="22">
        <v>6000</v>
      </c>
      <c r="G66" s="23">
        <f>+(D66+D66*E66)*F66</f>
        <v>1200</v>
      </c>
    </row>
    <row r="67" spans="2:7" x14ac:dyDescent="0.25">
      <c r="B67" s="18" t="s">
        <v>32</v>
      </c>
      <c r="C67" s="19" t="s">
        <v>33</v>
      </c>
      <c r="D67" s="21">
        <v>0.05</v>
      </c>
      <c r="E67" s="21">
        <v>0</v>
      </c>
      <c r="F67" s="39">
        <f>+G64</f>
        <v>5332.7879999999996</v>
      </c>
      <c r="G67" s="23">
        <f>+(D67+D67*E67)*F67</f>
        <v>266.63939999999997</v>
      </c>
    </row>
    <row r="68" spans="2:7" x14ac:dyDescent="0.25">
      <c r="B68" s="12"/>
      <c r="C68" s="13"/>
      <c r="D68" s="14"/>
      <c r="E68" s="14"/>
      <c r="F68" s="15" t="s">
        <v>23</v>
      </c>
      <c r="G68" s="24">
        <f>SUM(G66:G67)</f>
        <v>1466.6394</v>
      </c>
    </row>
    <row r="69" spans="2:7" x14ac:dyDescent="0.25">
      <c r="B69" s="12"/>
      <c r="C69" s="13"/>
      <c r="D69" s="14"/>
      <c r="E69" s="14"/>
      <c r="F69" s="15"/>
      <c r="G69" s="26"/>
    </row>
    <row r="70" spans="2:7" x14ac:dyDescent="0.25">
      <c r="B70" s="243" t="s">
        <v>6</v>
      </c>
      <c r="C70" s="244"/>
      <c r="D70" s="244"/>
      <c r="E70" s="244"/>
      <c r="F70" s="244"/>
      <c r="G70" s="27">
        <f>+ROUND(G68+G64+G61,0)</f>
        <v>22567</v>
      </c>
    </row>
    <row r="71" spans="2:7" x14ac:dyDescent="0.25">
      <c r="B71" s="28" t="s">
        <v>24</v>
      </c>
      <c r="C71" s="29"/>
      <c r="D71" s="30"/>
      <c r="E71" s="14"/>
      <c r="F71" s="31"/>
      <c r="G71" s="32"/>
    </row>
    <row r="72" spans="2:7" x14ac:dyDescent="0.25">
      <c r="B72" s="33" t="s">
        <v>25</v>
      </c>
      <c r="C72" s="29"/>
      <c r="D72" s="34"/>
      <c r="E72" s="71">
        <v>0.25</v>
      </c>
      <c r="F72" s="35"/>
      <c r="G72" s="36">
        <f>ROUND(G70*E72,0)</f>
        <v>5642</v>
      </c>
    </row>
    <row r="73" spans="2:7" x14ac:dyDescent="0.25">
      <c r="B73" s="33" t="s">
        <v>8</v>
      </c>
      <c r="C73" s="29"/>
      <c r="D73" s="34"/>
      <c r="E73" s="71">
        <v>0.01</v>
      </c>
      <c r="F73" s="35"/>
      <c r="G73" s="36">
        <f>ROUND(G70*E73,0)</f>
        <v>226</v>
      </c>
    </row>
    <row r="74" spans="2:7" x14ac:dyDescent="0.25">
      <c r="B74" s="33" t="s">
        <v>9</v>
      </c>
      <c r="C74" s="29"/>
      <c r="D74" s="34"/>
      <c r="E74" s="71">
        <v>0.05</v>
      </c>
      <c r="F74" s="35"/>
      <c r="G74" s="36">
        <f>ROUND(G70*E74,0)</f>
        <v>1128</v>
      </c>
    </row>
    <row r="75" spans="2:7" x14ac:dyDescent="0.25">
      <c r="B75" s="245" t="s">
        <v>26</v>
      </c>
      <c r="C75" s="246"/>
      <c r="D75" s="246"/>
      <c r="E75" s="246"/>
      <c r="F75" s="246"/>
      <c r="G75" s="37">
        <f>SUM(G72:G74)</f>
        <v>6996</v>
      </c>
    </row>
    <row r="76" spans="2:7" x14ac:dyDescent="0.25">
      <c r="B76" s="247" t="s">
        <v>27</v>
      </c>
      <c r="C76" s="248"/>
      <c r="D76" s="248"/>
      <c r="E76" s="248"/>
      <c r="F76" s="248"/>
      <c r="G76" s="38">
        <f>+G75+G70</f>
        <v>29563</v>
      </c>
    </row>
    <row r="77" spans="2:7" x14ac:dyDescent="0.25">
      <c r="B77" s="94"/>
      <c r="C77" s="94"/>
      <c r="D77" s="94"/>
      <c r="E77" s="94"/>
      <c r="F77" s="94"/>
      <c r="G77" s="95"/>
    </row>
    <row r="78" spans="2:7" x14ac:dyDescent="0.25">
      <c r="B78" s="94"/>
      <c r="C78" s="94"/>
      <c r="D78" s="94"/>
      <c r="E78" s="94"/>
      <c r="F78" s="94"/>
      <c r="G78" s="95"/>
    </row>
    <row r="79" spans="2:7" x14ac:dyDescent="0.25">
      <c r="B79" s="94"/>
      <c r="C79" s="94"/>
      <c r="D79" s="94"/>
      <c r="E79" s="94"/>
      <c r="F79" s="94"/>
      <c r="G79" s="95"/>
    </row>
    <row r="81" spans="2:10" x14ac:dyDescent="0.25">
      <c r="B81" s="254" t="s">
        <v>259</v>
      </c>
      <c r="C81" s="255"/>
      <c r="D81" s="255"/>
      <c r="E81" s="255"/>
      <c r="F81" s="4"/>
      <c r="G81" s="5" t="s">
        <v>123</v>
      </c>
    </row>
    <row r="82" spans="2:10" x14ac:dyDescent="0.25">
      <c r="B82" s="256"/>
      <c r="C82" s="257"/>
      <c r="D82" s="257"/>
      <c r="E82" s="257"/>
      <c r="F82" s="6"/>
      <c r="G82" s="7"/>
    </row>
    <row r="83" spans="2:10" x14ac:dyDescent="0.25">
      <c r="B83" s="8" t="s">
        <v>15</v>
      </c>
      <c r="C83" s="9" t="s">
        <v>13</v>
      </c>
      <c r="D83" s="9" t="s">
        <v>16</v>
      </c>
      <c r="E83" s="9" t="s">
        <v>17</v>
      </c>
      <c r="F83" s="10" t="s">
        <v>18</v>
      </c>
      <c r="G83" s="11" t="s">
        <v>5</v>
      </c>
    </row>
    <row r="84" spans="2:10" x14ac:dyDescent="0.25">
      <c r="B84" s="12"/>
      <c r="C84" s="13"/>
      <c r="D84" s="14"/>
      <c r="E84" s="14"/>
      <c r="F84" s="15"/>
      <c r="G84" s="16"/>
    </row>
    <row r="85" spans="2:10" x14ac:dyDescent="0.25">
      <c r="B85" s="17" t="s">
        <v>29</v>
      </c>
      <c r="C85" s="13"/>
      <c r="D85" s="14"/>
      <c r="E85" s="14"/>
      <c r="F85" s="15"/>
      <c r="G85" s="16"/>
    </row>
    <row r="86" spans="2:10" x14ac:dyDescent="0.25">
      <c r="B86" s="18" t="s">
        <v>258</v>
      </c>
      <c r="C86" s="19" t="s">
        <v>13</v>
      </c>
      <c r="D86" s="67">
        <v>2</v>
      </c>
      <c r="E86" s="21">
        <v>0</v>
      </c>
      <c r="F86" s="22">
        <v>1200</v>
      </c>
      <c r="G86" s="23">
        <f>+(D86+D86*E86)*F86</f>
        <v>2400</v>
      </c>
    </row>
    <row r="87" spans="2:10" x14ac:dyDescent="0.25">
      <c r="B87" s="18" t="s">
        <v>260</v>
      </c>
      <c r="C87" s="19" t="s">
        <v>13</v>
      </c>
      <c r="D87" s="67">
        <v>0.6</v>
      </c>
      <c r="E87" s="21">
        <v>0</v>
      </c>
      <c r="F87" s="22">
        <v>35900</v>
      </c>
      <c r="G87" s="23">
        <f t="shared" ref="G87" si="3">+(D87+D87*E87)*F87</f>
        <v>21540</v>
      </c>
      <c r="H87">
        <v>1.6836</v>
      </c>
      <c r="I87">
        <v>1</v>
      </c>
      <c r="J87">
        <f>+I87/H87</f>
        <v>0.59396531242575434</v>
      </c>
    </row>
    <row r="88" spans="2:10" x14ac:dyDescent="0.25">
      <c r="B88" s="12"/>
      <c r="C88" s="13"/>
      <c r="D88" s="14"/>
      <c r="E88" s="14"/>
      <c r="F88" s="15" t="s">
        <v>30</v>
      </c>
      <c r="G88" s="24">
        <f>SUM(G86:G87)</f>
        <v>23940</v>
      </c>
    </row>
    <row r="89" spans="2:10" x14ac:dyDescent="0.25">
      <c r="B89" s="17" t="s">
        <v>19</v>
      </c>
      <c r="C89" s="13"/>
      <c r="D89" s="14"/>
      <c r="E89" s="14"/>
      <c r="F89" s="15"/>
      <c r="G89" s="16"/>
    </row>
    <row r="90" spans="2:10" x14ac:dyDescent="0.25">
      <c r="B90" s="18" t="s">
        <v>261</v>
      </c>
      <c r="C90" s="19" t="s">
        <v>20</v>
      </c>
      <c r="D90" s="20">
        <v>0.3</v>
      </c>
      <c r="E90" s="21">
        <v>0</v>
      </c>
      <c r="F90" s="22">
        <v>37077.08</v>
      </c>
      <c r="G90" s="23">
        <f>+(D90+D90*E90)*F90</f>
        <v>11123.124</v>
      </c>
    </row>
    <row r="91" spans="2:10" x14ac:dyDescent="0.25">
      <c r="B91" s="12"/>
      <c r="C91" s="13"/>
      <c r="D91" s="14"/>
      <c r="E91" s="14"/>
      <c r="F91" s="15" t="s">
        <v>21</v>
      </c>
      <c r="G91" s="24">
        <f>SUM(G90:G90)</f>
        <v>11123.124</v>
      </c>
    </row>
    <row r="92" spans="2:10" x14ac:dyDescent="0.25">
      <c r="B92" s="25" t="s">
        <v>22</v>
      </c>
      <c r="C92" s="13"/>
      <c r="D92" s="14"/>
      <c r="E92" s="14"/>
      <c r="F92" s="15"/>
      <c r="G92" s="26"/>
    </row>
    <row r="93" spans="2:10" x14ac:dyDescent="0.25">
      <c r="B93" s="18" t="s">
        <v>131</v>
      </c>
      <c r="C93" s="19" t="s">
        <v>132</v>
      </c>
      <c r="D93" s="67">
        <v>0.3</v>
      </c>
      <c r="E93" s="21">
        <v>0</v>
      </c>
      <c r="F93" s="22">
        <v>6000</v>
      </c>
      <c r="G93" s="23">
        <f>+(D93+D93*E93)*F93</f>
        <v>1800</v>
      </c>
    </row>
    <row r="94" spans="2:10" x14ac:dyDescent="0.25">
      <c r="B94" s="18" t="s">
        <v>262</v>
      </c>
      <c r="C94" s="19" t="s">
        <v>122</v>
      </c>
      <c r="D94" s="67">
        <v>0.3</v>
      </c>
      <c r="E94" s="21">
        <v>0</v>
      </c>
      <c r="F94" s="22">
        <v>500</v>
      </c>
      <c r="G94" s="23">
        <f>+(D94+D94*E94)*F94</f>
        <v>150</v>
      </c>
    </row>
    <row r="95" spans="2:10" x14ac:dyDescent="0.25">
      <c r="B95" s="18" t="s">
        <v>32</v>
      </c>
      <c r="C95" s="19" t="s">
        <v>33</v>
      </c>
      <c r="D95" s="21">
        <v>0.05</v>
      </c>
      <c r="E95" s="21">
        <v>0</v>
      </c>
      <c r="F95" s="39">
        <f>+G91</f>
        <v>11123.124</v>
      </c>
      <c r="G95" s="23">
        <f>+(D95+D95*E95)*F95</f>
        <v>556.15620000000001</v>
      </c>
    </row>
    <row r="96" spans="2:10" x14ac:dyDescent="0.25">
      <c r="B96" s="12"/>
      <c r="C96" s="13"/>
      <c r="D96" s="14"/>
      <c r="E96" s="14"/>
      <c r="F96" s="15" t="s">
        <v>23</v>
      </c>
      <c r="G96" s="24">
        <f>SUM(G93:G95)</f>
        <v>2506.1561999999999</v>
      </c>
    </row>
    <row r="97" spans="2:7" x14ac:dyDescent="0.25">
      <c r="B97" s="12"/>
      <c r="C97" s="13"/>
      <c r="D97" s="14"/>
      <c r="E97" s="14"/>
      <c r="F97" s="15"/>
      <c r="G97" s="26"/>
    </row>
    <row r="98" spans="2:7" x14ac:dyDescent="0.25">
      <c r="B98" s="243" t="s">
        <v>6</v>
      </c>
      <c r="C98" s="244"/>
      <c r="D98" s="244"/>
      <c r="E98" s="244"/>
      <c r="F98" s="244"/>
      <c r="G98" s="27">
        <f>+ROUND(G96+G91+G88,0)</f>
        <v>37569</v>
      </c>
    </row>
    <row r="99" spans="2:7" x14ac:dyDescent="0.25">
      <c r="B99" s="28" t="s">
        <v>24</v>
      </c>
      <c r="C99" s="29"/>
      <c r="D99" s="30"/>
      <c r="E99" s="14"/>
      <c r="F99" s="31"/>
      <c r="G99" s="32"/>
    </row>
    <row r="100" spans="2:7" x14ac:dyDescent="0.25">
      <c r="B100" s="33" t="s">
        <v>25</v>
      </c>
      <c r="C100" s="29"/>
      <c r="D100" s="34"/>
      <c r="E100" s="71">
        <v>0.25</v>
      </c>
      <c r="F100" s="35"/>
      <c r="G100" s="36">
        <f>ROUND(G98*E100,0)</f>
        <v>9392</v>
      </c>
    </row>
    <row r="101" spans="2:7" x14ac:dyDescent="0.25">
      <c r="B101" s="33" t="s">
        <v>8</v>
      </c>
      <c r="C101" s="29"/>
      <c r="D101" s="34"/>
      <c r="E101" s="71">
        <v>0.01</v>
      </c>
      <c r="F101" s="35"/>
      <c r="G101" s="36">
        <f>ROUND(G98*E101,0)</f>
        <v>376</v>
      </c>
    </row>
    <row r="102" spans="2:7" x14ac:dyDescent="0.25">
      <c r="B102" s="33" t="s">
        <v>9</v>
      </c>
      <c r="C102" s="29"/>
      <c r="D102" s="34"/>
      <c r="E102" s="71">
        <v>0.05</v>
      </c>
      <c r="F102" s="35"/>
      <c r="G102" s="36">
        <f>ROUND(G98*E102,0)</f>
        <v>1878</v>
      </c>
    </row>
    <row r="103" spans="2:7" x14ac:dyDescent="0.25">
      <c r="B103" s="245" t="s">
        <v>26</v>
      </c>
      <c r="C103" s="246"/>
      <c r="D103" s="246"/>
      <c r="E103" s="246"/>
      <c r="F103" s="246"/>
      <c r="G103" s="37">
        <f>SUM(G100:G102)</f>
        <v>11646</v>
      </c>
    </row>
    <row r="104" spans="2:7" x14ac:dyDescent="0.25">
      <c r="B104" s="247" t="s">
        <v>27</v>
      </c>
      <c r="C104" s="248"/>
      <c r="D104" s="248"/>
      <c r="E104" s="248"/>
      <c r="F104" s="248"/>
      <c r="G104" s="38">
        <f>+G103+G98</f>
        <v>49215</v>
      </c>
    </row>
    <row r="109" spans="2:7" x14ac:dyDescent="0.25">
      <c r="B109" s="254" t="s">
        <v>264</v>
      </c>
      <c r="C109" s="255"/>
      <c r="D109" s="255"/>
      <c r="E109" s="255"/>
      <c r="F109" s="4"/>
      <c r="G109" s="5" t="s">
        <v>123</v>
      </c>
    </row>
    <row r="110" spans="2:7" x14ac:dyDescent="0.25">
      <c r="B110" s="256"/>
      <c r="C110" s="257"/>
      <c r="D110" s="257"/>
      <c r="E110" s="257"/>
      <c r="F110" s="6"/>
      <c r="G110" s="7"/>
    </row>
    <row r="111" spans="2:7" x14ac:dyDescent="0.25">
      <c r="B111" s="8" t="s">
        <v>15</v>
      </c>
      <c r="C111" s="9" t="s">
        <v>13</v>
      </c>
      <c r="D111" s="9" t="s">
        <v>16</v>
      </c>
      <c r="E111" s="9" t="s">
        <v>17</v>
      </c>
      <c r="F111" s="10" t="s">
        <v>18</v>
      </c>
      <c r="G111" s="11" t="s">
        <v>5</v>
      </c>
    </row>
    <row r="112" spans="2:7" x14ac:dyDescent="0.25">
      <c r="B112" s="12"/>
      <c r="C112" s="13"/>
      <c r="D112" s="14"/>
      <c r="E112" s="14"/>
      <c r="F112" s="15"/>
      <c r="G112" s="16"/>
    </row>
    <row r="113" spans="2:7" x14ac:dyDescent="0.25">
      <c r="B113" s="17" t="s">
        <v>29</v>
      </c>
      <c r="C113" s="13"/>
      <c r="D113" s="14"/>
      <c r="E113" s="14"/>
      <c r="F113" s="15"/>
      <c r="G113" s="16"/>
    </row>
    <row r="114" spans="2:7" x14ac:dyDescent="0.25">
      <c r="B114" s="18"/>
      <c r="C114" s="19"/>
      <c r="D114" s="67"/>
      <c r="E114" s="21"/>
      <c r="F114" s="22"/>
      <c r="G114" s="23">
        <f t="shared" ref="G114" si="4">+(D114+D114*E114)*F114</f>
        <v>0</v>
      </c>
    </row>
    <row r="115" spans="2:7" x14ac:dyDescent="0.25">
      <c r="B115" s="12"/>
      <c r="C115" s="13"/>
      <c r="D115" s="14"/>
      <c r="E115" s="14"/>
      <c r="F115" s="15" t="s">
        <v>30</v>
      </c>
      <c r="G115" s="24">
        <f>SUM(G114:G114)</f>
        <v>0</v>
      </c>
    </row>
    <row r="116" spans="2:7" x14ac:dyDescent="0.25">
      <c r="B116" s="17" t="s">
        <v>19</v>
      </c>
      <c r="C116" s="13"/>
      <c r="D116" s="14"/>
      <c r="E116" s="14"/>
      <c r="F116" s="15"/>
      <c r="G116" s="16"/>
    </row>
    <row r="117" spans="2:7" x14ac:dyDescent="0.25">
      <c r="B117" s="18" t="s">
        <v>261</v>
      </c>
      <c r="C117" s="19" t="s">
        <v>20</v>
      </c>
      <c r="D117" s="20">
        <v>0.2</v>
      </c>
      <c r="E117" s="21">
        <v>0</v>
      </c>
      <c r="F117" s="22">
        <v>37077.08</v>
      </c>
      <c r="G117" s="23">
        <f>+(D117+D117*E117)*F117</f>
        <v>7415.4160000000011</v>
      </c>
    </row>
    <row r="118" spans="2:7" x14ac:dyDescent="0.25">
      <c r="B118" s="12"/>
      <c r="C118" s="13"/>
      <c r="D118" s="14"/>
      <c r="E118" s="14"/>
      <c r="F118" s="15" t="s">
        <v>21</v>
      </c>
      <c r="G118" s="24">
        <f>SUM(G117:G117)</f>
        <v>7415.4160000000011</v>
      </c>
    </row>
    <row r="119" spans="2:7" x14ac:dyDescent="0.25">
      <c r="B119" s="25" t="s">
        <v>22</v>
      </c>
      <c r="C119" s="13"/>
      <c r="D119" s="14"/>
      <c r="E119" s="14"/>
      <c r="F119" s="15"/>
      <c r="G119" s="26"/>
    </row>
    <row r="120" spans="2:7" x14ac:dyDescent="0.25">
      <c r="B120" s="18" t="s">
        <v>131</v>
      </c>
      <c r="C120" s="19" t="s">
        <v>132</v>
      </c>
      <c r="D120" s="67">
        <v>0.1</v>
      </c>
      <c r="E120" s="21">
        <v>0</v>
      </c>
      <c r="F120" s="22">
        <v>6000</v>
      </c>
      <c r="G120" s="23">
        <f>+(D120+D120*E120)*F120</f>
        <v>600</v>
      </c>
    </row>
    <row r="121" spans="2:7" x14ac:dyDescent="0.25">
      <c r="B121" s="18" t="s">
        <v>262</v>
      </c>
      <c r="C121" s="19" t="s">
        <v>122</v>
      </c>
      <c r="D121" s="67">
        <v>0.1</v>
      </c>
      <c r="E121" s="21">
        <v>0</v>
      </c>
      <c r="F121" s="22">
        <v>500</v>
      </c>
      <c r="G121" s="23">
        <f>+(D121+D121*E121)*F121</f>
        <v>50</v>
      </c>
    </row>
    <row r="122" spans="2:7" x14ac:dyDescent="0.25">
      <c r="B122" s="18" t="s">
        <v>32</v>
      </c>
      <c r="C122" s="19" t="s">
        <v>33</v>
      </c>
      <c r="D122" s="21">
        <v>0.01</v>
      </c>
      <c r="E122" s="21">
        <v>0</v>
      </c>
      <c r="F122" s="39">
        <f>+G118</f>
        <v>7415.4160000000011</v>
      </c>
      <c r="G122" s="23">
        <f>+(D122+D122*E122)*F122</f>
        <v>74.154160000000019</v>
      </c>
    </row>
    <row r="123" spans="2:7" x14ac:dyDescent="0.25">
      <c r="B123" s="12"/>
      <c r="C123" s="13"/>
      <c r="D123" s="14"/>
      <c r="E123" s="14"/>
      <c r="F123" s="15" t="s">
        <v>23</v>
      </c>
      <c r="G123" s="24">
        <f>SUM(G120:G122)</f>
        <v>724.15416000000005</v>
      </c>
    </row>
    <row r="124" spans="2:7" x14ac:dyDescent="0.25">
      <c r="B124" s="12"/>
      <c r="C124" s="13"/>
      <c r="D124" s="14"/>
      <c r="E124" s="14"/>
      <c r="F124" s="15"/>
      <c r="G124" s="26"/>
    </row>
    <row r="125" spans="2:7" x14ac:dyDescent="0.25">
      <c r="B125" s="243" t="s">
        <v>6</v>
      </c>
      <c r="C125" s="244"/>
      <c r="D125" s="244"/>
      <c r="E125" s="244"/>
      <c r="F125" s="244"/>
      <c r="G125" s="27">
        <f>+ROUND(G123+G118+G115,0)</f>
        <v>8140</v>
      </c>
    </row>
    <row r="126" spans="2:7" x14ac:dyDescent="0.25">
      <c r="B126" s="28" t="s">
        <v>24</v>
      </c>
      <c r="C126" s="29"/>
      <c r="D126" s="30"/>
      <c r="E126" s="14"/>
      <c r="F126" s="31"/>
      <c r="G126" s="32"/>
    </row>
    <row r="127" spans="2:7" x14ac:dyDescent="0.25">
      <c r="B127" s="33" t="s">
        <v>25</v>
      </c>
      <c r="C127" s="29"/>
      <c r="D127" s="34"/>
      <c r="E127" s="71">
        <v>0.25</v>
      </c>
      <c r="F127" s="35"/>
      <c r="G127" s="36">
        <f>ROUND(G125*E127,0)</f>
        <v>2035</v>
      </c>
    </row>
    <row r="128" spans="2:7" x14ac:dyDescent="0.25">
      <c r="B128" s="33" t="s">
        <v>8</v>
      </c>
      <c r="C128" s="29"/>
      <c r="D128" s="34"/>
      <c r="E128" s="71">
        <v>0.01</v>
      </c>
      <c r="F128" s="35"/>
      <c r="G128" s="36">
        <f>ROUND(G125*E128,0)</f>
        <v>81</v>
      </c>
    </row>
    <row r="129" spans="2:7" x14ac:dyDescent="0.25">
      <c r="B129" s="33" t="s">
        <v>9</v>
      </c>
      <c r="C129" s="29"/>
      <c r="D129" s="34"/>
      <c r="E129" s="71">
        <v>0.05</v>
      </c>
      <c r="F129" s="35"/>
      <c r="G129" s="36">
        <f>ROUND(G125*E129,0)</f>
        <v>407</v>
      </c>
    </row>
    <row r="130" spans="2:7" x14ac:dyDescent="0.25">
      <c r="B130" s="245" t="s">
        <v>26</v>
      </c>
      <c r="C130" s="246"/>
      <c r="D130" s="246"/>
      <c r="E130" s="246"/>
      <c r="F130" s="246"/>
      <c r="G130" s="37">
        <f>SUM(G127:G129)</f>
        <v>2523</v>
      </c>
    </row>
    <row r="131" spans="2:7" x14ac:dyDescent="0.25">
      <c r="B131" s="247" t="s">
        <v>27</v>
      </c>
      <c r="C131" s="248"/>
      <c r="D131" s="248"/>
      <c r="E131" s="248"/>
      <c r="F131" s="248"/>
      <c r="G131" s="38">
        <f>+G130+G125</f>
        <v>10663</v>
      </c>
    </row>
    <row r="140" spans="2:7" x14ac:dyDescent="0.25">
      <c r="B140" s="254" t="s">
        <v>146</v>
      </c>
      <c r="C140" s="255"/>
      <c r="D140" s="255"/>
      <c r="E140" s="255"/>
      <c r="F140" s="4"/>
      <c r="G140" s="5" t="s">
        <v>125</v>
      </c>
    </row>
    <row r="141" spans="2:7" x14ac:dyDescent="0.25">
      <c r="B141" s="256"/>
      <c r="C141" s="257"/>
      <c r="D141" s="257"/>
      <c r="E141" s="257"/>
      <c r="F141" s="6"/>
      <c r="G141" s="7">
        <v>1.5</v>
      </c>
    </row>
    <row r="142" spans="2:7" x14ac:dyDescent="0.25">
      <c r="B142" s="8" t="s">
        <v>15</v>
      </c>
      <c r="C142" s="9" t="s">
        <v>13</v>
      </c>
      <c r="D142" s="9" t="s">
        <v>16</v>
      </c>
      <c r="E142" s="9" t="s">
        <v>17</v>
      </c>
      <c r="F142" s="10" t="s">
        <v>18</v>
      </c>
      <c r="G142" s="11" t="s">
        <v>5</v>
      </c>
    </row>
    <row r="143" spans="2:7" x14ac:dyDescent="0.25">
      <c r="B143" s="12"/>
      <c r="C143" s="13"/>
      <c r="D143" s="14"/>
      <c r="E143" s="14"/>
      <c r="F143" s="15"/>
      <c r="G143" s="16"/>
    </row>
    <row r="144" spans="2:7" x14ac:dyDescent="0.25">
      <c r="B144" s="17" t="s">
        <v>19</v>
      </c>
      <c r="C144" s="13"/>
      <c r="D144" s="14"/>
      <c r="E144" s="14"/>
      <c r="F144" s="15"/>
      <c r="G144" s="16"/>
    </row>
    <row r="145" spans="2:9" x14ac:dyDescent="0.25">
      <c r="B145" s="18" t="s">
        <v>134</v>
      </c>
      <c r="C145" s="19" t="s">
        <v>20</v>
      </c>
      <c r="D145" s="20">
        <v>0.15</v>
      </c>
      <c r="E145" s="21">
        <v>0</v>
      </c>
      <c r="F145" s="22">
        <f>+F63</f>
        <v>29626.6</v>
      </c>
      <c r="G145" s="23">
        <f>+(D145+D145*E145)*F145</f>
        <v>4443.99</v>
      </c>
      <c r="I145" s="52"/>
    </row>
    <row r="146" spans="2:9" x14ac:dyDescent="0.25">
      <c r="B146" s="12"/>
      <c r="C146" s="13"/>
      <c r="D146" s="14"/>
      <c r="E146" s="14"/>
      <c r="F146" s="15" t="s">
        <v>21</v>
      </c>
      <c r="G146" s="24">
        <f>SUM(G145:G145)</f>
        <v>4443.99</v>
      </c>
    </row>
    <row r="147" spans="2:9" x14ac:dyDescent="0.25">
      <c r="B147" s="25" t="s">
        <v>22</v>
      </c>
      <c r="C147" s="13"/>
      <c r="D147" s="14"/>
      <c r="E147" s="14"/>
      <c r="F147" s="15"/>
      <c r="G147" s="26"/>
    </row>
    <row r="148" spans="2:9" x14ac:dyDescent="0.25">
      <c r="B148" s="18" t="s">
        <v>131</v>
      </c>
      <c r="C148" s="19" t="s">
        <v>132</v>
      </c>
      <c r="D148" s="67">
        <v>0.1</v>
      </c>
      <c r="E148" s="21">
        <v>0</v>
      </c>
      <c r="F148" s="22">
        <v>6000</v>
      </c>
      <c r="G148" s="23">
        <f>+(D148+D148*E148)*F148</f>
        <v>600</v>
      </c>
    </row>
    <row r="149" spans="2:9" x14ac:dyDescent="0.25">
      <c r="B149" s="18" t="s">
        <v>32</v>
      </c>
      <c r="C149" s="19" t="s">
        <v>33</v>
      </c>
      <c r="D149" s="21">
        <v>0.05</v>
      </c>
      <c r="E149" s="21">
        <v>0</v>
      </c>
      <c r="F149" s="39">
        <f>+G146</f>
        <v>4443.99</v>
      </c>
      <c r="G149" s="23">
        <f>+(D149+D149*E149)*F149</f>
        <v>222.1995</v>
      </c>
    </row>
    <row r="150" spans="2:9" x14ac:dyDescent="0.25">
      <c r="B150" s="12"/>
      <c r="C150" s="13"/>
      <c r="D150" s="14"/>
      <c r="E150" s="14"/>
      <c r="F150" s="15" t="s">
        <v>23</v>
      </c>
      <c r="G150" s="24">
        <f>SUM(G148:G149)</f>
        <v>822.19949999999994</v>
      </c>
    </row>
    <row r="151" spans="2:9" x14ac:dyDescent="0.25">
      <c r="B151" s="12"/>
      <c r="C151" s="13"/>
      <c r="D151" s="14"/>
      <c r="E151" s="14"/>
      <c r="F151" s="15"/>
      <c r="G151" s="26"/>
    </row>
    <row r="152" spans="2:9" x14ac:dyDescent="0.25">
      <c r="B152" s="243" t="s">
        <v>6</v>
      </c>
      <c r="C152" s="244"/>
      <c r="D152" s="244"/>
      <c r="E152" s="244"/>
      <c r="F152" s="244"/>
      <c r="G152" s="27">
        <f>+ROUND(G150+G146,0)</f>
        <v>5266</v>
      </c>
    </row>
    <row r="153" spans="2:9" x14ac:dyDescent="0.25">
      <c r="B153" s="28" t="s">
        <v>24</v>
      </c>
      <c r="C153" s="29"/>
      <c r="D153" s="30"/>
      <c r="E153" s="14"/>
      <c r="F153" s="31"/>
      <c r="G153" s="32"/>
    </row>
    <row r="154" spans="2:9" x14ac:dyDescent="0.25">
      <c r="B154" s="33" t="s">
        <v>25</v>
      </c>
      <c r="C154" s="29"/>
      <c r="D154" s="34"/>
      <c r="E154" s="71">
        <v>0.25</v>
      </c>
      <c r="F154" s="35"/>
      <c r="G154" s="36">
        <f>ROUND(G152*E154,0)</f>
        <v>1317</v>
      </c>
    </row>
    <row r="155" spans="2:9" x14ac:dyDescent="0.25">
      <c r="B155" s="33" t="s">
        <v>8</v>
      </c>
      <c r="C155" s="29"/>
      <c r="D155" s="34"/>
      <c r="E155" s="71">
        <v>0.01</v>
      </c>
      <c r="F155" s="35"/>
      <c r="G155" s="36">
        <f>ROUND(G152*E155,0)</f>
        <v>53</v>
      </c>
    </row>
    <row r="156" spans="2:9" x14ac:dyDescent="0.25">
      <c r="B156" s="33" t="s">
        <v>9</v>
      </c>
      <c r="C156" s="29"/>
      <c r="D156" s="34"/>
      <c r="E156" s="71">
        <v>0.05</v>
      </c>
      <c r="F156" s="35"/>
      <c r="G156" s="36">
        <f>ROUND(G152*E156,0)</f>
        <v>263</v>
      </c>
    </row>
    <row r="157" spans="2:9" x14ac:dyDescent="0.25">
      <c r="B157" s="245" t="s">
        <v>26</v>
      </c>
      <c r="C157" s="246"/>
      <c r="D157" s="246"/>
      <c r="E157" s="246"/>
      <c r="F157" s="246"/>
      <c r="G157" s="37">
        <f>SUM(G154:G156)</f>
        <v>1633</v>
      </c>
    </row>
    <row r="158" spans="2:9" x14ac:dyDescent="0.25">
      <c r="B158" s="247" t="s">
        <v>27</v>
      </c>
      <c r="C158" s="248"/>
      <c r="D158" s="248"/>
      <c r="E158" s="248"/>
      <c r="F158" s="248"/>
      <c r="G158" s="38">
        <f>+G157+G152</f>
        <v>6899</v>
      </c>
    </row>
    <row r="162" spans="2:7" x14ac:dyDescent="0.25">
      <c r="B162" s="254" t="s">
        <v>129</v>
      </c>
      <c r="C162" s="255"/>
      <c r="D162" s="255"/>
      <c r="E162" s="255"/>
      <c r="F162" s="4"/>
      <c r="G162" s="5" t="s">
        <v>125</v>
      </c>
    </row>
    <row r="163" spans="2:7" x14ac:dyDescent="0.25">
      <c r="B163" s="256"/>
      <c r="C163" s="257"/>
      <c r="D163" s="257"/>
      <c r="E163" s="257"/>
      <c r="F163" s="6"/>
      <c r="G163" s="7"/>
    </row>
    <row r="164" spans="2:7" x14ac:dyDescent="0.25">
      <c r="B164" s="8" t="s">
        <v>15</v>
      </c>
      <c r="C164" s="9" t="s">
        <v>13</v>
      </c>
      <c r="D164" s="9" t="s">
        <v>16</v>
      </c>
      <c r="E164" s="9" t="s">
        <v>17</v>
      </c>
      <c r="F164" s="10" t="s">
        <v>18</v>
      </c>
      <c r="G164" s="11" t="s">
        <v>5</v>
      </c>
    </row>
    <row r="165" spans="2:7" x14ac:dyDescent="0.25">
      <c r="B165" s="12"/>
      <c r="C165" s="13"/>
      <c r="D165" s="14"/>
      <c r="E165" s="14"/>
      <c r="F165" s="15"/>
      <c r="G165" s="16"/>
    </row>
    <row r="166" spans="2:7" x14ac:dyDescent="0.25">
      <c r="B166" s="17" t="s">
        <v>19</v>
      </c>
      <c r="C166" s="13"/>
      <c r="D166" s="14"/>
      <c r="E166" s="14"/>
      <c r="F166" s="15"/>
      <c r="G166" s="16"/>
    </row>
    <row r="167" spans="2:7" x14ac:dyDescent="0.25">
      <c r="B167" s="18" t="s">
        <v>134</v>
      </c>
      <c r="C167" s="19" t="s">
        <v>20</v>
      </c>
      <c r="D167" s="20">
        <v>0.3</v>
      </c>
      <c r="E167" s="21">
        <v>0</v>
      </c>
      <c r="F167" s="22">
        <f>+F145</f>
        <v>29626.6</v>
      </c>
      <c r="G167" s="23">
        <f>+(D167+D167*E167)*F167</f>
        <v>8887.98</v>
      </c>
    </row>
    <row r="168" spans="2:7" x14ac:dyDescent="0.25">
      <c r="B168" s="12"/>
      <c r="C168" s="13"/>
      <c r="D168" s="14"/>
      <c r="E168" s="14"/>
      <c r="F168" s="15" t="s">
        <v>21</v>
      </c>
      <c r="G168" s="24">
        <f>SUM(G167:G167)</f>
        <v>8887.98</v>
      </c>
    </row>
    <row r="169" spans="2:7" x14ac:dyDescent="0.25">
      <c r="B169" s="25" t="s">
        <v>22</v>
      </c>
      <c r="C169" s="13"/>
      <c r="D169" s="14"/>
      <c r="E169" s="14"/>
      <c r="F169" s="15"/>
      <c r="G169" s="26"/>
    </row>
    <row r="170" spans="2:7" x14ac:dyDescent="0.25">
      <c r="B170" s="18" t="s">
        <v>131</v>
      </c>
      <c r="C170" s="19" t="s">
        <v>132</v>
      </c>
      <c r="D170" s="67">
        <v>0.1</v>
      </c>
      <c r="E170" s="21">
        <v>0</v>
      </c>
      <c r="F170" s="22">
        <v>6000</v>
      </c>
      <c r="G170" s="23">
        <f>+(D170+D170*E170)*F170</f>
        <v>600</v>
      </c>
    </row>
    <row r="171" spans="2:7" x14ac:dyDescent="0.25">
      <c r="B171" s="18" t="s">
        <v>32</v>
      </c>
      <c r="C171" s="19" t="s">
        <v>33</v>
      </c>
      <c r="D171" s="21">
        <v>0.05</v>
      </c>
      <c r="E171" s="21">
        <v>0</v>
      </c>
      <c r="F171" s="39">
        <f>+G168</f>
        <v>8887.98</v>
      </c>
      <c r="G171" s="23">
        <f>+(D171+D171*E171)*F171</f>
        <v>444.399</v>
      </c>
    </row>
    <row r="172" spans="2:7" x14ac:dyDescent="0.25">
      <c r="B172" s="12"/>
      <c r="C172" s="13"/>
      <c r="D172" s="14"/>
      <c r="E172" s="14"/>
      <c r="F172" s="15" t="s">
        <v>23</v>
      </c>
      <c r="G172" s="24">
        <f>SUM(G170:G171)</f>
        <v>1044.3989999999999</v>
      </c>
    </row>
    <row r="173" spans="2:7" x14ac:dyDescent="0.25">
      <c r="B173" s="12"/>
      <c r="C173" s="13"/>
      <c r="D173" s="14"/>
      <c r="E173" s="14"/>
      <c r="F173" s="15"/>
      <c r="G173" s="26"/>
    </row>
    <row r="174" spans="2:7" x14ac:dyDescent="0.25">
      <c r="B174" s="243" t="s">
        <v>6</v>
      </c>
      <c r="C174" s="244"/>
      <c r="D174" s="244"/>
      <c r="E174" s="244"/>
      <c r="F174" s="244"/>
      <c r="G174" s="27">
        <f>+ROUND(G172+G168,0)</f>
        <v>9932</v>
      </c>
    </row>
    <row r="175" spans="2:7" x14ac:dyDescent="0.25">
      <c r="B175" s="28" t="s">
        <v>24</v>
      </c>
      <c r="C175" s="29"/>
      <c r="D175" s="30"/>
      <c r="E175" s="14"/>
      <c r="F175" s="31"/>
      <c r="G175" s="32"/>
    </row>
    <row r="176" spans="2:7" x14ac:dyDescent="0.25">
      <c r="B176" s="33" t="s">
        <v>25</v>
      </c>
      <c r="C176" s="29"/>
      <c r="D176" s="34"/>
      <c r="E176" s="71">
        <v>0.25</v>
      </c>
      <c r="F176" s="35"/>
      <c r="G176" s="36">
        <f>ROUND(G174*E176,0)</f>
        <v>2483</v>
      </c>
    </row>
    <row r="177" spans="2:7" x14ac:dyDescent="0.25">
      <c r="B177" s="33" t="s">
        <v>8</v>
      </c>
      <c r="C177" s="29"/>
      <c r="D177" s="34"/>
      <c r="E177" s="71">
        <v>0.01</v>
      </c>
      <c r="F177" s="35"/>
      <c r="G177" s="36">
        <f>ROUND(G174*E177,0)</f>
        <v>99</v>
      </c>
    </row>
    <row r="178" spans="2:7" x14ac:dyDescent="0.25">
      <c r="B178" s="33" t="s">
        <v>9</v>
      </c>
      <c r="C178" s="29"/>
      <c r="D178" s="34"/>
      <c r="E178" s="71">
        <v>0.05</v>
      </c>
      <c r="F178" s="35"/>
      <c r="G178" s="36">
        <f>ROUND(G174*E178,0)</f>
        <v>497</v>
      </c>
    </row>
    <row r="179" spans="2:7" x14ac:dyDescent="0.25">
      <c r="B179" s="245" t="s">
        <v>26</v>
      </c>
      <c r="C179" s="246"/>
      <c r="D179" s="246"/>
      <c r="E179" s="246"/>
      <c r="F179" s="246"/>
      <c r="G179" s="37">
        <f>SUM(G176:G178)</f>
        <v>3079</v>
      </c>
    </row>
    <row r="180" spans="2:7" x14ac:dyDescent="0.25">
      <c r="B180" s="247" t="s">
        <v>27</v>
      </c>
      <c r="C180" s="248"/>
      <c r="D180" s="248"/>
      <c r="E180" s="248"/>
      <c r="F180" s="248"/>
      <c r="G180" s="38">
        <f>+G179+G174</f>
        <v>13011</v>
      </c>
    </row>
    <row r="184" spans="2:7" x14ac:dyDescent="0.25">
      <c r="B184" s="254" t="s">
        <v>128</v>
      </c>
      <c r="C184" s="255"/>
      <c r="D184" s="255"/>
      <c r="E184" s="255"/>
      <c r="F184" s="4"/>
      <c r="G184" s="5" t="s">
        <v>28</v>
      </c>
    </row>
    <row r="185" spans="2:7" x14ac:dyDescent="0.25">
      <c r="B185" s="256"/>
      <c r="C185" s="257"/>
      <c r="D185" s="257"/>
      <c r="E185" s="257"/>
      <c r="F185" s="6"/>
      <c r="G185" s="7"/>
    </row>
    <row r="186" spans="2:7" x14ac:dyDescent="0.25">
      <c r="B186" s="8" t="s">
        <v>15</v>
      </c>
      <c r="C186" s="9" t="s">
        <v>13</v>
      </c>
      <c r="D186" s="9" t="s">
        <v>16</v>
      </c>
      <c r="E186" s="9" t="s">
        <v>17</v>
      </c>
      <c r="F186" s="10" t="s">
        <v>18</v>
      </c>
      <c r="G186" s="11" t="s">
        <v>5</v>
      </c>
    </row>
    <row r="187" spans="2:7" x14ac:dyDescent="0.25">
      <c r="B187" s="12"/>
      <c r="C187" s="13"/>
      <c r="D187" s="14"/>
      <c r="E187" s="14"/>
      <c r="F187" s="15"/>
      <c r="G187" s="16"/>
    </row>
    <row r="188" spans="2:7" x14ac:dyDescent="0.25">
      <c r="B188" s="17" t="s">
        <v>19</v>
      </c>
      <c r="C188" s="13"/>
      <c r="D188" s="14"/>
      <c r="E188" s="14"/>
      <c r="F188" s="15"/>
      <c r="G188" s="16"/>
    </row>
    <row r="189" spans="2:7" x14ac:dyDescent="0.25">
      <c r="B189" s="18" t="s">
        <v>31</v>
      </c>
      <c r="C189" s="19" t="s">
        <v>20</v>
      </c>
      <c r="D189" s="20">
        <v>0.5</v>
      </c>
      <c r="E189" s="21">
        <v>0</v>
      </c>
      <c r="F189" s="22">
        <f>10972.81*2</f>
        <v>21945.62</v>
      </c>
      <c r="G189" s="23">
        <f>+(D189+D189*E189)*F189</f>
        <v>10972.81</v>
      </c>
    </row>
    <row r="190" spans="2:7" x14ac:dyDescent="0.25">
      <c r="B190" s="12"/>
      <c r="C190" s="13"/>
      <c r="D190" s="14"/>
      <c r="E190" s="14"/>
      <c r="F190" s="15" t="s">
        <v>21</v>
      </c>
      <c r="G190" s="24">
        <f>SUM(G189:G189)</f>
        <v>10972.81</v>
      </c>
    </row>
    <row r="191" spans="2:7" x14ac:dyDescent="0.25">
      <c r="B191" s="25" t="s">
        <v>22</v>
      </c>
      <c r="C191" s="13"/>
      <c r="D191" s="14"/>
      <c r="E191" s="14"/>
      <c r="F191" s="15"/>
      <c r="G191" s="26"/>
    </row>
    <row r="192" spans="2:7" x14ac:dyDescent="0.25">
      <c r="B192" s="18" t="s">
        <v>117</v>
      </c>
      <c r="C192" s="19" t="s">
        <v>113</v>
      </c>
      <c r="D192" s="20">
        <v>0.26</v>
      </c>
      <c r="E192" s="21">
        <v>0</v>
      </c>
      <c r="F192" s="39">
        <v>70000</v>
      </c>
      <c r="G192" s="23">
        <f>+(D192+D192*E192)*F192</f>
        <v>18200</v>
      </c>
    </row>
    <row r="193" spans="2:7" x14ac:dyDescent="0.25">
      <c r="B193" s="18" t="s">
        <v>32</v>
      </c>
      <c r="C193" s="19" t="s">
        <v>33</v>
      </c>
      <c r="D193" s="21">
        <v>0.05</v>
      </c>
      <c r="E193" s="21">
        <v>0</v>
      </c>
      <c r="F193" s="39">
        <f>+G190</f>
        <v>10972.81</v>
      </c>
      <c r="G193" s="23">
        <f>+(D193+D193*E193)*F193</f>
        <v>548.64049999999997</v>
      </c>
    </row>
    <row r="194" spans="2:7" x14ac:dyDescent="0.25">
      <c r="B194" s="12"/>
      <c r="C194" s="13"/>
      <c r="D194" s="14"/>
      <c r="E194" s="14"/>
      <c r="F194" s="15" t="s">
        <v>23</v>
      </c>
      <c r="G194" s="24">
        <f>SUM(G192:G193)</f>
        <v>18748.640500000001</v>
      </c>
    </row>
    <row r="195" spans="2:7" x14ac:dyDescent="0.25">
      <c r="B195" s="12"/>
      <c r="C195" s="13"/>
      <c r="D195" s="14"/>
      <c r="E195" s="14"/>
      <c r="F195" s="15"/>
      <c r="G195" s="26"/>
    </row>
    <row r="196" spans="2:7" x14ac:dyDescent="0.25">
      <c r="B196" s="243" t="s">
        <v>6</v>
      </c>
      <c r="C196" s="244"/>
      <c r="D196" s="244"/>
      <c r="E196" s="244"/>
      <c r="F196" s="244"/>
      <c r="G196" s="27">
        <f>+ROUND(G194+G190,0)</f>
        <v>29721</v>
      </c>
    </row>
    <row r="197" spans="2:7" x14ac:dyDescent="0.25">
      <c r="B197" s="28" t="s">
        <v>24</v>
      </c>
      <c r="C197" s="29"/>
      <c r="D197" s="30"/>
      <c r="E197" s="14"/>
      <c r="F197" s="31"/>
      <c r="G197" s="32"/>
    </row>
    <row r="198" spans="2:7" x14ac:dyDescent="0.25">
      <c r="B198" s="33" t="s">
        <v>25</v>
      </c>
      <c r="C198" s="29"/>
      <c r="D198" s="34"/>
      <c r="E198" s="71">
        <v>0.25</v>
      </c>
      <c r="F198" s="35"/>
      <c r="G198" s="36">
        <f>ROUND(G196*E198,0)</f>
        <v>7430</v>
      </c>
    </row>
    <row r="199" spans="2:7" x14ac:dyDescent="0.25">
      <c r="B199" s="33" t="s">
        <v>8</v>
      </c>
      <c r="C199" s="29"/>
      <c r="D199" s="34"/>
      <c r="E199" s="71">
        <v>0.01</v>
      </c>
      <c r="F199" s="35"/>
      <c r="G199" s="36">
        <f>ROUND(G196*E199,0)</f>
        <v>297</v>
      </c>
    </row>
    <row r="200" spans="2:7" x14ac:dyDescent="0.25">
      <c r="B200" s="33" t="s">
        <v>9</v>
      </c>
      <c r="C200" s="29"/>
      <c r="D200" s="34"/>
      <c r="E200" s="71">
        <v>0.05</v>
      </c>
      <c r="F200" s="35"/>
      <c r="G200" s="36">
        <f>ROUND(G196*E200,0)</f>
        <v>1486</v>
      </c>
    </row>
    <row r="201" spans="2:7" x14ac:dyDescent="0.25">
      <c r="B201" s="245" t="s">
        <v>26</v>
      </c>
      <c r="C201" s="246"/>
      <c r="D201" s="246"/>
      <c r="E201" s="246"/>
      <c r="F201" s="246"/>
      <c r="G201" s="37">
        <f>SUM(G198:G200)</f>
        <v>9213</v>
      </c>
    </row>
    <row r="202" spans="2:7" x14ac:dyDescent="0.25">
      <c r="B202" s="247" t="s">
        <v>27</v>
      </c>
      <c r="C202" s="248"/>
      <c r="D202" s="248"/>
      <c r="E202" s="248"/>
      <c r="F202" s="248"/>
      <c r="G202" s="38">
        <f>+G201+G196</f>
        <v>38934</v>
      </c>
    </row>
    <row r="205" spans="2:7" x14ac:dyDescent="0.25">
      <c r="B205" s="254" t="s">
        <v>147</v>
      </c>
      <c r="C205" s="255"/>
      <c r="D205" s="255"/>
      <c r="E205" s="255"/>
      <c r="F205" s="4"/>
      <c r="G205" s="5" t="s">
        <v>123</v>
      </c>
    </row>
    <row r="206" spans="2:7" x14ac:dyDescent="0.25">
      <c r="B206" s="256"/>
      <c r="C206" s="257"/>
      <c r="D206" s="257"/>
      <c r="E206" s="257"/>
      <c r="F206" s="6"/>
      <c r="G206" s="7">
        <v>3.1</v>
      </c>
    </row>
    <row r="207" spans="2:7" x14ac:dyDescent="0.25">
      <c r="B207" s="8" t="s">
        <v>15</v>
      </c>
      <c r="C207" s="9" t="s">
        <v>13</v>
      </c>
      <c r="D207" s="9" t="s">
        <v>16</v>
      </c>
      <c r="E207" s="9" t="s">
        <v>17</v>
      </c>
      <c r="F207" s="10" t="s">
        <v>18</v>
      </c>
      <c r="G207" s="11" t="s">
        <v>5</v>
      </c>
    </row>
    <row r="208" spans="2:7" x14ac:dyDescent="0.25">
      <c r="B208" s="12"/>
      <c r="C208" s="13"/>
      <c r="D208" s="14"/>
      <c r="E208" s="14"/>
      <c r="F208" s="15"/>
      <c r="G208" s="16"/>
    </row>
    <row r="209" spans="2:7" x14ac:dyDescent="0.25">
      <c r="B209" s="17" t="s">
        <v>29</v>
      </c>
      <c r="C209" s="13"/>
      <c r="D209" s="13"/>
      <c r="E209" s="14"/>
      <c r="F209" s="15"/>
      <c r="G209" s="16"/>
    </row>
    <row r="210" spans="2:7" x14ac:dyDescent="0.25">
      <c r="B210" s="18" t="s">
        <v>157</v>
      </c>
      <c r="C210" s="19" t="s">
        <v>162</v>
      </c>
      <c r="D210" s="67">
        <v>0.5</v>
      </c>
      <c r="E210" s="21">
        <v>0</v>
      </c>
      <c r="F210" s="22">
        <v>40</v>
      </c>
      <c r="G210" s="23">
        <f t="shared" ref="G210:G213" si="5">+(D210+D210*E210)*F210</f>
        <v>20</v>
      </c>
    </row>
    <row r="211" spans="2:7" x14ac:dyDescent="0.25">
      <c r="B211" s="18" t="s">
        <v>158</v>
      </c>
      <c r="C211" s="19" t="s">
        <v>120</v>
      </c>
      <c r="D211" s="67">
        <v>0.15</v>
      </c>
      <c r="E211" s="21">
        <v>0</v>
      </c>
      <c r="F211" s="22">
        <v>1600</v>
      </c>
      <c r="G211" s="23">
        <f t="shared" si="5"/>
        <v>240</v>
      </c>
    </row>
    <row r="212" spans="2:7" x14ac:dyDescent="0.25">
      <c r="B212" s="18" t="s">
        <v>159</v>
      </c>
      <c r="C212" s="19" t="s">
        <v>163</v>
      </c>
      <c r="D212" s="67">
        <v>0.01</v>
      </c>
      <c r="E212" s="21">
        <v>0</v>
      </c>
      <c r="F212" s="22">
        <v>1800</v>
      </c>
      <c r="G212" s="23">
        <f t="shared" si="5"/>
        <v>18</v>
      </c>
    </row>
    <row r="213" spans="2:7" x14ac:dyDescent="0.25">
      <c r="B213" s="18" t="s">
        <v>160</v>
      </c>
      <c r="C213" s="19" t="s">
        <v>121</v>
      </c>
      <c r="D213" s="67">
        <v>5.0000000000000001E-3</v>
      </c>
      <c r="E213" s="21">
        <v>0</v>
      </c>
      <c r="F213" s="22">
        <v>51500</v>
      </c>
      <c r="G213" s="23">
        <f t="shared" si="5"/>
        <v>257.5</v>
      </c>
    </row>
    <row r="214" spans="2:7" x14ac:dyDescent="0.25">
      <c r="B214" s="12"/>
      <c r="C214" s="13"/>
      <c r="D214" s="14"/>
      <c r="E214" s="14"/>
      <c r="F214" s="15" t="s">
        <v>30</v>
      </c>
      <c r="G214" s="24">
        <f>SUM(G210:G213)</f>
        <v>535.5</v>
      </c>
    </row>
    <row r="215" spans="2:7" x14ac:dyDescent="0.25">
      <c r="B215" s="17" t="s">
        <v>19</v>
      </c>
      <c r="C215" s="13"/>
      <c r="D215" s="14"/>
      <c r="E215" s="14"/>
      <c r="F215" s="15"/>
      <c r="G215" s="16"/>
    </row>
    <row r="216" spans="2:7" x14ac:dyDescent="0.25">
      <c r="B216" s="18" t="s">
        <v>161</v>
      </c>
      <c r="C216" s="19" t="s">
        <v>20</v>
      </c>
      <c r="D216" s="20">
        <v>7.0000000000000007E-2</v>
      </c>
      <c r="E216" s="21">
        <v>0</v>
      </c>
      <c r="F216" s="22">
        <f>+F319</f>
        <v>32918.434999999998</v>
      </c>
      <c r="G216" s="23">
        <f>+(D216+D216*E216)*F216</f>
        <v>2304.29045</v>
      </c>
    </row>
    <row r="217" spans="2:7" x14ac:dyDescent="0.25">
      <c r="B217" s="12"/>
      <c r="C217" s="13"/>
      <c r="D217" s="14"/>
      <c r="E217" s="14"/>
      <c r="F217" s="15" t="s">
        <v>21</v>
      </c>
      <c r="G217" s="24">
        <f>SUM(G216:G216)</f>
        <v>2304.29045</v>
      </c>
    </row>
    <row r="218" spans="2:7" x14ac:dyDescent="0.25">
      <c r="B218" s="25" t="s">
        <v>22</v>
      </c>
      <c r="C218" s="13"/>
      <c r="D218" s="14"/>
      <c r="E218" s="14"/>
      <c r="F218" s="15"/>
      <c r="G218" s="26"/>
    </row>
    <row r="219" spans="2:7" x14ac:dyDescent="0.25">
      <c r="B219" s="69" t="s">
        <v>131</v>
      </c>
      <c r="C219" s="13" t="s">
        <v>132</v>
      </c>
      <c r="D219" s="13">
        <v>0.05</v>
      </c>
      <c r="E219" s="70">
        <v>0</v>
      </c>
      <c r="F219" s="72">
        <v>6000</v>
      </c>
      <c r="G219" s="23">
        <f>+(D219+D219*E219)*F219</f>
        <v>300</v>
      </c>
    </row>
    <row r="220" spans="2:7" x14ac:dyDescent="0.25">
      <c r="B220" s="18" t="s">
        <v>32</v>
      </c>
      <c r="C220" s="19" t="s">
        <v>33</v>
      </c>
      <c r="D220" s="21">
        <v>0.05</v>
      </c>
      <c r="E220" s="21">
        <v>0</v>
      </c>
      <c r="F220" s="39">
        <f>+G217</f>
        <v>2304.29045</v>
      </c>
      <c r="G220" s="23">
        <f>+(D220+D220*E220)*F220</f>
        <v>115.2145225</v>
      </c>
    </row>
    <row r="221" spans="2:7" x14ac:dyDescent="0.25">
      <c r="B221" s="12"/>
      <c r="C221" s="13"/>
      <c r="D221" s="14"/>
      <c r="E221" s="14"/>
      <c r="F221" s="15" t="s">
        <v>23</v>
      </c>
      <c r="G221" s="24">
        <f>SUM(G219:G220)</f>
        <v>415.21452249999999</v>
      </c>
    </row>
    <row r="222" spans="2:7" x14ac:dyDescent="0.25">
      <c r="B222" s="12"/>
      <c r="C222" s="13"/>
      <c r="D222" s="14"/>
      <c r="E222" s="14"/>
      <c r="F222" s="15"/>
      <c r="G222" s="26"/>
    </row>
    <row r="223" spans="2:7" x14ac:dyDescent="0.25">
      <c r="B223" s="243" t="s">
        <v>6</v>
      </c>
      <c r="C223" s="244"/>
      <c r="D223" s="244"/>
      <c r="E223" s="244"/>
      <c r="F223" s="244"/>
      <c r="G223" s="27">
        <f>+ROUND(G221+G217+G214,0)</f>
        <v>3255</v>
      </c>
    </row>
    <row r="224" spans="2:7" x14ac:dyDescent="0.25">
      <c r="B224" s="28" t="s">
        <v>24</v>
      </c>
      <c r="C224" s="29"/>
      <c r="D224" s="30"/>
      <c r="E224" s="14"/>
      <c r="F224" s="31"/>
      <c r="G224" s="32"/>
    </row>
    <row r="225" spans="2:7" x14ac:dyDescent="0.25">
      <c r="B225" s="33" t="s">
        <v>25</v>
      </c>
      <c r="C225" s="29"/>
      <c r="D225" s="34"/>
      <c r="E225" s="71">
        <v>0.25</v>
      </c>
      <c r="F225" s="35"/>
      <c r="G225" s="36">
        <f>ROUND(G223*E225,0)</f>
        <v>814</v>
      </c>
    </row>
    <row r="226" spans="2:7" x14ac:dyDescent="0.25">
      <c r="B226" s="33" t="s">
        <v>8</v>
      </c>
      <c r="C226" s="29"/>
      <c r="D226" s="34"/>
      <c r="E226" s="71">
        <v>0.01</v>
      </c>
      <c r="F226" s="35"/>
      <c r="G226" s="36">
        <f>ROUND(G223*E226,0)</f>
        <v>33</v>
      </c>
    </row>
    <row r="227" spans="2:7" x14ac:dyDescent="0.25">
      <c r="B227" s="33" t="s">
        <v>9</v>
      </c>
      <c r="C227" s="29"/>
      <c r="D227" s="34"/>
      <c r="E227" s="71">
        <v>0.05</v>
      </c>
      <c r="F227" s="35"/>
      <c r="G227" s="36">
        <f>ROUND(G223*E227,0)</f>
        <v>163</v>
      </c>
    </row>
    <row r="228" spans="2:7" x14ac:dyDescent="0.25">
      <c r="B228" s="245" t="s">
        <v>26</v>
      </c>
      <c r="C228" s="246"/>
      <c r="D228" s="246"/>
      <c r="E228" s="246"/>
      <c r="F228" s="246"/>
      <c r="G228" s="37">
        <f>SUM(G225:G227)</f>
        <v>1010</v>
      </c>
    </row>
    <row r="229" spans="2:7" x14ac:dyDescent="0.25">
      <c r="B229" s="247" t="s">
        <v>27</v>
      </c>
      <c r="C229" s="248"/>
      <c r="D229" s="248"/>
      <c r="E229" s="248"/>
      <c r="F229" s="248"/>
      <c r="G229" s="38">
        <f>+G228+G223</f>
        <v>4265</v>
      </c>
    </row>
    <row r="234" spans="2:7" x14ac:dyDescent="0.25">
      <c r="B234" s="254" t="s">
        <v>203</v>
      </c>
      <c r="C234" s="255"/>
      <c r="D234" s="255"/>
      <c r="E234" s="255"/>
      <c r="F234" s="4"/>
      <c r="G234" s="5" t="s">
        <v>123</v>
      </c>
    </row>
    <row r="235" spans="2:7" x14ac:dyDescent="0.25">
      <c r="B235" s="256"/>
      <c r="C235" s="257"/>
      <c r="D235" s="257"/>
      <c r="E235" s="257"/>
      <c r="F235" s="6"/>
      <c r="G235" s="7"/>
    </row>
    <row r="236" spans="2:7" x14ac:dyDescent="0.25">
      <c r="B236" s="8" t="s">
        <v>15</v>
      </c>
      <c r="C236" s="9" t="s">
        <v>13</v>
      </c>
      <c r="D236" s="9" t="s">
        <v>16</v>
      </c>
      <c r="E236" s="9" t="s">
        <v>17</v>
      </c>
      <c r="F236" s="10" t="s">
        <v>18</v>
      </c>
      <c r="G236" s="11" t="s">
        <v>5</v>
      </c>
    </row>
    <row r="237" spans="2:7" x14ac:dyDescent="0.25">
      <c r="B237" s="12"/>
      <c r="C237" s="13"/>
      <c r="D237" s="14"/>
      <c r="E237" s="14"/>
      <c r="F237" s="15"/>
      <c r="G237" s="16"/>
    </row>
    <row r="238" spans="2:7" x14ac:dyDescent="0.25">
      <c r="B238" s="17" t="s">
        <v>19</v>
      </c>
      <c r="C238" s="13"/>
      <c r="D238" s="14"/>
      <c r="E238" s="14"/>
      <c r="F238" s="15"/>
      <c r="G238" s="16"/>
    </row>
    <row r="239" spans="2:7" x14ac:dyDescent="0.25">
      <c r="B239" s="18" t="s">
        <v>134</v>
      </c>
      <c r="C239" s="19" t="s">
        <v>20</v>
      </c>
      <c r="D239" s="20">
        <v>0.18</v>
      </c>
      <c r="E239" s="21">
        <v>0</v>
      </c>
      <c r="F239" s="22">
        <f>+F216</f>
        <v>32918.434999999998</v>
      </c>
      <c r="G239" s="23">
        <f>+(D239+D239*E239)*F239</f>
        <v>5925.318299999999</v>
      </c>
    </row>
    <row r="240" spans="2:7" x14ac:dyDescent="0.25">
      <c r="B240" s="12"/>
      <c r="C240" s="13"/>
      <c r="D240" s="14"/>
      <c r="E240" s="14"/>
      <c r="F240" s="15" t="s">
        <v>21</v>
      </c>
      <c r="G240" s="24">
        <f>SUM(G239:G239)</f>
        <v>5925.318299999999</v>
      </c>
    </row>
    <row r="241" spans="2:7" x14ac:dyDescent="0.25">
      <c r="B241" s="25" t="s">
        <v>22</v>
      </c>
      <c r="C241" s="13"/>
      <c r="D241" s="14"/>
      <c r="E241" s="14"/>
      <c r="F241" s="15"/>
      <c r="G241" s="26"/>
    </row>
    <row r="242" spans="2:7" x14ac:dyDescent="0.25">
      <c r="B242" s="18" t="s">
        <v>131</v>
      </c>
      <c r="C242" s="19" t="s">
        <v>132</v>
      </c>
      <c r="D242" s="67">
        <v>0.1</v>
      </c>
      <c r="E242" s="21">
        <v>0</v>
      </c>
      <c r="F242" s="22">
        <v>6000</v>
      </c>
      <c r="G242" s="23">
        <f>+(D242+D242*E242)*F242</f>
        <v>600</v>
      </c>
    </row>
    <row r="243" spans="2:7" x14ac:dyDescent="0.25">
      <c r="B243" s="18" t="s">
        <v>32</v>
      </c>
      <c r="C243" s="19" t="s">
        <v>33</v>
      </c>
      <c r="D243" s="21">
        <v>0.05</v>
      </c>
      <c r="E243" s="21">
        <v>0</v>
      </c>
      <c r="F243" s="39">
        <f>+G240</f>
        <v>5925.318299999999</v>
      </c>
      <c r="G243" s="23">
        <f>+(D243+D243*E243)*F243</f>
        <v>296.26591499999995</v>
      </c>
    </row>
    <row r="244" spans="2:7" x14ac:dyDescent="0.25">
      <c r="B244" s="12"/>
      <c r="C244" s="13"/>
      <c r="D244" s="14"/>
      <c r="E244" s="14"/>
      <c r="F244" s="15" t="s">
        <v>23</v>
      </c>
      <c r="G244" s="24">
        <f>SUM(G242:G243)</f>
        <v>896.26591499999995</v>
      </c>
    </row>
    <row r="245" spans="2:7" x14ac:dyDescent="0.25">
      <c r="B245" s="12"/>
      <c r="C245" s="13"/>
      <c r="D245" s="14"/>
      <c r="E245" s="14"/>
      <c r="F245" s="15"/>
      <c r="G245" s="26"/>
    </row>
    <row r="246" spans="2:7" x14ac:dyDescent="0.25">
      <c r="B246" s="243" t="s">
        <v>6</v>
      </c>
      <c r="C246" s="244"/>
      <c r="D246" s="244"/>
      <c r="E246" s="244"/>
      <c r="F246" s="244"/>
      <c r="G246" s="27">
        <f>+ROUND(G244+G240,0)</f>
        <v>6822</v>
      </c>
    </row>
    <row r="247" spans="2:7" x14ac:dyDescent="0.25">
      <c r="B247" s="28" t="s">
        <v>24</v>
      </c>
      <c r="C247" s="29"/>
      <c r="D247" s="30"/>
      <c r="E247" s="14"/>
      <c r="F247" s="31"/>
      <c r="G247" s="32"/>
    </row>
    <row r="248" spans="2:7" x14ac:dyDescent="0.25">
      <c r="B248" s="33" t="s">
        <v>25</v>
      </c>
      <c r="C248" s="29"/>
      <c r="D248" s="34"/>
      <c r="E248" s="71">
        <v>0.25</v>
      </c>
      <c r="F248" s="35"/>
      <c r="G248" s="36">
        <f>ROUND(G246*E248,0)</f>
        <v>1706</v>
      </c>
    </row>
    <row r="249" spans="2:7" x14ac:dyDescent="0.25">
      <c r="B249" s="33" t="s">
        <v>8</v>
      </c>
      <c r="C249" s="29"/>
      <c r="D249" s="34"/>
      <c r="E249" s="71">
        <v>0.01</v>
      </c>
      <c r="F249" s="35"/>
      <c r="G249" s="36">
        <f>ROUND(G246*E249,0)</f>
        <v>68</v>
      </c>
    </row>
    <row r="250" spans="2:7" x14ac:dyDescent="0.25">
      <c r="B250" s="33" t="s">
        <v>9</v>
      </c>
      <c r="C250" s="29"/>
      <c r="D250" s="34"/>
      <c r="E250" s="71">
        <v>0.05</v>
      </c>
      <c r="F250" s="35"/>
      <c r="G250" s="36">
        <f>ROUND(G246*E250,0)</f>
        <v>341</v>
      </c>
    </row>
    <row r="251" spans="2:7" x14ac:dyDescent="0.25">
      <c r="B251" s="245" t="s">
        <v>26</v>
      </c>
      <c r="C251" s="246"/>
      <c r="D251" s="246"/>
      <c r="E251" s="246"/>
      <c r="F251" s="246"/>
      <c r="G251" s="37">
        <f>SUM(G248:G250)</f>
        <v>2115</v>
      </c>
    </row>
    <row r="252" spans="2:7" x14ac:dyDescent="0.25">
      <c r="B252" s="247" t="s">
        <v>27</v>
      </c>
      <c r="C252" s="248"/>
      <c r="D252" s="248"/>
      <c r="E252" s="248"/>
      <c r="F252" s="248"/>
      <c r="G252" s="38">
        <f>+G251+G246</f>
        <v>8937</v>
      </c>
    </row>
    <row r="257" spans="2:7" x14ac:dyDescent="0.25">
      <c r="B257" s="254" t="s">
        <v>144</v>
      </c>
      <c r="C257" s="255"/>
      <c r="D257" s="255"/>
      <c r="E257" s="255"/>
      <c r="F257" s="4"/>
      <c r="G257" s="5" t="s">
        <v>125</v>
      </c>
    </row>
    <row r="258" spans="2:7" x14ac:dyDescent="0.25">
      <c r="B258" s="256"/>
      <c r="C258" s="257"/>
      <c r="D258" s="257"/>
      <c r="E258" s="257"/>
      <c r="F258" s="6"/>
      <c r="G258" s="7"/>
    </row>
    <row r="259" spans="2:7" x14ac:dyDescent="0.25">
      <c r="B259" s="8" t="s">
        <v>15</v>
      </c>
      <c r="C259" s="9" t="s">
        <v>13</v>
      </c>
      <c r="D259" s="9" t="s">
        <v>16</v>
      </c>
      <c r="E259" s="9" t="s">
        <v>17</v>
      </c>
      <c r="F259" s="10" t="s">
        <v>18</v>
      </c>
      <c r="G259" s="11" t="s">
        <v>5</v>
      </c>
    </row>
    <row r="260" spans="2:7" x14ac:dyDescent="0.25">
      <c r="B260" s="12"/>
      <c r="C260" s="13"/>
      <c r="D260" s="14"/>
      <c r="E260" s="14"/>
      <c r="F260" s="15"/>
      <c r="G260" s="16"/>
    </row>
    <row r="261" spans="2:7" x14ac:dyDescent="0.25">
      <c r="B261" s="17" t="s">
        <v>29</v>
      </c>
      <c r="C261" s="13"/>
      <c r="D261" s="14"/>
      <c r="E261" s="14"/>
      <c r="F261" s="15"/>
      <c r="G261" s="16"/>
    </row>
    <row r="262" spans="2:7" x14ac:dyDescent="0.25">
      <c r="B262" s="68" t="s">
        <v>204</v>
      </c>
      <c r="C262" s="19" t="s">
        <v>205</v>
      </c>
      <c r="D262" s="67">
        <v>0.1</v>
      </c>
      <c r="E262" s="21">
        <v>0</v>
      </c>
      <c r="F262" s="22">
        <v>5500</v>
      </c>
      <c r="G262" s="23">
        <f>+(D262+D262*E262)*F262</f>
        <v>550</v>
      </c>
    </row>
    <row r="263" spans="2:7" x14ac:dyDescent="0.25">
      <c r="B263" s="68" t="s">
        <v>145</v>
      </c>
      <c r="C263" s="19" t="s">
        <v>13</v>
      </c>
      <c r="D263" s="67">
        <v>0.48</v>
      </c>
      <c r="E263" s="21">
        <v>0</v>
      </c>
      <c r="F263" s="22">
        <v>33000</v>
      </c>
      <c r="G263" s="23">
        <f t="shared" ref="G263" si="6">+(D263+D263*E263)*F263</f>
        <v>15840</v>
      </c>
    </row>
    <row r="264" spans="2:7" x14ac:dyDescent="0.25">
      <c r="B264" s="12"/>
      <c r="C264" s="13"/>
      <c r="D264" s="14"/>
      <c r="E264" s="14"/>
      <c r="F264" s="15" t="s">
        <v>30</v>
      </c>
      <c r="G264" s="24">
        <f>SUM(G262:G263)</f>
        <v>16390</v>
      </c>
    </row>
    <row r="265" spans="2:7" x14ac:dyDescent="0.25">
      <c r="B265" s="17" t="s">
        <v>19</v>
      </c>
      <c r="C265" s="13"/>
      <c r="D265" s="14"/>
      <c r="E265" s="14"/>
      <c r="F265" s="15"/>
      <c r="G265" s="16"/>
    </row>
    <row r="266" spans="2:7" x14ac:dyDescent="0.25">
      <c r="B266" s="18" t="s">
        <v>130</v>
      </c>
      <c r="C266" s="19" t="s">
        <v>20</v>
      </c>
      <c r="D266" s="20">
        <v>0.35</v>
      </c>
      <c r="E266" s="21">
        <v>0</v>
      </c>
      <c r="F266" s="22">
        <f>+F239</f>
        <v>32918.434999999998</v>
      </c>
      <c r="G266" s="23">
        <f>+(D266+D266*E266)*F266</f>
        <v>11521.452249999998</v>
      </c>
    </row>
    <row r="267" spans="2:7" x14ac:dyDescent="0.25">
      <c r="B267" s="12"/>
      <c r="C267" s="13"/>
      <c r="D267" s="14"/>
      <c r="E267" s="14"/>
      <c r="F267" s="15" t="s">
        <v>21</v>
      </c>
      <c r="G267" s="24">
        <f>SUM(G266:G266)</f>
        <v>11521.452249999998</v>
      </c>
    </row>
    <row r="268" spans="2:7" x14ac:dyDescent="0.25">
      <c r="B268" s="25" t="s">
        <v>22</v>
      </c>
      <c r="C268" s="13"/>
      <c r="D268" s="14"/>
      <c r="E268" s="14"/>
      <c r="F268" s="15"/>
      <c r="G268" s="26"/>
    </row>
    <row r="269" spans="2:7" x14ac:dyDescent="0.25">
      <c r="B269" s="18" t="s">
        <v>32</v>
      </c>
      <c r="C269" s="19" t="s">
        <v>33</v>
      </c>
      <c r="D269" s="21">
        <v>0.05</v>
      </c>
      <c r="E269" s="21">
        <v>0</v>
      </c>
      <c r="F269" s="39">
        <f>+G267</f>
        <v>11521.452249999998</v>
      </c>
      <c r="G269" s="23">
        <f>+(D269+D269*E269)*F269</f>
        <v>576.07261249999999</v>
      </c>
    </row>
    <row r="270" spans="2:7" x14ac:dyDescent="0.25">
      <c r="B270" s="12"/>
      <c r="C270" s="13"/>
      <c r="D270" s="14"/>
      <c r="E270" s="14"/>
      <c r="F270" s="15" t="s">
        <v>23</v>
      </c>
      <c r="G270" s="24">
        <f>SUM(G269:G269)</f>
        <v>576.07261249999999</v>
      </c>
    </row>
    <row r="271" spans="2:7" x14ac:dyDescent="0.25">
      <c r="B271" s="12"/>
      <c r="C271" s="13"/>
      <c r="D271" s="14"/>
      <c r="E271" s="14"/>
      <c r="F271" s="15"/>
      <c r="G271" s="26"/>
    </row>
    <row r="272" spans="2:7" x14ac:dyDescent="0.25">
      <c r="B272" s="243" t="s">
        <v>6</v>
      </c>
      <c r="C272" s="244"/>
      <c r="D272" s="244"/>
      <c r="E272" s="244"/>
      <c r="F272" s="244"/>
      <c r="G272" s="27">
        <f>+ROUND(G270+G267+G264,0)</f>
        <v>28488</v>
      </c>
    </row>
    <row r="273" spans="2:7" x14ac:dyDescent="0.25">
      <c r="B273" s="28" t="s">
        <v>24</v>
      </c>
      <c r="C273" s="29"/>
      <c r="D273" s="30"/>
      <c r="E273" s="14"/>
      <c r="F273" s="31"/>
      <c r="G273" s="32"/>
    </row>
    <row r="274" spans="2:7" x14ac:dyDescent="0.25">
      <c r="B274" s="33" t="s">
        <v>25</v>
      </c>
      <c r="C274" s="29"/>
      <c r="D274" s="34"/>
      <c r="E274" s="71">
        <v>0.25</v>
      </c>
      <c r="F274" s="35"/>
      <c r="G274" s="36">
        <f>ROUND(G272*E274,0)</f>
        <v>7122</v>
      </c>
    </row>
    <row r="275" spans="2:7" x14ac:dyDescent="0.25">
      <c r="B275" s="33" t="s">
        <v>8</v>
      </c>
      <c r="C275" s="29"/>
      <c r="D275" s="34"/>
      <c r="E275" s="71">
        <v>0.01</v>
      </c>
      <c r="F275" s="35"/>
      <c r="G275" s="36">
        <f>ROUND(G272*E275,0)</f>
        <v>285</v>
      </c>
    </row>
    <row r="276" spans="2:7" x14ac:dyDescent="0.25">
      <c r="B276" s="33" t="s">
        <v>9</v>
      </c>
      <c r="C276" s="29"/>
      <c r="D276" s="34"/>
      <c r="E276" s="71">
        <v>0.05</v>
      </c>
      <c r="F276" s="35"/>
      <c r="G276" s="36">
        <f>ROUND(G272*E276,0)</f>
        <v>1424</v>
      </c>
    </row>
    <row r="277" spans="2:7" x14ac:dyDescent="0.25">
      <c r="B277" s="245" t="s">
        <v>26</v>
      </c>
      <c r="C277" s="246"/>
      <c r="D277" s="246"/>
      <c r="E277" s="246"/>
      <c r="F277" s="246"/>
      <c r="G277" s="37">
        <f>SUM(G274:G276)</f>
        <v>8831</v>
      </c>
    </row>
    <row r="278" spans="2:7" x14ac:dyDescent="0.25">
      <c r="B278" s="247" t="s">
        <v>27</v>
      </c>
      <c r="C278" s="248"/>
      <c r="D278" s="248"/>
      <c r="E278" s="248"/>
      <c r="F278" s="248"/>
      <c r="G278" s="38">
        <f>+G277+G272</f>
        <v>37319</v>
      </c>
    </row>
    <row r="282" spans="2:7" x14ac:dyDescent="0.25">
      <c r="B282" s="254" t="s">
        <v>206</v>
      </c>
      <c r="C282" s="255"/>
      <c r="D282" s="255"/>
      <c r="E282" s="255"/>
      <c r="F282" s="4"/>
      <c r="G282" s="5" t="s">
        <v>125</v>
      </c>
    </row>
    <row r="283" spans="2:7" x14ac:dyDescent="0.25">
      <c r="B283" s="256"/>
      <c r="C283" s="257"/>
      <c r="D283" s="257"/>
      <c r="E283" s="257"/>
      <c r="F283" s="6"/>
      <c r="G283" s="7"/>
    </row>
    <row r="284" spans="2:7" x14ac:dyDescent="0.25">
      <c r="B284" s="8" t="s">
        <v>15</v>
      </c>
      <c r="C284" s="9" t="s">
        <v>13</v>
      </c>
      <c r="D284" s="9" t="s">
        <v>16</v>
      </c>
      <c r="E284" s="9" t="s">
        <v>17</v>
      </c>
      <c r="F284" s="10" t="s">
        <v>18</v>
      </c>
      <c r="G284" s="11" t="s">
        <v>5</v>
      </c>
    </row>
    <row r="285" spans="2:7" x14ac:dyDescent="0.25">
      <c r="B285" s="12"/>
      <c r="C285" s="13"/>
      <c r="D285" s="14"/>
      <c r="E285" s="14"/>
      <c r="F285" s="15"/>
      <c r="G285" s="16"/>
    </row>
    <row r="286" spans="2:7" x14ac:dyDescent="0.25">
      <c r="B286" s="17" t="s">
        <v>29</v>
      </c>
      <c r="C286" s="13"/>
      <c r="D286" s="14"/>
      <c r="E286" s="14"/>
      <c r="F286" s="15"/>
      <c r="G286" s="16"/>
    </row>
    <row r="287" spans="2:7" x14ac:dyDescent="0.25">
      <c r="B287" s="68" t="s">
        <v>208</v>
      </c>
      <c r="C287" s="19" t="s">
        <v>13</v>
      </c>
      <c r="D287" s="67">
        <v>4</v>
      </c>
      <c r="E287" s="21">
        <v>0</v>
      </c>
      <c r="F287" s="22">
        <v>700</v>
      </c>
      <c r="G287" s="23">
        <f>+(D287+D287*E287)*F287</f>
        <v>2800</v>
      </c>
    </row>
    <row r="288" spans="2:7" x14ac:dyDescent="0.25">
      <c r="B288" s="68" t="s">
        <v>135</v>
      </c>
      <c r="C288" s="19" t="s">
        <v>120</v>
      </c>
      <c r="D288" s="67">
        <v>0.15</v>
      </c>
      <c r="E288" s="21">
        <v>0</v>
      </c>
      <c r="F288" s="22">
        <v>21000</v>
      </c>
      <c r="G288" s="23">
        <f>+(D288+D288*E288)*F288</f>
        <v>3150</v>
      </c>
    </row>
    <row r="289" spans="2:7" ht="14.25" customHeight="1" x14ac:dyDescent="0.25">
      <c r="B289" s="68" t="s">
        <v>207</v>
      </c>
      <c r="C289" s="19" t="s">
        <v>13</v>
      </c>
      <c r="D289" s="67">
        <v>0.6</v>
      </c>
      <c r="E289" s="21">
        <v>0</v>
      </c>
      <c r="F289" s="22">
        <v>68000</v>
      </c>
      <c r="G289" s="23">
        <f>+(D289+D289*E289)*F289</f>
        <v>40800</v>
      </c>
    </row>
    <row r="290" spans="2:7" x14ac:dyDescent="0.25">
      <c r="B290" s="12"/>
      <c r="C290" s="13"/>
      <c r="D290" s="14"/>
      <c r="E290" s="14"/>
      <c r="F290" s="15" t="s">
        <v>30</v>
      </c>
      <c r="G290" s="24">
        <f>SUM(G287:G289)</f>
        <v>46750</v>
      </c>
    </row>
    <row r="291" spans="2:7" x14ac:dyDescent="0.25">
      <c r="B291" s="17" t="s">
        <v>19</v>
      </c>
      <c r="C291" s="13"/>
      <c r="D291" s="14"/>
      <c r="E291" s="14"/>
      <c r="F291" s="15"/>
      <c r="G291" s="16"/>
    </row>
    <row r="292" spans="2:7" x14ac:dyDescent="0.25">
      <c r="B292" s="18" t="s">
        <v>130</v>
      </c>
      <c r="C292" s="19" t="s">
        <v>20</v>
      </c>
      <c r="D292" s="20">
        <v>0.3</v>
      </c>
      <c r="E292" s="21">
        <v>0</v>
      </c>
      <c r="F292" s="22">
        <f>+F266</f>
        <v>32918.434999999998</v>
      </c>
      <c r="G292" s="23">
        <f>+(D292+D292*E292)*F292</f>
        <v>9875.5304999999989</v>
      </c>
    </row>
    <row r="293" spans="2:7" x14ac:dyDescent="0.25">
      <c r="B293" s="12"/>
      <c r="C293" s="13"/>
      <c r="D293" s="14"/>
      <c r="E293" s="14"/>
      <c r="F293" s="15" t="s">
        <v>21</v>
      </c>
      <c r="G293" s="24">
        <f>SUM(G292:G292)</f>
        <v>9875.5304999999989</v>
      </c>
    </row>
    <row r="294" spans="2:7" x14ac:dyDescent="0.25">
      <c r="B294" s="25" t="s">
        <v>22</v>
      </c>
      <c r="C294" s="13"/>
      <c r="D294" s="14"/>
      <c r="E294" s="14"/>
      <c r="F294" s="15"/>
      <c r="G294" s="26"/>
    </row>
    <row r="295" spans="2:7" x14ac:dyDescent="0.25">
      <c r="B295" s="18" t="s">
        <v>32</v>
      </c>
      <c r="C295" s="19" t="s">
        <v>33</v>
      </c>
      <c r="D295" s="21">
        <v>0.05</v>
      </c>
      <c r="E295" s="21">
        <v>0</v>
      </c>
      <c r="F295" s="39">
        <f>+G293</f>
        <v>9875.5304999999989</v>
      </c>
      <c r="G295" s="23">
        <f>+(D295+D295*E295)*F295</f>
        <v>493.77652499999999</v>
      </c>
    </row>
    <row r="296" spans="2:7" x14ac:dyDescent="0.25">
      <c r="B296" s="12"/>
      <c r="C296" s="13"/>
      <c r="D296" s="14"/>
      <c r="E296" s="14"/>
      <c r="F296" s="15" t="s">
        <v>23</v>
      </c>
      <c r="G296" s="24">
        <f>SUM(G295:G295)</f>
        <v>493.77652499999999</v>
      </c>
    </row>
    <row r="297" spans="2:7" x14ac:dyDescent="0.25">
      <c r="B297" s="12"/>
      <c r="C297" s="13"/>
      <c r="D297" s="14"/>
      <c r="E297" s="14"/>
      <c r="F297" s="15"/>
      <c r="G297" s="26"/>
    </row>
    <row r="298" spans="2:7" x14ac:dyDescent="0.25">
      <c r="B298" s="243" t="s">
        <v>6</v>
      </c>
      <c r="C298" s="244"/>
      <c r="D298" s="244"/>
      <c r="E298" s="244"/>
      <c r="F298" s="244"/>
      <c r="G298" s="27">
        <f>+ROUND(G296+G293+G290,0)</f>
        <v>57119</v>
      </c>
    </row>
    <row r="299" spans="2:7" x14ac:dyDescent="0.25">
      <c r="B299" s="28" t="s">
        <v>24</v>
      </c>
      <c r="C299" s="29"/>
      <c r="D299" s="30"/>
      <c r="E299" s="14"/>
      <c r="F299" s="31"/>
      <c r="G299" s="32"/>
    </row>
    <row r="300" spans="2:7" x14ac:dyDescent="0.25">
      <c r="B300" s="33" t="s">
        <v>25</v>
      </c>
      <c r="C300" s="29"/>
      <c r="D300" s="34"/>
      <c r="E300" s="71">
        <v>0.25</v>
      </c>
      <c r="F300" s="35"/>
      <c r="G300" s="36">
        <f>ROUND(G298*E300,0)</f>
        <v>14280</v>
      </c>
    </row>
    <row r="301" spans="2:7" x14ac:dyDescent="0.25">
      <c r="B301" s="33" t="s">
        <v>8</v>
      </c>
      <c r="C301" s="29"/>
      <c r="D301" s="34"/>
      <c r="E301" s="71">
        <v>0.01</v>
      </c>
      <c r="F301" s="35"/>
      <c r="G301" s="36">
        <f>ROUND(G298*E301,0)</f>
        <v>571</v>
      </c>
    </row>
    <row r="302" spans="2:7" x14ac:dyDescent="0.25">
      <c r="B302" s="33" t="s">
        <v>9</v>
      </c>
      <c r="C302" s="29"/>
      <c r="D302" s="34"/>
      <c r="E302" s="71">
        <v>0.05</v>
      </c>
      <c r="F302" s="35"/>
      <c r="G302" s="36">
        <f>ROUND(G298*E302,0)</f>
        <v>2856</v>
      </c>
    </row>
    <row r="303" spans="2:7" x14ac:dyDescent="0.25">
      <c r="B303" s="245" t="s">
        <v>26</v>
      </c>
      <c r="C303" s="246"/>
      <c r="D303" s="246"/>
      <c r="E303" s="246"/>
      <c r="F303" s="246"/>
      <c r="G303" s="37">
        <f>SUM(G300:G302)</f>
        <v>17707</v>
      </c>
    </row>
    <row r="304" spans="2:7" x14ac:dyDescent="0.25">
      <c r="B304" s="247" t="s">
        <v>27</v>
      </c>
      <c r="C304" s="248"/>
      <c r="D304" s="248"/>
      <c r="E304" s="248"/>
      <c r="F304" s="248"/>
      <c r="G304" s="38">
        <f>+G303+G298</f>
        <v>74826</v>
      </c>
    </row>
    <row r="307" spans="2:11" x14ac:dyDescent="0.25">
      <c r="B307" s="254" t="s">
        <v>209</v>
      </c>
      <c r="C307" s="255"/>
      <c r="D307" s="255"/>
      <c r="E307" s="255"/>
      <c r="F307" s="4"/>
      <c r="G307" s="5" t="s">
        <v>125</v>
      </c>
    </row>
    <row r="308" spans="2:11" x14ac:dyDescent="0.25">
      <c r="B308" s="256"/>
      <c r="C308" s="257"/>
      <c r="D308" s="257"/>
      <c r="E308" s="257"/>
      <c r="F308" s="6"/>
      <c r="G308" s="7"/>
    </row>
    <row r="309" spans="2:11" x14ac:dyDescent="0.25">
      <c r="B309" s="8" t="s">
        <v>15</v>
      </c>
      <c r="C309" s="9" t="s">
        <v>13</v>
      </c>
      <c r="D309" s="9" t="s">
        <v>16</v>
      </c>
      <c r="E309" s="9" t="s">
        <v>17</v>
      </c>
      <c r="F309" s="10" t="s">
        <v>18</v>
      </c>
      <c r="G309" s="11" t="s">
        <v>5</v>
      </c>
    </row>
    <row r="310" spans="2:11" x14ac:dyDescent="0.25">
      <c r="B310" s="12"/>
      <c r="C310" s="13"/>
      <c r="D310" s="14"/>
      <c r="E310" s="14"/>
      <c r="F310" s="15"/>
      <c r="G310" s="16"/>
    </row>
    <row r="311" spans="2:11" x14ac:dyDescent="0.25">
      <c r="B311" s="17" t="s">
        <v>29</v>
      </c>
      <c r="C311" s="13"/>
      <c r="D311" s="14"/>
      <c r="E311" s="14"/>
      <c r="F311" s="15"/>
      <c r="G311" s="16"/>
    </row>
    <row r="312" spans="2:11" x14ac:dyDescent="0.25">
      <c r="B312" s="68" t="s">
        <v>136</v>
      </c>
      <c r="C312" s="19" t="s">
        <v>13</v>
      </c>
      <c r="D312" s="67">
        <v>0.55000000000000004</v>
      </c>
      <c r="E312" s="21">
        <v>0.05</v>
      </c>
      <c r="F312" s="22">
        <v>78500</v>
      </c>
      <c r="G312" s="23">
        <f>+(D312+D312*E312)*F312</f>
        <v>45333.75</v>
      </c>
    </row>
    <row r="313" spans="2:11" x14ac:dyDescent="0.25">
      <c r="B313" s="68" t="s">
        <v>143</v>
      </c>
      <c r="C313" s="19" t="s">
        <v>124</v>
      </c>
      <c r="D313" s="67">
        <v>0.05</v>
      </c>
      <c r="E313" s="21">
        <v>0.01</v>
      </c>
      <c r="F313" s="22">
        <v>139900</v>
      </c>
      <c r="G313" s="23">
        <f t="shared" ref="G313:G315" si="7">+(D313+D313*E313)*F313</f>
        <v>7064.9500000000007</v>
      </c>
    </row>
    <row r="314" spans="2:11" x14ac:dyDescent="0.25">
      <c r="B314" s="68" t="s">
        <v>137</v>
      </c>
      <c r="C314" s="19" t="s">
        <v>13</v>
      </c>
      <c r="D314" s="67">
        <f>0.33</f>
        <v>0.33</v>
      </c>
      <c r="E314" s="21">
        <v>0</v>
      </c>
      <c r="F314" s="22">
        <v>36000</v>
      </c>
      <c r="G314" s="23">
        <f t="shared" si="7"/>
        <v>11880</v>
      </c>
    </row>
    <row r="315" spans="2:11" x14ac:dyDescent="0.25">
      <c r="B315" s="68" t="s">
        <v>138</v>
      </c>
      <c r="C315" s="19" t="s">
        <v>121</v>
      </c>
      <c r="D315" s="67">
        <v>0.1</v>
      </c>
      <c r="E315" s="21">
        <v>0</v>
      </c>
      <c r="F315" s="22">
        <v>130000</v>
      </c>
      <c r="G315" s="23">
        <f t="shared" si="7"/>
        <v>13000</v>
      </c>
    </row>
    <row r="316" spans="2:11" x14ac:dyDescent="0.25">
      <c r="B316" s="12"/>
      <c r="C316" s="13"/>
      <c r="D316" s="14"/>
      <c r="E316" s="14"/>
      <c r="F316" s="15" t="s">
        <v>30</v>
      </c>
      <c r="G316" s="24">
        <f>SUM(G312:G315)</f>
        <v>77278.7</v>
      </c>
    </row>
    <row r="317" spans="2:11" x14ac:dyDescent="0.25">
      <c r="B317" s="17" t="s">
        <v>19</v>
      </c>
      <c r="C317" s="13"/>
      <c r="D317" s="14"/>
      <c r="E317" s="14"/>
      <c r="F317" s="15"/>
      <c r="G317" s="16"/>
    </row>
    <row r="318" spans="2:11" x14ac:dyDescent="0.25">
      <c r="B318" s="18" t="s">
        <v>139</v>
      </c>
      <c r="C318" s="19" t="s">
        <v>20</v>
      </c>
      <c r="D318" s="20">
        <v>0.35</v>
      </c>
      <c r="E318" s="21">
        <v>0</v>
      </c>
      <c r="F318" s="22">
        <f>+F189</f>
        <v>21945.62</v>
      </c>
      <c r="G318" s="23">
        <f>+(D318+D318*E318)*F318</f>
        <v>7680.9669999999987</v>
      </c>
    </row>
    <row r="319" spans="2:11" x14ac:dyDescent="0.25">
      <c r="B319" s="18" t="s">
        <v>140</v>
      </c>
      <c r="C319" s="19" t="s">
        <v>20</v>
      </c>
      <c r="D319" s="20">
        <v>0.7</v>
      </c>
      <c r="E319" s="21">
        <v>0</v>
      </c>
      <c r="F319" s="22">
        <f>+J319+K319</f>
        <v>32918.434999999998</v>
      </c>
      <c r="G319" s="23">
        <f>+(D319+D319*E319)*F319</f>
        <v>23042.904499999997</v>
      </c>
      <c r="I319">
        <v>149230.29999999999</v>
      </c>
      <c r="J319" s="87">
        <v>10972.81</v>
      </c>
      <c r="K319">
        <v>21945.625</v>
      </c>
    </row>
    <row r="320" spans="2:11" x14ac:dyDescent="0.25">
      <c r="B320" s="18" t="s">
        <v>141</v>
      </c>
      <c r="C320" s="19" t="s">
        <v>20</v>
      </c>
      <c r="D320" s="20">
        <v>0.15</v>
      </c>
      <c r="E320" s="21">
        <v>0</v>
      </c>
      <c r="F320" s="22">
        <f>F319</f>
        <v>32918.434999999998</v>
      </c>
      <c r="G320" s="23">
        <f>+(D320+D320*E320)*F320</f>
        <v>4937.7652499999995</v>
      </c>
    </row>
    <row r="321" spans="2:7" x14ac:dyDescent="0.25">
      <c r="B321" s="12"/>
      <c r="C321" s="13"/>
      <c r="D321" s="14"/>
      <c r="E321" s="14"/>
      <c r="F321" s="15" t="s">
        <v>21</v>
      </c>
      <c r="G321" s="24">
        <f>SUM(G318:G320)</f>
        <v>35661.636749999991</v>
      </c>
    </row>
    <row r="322" spans="2:7" x14ac:dyDescent="0.25">
      <c r="B322" s="25" t="s">
        <v>22</v>
      </c>
      <c r="C322" s="13"/>
      <c r="D322" s="14"/>
      <c r="E322" s="14"/>
      <c r="F322" s="15"/>
      <c r="G322" s="26"/>
    </row>
    <row r="323" spans="2:7" x14ac:dyDescent="0.25">
      <c r="B323" s="18" t="s">
        <v>142</v>
      </c>
      <c r="C323" s="19" t="s">
        <v>122</v>
      </c>
      <c r="D323" s="67">
        <v>0.5</v>
      </c>
      <c r="E323" s="21">
        <v>0</v>
      </c>
      <c r="F323" s="22">
        <v>6000</v>
      </c>
      <c r="G323" s="23">
        <f>+(D323+D323*E323)*F323</f>
        <v>3000</v>
      </c>
    </row>
    <row r="324" spans="2:7" x14ac:dyDescent="0.25">
      <c r="B324" s="18" t="s">
        <v>131</v>
      </c>
      <c r="C324" s="19" t="s">
        <v>132</v>
      </c>
      <c r="D324" s="67">
        <v>0.5</v>
      </c>
      <c r="E324" s="21">
        <v>0</v>
      </c>
      <c r="F324" s="22">
        <v>6000</v>
      </c>
      <c r="G324" s="23">
        <f>+(D324+D324*E324)*F324</f>
        <v>3000</v>
      </c>
    </row>
    <row r="325" spans="2:7" x14ac:dyDescent="0.25">
      <c r="B325" s="18" t="s">
        <v>32</v>
      </c>
      <c r="C325" s="19" t="s">
        <v>33</v>
      </c>
      <c r="D325" s="21">
        <v>0.05</v>
      </c>
      <c r="E325" s="21">
        <v>0</v>
      </c>
      <c r="F325" s="39">
        <f>+G321</f>
        <v>35661.636749999991</v>
      </c>
      <c r="G325" s="23">
        <f>+(D325+D325*E325)*F325</f>
        <v>1783.0818374999997</v>
      </c>
    </row>
    <row r="326" spans="2:7" x14ac:dyDescent="0.25">
      <c r="B326" s="12"/>
      <c r="C326" s="13"/>
      <c r="D326" s="14"/>
      <c r="E326" s="14"/>
      <c r="F326" s="15" t="s">
        <v>23</v>
      </c>
      <c r="G326" s="24">
        <f>SUM(G323:G325)</f>
        <v>7783.0818374999999</v>
      </c>
    </row>
    <row r="327" spans="2:7" x14ac:dyDescent="0.25">
      <c r="B327" s="12"/>
      <c r="C327" s="13"/>
      <c r="D327" s="14"/>
      <c r="E327" s="14"/>
      <c r="F327" s="15"/>
      <c r="G327" s="26"/>
    </row>
    <row r="328" spans="2:7" x14ac:dyDescent="0.25">
      <c r="B328" s="243" t="s">
        <v>6</v>
      </c>
      <c r="C328" s="244"/>
      <c r="D328" s="244"/>
      <c r="E328" s="244"/>
      <c r="F328" s="244"/>
      <c r="G328" s="27">
        <f>+ROUND(G326+G321+G316,0)</f>
        <v>120723</v>
      </c>
    </row>
    <row r="329" spans="2:7" x14ac:dyDescent="0.25">
      <c r="B329" s="28" t="s">
        <v>24</v>
      </c>
      <c r="C329" s="29"/>
      <c r="D329" s="30"/>
      <c r="E329" s="14"/>
      <c r="F329" s="31"/>
      <c r="G329" s="32"/>
    </row>
    <row r="330" spans="2:7" x14ac:dyDescent="0.25">
      <c r="B330" s="33" t="s">
        <v>25</v>
      </c>
      <c r="C330" s="29"/>
      <c r="D330" s="34"/>
      <c r="E330" s="71">
        <v>0.25</v>
      </c>
      <c r="F330" s="35"/>
      <c r="G330" s="36">
        <f>ROUND(G328*E330,0)</f>
        <v>30181</v>
      </c>
    </row>
    <row r="331" spans="2:7" x14ac:dyDescent="0.25">
      <c r="B331" s="33" t="s">
        <v>8</v>
      </c>
      <c r="C331" s="29"/>
      <c r="D331" s="34"/>
      <c r="E331" s="71">
        <v>0.01</v>
      </c>
      <c r="F331" s="35"/>
      <c r="G331" s="36">
        <f>ROUND(G328*E331,0)</f>
        <v>1207</v>
      </c>
    </row>
    <row r="332" spans="2:7" x14ac:dyDescent="0.25">
      <c r="B332" s="33" t="s">
        <v>9</v>
      </c>
      <c r="C332" s="29"/>
      <c r="D332" s="34"/>
      <c r="E332" s="71">
        <v>0.05</v>
      </c>
      <c r="F332" s="35"/>
      <c r="G332" s="36">
        <f>ROUND(G328*E332,0)</f>
        <v>6036</v>
      </c>
    </row>
    <row r="333" spans="2:7" x14ac:dyDescent="0.25">
      <c r="B333" s="245" t="s">
        <v>26</v>
      </c>
      <c r="C333" s="246"/>
      <c r="D333" s="246"/>
      <c r="E333" s="246"/>
      <c r="F333" s="246"/>
      <c r="G333" s="37">
        <f>SUM(G330:G332)</f>
        <v>37424</v>
      </c>
    </row>
    <row r="334" spans="2:7" x14ac:dyDescent="0.25">
      <c r="B334" s="247" t="s">
        <v>27</v>
      </c>
      <c r="C334" s="248"/>
      <c r="D334" s="248"/>
      <c r="E334" s="248"/>
      <c r="F334" s="248"/>
      <c r="G334" s="38">
        <f>+G333+G328</f>
        <v>158147</v>
      </c>
    </row>
    <row r="339" spans="2:7" x14ac:dyDescent="0.25">
      <c r="B339" s="254" t="s">
        <v>210</v>
      </c>
      <c r="C339" s="255"/>
      <c r="D339" s="255"/>
      <c r="E339" s="255"/>
      <c r="F339" s="4"/>
      <c r="G339" s="5" t="s">
        <v>123</v>
      </c>
    </row>
    <row r="340" spans="2:7" x14ac:dyDescent="0.25">
      <c r="B340" s="256"/>
      <c r="C340" s="257"/>
      <c r="D340" s="257"/>
      <c r="E340" s="257"/>
      <c r="F340" s="6"/>
      <c r="G340" s="7"/>
    </row>
    <row r="341" spans="2:7" x14ac:dyDescent="0.25">
      <c r="B341" s="8" t="s">
        <v>15</v>
      </c>
      <c r="C341" s="9" t="s">
        <v>13</v>
      </c>
      <c r="D341" s="9" t="s">
        <v>16</v>
      </c>
      <c r="E341" s="9" t="s">
        <v>17</v>
      </c>
      <c r="F341" s="10" t="s">
        <v>18</v>
      </c>
      <c r="G341" s="11" t="s">
        <v>5</v>
      </c>
    </row>
    <row r="342" spans="2:7" x14ac:dyDescent="0.25">
      <c r="B342" s="12"/>
      <c r="C342" s="13"/>
      <c r="D342" s="14"/>
      <c r="E342" s="14"/>
      <c r="F342" s="15"/>
      <c r="G342" s="16"/>
    </row>
    <row r="343" spans="2:7" x14ac:dyDescent="0.25">
      <c r="B343" s="88" t="s">
        <v>29</v>
      </c>
      <c r="C343" s="13"/>
      <c r="D343" s="14"/>
      <c r="E343" s="14"/>
      <c r="F343" s="15"/>
      <c r="G343" s="15"/>
    </row>
    <row r="344" spans="2:7" x14ac:dyDescent="0.25">
      <c r="B344" s="89" t="s">
        <v>211</v>
      </c>
      <c r="C344" s="13" t="s">
        <v>156</v>
      </c>
      <c r="D344" s="14">
        <v>0.1</v>
      </c>
      <c r="E344" s="90">
        <v>0</v>
      </c>
      <c r="F344" s="15">
        <v>13000</v>
      </c>
      <c r="G344" s="15">
        <f>+F344*D344</f>
        <v>1300</v>
      </c>
    </row>
    <row r="345" spans="2:7" x14ac:dyDescent="0.25">
      <c r="B345" s="89" t="s">
        <v>216</v>
      </c>
      <c r="C345" s="13" t="s">
        <v>13</v>
      </c>
      <c r="D345" s="14">
        <v>0.36</v>
      </c>
      <c r="E345" s="90">
        <v>1</v>
      </c>
      <c r="F345" s="15">
        <v>5000</v>
      </c>
      <c r="G345" s="15">
        <f>+ROUND(D345*E345*F345,0)</f>
        <v>1800</v>
      </c>
    </row>
    <row r="346" spans="2:7" x14ac:dyDescent="0.25">
      <c r="B346" s="89" t="s">
        <v>217</v>
      </c>
      <c r="C346" s="13" t="s">
        <v>13</v>
      </c>
      <c r="D346" s="91">
        <v>0.55000000000000004</v>
      </c>
      <c r="E346" s="90">
        <v>1.01</v>
      </c>
      <c r="F346" s="15">
        <v>4500</v>
      </c>
      <c r="G346" s="15">
        <f t="shared" ref="G346:G353" si="8">+ROUND(D346*E346*F346,0)</f>
        <v>2500</v>
      </c>
    </row>
    <row r="347" spans="2:7" x14ac:dyDescent="0.25">
      <c r="B347" s="89" t="s">
        <v>218</v>
      </c>
      <c r="C347" s="13" t="s">
        <v>13</v>
      </c>
      <c r="D347" s="14">
        <v>0.7</v>
      </c>
      <c r="E347" s="90">
        <v>1.05</v>
      </c>
      <c r="F347" s="15">
        <v>6000</v>
      </c>
      <c r="G347" s="15">
        <f t="shared" si="8"/>
        <v>4410</v>
      </c>
    </row>
    <row r="348" spans="2:7" x14ac:dyDescent="0.25">
      <c r="B348" s="89" t="s">
        <v>219</v>
      </c>
      <c r="C348" s="13" t="s">
        <v>205</v>
      </c>
      <c r="D348" s="14">
        <v>0.05</v>
      </c>
      <c r="E348" s="90">
        <v>1</v>
      </c>
      <c r="F348" s="15">
        <v>5100</v>
      </c>
      <c r="G348" s="15">
        <f t="shared" si="8"/>
        <v>255</v>
      </c>
    </row>
    <row r="349" spans="2:7" x14ac:dyDescent="0.25">
      <c r="B349" s="89" t="s">
        <v>220</v>
      </c>
      <c r="C349" s="13" t="s">
        <v>13</v>
      </c>
      <c r="D349" s="14">
        <v>1.05</v>
      </c>
      <c r="E349" s="90">
        <v>1.02</v>
      </c>
      <c r="F349" s="15">
        <v>37000</v>
      </c>
      <c r="G349" s="15">
        <f t="shared" si="8"/>
        <v>39627</v>
      </c>
    </row>
    <row r="350" spans="2:7" x14ac:dyDescent="0.25">
      <c r="B350" s="89" t="s">
        <v>212</v>
      </c>
      <c r="C350" s="13" t="s">
        <v>13</v>
      </c>
      <c r="D350" s="14">
        <v>0.05</v>
      </c>
      <c r="E350" s="90">
        <v>1.05</v>
      </c>
      <c r="F350" s="15">
        <v>13200</v>
      </c>
      <c r="G350" s="15">
        <f t="shared" si="8"/>
        <v>693</v>
      </c>
    </row>
    <row r="351" spans="2:7" x14ac:dyDescent="0.25">
      <c r="B351" s="89" t="s">
        <v>213</v>
      </c>
      <c r="C351" s="13" t="s">
        <v>13</v>
      </c>
      <c r="D351" s="14">
        <v>0.06</v>
      </c>
      <c r="E351" s="90">
        <v>1</v>
      </c>
      <c r="F351" s="15">
        <v>13400</v>
      </c>
      <c r="G351" s="15">
        <f t="shared" si="8"/>
        <v>804</v>
      </c>
    </row>
    <row r="352" spans="2:7" x14ac:dyDescent="0.25">
      <c r="B352" s="89" t="s">
        <v>214</v>
      </c>
      <c r="C352" s="13" t="s">
        <v>13</v>
      </c>
      <c r="D352" s="14">
        <v>0.06</v>
      </c>
      <c r="E352" s="90">
        <v>1.05</v>
      </c>
      <c r="F352" s="15">
        <v>18500</v>
      </c>
      <c r="G352" s="15">
        <f t="shared" si="8"/>
        <v>1166</v>
      </c>
    </row>
    <row r="353" spans="2:7" ht="15" customHeight="1" x14ac:dyDescent="0.25">
      <c r="B353" s="89" t="s">
        <v>215</v>
      </c>
      <c r="C353" s="13" t="s">
        <v>13</v>
      </c>
      <c r="D353" s="14">
        <v>0.12</v>
      </c>
      <c r="E353" s="90">
        <v>1.05</v>
      </c>
      <c r="F353" s="15">
        <v>17180</v>
      </c>
      <c r="G353" s="15">
        <f t="shared" si="8"/>
        <v>2165</v>
      </c>
    </row>
    <row r="354" spans="2:7" x14ac:dyDescent="0.25">
      <c r="B354" s="12"/>
      <c r="C354" s="13"/>
      <c r="D354" s="14"/>
      <c r="E354" s="14"/>
      <c r="F354" s="15" t="s">
        <v>30</v>
      </c>
      <c r="G354" s="24">
        <f>SUM(G344:G353)</f>
        <v>54720</v>
      </c>
    </row>
    <row r="355" spans="2:7" x14ac:dyDescent="0.25">
      <c r="B355" s="17" t="s">
        <v>19</v>
      </c>
      <c r="C355" s="13"/>
      <c r="D355" s="14"/>
      <c r="E355" s="14"/>
      <c r="F355" s="15"/>
      <c r="G355" s="16"/>
    </row>
    <row r="356" spans="2:7" x14ac:dyDescent="0.25">
      <c r="B356" s="18" t="s">
        <v>221</v>
      </c>
      <c r="C356" s="19" t="s">
        <v>20</v>
      </c>
      <c r="D356" s="20">
        <v>0.6</v>
      </c>
      <c r="E356" s="21">
        <v>0.01</v>
      </c>
      <c r="F356" s="22">
        <f>+F292</f>
        <v>32918.434999999998</v>
      </c>
      <c r="G356" s="23">
        <f>+(D356+D356*E356)*F356</f>
        <v>19948.571609999999</v>
      </c>
    </row>
    <row r="357" spans="2:7" x14ac:dyDescent="0.25">
      <c r="B357" s="12"/>
      <c r="C357" s="13"/>
      <c r="D357" s="14"/>
      <c r="E357" s="14"/>
      <c r="F357" s="15" t="s">
        <v>21</v>
      </c>
      <c r="G357" s="24">
        <f>SUM(G356:G356)</f>
        <v>19948.571609999999</v>
      </c>
    </row>
    <row r="358" spans="2:7" x14ac:dyDescent="0.25">
      <c r="B358" s="25" t="s">
        <v>22</v>
      </c>
      <c r="C358" s="13"/>
      <c r="D358" s="14"/>
      <c r="E358" s="14"/>
      <c r="F358" s="15"/>
      <c r="G358" s="26"/>
    </row>
    <row r="359" spans="2:7" x14ac:dyDescent="0.25">
      <c r="B359" s="18" t="s">
        <v>142</v>
      </c>
      <c r="C359" s="19" t="s">
        <v>122</v>
      </c>
      <c r="D359" s="67">
        <v>0.8</v>
      </c>
      <c r="E359" s="21">
        <v>0</v>
      </c>
      <c r="F359" s="22">
        <v>6000</v>
      </c>
      <c r="G359" s="23">
        <f>+(D359+D359*E359)*F359</f>
        <v>4800</v>
      </c>
    </row>
    <row r="360" spans="2:7" x14ac:dyDescent="0.25">
      <c r="B360" s="18" t="s">
        <v>131</v>
      </c>
      <c r="C360" s="19" t="s">
        <v>132</v>
      </c>
      <c r="D360" s="67">
        <v>0.8</v>
      </c>
      <c r="E360" s="21">
        <v>0.01</v>
      </c>
      <c r="F360" s="22">
        <v>6000</v>
      </c>
      <c r="G360" s="23">
        <f>+(D360+D360*E360)*F360</f>
        <v>4848</v>
      </c>
    </row>
    <row r="361" spans="2:7" x14ac:dyDescent="0.25">
      <c r="B361" s="18" t="s">
        <v>32</v>
      </c>
      <c r="C361" s="19" t="s">
        <v>33</v>
      </c>
      <c r="D361" s="21">
        <v>1.4999999999999999E-2</v>
      </c>
      <c r="E361" s="21">
        <v>0.01</v>
      </c>
      <c r="F361" s="39">
        <f>+G357</f>
        <v>19948.571609999999</v>
      </c>
      <c r="G361" s="23">
        <f>+(D361+D361*E361)*F361</f>
        <v>302.22085989149997</v>
      </c>
    </row>
    <row r="362" spans="2:7" x14ac:dyDescent="0.25">
      <c r="B362" s="12"/>
      <c r="C362" s="13"/>
      <c r="D362" s="14"/>
      <c r="E362" s="14"/>
      <c r="F362" s="15" t="s">
        <v>23</v>
      </c>
      <c r="G362" s="24">
        <f>SUM(G359:G361)</f>
        <v>9950.2208598915004</v>
      </c>
    </row>
    <row r="363" spans="2:7" x14ac:dyDescent="0.25">
      <c r="B363" s="12"/>
      <c r="C363" s="13"/>
      <c r="D363" s="14"/>
      <c r="E363" s="14"/>
      <c r="F363" s="15"/>
      <c r="G363" s="26"/>
    </row>
    <row r="364" spans="2:7" x14ac:dyDescent="0.25">
      <c r="B364" s="243" t="s">
        <v>6</v>
      </c>
      <c r="C364" s="244"/>
      <c r="D364" s="244"/>
      <c r="E364" s="244"/>
      <c r="F364" s="244"/>
      <c r="G364" s="27">
        <f>+ROUND(G362+G357+G354,0)</f>
        <v>84619</v>
      </c>
    </row>
    <row r="365" spans="2:7" x14ac:dyDescent="0.25">
      <c r="B365" s="28" t="s">
        <v>24</v>
      </c>
      <c r="C365" s="29"/>
      <c r="D365" s="30"/>
      <c r="E365" s="14"/>
      <c r="F365" s="31"/>
      <c r="G365" s="32"/>
    </row>
    <row r="366" spans="2:7" x14ac:dyDescent="0.25">
      <c r="B366" s="33" t="s">
        <v>25</v>
      </c>
      <c r="C366" s="29"/>
      <c r="D366" s="34"/>
      <c r="E366" s="71">
        <v>0.25</v>
      </c>
      <c r="F366" s="35"/>
      <c r="G366" s="36">
        <f>ROUND(G364*E366,0)</f>
        <v>21155</v>
      </c>
    </row>
    <row r="367" spans="2:7" x14ac:dyDescent="0.25">
      <c r="B367" s="33" t="s">
        <v>8</v>
      </c>
      <c r="C367" s="29"/>
      <c r="D367" s="34"/>
      <c r="E367" s="71">
        <v>0.01</v>
      </c>
      <c r="F367" s="35"/>
      <c r="G367" s="36">
        <f>ROUND(G364*E367,0)</f>
        <v>846</v>
      </c>
    </row>
    <row r="368" spans="2:7" x14ac:dyDescent="0.25">
      <c r="B368" s="33" t="s">
        <v>9</v>
      </c>
      <c r="C368" s="29"/>
      <c r="D368" s="34"/>
      <c r="E368" s="71">
        <v>0.05</v>
      </c>
      <c r="F368" s="35"/>
      <c r="G368" s="36">
        <f>ROUND(G364*E368,0)</f>
        <v>4231</v>
      </c>
    </row>
    <row r="369" spans="2:7" x14ac:dyDescent="0.25">
      <c r="B369" s="245" t="s">
        <v>26</v>
      </c>
      <c r="C369" s="246"/>
      <c r="D369" s="246"/>
      <c r="E369" s="246"/>
      <c r="F369" s="246"/>
      <c r="G369" s="37">
        <f>SUM(G366:G368)</f>
        <v>26232</v>
      </c>
    </row>
    <row r="370" spans="2:7" x14ac:dyDescent="0.25">
      <c r="B370" s="247" t="s">
        <v>27</v>
      </c>
      <c r="C370" s="248"/>
      <c r="D370" s="248"/>
      <c r="E370" s="248"/>
      <c r="F370" s="248"/>
      <c r="G370" s="38">
        <f>+G369+G364</f>
        <v>110851</v>
      </c>
    </row>
    <row r="375" spans="2:7" x14ac:dyDescent="0.25">
      <c r="B375" s="254" t="s">
        <v>150</v>
      </c>
      <c r="C375" s="255"/>
      <c r="D375" s="255"/>
      <c r="E375" s="255"/>
      <c r="F375" s="4"/>
      <c r="G375" s="5" t="s">
        <v>125</v>
      </c>
    </row>
    <row r="376" spans="2:7" x14ac:dyDescent="0.25">
      <c r="B376" s="256"/>
      <c r="C376" s="257"/>
      <c r="D376" s="257"/>
      <c r="E376" s="257"/>
      <c r="F376" s="6"/>
      <c r="G376" s="7"/>
    </row>
    <row r="377" spans="2:7" x14ac:dyDescent="0.25">
      <c r="B377" s="8" t="s">
        <v>15</v>
      </c>
      <c r="C377" s="9" t="s">
        <v>13</v>
      </c>
      <c r="D377" s="9" t="s">
        <v>16</v>
      </c>
      <c r="E377" s="9" t="s">
        <v>17</v>
      </c>
      <c r="F377" s="10" t="s">
        <v>18</v>
      </c>
      <c r="G377" s="11" t="s">
        <v>5</v>
      </c>
    </row>
    <row r="378" spans="2:7" x14ac:dyDescent="0.25">
      <c r="B378" s="12"/>
      <c r="C378" s="13"/>
      <c r="D378" s="14"/>
      <c r="E378" s="14"/>
      <c r="F378" s="15"/>
      <c r="G378" s="16"/>
    </row>
    <row r="379" spans="2:7" x14ac:dyDescent="0.25">
      <c r="B379" s="17" t="s">
        <v>29</v>
      </c>
      <c r="C379" s="13"/>
      <c r="D379" s="14"/>
      <c r="E379" s="14"/>
      <c r="F379" s="15"/>
      <c r="G379" s="16"/>
    </row>
    <row r="380" spans="2:7" x14ac:dyDescent="0.25">
      <c r="B380" s="68" t="s">
        <v>151</v>
      </c>
      <c r="C380" s="19" t="s">
        <v>13</v>
      </c>
      <c r="D380" s="67">
        <v>4.0000000000000001E-3</v>
      </c>
      <c r="E380" s="21">
        <v>0</v>
      </c>
      <c r="F380" s="22">
        <v>85900</v>
      </c>
      <c r="G380" s="23">
        <f>+(D380+D380*E380)*F380</f>
        <v>343.6</v>
      </c>
    </row>
    <row r="381" spans="2:7" x14ac:dyDescent="0.25">
      <c r="B381" s="68" t="s">
        <v>152</v>
      </c>
      <c r="C381" s="19" t="s">
        <v>13</v>
      </c>
      <c r="D381" s="67">
        <v>4.0000000000000001E-3</v>
      </c>
      <c r="E381" s="21">
        <v>0</v>
      </c>
      <c r="F381" s="22">
        <v>52500</v>
      </c>
      <c r="G381" s="23">
        <f t="shared" ref="G381:G382" si="9">+(D381+D381*E381)*F381</f>
        <v>210</v>
      </c>
    </row>
    <row r="382" spans="2:7" x14ac:dyDescent="0.25">
      <c r="B382" s="68" t="s">
        <v>153</v>
      </c>
      <c r="C382" s="19" t="s">
        <v>126</v>
      </c>
      <c r="D382" s="67">
        <v>1</v>
      </c>
      <c r="E382" s="21">
        <v>0</v>
      </c>
      <c r="F382" s="22">
        <v>12600</v>
      </c>
      <c r="G382" s="23">
        <f t="shared" si="9"/>
        <v>12600</v>
      </c>
    </row>
    <row r="383" spans="2:7" x14ac:dyDescent="0.25">
      <c r="B383" s="12"/>
      <c r="C383" s="13"/>
      <c r="D383" s="14"/>
      <c r="E383" s="14"/>
      <c r="F383" s="15" t="s">
        <v>30</v>
      </c>
      <c r="G383" s="24">
        <f>SUM(G380:G382)</f>
        <v>13153.6</v>
      </c>
    </row>
    <row r="384" spans="2:7" x14ac:dyDescent="0.25">
      <c r="B384" s="17" t="s">
        <v>19</v>
      </c>
      <c r="C384" s="13"/>
      <c r="D384" s="14"/>
      <c r="E384" s="14"/>
      <c r="F384" s="15"/>
      <c r="G384" s="16"/>
    </row>
    <row r="385" spans="2:7" x14ac:dyDescent="0.25">
      <c r="B385" s="18" t="s">
        <v>154</v>
      </c>
      <c r="C385" s="19" t="s">
        <v>20</v>
      </c>
      <c r="D385" s="67">
        <v>0.16700000000000001</v>
      </c>
      <c r="E385" s="21">
        <v>0</v>
      </c>
      <c r="F385" s="22">
        <f>+F356</f>
        <v>32918.434999999998</v>
      </c>
      <c r="G385" s="23">
        <f>+(D385+D385*E385)*F385</f>
        <v>5497.3786449999998</v>
      </c>
    </row>
    <row r="386" spans="2:7" x14ac:dyDescent="0.25">
      <c r="B386" s="12"/>
      <c r="C386" s="13"/>
      <c r="D386" s="14"/>
      <c r="E386" s="14"/>
      <c r="F386" s="15" t="s">
        <v>21</v>
      </c>
      <c r="G386" s="24">
        <f>SUM(G385:G385)</f>
        <v>5497.3786449999998</v>
      </c>
    </row>
    <row r="387" spans="2:7" x14ac:dyDescent="0.25">
      <c r="B387" s="25" t="s">
        <v>22</v>
      </c>
      <c r="C387" s="13"/>
      <c r="D387" s="14"/>
      <c r="E387" s="14"/>
      <c r="F387" s="15"/>
      <c r="G387" s="26"/>
    </row>
    <row r="388" spans="2:7" x14ac:dyDescent="0.25">
      <c r="B388" s="18" t="s">
        <v>32</v>
      </c>
      <c r="C388" s="19" t="s">
        <v>33</v>
      </c>
      <c r="D388" s="21">
        <v>0.05</v>
      </c>
      <c r="E388" s="21">
        <v>0</v>
      </c>
      <c r="F388" s="39">
        <f>+G386</f>
        <v>5497.3786449999998</v>
      </c>
      <c r="G388" s="23">
        <f>+(D388+D388*E388)*F388</f>
        <v>274.86893225</v>
      </c>
    </row>
    <row r="389" spans="2:7" x14ac:dyDescent="0.25">
      <c r="B389" s="12"/>
      <c r="C389" s="13"/>
      <c r="D389" s="14"/>
      <c r="E389" s="14"/>
      <c r="F389" s="15" t="s">
        <v>23</v>
      </c>
      <c r="G389" s="24">
        <f>SUM(G388:G388)</f>
        <v>274.86893225</v>
      </c>
    </row>
    <row r="390" spans="2:7" x14ac:dyDescent="0.25">
      <c r="B390" s="12"/>
      <c r="C390" s="13"/>
      <c r="D390" s="14"/>
      <c r="E390" s="14"/>
      <c r="F390" s="15"/>
      <c r="G390" s="26"/>
    </row>
    <row r="391" spans="2:7" x14ac:dyDescent="0.25">
      <c r="B391" s="243" t="s">
        <v>6</v>
      </c>
      <c r="C391" s="244"/>
      <c r="D391" s="244"/>
      <c r="E391" s="244"/>
      <c r="F391" s="244"/>
      <c r="G391" s="27">
        <f>+ROUND(G389+G386+G383,0)</f>
        <v>18926</v>
      </c>
    </row>
    <row r="392" spans="2:7" x14ac:dyDescent="0.25">
      <c r="B392" s="28" t="s">
        <v>24</v>
      </c>
      <c r="C392" s="29"/>
      <c r="D392" s="30"/>
      <c r="E392" s="14"/>
      <c r="F392" s="31"/>
      <c r="G392" s="32"/>
    </row>
    <row r="393" spans="2:7" x14ac:dyDescent="0.25">
      <c r="B393" s="33" t="s">
        <v>25</v>
      </c>
      <c r="C393" s="29"/>
      <c r="D393" s="34"/>
      <c r="E393" s="71">
        <v>0.25</v>
      </c>
      <c r="F393" s="35"/>
      <c r="G393" s="36">
        <f>ROUND(G391*E393,0)</f>
        <v>4732</v>
      </c>
    </row>
    <row r="394" spans="2:7" x14ac:dyDescent="0.25">
      <c r="B394" s="33" t="s">
        <v>8</v>
      </c>
      <c r="C394" s="29"/>
      <c r="D394" s="34"/>
      <c r="E394" s="71">
        <v>0.01</v>
      </c>
      <c r="F394" s="35"/>
      <c r="G394" s="36">
        <f>ROUND(G391*E394,0)</f>
        <v>189</v>
      </c>
    </row>
    <row r="395" spans="2:7" x14ac:dyDescent="0.25">
      <c r="B395" s="33" t="s">
        <v>9</v>
      </c>
      <c r="C395" s="29"/>
      <c r="D395" s="34"/>
      <c r="E395" s="71">
        <v>0.05</v>
      </c>
      <c r="F395" s="35"/>
      <c r="G395" s="36">
        <f>ROUND(G391*E395,0)</f>
        <v>946</v>
      </c>
    </row>
    <row r="396" spans="2:7" x14ac:dyDescent="0.25">
      <c r="B396" s="245" t="s">
        <v>26</v>
      </c>
      <c r="C396" s="246"/>
      <c r="D396" s="246"/>
      <c r="E396" s="246"/>
      <c r="F396" s="246"/>
      <c r="G396" s="37">
        <f>SUM(G393:G395)</f>
        <v>5867</v>
      </c>
    </row>
    <row r="397" spans="2:7" x14ac:dyDescent="0.25">
      <c r="B397" s="247" t="s">
        <v>27</v>
      </c>
      <c r="C397" s="248"/>
      <c r="D397" s="248"/>
      <c r="E397" s="248"/>
      <c r="F397" s="248"/>
      <c r="G397" s="38">
        <f>+G396+G391</f>
        <v>24793</v>
      </c>
    </row>
    <row r="402" spans="2:7" x14ac:dyDescent="0.25">
      <c r="B402" s="254" t="s">
        <v>148</v>
      </c>
      <c r="C402" s="255"/>
      <c r="D402" s="255"/>
      <c r="E402" s="255"/>
      <c r="F402" s="4"/>
      <c r="G402" s="5" t="s">
        <v>123</v>
      </c>
    </row>
    <row r="403" spans="2:7" x14ac:dyDescent="0.25">
      <c r="B403" s="256"/>
      <c r="C403" s="257"/>
      <c r="D403" s="257"/>
      <c r="E403" s="257"/>
      <c r="F403" s="6"/>
      <c r="G403" s="7"/>
    </row>
    <row r="404" spans="2:7" x14ac:dyDescent="0.25">
      <c r="B404" s="8" t="s">
        <v>15</v>
      </c>
      <c r="C404" s="9" t="s">
        <v>13</v>
      </c>
      <c r="D404" s="9" t="s">
        <v>16</v>
      </c>
      <c r="E404" s="9" t="s">
        <v>17</v>
      </c>
      <c r="F404" s="10" t="s">
        <v>18</v>
      </c>
      <c r="G404" s="11" t="s">
        <v>5</v>
      </c>
    </row>
    <row r="405" spans="2:7" x14ac:dyDescent="0.25">
      <c r="B405" s="12"/>
      <c r="C405" s="13"/>
      <c r="D405" s="14"/>
      <c r="E405" s="14"/>
      <c r="F405" s="15"/>
      <c r="G405" s="16"/>
    </row>
    <row r="406" spans="2:7" x14ac:dyDescent="0.25">
      <c r="B406" s="17" t="s">
        <v>29</v>
      </c>
      <c r="C406" s="13"/>
      <c r="D406" s="13"/>
      <c r="E406" s="14"/>
      <c r="F406" s="15"/>
      <c r="G406" s="16"/>
    </row>
    <row r="407" spans="2:7" x14ac:dyDescent="0.25">
      <c r="B407" s="73" t="s">
        <v>165</v>
      </c>
      <c r="C407" s="74" t="s">
        <v>13</v>
      </c>
      <c r="D407" s="67">
        <v>0.01</v>
      </c>
      <c r="E407" s="21">
        <v>0</v>
      </c>
      <c r="F407" s="22">
        <v>24500</v>
      </c>
      <c r="G407" s="23">
        <f t="shared" ref="G407:G411" si="10">+(D407+D407*E407)*F407</f>
        <v>245</v>
      </c>
    </row>
    <row r="408" spans="2:7" x14ac:dyDescent="0.25">
      <c r="B408" s="73" t="s">
        <v>157</v>
      </c>
      <c r="C408" s="74" t="s">
        <v>162</v>
      </c>
      <c r="D408" s="67">
        <v>0.02</v>
      </c>
      <c r="E408" s="21">
        <v>0</v>
      </c>
      <c r="F408" s="22">
        <v>39</v>
      </c>
      <c r="G408" s="23">
        <f t="shared" si="10"/>
        <v>0.78</v>
      </c>
    </row>
    <row r="409" spans="2:7" x14ac:dyDescent="0.25">
      <c r="B409" s="73" t="s">
        <v>166</v>
      </c>
      <c r="C409" s="74" t="s">
        <v>13</v>
      </c>
      <c r="D409" s="67">
        <v>0.02</v>
      </c>
      <c r="E409" s="21">
        <v>0</v>
      </c>
      <c r="F409" s="22">
        <v>12000</v>
      </c>
      <c r="G409" s="23">
        <f t="shared" si="10"/>
        <v>240</v>
      </c>
    </row>
    <row r="410" spans="2:7" x14ac:dyDescent="0.25">
      <c r="B410" s="73" t="s">
        <v>167</v>
      </c>
      <c r="C410" s="74" t="s">
        <v>169</v>
      </c>
      <c r="D410" s="67">
        <v>0.01</v>
      </c>
      <c r="E410" s="21">
        <v>0</v>
      </c>
      <c r="F410" s="22">
        <v>15000</v>
      </c>
      <c r="G410" s="23">
        <f t="shared" si="10"/>
        <v>150</v>
      </c>
    </row>
    <row r="411" spans="2:7" x14ac:dyDescent="0.25">
      <c r="B411" s="73" t="s">
        <v>168</v>
      </c>
      <c r="C411" s="74" t="s">
        <v>121</v>
      </c>
      <c r="D411" s="67">
        <v>3.4000000000000002E-2</v>
      </c>
      <c r="E411" s="21">
        <v>0.01</v>
      </c>
      <c r="F411" s="22">
        <v>120000</v>
      </c>
      <c r="G411" s="23">
        <f t="shared" si="10"/>
        <v>4120.8</v>
      </c>
    </row>
    <row r="412" spans="2:7" x14ac:dyDescent="0.25">
      <c r="B412" s="12"/>
      <c r="C412" s="13"/>
      <c r="D412" s="14"/>
      <c r="E412" s="14"/>
      <c r="F412" s="15" t="s">
        <v>30</v>
      </c>
      <c r="G412" s="24">
        <f>SUM(G407:G411)</f>
        <v>4756.58</v>
      </c>
    </row>
    <row r="413" spans="2:7" x14ac:dyDescent="0.25">
      <c r="B413" s="17" t="s">
        <v>19</v>
      </c>
      <c r="C413" s="13"/>
      <c r="D413" s="14"/>
      <c r="E413" s="14"/>
      <c r="F413" s="15"/>
      <c r="G413" s="16"/>
    </row>
    <row r="414" spans="2:7" x14ac:dyDescent="0.25">
      <c r="B414" s="18" t="s">
        <v>164</v>
      </c>
      <c r="C414" s="19" t="s">
        <v>20</v>
      </c>
      <c r="D414" s="20">
        <v>0.19</v>
      </c>
      <c r="E414" s="21">
        <v>0</v>
      </c>
      <c r="F414" s="22">
        <f>+F320</f>
        <v>32918.434999999998</v>
      </c>
      <c r="G414" s="23">
        <f>+(D414+D414*E414)*F414</f>
        <v>6254.5026499999994</v>
      </c>
    </row>
    <row r="415" spans="2:7" x14ac:dyDescent="0.25">
      <c r="B415" s="12"/>
      <c r="C415" s="13"/>
      <c r="D415" s="14"/>
      <c r="E415" s="14"/>
      <c r="F415" s="15" t="s">
        <v>21</v>
      </c>
      <c r="G415" s="24">
        <f>SUM(G414:G414)</f>
        <v>6254.5026499999994</v>
      </c>
    </row>
    <row r="416" spans="2:7" x14ac:dyDescent="0.25">
      <c r="B416" s="25" t="s">
        <v>22</v>
      </c>
      <c r="C416" s="13"/>
      <c r="D416" s="14"/>
      <c r="E416" s="14"/>
      <c r="F416" s="15"/>
      <c r="G416" s="26"/>
    </row>
    <row r="417" spans="2:7" x14ac:dyDescent="0.25">
      <c r="B417" s="69" t="s">
        <v>131</v>
      </c>
      <c r="C417" s="13" t="s">
        <v>132</v>
      </c>
      <c r="D417" s="13">
        <v>0.1</v>
      </c>
      <c r="E417" s="70">
        <v>0</v>
      </c>
      <c r="F417" s="72">
        <v>6000</v>
      </c>
      <c r="G417" s="23">
        <f>+(D417+D417*E417)*F417</f>
        <v>600</v>
      </c>
    </row>
    <row r="418" spans="2:7" x14ac:dyDescent="0.25">
      <c r="B418" s="18" t="s">
        <v>32</v>
      </c>
      <c r="C418" s="19" t="s">
        <v>33</v>
      </c>
      <c r="D418" s="21">
        <v>0.05</v>
      </c>
      <c r="E418" s="21">
        <v>0</v>
      </c>
      <c r="F418" s="39">
        <f>+G415</f>
        <v>6254.5026499999994</v>
      </c>
      <c r="G418" s="23">
        <f>+(D418+D418*E418)*F418</f>
        <v>312.72513249999997</v>
      </c>
    </row>
    <row r="419" spans="2:7" x14ac:dyDescent="0.25">
      <c r="B419" s="12"/>
      <c r="C419" s="13"/>
      <c r="D419" s="14"/>
      <c r="E419" s="14"/>
      <c r="F419" s="15" t="s">
        <v>23</v>
      </c>
      <c r="G419" s="24">
        <f>SUM(G417:G418)</f>
        <v>912.72513249999997</v>
      </c>
    </row>
    <row r="420" spans="2:7" x14ac:dyDescent="0.25">
      <c r="B420" s="12"/>
      <c r="C420" s="13"/>
      <c r="D420" s="14"/>
      <c r="E420" s="14"/>
      <c r="F420" s="15"/>
      <c r="G420" s="26"/>
    </row>
    <row r="421" spans="2:7" x14ac:dyDescent="0.25">
      <c r="B421" s="243" t="s">
        <v>6</v>
      </c>
      <c r="C421" s="244"/>
      <c r="D421" s="244"/>
      <c r="E421" s="244"/>
      <c r="F421" s="244"/>
      <c r="G421" s="27">
        <f>+ROUND(G419+G415+G412,0)</f>
        <v>11924</v>
      </c>
    </row>
    <row r="422" spans="2:7" x14ac:dyDescent="0.25">
      <c r="B422" s="28" t="s">
        <v>24</v>
      </c>
      <c r="C422" s="29"/>
      <c r="D422" s="30"/>
      <c r="E422" s="14"/>
      <c r="F422" s="31"/>
      <c r="G422" s="32"/>
    </row>
    <row r="423" spans="2:7" x14ac:dyDescent="0.25">
      <c r="B423" s="33" t="s">
        <v>25</v>
      </c>
      <c r="C423" s="29"/>
      <c r="D423" s="34"/>
      <c r="E423" s="71">
        <v>0.25</v>
      </c>
      <c r="F423" s="35"/>
      <c r="G423" s="36">
        <f>ROUND(G421*E423,0)</f>
        <v>2981</v>
      </c>
    </row>
    <row r="424" spans="2:7" x14ac:dyDescent="0.25">
      <c r="B424" s="33" t="s">
        <v>8</v>
      </c>
      <c r="C424" s="29"/>
      <c r="D424" s="34"/>
      <c r="E424" s="71">
        <v>0.01</v>
      </c>
      <c r="F424" s="35"/>
      <c r="G424" s="36">
        <f>ROUND(G421*E424,0)</f>
        <v>119</v>
      </c>
    </row>
    <row r="425" spans="2:7" x14ac:dyDescent="0.25">
      <c r="B425" s="33" t="s">
        <v>9</v>
      </c>
      <c r="C425" s="29"/>
      <c r="D425" s="34"/>
      <c r="E425" s="71">
        <v>0.05</v>
      </c>
      <c r="F425" s="35"/>
      <c r="G425" s="36">
        <f>ROUND(G421*E425,0)</f>
        <v>596</v>
      </c>
    </row>
    <row r="426" spans="2:7" x14ac:dyDescent="0.25">
      <c r="B426" s="245" t="s">
        <v>26</v>
      </c>
      <c r="C426" s="246"/>
      <c r="D426" s="246"/>
      <c r="E426" s="246"/>
      <c r="F426" s="246"/>
      <c r="G426" s="37">
        <f>SUM(G423:G425)</f>
        <v>3696</v>
      </c>
    </row>
    <row r="427" spans="2:7" x14ac:dyDescent="0.25">
      <c r="B427" s="247" t="s">
        <v>27</v>
      </c>
      <c r="C427" s="248"/>
      <c r="D427" s="248"/>
      <c r="E427" s="248"/>
      <c r="F427" s="248"/>
      <c r="G427" s="38">
        <f>+G426+G421</f>
        <v>15620</v>
      </c>
    </row>
    <row r="431" spans="2:7" x14ac:dyDescent="0.25">
      <c r="B431" s="254" t="s">
        <v>223</v>
      </c>
      <c r="C431" s="255"/>
      <c r="D431" s="255"/>
      <c r="E431" s="255"/>
      <c r="F431" s="4"/>
      <c r="G431" s="5" t="s">
        <v>123</v>
      </c>
    </row>
    <row r="432" spans="2:7" x14ac:dyDescent="0.25">
      <c r="B432" s="256"/>
      <c r="C432" s="257"/>
      <c r="D432" s="257"/>
      <c r="E432" s="257"/>
      <c r="F432" s="6"/>
      <c r="G432" s="7"/>
    </row>
    <row r="433" spans="2:7" x14ac:dyDescent="0.25">
      <c r="B433" s="8" t="s">
        <v>15</v>
      </c>
      <c r="C433" s="9" t="s">
        <v>13</v>
      </c>
      <c r="D433" s="9" t="s">
        <v>16</v>
      </c>
      <c r="E433" s="9" t="s">
        <v>17</v>
      </c>
      <c r="F433" s="10" t="s">
        <v>18</v>
      </c>
      <c r="G433" s="11" t="s">
        <v>5</v>
      </c>
    </row>
    <row r="434" spans="2:7" x14ac:dyDescent="0.25">
      <c r="B434" s="12"/>
      <c r="C434" s="13"/>
      <c r="D434" s="14"/>
      <c r="E434" s="14"/>
      <c r="F434" s="15"/>
      <c r="G434" s="16"/>
    </row>
    <row r="435" spans="2:7" x14ac:dyDescent="0.25">
      <c r="B435" s="17" t="s">
        <v>29</v>
      </c>
      <c r="C435" s="13"/>
      <c r="D435" s="13"/>
      <c r="E435" s="14"/>
      <c r="F435" s="15"/>
      <c r="G435" s="16"/>
    </row>
    <row r="436" spans="2:7" x14ac:dyDescent="0.25">
      <c r="B436" s="73" t="s">
        <v>157</v>
      </c>
      <c r="C436" s="74" t="s">
        <v>226</v>
      </c>
      <c r="D436" s="67">
        <v>0.9</v>
      </c>
      <c r="E436" s="21">
        <v>0</v>
      </c>
      <c r="F436" s="22">
        <v>39</v>
      </c>
      <c r="G436" s="23">
        <f t="shared" ref="G436:G438" si="11">+(D436+D436*E436)*F436</f>
        <v>35.1</v>
      </c>
    </row>
    <row r="437" spans="2:7" x14ac:dyDescent="0.25">
      <c r="B437" s="73" t="s">
        <v>224</v>
      </c>
      <c r="C437" s="74" t="s">
        <v>156</v>
      </c>
      <c r="D437" s="67">
        <v>2.15</v>
      </c>
      <c r="E437" s="21">
        <v>0.01</v>
      </c>
      <c r="F437" s="22">
        <v>2830</v>
      </c>
      <c r="G437" s="23">
        <f t="shared" si="11"/>
        <v>6145.3450000000003</v>
      </c>
    </row>
    <row r="438" spans="2:7" x14ac:dyDescent="0.25">
      <c r="B438" s="73" t="s">
        <v>225</v>
      </c>
      <c r="C438" s="74" t="s">
        <v>13</v>
      </c>
      <c r="D438" s="67">
        <v>0.02</v>
      </c>
      <c r="E438" s="21">
        <v>0</v>
      </c>
      <c r="F438" s="22">
        <v>1700</v>
      </c>
      <c r="G438" s="23">
        <f t="shared" si="11"/>
        <v>34</v>
      </c>
    </row>
    <row r="439" spans="2:7" x14ac:dyDescent="0.25">
      <c r="B439" s="12"/>
      <c r="C439" s="13"/>
      <c r="D439" s="14"/>
      <c r="E439" s="14"/>
      <c r="F439" s="15" t="s">
        <v>30</v>
      </c>
      <c r="G439" s="24">
        <f>SUM(G436:G438)</f>
        <v>6214.4450000000006</v>
      </c>
    </row>
    <row r="440" spans="2:7" x14ac:dyDescent="0.25">
      <c r="B440" s="17" t="s">
        <v>19</v>
      </c>
      <c r="C440" s="13"/>
      <c r="D440" s="14"/>
      <c r="E440" s="14"/>
      <c r="F440" s="15"/>
      <c r="G440" s="16"/>
    </row>
    <row r="441" spans="2:7" x14ac:dyDescent="0.25">
      <c r="B441" s="18" t="s">
        <v>164</v>
      </c>
      <c r="C441" s="19" t="s">
        <v>20</v>
      </c>
      <c r="D441" s="20">
        <v>0.3</v>
      </c>
      <c r="E441" s="21">
        <v>0</v>
      </c>
      <c r="F441" s="22">
        <f>+F414</f>
        <v>32918.434999999998</v>
      </c>
      <c r="G441" s="23">
        <f>+(D441+D441*E441)*F441</f>
        <v>9875.5304999999989</v>
      </c>
    </row>
    <row r="442" spans="2:7" x14ac:dyDescent="0.25">
      <c r="B442" s="12"/>
      <c r="C442" s="13"/>
      <c r="D442" s="14"/>
      <c r="E442" s="14"/>
      <c r="F442" s="15" t="s">
        <v>21</v>
      </c>
      <c r="G442" s="24">
        <f>SUM(G441:G441)</f>
        <v>9875.5304999999989</v>
      </c>
    </row>
    <row r="443" spans="2:7" x14ac:dyDescent="0.25">
      <c r="B443" s="25" t="s">
        <v>22</v>
      </c>
      <c r="C443" s="13"/>
      <c r="D443" s="14"/>
      <c r="E443" s="14"/>
      <c r="F443" s="15"/>
      <c r="G443" s="26"/>
    </row>
    <row r="444" spans="2:7" x14ac:dyDescent="0.25">
      <c r="B444" s="69" t="s">
        <v>131</v>
      </c>
      <c r="C444" s="13" t="s">
        <v>132</v>
      </c>
      <c r="D444" s="13">
        <v>0.1</v>
      </c>
      <c r="E444" s="70">
        <v>0</v>
      </c>
      <c r="F444" s="72">
        <v>6000</v>
      </c>
      <c r="G444" s="23">
        <f>+(D444+D444*E444)*F444</f>
        <v>600</v>
      </c>
    </row>
    <row r="445" spans="2:7" x14ac:dyDescent="0.25">
      <c r="B445" s="18" t="s">
        <v>32</v>
      </c>
      <c r="C445" s="19" t="s">
        <v>33</v>
      </c>
      <c r="D445" s="21">
        <v>0.01</v>
      </c>
      <c r="E445" s="21">
        <v>0</v>
      </c>
      <c r="F445" s="39">
        <f>+G442</f>
        <v>9875.5304999999989</v>
      </c>
      <c r="G445" s="23">
        <f>+(D445+D445*E445)*F445</f>
        <v>98.755304999999993</v>
      </c>
    </row>
    <row r="446" spans="2:7" x14ac:dyDescent="0.25">
      <c r="B446" s="12"/>
      <c r="C446" s="13"/>
      <c r="D446" s="14"/>
      <c r="E446" s="14"/>
      <c r="F446" s="15" t="s">
        <v>23</v>
      </c>
      <c r="G446" s="24">
        <f>SUM(G444:G445)</f>
        <v>698.75530500000002</v>
      </c>
    </row>
    <row r="447" spans="2:7" x14ac:dyDescent="0.25">
      <c r="B447" s="12"/>
      <c r="C447" s="13"/>
      <c r="D447" s="14"/>
      <c r="E447" s="14"/>
      <c r="F447" s="15"/>
      <c r="G447" s="26"/>
    </row>
    <row r="448" spans="2:7" x14ac:dyDescent="0.25">
      <c r="B448" s="243" t="s">
        <v>6</v>
      </c>
      <c r="C448" s="244"/>
      <c r="D448" s="244"/>
      <c r="E448" s="244"/>
      <c r="F448" s="244"/>
      <c r="G448" s="27">
        <f>+ROUND(G446+G442+G439,0)</f>
        <v>16789</v>
      </c>
    </row>
    <row r="449" spans="2:7" x14ac:dyDescent="0.25">
      <c r="B449" s="28" t="s">
        <v>24</v>
      </c>
      <c r="C449" s="29"/>
      <c r="D449" s="30"/>
      <c r="E449" s="14"/>
      <c r="F449" s="31"/>
      <c r="G449" s="32"/>
    </row>
    <row r="450" spans="2:7" x14ac:dyDescent="0.25">
      <c r="B450" s="33" t="s">
        <v>25</v>
      </c>
      <c r="C450" s="29"/>
      <c r="D450" s="34"/>
      <c r="E450" s="71">
        <v>0.25</v>
      </c>
      <c r="F450" s="35"/>
      <c r="G450" s="36">
        <f>ROUND(G448*E450,0)</f>
        <v>4197</v>
      </c>
    </row>
    <row r="451" spans="2:7" x14ac:dyDescent="0.25">
      <c r="B451" s="33" t="s">
        <v>8</v>
      </c>
      <c r="C451" s="29"/>
      <c r="D451" s="34"/>
      <c r="E451" s="71">
        <v>0.01</v>
      </c>
      <c r="F451" s="35"/>
      <c r="G451" s="36">
        <f>ROUND(G448*E451,0)</f>
        <v>168</v>
      </c>
    </row>
    <row r="452" spans="2:7" x14ac:dyDescent="0.25">
      <c r="B452" s="33" t="s">
        <v>9</v>
      </c>
      <c r="C452" s="29"/>
      <c r="D452" s="34"/>
      <c r="E452" s="71">
        <v>0.05</v>
      </c>
      <c r="F452" s="35"/>
      <c r="G452" s="36">
        <f>ROUND(G448*E452,0)</f>
        <v>839</v>
      </c>
    </row>
    <row r="453" spans="2:7" x14ac:dyDescent="0.25">
      <c r="B453" s="245" t="s">
        <v>26</v>
      </c>
      <c r="C453" s="246"/>
      <c r="D453" s="246"/>
      <c r="E453" s="246"/>
      <c r="F453" s="246"/>
      <c r="G453" s="37">
        <f>SUM(G450:G452)</f>
        <v>5204</v>
      </c>
    </row>
    <row r="454" spans="2:7" x14ac:dyDescent="0.25">
      <c r="B454" s="247" t="s">
        <v>27</v>
      </c>
      <c r="C454" s="248"/>
      <c r="D454" s="248"/>
      <c r="E454" s="248"/>
      <c r="F454" s="248"/>
      <c r="G454" s="38">
        <f>+G453+G448</f>
        <v>21993</v>
      </c>
    </row>
    <row r="459" spans="2:7" x14ac:dyDescent="0.25">
      <c r="B459" s="254" t="s">
        <v>222</v>
      </c>
      <c r="C459" s="255"/>
      <c r="D459" s="255"/>
      <c r="E459" s="255"/>
      <c r="F459" s="4"/>
      <c r="G459" s="5" t="s">
        <v>155</v>
      </c>
    </row>
    <row r="460" spans="2:7" x14ac:dyDescent="0.25">
      <c r="B460" s="256"/>
      <c r="C460" s="257"/>
      <c r="D460" s="257"/>
      <c r="E460" s="257"/>
      <c r="F460" s="6"/>
      <c r="G460" s="7"/>
    </row>
    <row r="461" spans="2:7" x14ac:dyDescent="0.25">
      <c r="B461" s="8" t="s">
        <v>15</v>
      </c>
      <c r="C461" s="9" t="s">
        <v>13</v>
      </c>
      <c r="D461" s="9" t="s">
        <v>16</v>
      </c>
      <c r="E461" s="9" t="s">
        <v>17</v>
      </c>
      <c r="F461" s="10" t="s">
        <v>18</v>
      </c>
      <c r="G461" s="11" t="s">
        <v>5</v>
      </c>
    </row>
    <row r="462" spans="2:7" x14ac:dyDescent="0.25">
      <c r="B462" s="12"/>
      <c r="C462" s="13"/>
      <c r="D462" s="14"/>
      <c r="E462" s="14"/>
      <c r="F462" s="15"/>
      <c r="G462" s="16"/>
    </row>
    <row r="463" spans="2:7" x14ac:dyDescent="0.25">
      <c r="B463" s="17" t="s">
        <v>29</v>
      </c>
      <c r="E463" s="14"/>
      <c r="F463" s="15"/>
      <c r="G463" s="16"/>
    </row>
    <row r="464" spans="2:7" x14ac:dyDescent="0.25">
      <c r="B464" s="73" t="s">
        <v>227</v>
      </c>
      <c r="C464" s="13" t="s">
        <v>13</v>
      </c>
      <c r="D464" s="13">
        <v>3.0000000000000001E-3</v>
      </c>
      <c r="E464" s="21">
        <v>0.05</v>
      </c>
      <c r="F464" s="22">
        <v>85900</v>
      </c>
      <c r="G464" s="23">
        <f>+(D464+D464*E464)*F464</f>
        <v>270.58499999999998</v>
      </c>
    </row>
    <row r="465" spans="2:7" x14ac:dyDescent="0.25">
      <c r="B465" s="73" t="s">
        <v>228</v>
      </c>
      <c r="C465" s="74" t="s">
        <v>237</v>
      </c>
      <c r="D465" s="67">
        <v>3</v>
      </c>
      <c r="E465" s="21">
        <v>0.05</v>
      </c>
      <c r="F465" s="22">
        <v>2500</v>
      </c>
      <c r="G465" s="23">
        <f t="shared" ref="G465:G472" si="12">+(D465+D465*E465)*F465</f>
        <v>7875</v>
      </c>
    </row>
    <row r="466" spans="2:7" x14ac:dyDescent="0.25">
      <c r="B466" s="73" t="s">
        <v>229</v>
      </c>
      <c r="C466" s="74" t="s">
        <v>237</v>
      </c>
      <c r="D466" s="67">
        <v>6</v>
      </c>
      <c r="E466" s="21">
        <v>0.05</v>
      </c>
      <c r="F466" s="22">
        <v>3500</v>
      </c>
      <c r="G466" s="23">
        <f>+(D466+D466*E466)*F466</f>
        <v>22050</v>
      </c>
    </row>
    <row r="467" spans="2:7" x14ac:dyDescent="0.25">
      <c r="B467" s="73" t="s">
        <v>230</v>
      </c>
      <c r="C467" s="74" t="s">
        <v>13</v>
      </c>
      <c r="D467" s="67">
        <v>2</v>
      </c>
      <c r="E467" s="21">
        <v>0</v>
      </c>
      <c r="F467" s="22">
        <v>700</v>
      </c>
      <c r="G467" s="23">
        <f t="shared" si="12"/>
        <v>1400</v>
      </c>
    </row>
    <row r="468" spans="2:7" x14ac:dyDescent="0.25">
      <c r="B468" s="73" t="s">
        <v>231</v>
      </c>
      <c r="C468" s="74" t="s">
        <v>13</v>
      </c>
      <c r="D468" s="67">
        <v>3.0000000000000001E-3</v>
      </c>
      <c r="E468" s="21">
        <v>0.05</v>
      </c>
      <c r="F468" s="22">
        <v>52500</v>
      </c>
      <c r="G468" s="23">
        <f t="shared" si="12"/>
        <v>165.375</v>
      </c>
    </row>
    <row r="469" spans="2:7" x14ac:dyDescent="0.25">
      <c r="B469" s="73" t="s">
        <v>232</v>
      </c>
      <c r="C469" s="74" t="s">
        <v>13</v>
      </c>
      <c r="D469" s="67">
        <v>1</v>
      </c>
      <c r="E469" s="21">
        <v>0.05</v>
      </c>
      <c r="F469" s="22">
        <v>15000</v>
      </c>
      <c r="G469" s="23">
        <f t="shared" si="12"/>
        <v>15750</v>
      </c>
    </row>
    <row r="470" spans="2:7" x14ac:dyDescent="0.25">
      <c r="B470" s="73" t="s">
        <v>233</v>
      </c>
      <c r="C470" s="74" t="s">
        <v>13</v>
      </c>
      <c r="D470" s="67">
        <v>1</v>
      </c>
      <c r="E470" s="21">
        <v>0</v>
      </c>
      <c r="F470" s="22">
        <v>3000</v>
      </c>
      <c r="G470" s="23">
        <f t="shared" si="12"/>
        <v>3000</v>
      </c>
    </row>
    <row r="471" spans="2:7" x14ac:dyDescent="0.25">
      <c r="B471" s="73" t="s">
        <v>234</v>
      </c>
      <c r="C471" s="74" t="s">
        <v>156</v>
      </c>
      <c r="D471" s="67">
        <v>0.1</v>
      </c>
      <c r="E471" s="21">
        <v>0</v>
      </c>
      <c r="F471" s="22">
        <v>19500</v>
      </c>
      <c r="G471" s="23">
        <f t="shared" si="12"/>
        <v>1950</v>
      </c>
    </row>
    <row r="472" spans="2:7" x14ac:dyDescent="0.25">
      <c r="B472" s="73" t="s">
        <v>235</v>
      </c>
      <c r="C472" s="74" t="s">
        <v>13</v>
      </c>
      <c r="D472" s="67">
        <v>0.01</v>
      </c>
      <c r="E472" s="21">
        <v>0</v>
      </c>
      <c r="F472" s="22">
        <v>29900</v>
      </c>
      <c r="G472" s="23">
        <f t="shared" si="12"/>
        <v>299</v>
      </c>
    </row>
    <row r="473" spans="2:7" x14ac:dyDescent="0.25">
      <c r="B473" s="12"/>
      <c r="C473" s="74"/>
      <c r="D473" s="14"/>
      <c r="E473" s="14"/>
      <c r="F473" s="15" t="s">
        <v>30</v>
      </c>
      <c r="G473" s="24">
        <f>SUM(G464:G472)</f>
        <v>52759.96</v>
      </c>
    </row>
    <row r="474" spans="2:7" x14ac:dyDescent="0.25">
      <c r="B474" s="17" t="s">
        <v>19</v>
      </c>
      <c r="C474" s="13"/>
      <c r="D474" s="14"/>
      <c r="E474" s="14"/>
      <c r="F474" s="15"/>
      <c r="G474" s="16"/>
    </row>
    <row r="475" spans="2:7" x14ac:dyDescent="0.25">
      <c r="B475" s="18" t="s">
        <v>236</v>
      </c>
      <c r="C475" s="19" t="s">
        <v>20</v>
      </c>
      <c r="D475" s="20">
        <v>0.85</v>
      </c>
      <c r="E475" s="21">
        <v>0</v>
      </c>
      <c r="F475" s="22">
        <v>33068.769999999997</v>
      </c>
      <c r="G475" s="23">
        <f>+(D475+D475*E475)*F475</f>
        <v>28108.454499999996</v>
      </c>
    </row>
    <row r="476" spans="2:7" x14ac:dyDescent="0.25">
      <c r="B476" s="12"/>
      <c r="C476" s="13"/>
      <c r="D476" s="14"/>
      <c r="E476" s="14"/>
      <c r="F476" s="15" t="s">
        <v>21</v>
      </c>
      <c r="G476" s="24">
        <f>SUM(G475:G475)</f>
        <v>28108.454499999996</v>
      </c>
    </row>
    <row r="477" spans="2:7" x14ac:dyDescent="0.25">
      <c r="B477" s="25" t="s">
        <v>22</v>
      </c>
      <c r="C477" s="13"/>
      <c r="D477" s="14"/>
      <c r="E477" s="14"/>
      <c r="F477" s="15"/>
      <c r="G477" s="26"/>
    </row>
    <row r="478" spans="2:7" x14ac:dyDescent="0.25">
      <c r="B478" s="18" t="s">
        <v>32</v>
      </c>
      <c r="C478" s="19" t="s">
        <v>33</v>
      </c>
      <c r="D478" s="21">
        <v>0.01</v>
      </c>
      <c r="E478" s="21">
        <v>0</v>
      </c>
      <c r="F478" s="39">
        <f>+G476</f>
        <v>28108.454499999996</v>
      </c>
      <c r="G478" s="23">
        <f>+(D478+D478*E478)*F478</f>
        <v>281.08454499999999</v>
      </c>
    </row>
    <row r="479" spans="2:7" x14ac:dyDescent="0.25">
      <c r="B479" s="12"/>
      <c r="C479" s="13"/>
      <c r="D479" s="14"/>
      <c r="E479" s="14"/>
      <c r="F479" s="15" t="s">
        <v>23</v>
      </c>
      <c r="G479" s="24">
        <f>SUM(G478:G478)</f>
        <v>281.08454499999999</v>
      </c>
    </row>
    <row r="480" spans="2:7" x14ac:dyDescent="0.25">
      <c r="B480" s="12"/>
      <c r="C480" s="13"/>
      <c r="D480" s="14"/>
      <c r="E480" s="14"/>
      <c r="F480" s="15"/>
      <c r="G480" s="26"/>
    </row>
    <row r="481" spans="2:7" x14ac:dyDescent="0.25">
      <c r="B481" s="243" t="s">
        <v>6</v>
      </c>
      <c r="C481" s="244"/>
      <c r="D481" s="244"/>
      <c r="E481" s="244"/>
      <c r="F481" s="244"/>
      <c r="G481" s="27">
        <f>+ROUND(G479+G476+G473,0)</f>
        <v>81149</v>
      </c>
    </row>
    <row r="482" spans="2:7" x14ac:dyDescent="0.25">
      <c r="B482" s="28" t="s">
        <v>24</v>
      </c>
      <c r="C482" s="29"/>
      <c r="D482" s="30"/>
      <c r="E482" s="14"/>
      <c r="F482" s="31"/>
      <c r="G482" s="32"/>
    </row>
    <row r="483" spans="2:7" x14ac:dyDescent="0.25">
      <c r="B483" s="33" t="s">
        <v>25</v>
      </c>
      <c r="C483" s="29"/>
      <c r="D483" s="34"/>
      <c r="E483" s="71">
        <v>0.25</v>
      </c>
      <c r="F483" s="35"/>
      <c r="G483" s="36">
        <f>ROUND(G481*E483,0)</f>
        <v>20287</v>
      </c>
    </row>
    <row r="484" spans="2:7" x14ac:dyDescent="0.25">
      <c r="B484" s="33" t="s">
        <v>8</v>
      </c>
      <c r="C484" s="29"/>
      <c r="D484" s="34"/>
      <c r="E484" s="71">
        <v>0.01</v>
      </c>
      <c r="F484" s="35"/>
      <c r="G484" s="36">
        <f>ROUND(G481*E484,0)</f>
        <v>811</v>
      </c>
    </row>
    <row r="485" spans="2:7" x14ac:dyDescent="0.25">
      <c r="B485" s="33" t="s">
        <v>9</v>
      </c>
      <c r="C485" s="29"/>
      <c r="D485" s="34"/>
      <c r="E485" s="71">
        <v>0.05</v>
      </c>
      <c r="F485" s="35"/>
      <c r="G485" s="36">
        <f>ROUND(G481*E485,0)</f>
        <v>4057</v>
      </c>
    </row>
    <row r="486" spans="2:7" x14ac:dyDescent="0.25">
      <c r="B486" s="245" t="s">
        <v>26</v>
      </c>
      <c r="C486" s="246"/>
      <c r="D486" s="246"/>
      <c r="E486" s="246"/>
      <c r="F486" s="246"/>
      <c r="G486" s="37">
        <f>SUM(G483:G485)</f>
        <v>25155</v>
      </c>
    </row>
    <row r="487" spans="2:7" x14ac:dyDescent="0.25">
      <c r="B487" s="247" t="s">
        <v>27</v>
      </c>
      <c r="C487" s="248"/>
      <c r="D487" s="248"/>
      <c r="E487" s="248"/>
      <c r="F487" s="248"/>
      <c r="G487" s="38">
        <f>+G486+G481</f>
        <v>106304</v>
      </c>
    </row>
    <row r="492" spans="2:7" x14ac:dyDescent="0.25">
      <c r="B492" s="254" t="s">
        <v>238</v>
      </c>
      <c r="C492" s="255"/>
      <c r="D492" s="255"/>
      <c r="E492" s="255"/>
      <c r="F492" s="4"/>
      <c r="G492" s="5" t="s">
        <v>125</v>
      </c>
    </row>
    <row r="493" spans="2:7" x14ac:dyDescent="0.25">
      <c r="B493" s="256"/>
      <c r="C493" s="257"/>
      <c r="D493" s="257"/>
      <c r="E493" s="257"/>
      <c r="F493" s="6"/>
      <c r="G493" s="7"/>
    </row>
    <row r="494" spans="2:7" x14ac:dyDescent="0.25">
      <c r="B494" s="8" t="s">
        <v>15</v>
      </c>
      <c r="C494" s="9" t="s">
        <v>13</v>
      </c>
      <c r="D494" s="9" t="s">
        <v>16</v>
      </c>
      <c r="E494" s="9" t="s">
        <v>17</v>
      </c>
      <c r="F494" s="10" t="s">
        <v>18</v>
      </c>
      <c r="G494" s="11" t="s">
        <v>5</v>
      </c>
    </row>
    <row r="495" spans="2:7" x14ac:dyDescent="0.25">
      <c r="B495" s="12"/>
      <c r="C495" s="13"/>
      <c r="D495" s="14"/>
      <c r="E495" s="14"/>
      <c r="F495" s="15"/>
      <c r="G495" s="16"/>
    </row>
    <row r="496" spans="2:7" x14ac:dyDescent="0.25">
      <c r="B496" s="17" t="s">
        <v>29</v>
      </c>
      <c r="E496" s="14"/>
      <c r="F496" s="15"/>
      <c r="G496" s="16"/>
    </row>
    <row r="497" spans="2:7" x14ac:dyDescent="0.25">
      <c r="B497" s="73" t="s">
        <v>227</v>
      </c>
      <c r="C497" s="13" t="s">
        <v>13</v>
      </c>
      <c r="D497" s="13">
        <v>3.0000000000000001E-3</v>
      </c>
      <c r="E497" s="21">
        <v>0.02</v>
      </c>
      <c r="F497" s="22">
        <v>85900</v>
      </c>
      <c r="G497" s="23">
        <f>+(D497+D497*E497)*F497</f>
        <v>262.85400000000004</v>
      </c>
    </row>
    <row r="498" spans="2:7" x14ac:dyDescent="0.25">
      <c r="B498" s="73" t="s">
        <v>239</v>
      </c>
      <c r="C498" s="74" t="s">
        <v>126</v>
      </c>
      <c r="D498" s="67">
        <v>2</v>
      </c>
      <c r="E498" s="21">
        <v>0.05</v>
      </c>
      <c r="F498" s="22">
        <v>8000</v>
      </c>
      <c r="G498" s="23">
        <f t="shared" ref="G498" si="13">+(D498+D498*E498)*F498</f>
        <v>16800</v>
      </c>
    </row>
    <row r="499" spans="2:7" x14ac:dyDescent="0.25">
      <c r="B499" s="73" t="s">
        <v>152</v>
      </c>
      <c r="C499" s="74" t="s">
        <v>13</v>
      </c>
      <c r="D499" s="67">
        <v>3.0000000000000001E-3</v>
      </c>
      <c r="E499" s="21">
        <v>0.02</v>
      </c>
      <c r="F499" s="22">
        <v>52500</v>
      </c>
      <c r="G499" s="23">
        <f>+(D499+D499*E499)*F499</f>
        <v>160.65</v>
      </c>
    </row>
    <row r="500" spans="2:7" x14ac:dyDescent="0.25">
      <c r="B500" s="73" t="s">
        <v>240</v>
      </c>
      <c r="C500" s="74" t="s">
        <v>13</v>
      </c>
      <c r="D500" s="67">
        <v>0.33300000000000002</v>
      </c>
      <c r="E500" s="21">
        <v>0.05</v>
      </c>
      <c r="F500" s="22">
        <v>10900</v>
      </c>
      <c r="G500" s="23">
        <f t="shared" ref="G500" si="14">+(D500+D500*E500)*F500</f>
        <v>3811.1850000000004</v>
      </c>
    </row>
    <row r="501" spans="2:7" x14ac:dyDescent="0.25">
      <c r="B501" s="12"/>
      <c r="C501" s="74"/>
      <c r="D501" s="14"/>
      <c r="E501" s="14"/>
      <c r="F501" s="15" t="s">
        <v>30</v>
      </c>
      <c r="G501" s="24">
        <f>SUM(G497:G500)</f>
        <v>21034.689000000002</v>
      </c>
    </row>
    <row r="502" spans="2:7" x14ac:dyDescent="0.25">
      <c r="B502" s="17" t="s">
        <v>19</v>
      </c>
      <c r="C502" s="13"/>
      <c r="D502" s="14"/>
      <c r="E502" s="14"/>
      <c r="F502" s="15"/>
      <c r="G502" s="16"/>
    </row>
    <row r="503" spans="2:7" x14ac:dyDescent="0.25">
      <c r="B503" s="18" t="s">
        <v>236</v>
      </c>
      <c r="C503" s="19" t="s">
        <v>20</v>
      </c>
      <c r="D503" s="20">
        <v>0.25</v>
      </c>
      <c r="E503" s="21">
        <v>0</v>
      </c>
      <c r="F503" s="22">
        <f>+F475</f>
        <v>33068.769999999997</v>
      </c>
      <c r="G503" s="23">
        <f>+(D503+D503*E503)*F503</f>
        <v>8267.1924999999992</v>
      </c>
    </row>
    <row r="504" spans="2:7" x14ac:dyDescent="0.25">
      <c r="B504" s="12"/>
      <c r="C504" s="13"/>
      <c r="D504" s="14"/>
      <c r="E504" s="14"/>
      <c r="F504" s="15" t="s">
        <v>21</v>
      </c>
      <c r="G504" s="24">
        <f>SUM(G503:G503)</f>
        <v>8267.1924999999992</v>
      </c>
    </row>
    <row r="505" spans="2:7" x14ac:dyDescent="0.25">
      <c r="B505" s="25" t="s">
        <v>22</v>
      </c>
      <c r="C505" s="13"/>
      <c r="D505" s="14"/>
      <c r="E505" s="14"/>
      <c r="F505" s="15"/>
      <c r="G505" s="26"/>
    </row>
    <row r="506" spans="2:7" x14ac:dyDescent="0.25">
      <c r="B506" s="18" t="s">
        <v>32</v>
      </c>
      <c r="C506" s="19" t="s">
        <v>33</v>
      </c>
      <c r="D506" s="21">
        <v>0.03</v>
      </c>
      <c r="E506" s="21">
        <v>0</v>
      </c>
      <c r="F506" s="39">
        <f>+G504</f>
        <v>8267.1924999999992</v>
      </c>
      <c r="G506" s="23">
        <f>+(D506+D506*E506)*F506</f>
        <v>248.01577499999996</v>
      </c>
    </row>
    <row r="507" spans="2:7" x14ac:dyDescent="0.25">
      <c r="B507" s="12"/>
      <c r="C507" s="13"/>
      <c r="D507" s="14"/>
      <c r="E507" s="14"/>
      <c r="F507" s="15" t="s">
        <v>23</v>
      </c>
      <c r="G507" s="24">
        <f>SUM(G506:G506)</f>
        <v>248.01577499999996</v>
      </c>
    </row>
    <row r="508" spans="2:7" x14ac:dyDescent="0.25">
      <c r="B508" s="12"/>
      <c r="C508" s="13"/>
      <c r="D508" s="14"/>
      <c r="E508" s="14"/>
      <c r="F508" s="15"/>
      <c r="G508" s="26"/>
    </row>
    <row r="509" spans="2:7" x14ac:dyDescent="0.25">
      <c r="B509" s="243" t="s">
        <v>6</v>
      </c>
      <c r="C509" s="244"/>
      <c r="D509" s="244"/>
      <c r="E509" s="244"/>
      <c r="F509" s="244"/>
      <c r="G509" s="27">
        <f>+ROUND(G507+G504+G501,0)</f>
        <v>29550</v>
      </c>
    </row>
    <row r="510" spans="2:7" x14ac:dyDescent="0.25">
      <c r="B510" s="28" t="s">
        <v>24</v>
      </c>
      <c r="C510" s="29"/>
      <c r="D510" s="30"/>
      <c r="E510" s="14"/>
      <c r="F510" s="31"/>
      <c r="G510" s="32"/>
    </row>
    <row r="511" spans="2:7" x14ac:dyDescent="0.25">
      <c r="B511" s="33" t="s">
        <v>25</v>
      </c>
      <c r="C511" s="29"/>
      <c r="D511" s="34"/>
      <c r="E511" s="71">
        <v>0.25</v>
      </c>
      <c r="F511" s="35"/>
      <c r="G511" s="36">
        <f>ROUND(G509*E511,0)</f>
        <v>7388</v>
      </c>
    </row>
    <row r="512" spans="2:7" x14ac:dyDescent="0.25">
      <c r="B512" s="33" t="s">
        <v>8</v>
      </c>
      <c r="C512" s="29"/>
      <c r="D512" s="34"/>
      <c r="E512" s="71">
        <v>0.01</v>
      </c>
      <c r="F512" s="35"/>
      <c r="G512" s="36">
        <f>ROUND(G509*E512,0)</f>
        <v>296</v>
      </c>
    </row>
    <row r="513" spans="2:7" x14ac:dyDescent="0.25">
      <c r="B513" s="33" t="s">
        <v>9</v>
      </c>
      <c r="C513" s="29"/>
      <c r="D513" s="34"/>
      <c r="E513" s="71">
        <v>0.05</v>
      </c>
      <c r="F513" s="35"/>
      <c r="G513" s="36">
        <f>ROUND(G509*E513,0)</f>
        <v>1478</v>
      </c>
    </row>
    <row r="514" spans="2:7" x14ac:dyDescent="0.25">
      <c r="B514" s="245" t="s">
        <v>26</v>
      </c>
      <c r="C514" s="246"/>
      <c r="D514" s="246"/>
      <c r="E514" s="246"/>
      <c r="F514" s="246"/>
      <c r="G514" s="37">
        <f>SUM(G511:G513)</f>
        <v>9162</v>
      </c>
    </row>
    <row r="515" spans="2:7" x14ac:dyDescent="0.25">
      <c r="B515" s="247" t="s">
        <v>27</v>
      </c>
      <c r="C515" s="248"/>
      <c r="D515" s="248"/>
      <c r="E515" s="248"/>
      <c r="F515" s="248"/>
      <c r="G515" s="38">
        <f>+G514+G509</f>
        <v>38712</v>
      </c>
    </row>
    <row r="519" spans="2:7" x14ac:dyDescent="0.25">
      <c r="B519" s="254" t="s">
        <v>241</v>
      </c>
      <c r="C519" s="255"/>
      <c r="D519" s="255"/>
      <c r="E519" s="255"/>
      <c r="F519" s="4"/>
      <c r="G519" s="5" t="s">
        <v>242</v>
      </c>
    </row>
    <row r="520" spans="2:7" x14ac:dyDescent="0.25">
      <c r="B520" s="256"/>
      <c r="C520" s="257"/>
      <c r="D520" s="257"/>
      <c r="E520" s="257"/>
      <c r="F520" s="6"/>
      <c r="G520" s="7"/>
    </row>
    <row r="521" spans="2:7" x14ac:dyDescent="0.25">
      <c r="B521" s="8" t="s">
        <v>15</v>
      </c>
      <c r="C521" s="9" t="s">
        <v>13</v>
      </c>
      <c r="D521" s="9" t="s">
        <v>16</v>
      </c>
      <c r="E521" s="9" t="s">
        <v>17</v>
      </c>
      <c r="F521" s="10" t="s">
        <v>18</v>
      </c>
      <c r="G521" s="11" t="s">
        <v>5</v>
      </c>
    </row>
    <row r="522" spans="2:7" x14ac:dyDescent="0.25">
      <c r="B522" s="12"/>
      <c r="C522" s="13"/>
      <c r="D522" s="14"/>
      <c r="E522" s="14"/>
      <c r="F522" s="15"/>
      <c r="G522" s="16"/>
    </row>
    <row r="523" spans="2:7" x14ac:dyDescent="0.25">
      <c r="B523" s="17" t="s">
        <v>29</v>
      </c>
      <c r="E523" s="14"/>
      <c r="F523" s="15"/>
      <c r="G523" s="16"/>
    </row>
    <row r="524" spans="2:7" x14ac:dyDescent="0.25">
      <c r="B524" s="73" t="s">
        <v>241</v>
      </c>
      <c r="C524" s="13" t="s">
        <v>13</v>
      </c>
      <c r="D524" s="13">
        <v>1</v>
      </c>
      <c r="E524" s="21">
        <v>0</v>
      </c>
      <c r="F524" s="22">
        <v>46900</v>
      </c>
      <c r="G524" s="23">
        <f>+(D524+D524*E524)*F524</f>
        <v>46900</v>
      </c>
    </row>
    <row r="525" spans="2:7" x14ac:dyDescent="0.25">
      <c r="B525" s="73" t="s">
        <v>235</v>
      </c>
      <c r="C525" s="74" t="s">
        <v>13</v>
      </c>
      <c r="D525" s="67">
        <v>0.05</v>
      </c>
      <c r="E525" s="21">
        <v>0</v>
      </c>
      <c r="F525" s="22">
        <v>29000</v>
      </c>
      <c r="G525" s="23">
        <f t="shared" ref="G525" si="15">+(D525+D525*E525)*F525</f>
        <v>1450</v>
      </c>
    </row>
    <row r="526" spans="2:7" x14ac:dyDescent="0.25">
      <c r="B526" s="12"/>
      <c r="C526" s="74"/>
      <c r="D526" s="14"/>
      <c r="E526" s="14"/>
      <c r="F526" s="15" t="s">
        <v>30</v>
      </c>
      <c r="G526" s="24">
        <f>SUM(G524:G525)</f>
        <v>48350</v>
      </c>
    </row>
    <row r="527" spans="2:7" x14ac:dyDescent="0.25">
      <c r="B527" s="17" t="s">
        <v>19</v>
      </c>
      <c r="C527" s="13"/>
      <c r="D527" s="14"/>
      <c r="E527" s="14"/>
      <c r="F527" s="15"/>
      <c r="G527" s="16"/>
    </row>
    <row r="528" spans="2:7" x14ac:dyDescent="0.25">
      <c r="B528" s="18" t="s">
        <v>236</v>
      </c>
      <c r="C528" s="19" t="s">
        <v>20</v>
      </c>
      <c r="D528" s="20">
        <v>0.5</v>
      </c>
      <c r="E528" s="21">
        <v>0</v>
      </c>
      <c r="F528" s="22">
        <f>+F503</f>
        <v>33068.769999999997</v>
      </c>
      <c r="G528" s="23">
        <f>+(D528+D528*E528)*F528</f>
        <v>16534.384999999998</v>
      </c>
    </row>
    <row r="529" spans="2:7" x14ac:dyDescent="0.25">
      <c r="B529" s="12"/>
      <c r="C529" s="13"/>
      <c r="D529" s="14"/>
      <c r="E529" s="14"/>
      <c r="F529" s="15" t="s">
        <v>21</v>
      </c>
      <c r="G529" s="24">
        <f>SUM(G528:G528)</f>
        <v>16534.384999999998</v>
      </c>
    </row>
    <row r="530" spans="2:7" x14ac:dyDescent="0.25">
      <c r="B530" s="25" t="s">
        <v>22</v>
      </c>
      <c r="C530" s="13"/>
      <c r="D530" s="14"/>
      <c r="E530" s="14"/>
      <c r="F530" s="15"/>
      <c r="G530" s="26"/>
    </row>
    <row r="531" spans="2:7" x14ac:dyDescent="0.25">
      <c r="B531" s="18" t="s">
        <v>32</v>
      </c>
      <c r="C531" s="19" t="s">
        <v>33</v>
      </c>
      <c r="D531" s="21">
        <v>0.05</v>
      </c>
      <c r="E531" s="21">
        <v>0</v>
      </c>
      <c r="F531" s="39">
        <f>+G529</f>
        <v>16534.384999999998</v>
      </c>
      <c r="G531" s="23">
        <f>+(D531+D531*E531)*F531</f>
        <v>826.71924999999999</v>
      </c>
    </row>
    <row r="532" spans="2:7" x14ac:dyDescent="0.25">
      <c r="B532" s="12"/>
      <c r="C532" s="13"/>
      <c r="D532" s="14"/>
      <c r="E532" s="14"/>
      <c r="F532" s="15" t="s">
        <v>23</v>
      </c>
      <c r="G532" s="24">
        <f>SUM(G531:G531)</f>
        <v>826.71924999999999</v>
      </c>
    </row>
    <row r="533" spans="2:7" x14ac:dyDescent="0.25">
      <c r="B533" s="12"/>
      <c r="C533" s="13"/>
      <c r="D533" s="14"/>
      <c r="E533" s="14"/>
      <c r="F533" s="15"/>
      <c r="G533" s="26"/>
    </row>
    <row r="534" spans="2:7" x14ac:dyDescent="0.25">
      <c r="B534" s="243" t="s">
        <v>6</v>
      </c>
      <c r="C534" s="244"/>
      <c r="D534" s="244"/>
      <c r="E534" s="244"/>
      <c r="F534" s="244"/>
      <c r="G534" s="27">
        <f>+ROUND(G532+G529+G526,0)</f>
        <v>65711</v>
      </c>
    </row>
    <row r="535" spans="2:7" x14ac:dyDescent="0.25">
      <c r="B535" s="28" t="s">
        <v>24</v>
      </c>
      <c r="C535" s="29"/>
      <c r="D535" s="30"/>
      <c r="E535" s="14"/>
      <c r="F535" s="31"/>
      <c r="G535" s="32"/>
    </row>
    <row r="536" spans="2:7" x14ac:dyDescent="0.25">
      <c r="B536" s="33" t="s">
        <v>25</v>
      </c>
      <c r="C536" s="29"/>
      <c r="D536" s="34"/>
      <c r="E536" s="71">
        <v>0.25</v>
      </c>
      <c r="F536" s="35"/>
      <c r="G536" s="36">
        <f>ROUND(G534*E536,0)</f>
        <v>16428</v>
      </c>
    </row>
    <row r="537" spans="2:7" x14ac:dyDescent="0.25">
      <c r="B537" s="33" t="s">
        <v>8</v>
      </c>
      <c r="C537" s="29"/>
      <c r="D537" s="34"/>
      <c r="E537" s="71">
        <v>0.01</v>
      </c>
      <c r="F537" s="35"/>
      <c r="G537" s="36">
        <f>ROUND(G534*E537,0)</f>
        <v>657</v>
      </c>
    </row>
    <row r="538" spans="2:7" x14ac:dyDescent="0.25">
      <c r="B538" s="33" t="s">
        <v>9</v>
      </c>
      <c r="C538" s="29"/>
      <c r="D538" s="34"/>
      <c r="E538" s="71">
        <v>0.05</v>
      </c>
      <c r="F538" s="35"/>
      <c r="G538" s="36">
        <f>ROUND(G534*E538,0)</f>
        <v>3286</v>
      </c>
    </row>
    <row r="539" spans="2:7" x14ac:dyDescent="0.25">
      <c r="B539" s="245" t="s">
        <v>26</v>
      </c>
      <c r="C539" s="246"/>
      <c r="D539" s="246"/>
      <c r="E539" s="246"/>
      <c r="F539" s="246"/>
      <c r="G539" s="37">
        <f>SUM(G536:G538)</f>
        <v>20371</v>
      </c>
    </row>
    <row r="540" spans="2:7" x14ac:dyDescent="0.25">
      <c r="B540" s="247" t="s">
        <v>27</v>
      </c>
      <c r="C540" s="248"/>
      <c r="D540" s="248"/>
      <c r="E540" s="248"/>
      <c r="F540" s="248"/>
      <c r="G540" s="38">
        <f>+G539+G534</f>
        <v>86082</v>
      </c>
    </row>
    <row r="544" spans="2:7" x14ac:dyDescent="0.25">
      <c r="B544" s="92"/>
      <c r="G544" s="93"/>
    </row>
    <row r="545" spans="2:7" x14ac:dyDescent="0.25">
      <c r="B545" s="92"/>
      <c r="G545" s="93"/>
    </row>
    <row r="546" spans="2:7" x14ac:dyDescent="0.25">
      <c r="B546" s="254" t="s">
        <v>149</v>
      </c>
      <c r="C546" s="255"/>
      <c r="D546" s="255"/>
      <c r="E546" s="255"/>
      <c r="F546" s="4"/>
      <c r="G546" s="5" t="s">
        <v>170</v>
      </c>
    </row>
    <row r="547" spans="2:7" x14ac:dyDescent="0.25">
      <c r="B547" s="256"/>
      <c r="C547" s="257"/>
      <c r="D547" s="257"/>
      <c r="E547" s="257"/>
      <c r="F547" s="6"/>
      <c r="G547" s="7"/>
    </row>
    <row r="548" spans="2:7" x14ac:dyDescent="0.25">
      <c r="B548" s="8" t="s">
        <v>15</v>
      </c>
      <c r="C548" s="9" t="s">
        <v>13</v>
      </c>
      <c r="D548" s="9" t="s">
        <v>16</v>
      </c>
      <c r="E548" s="9" t="s">
        <v>17</v>
      </c>
      <c r="F548" s="10" t="s">
        <v>18</v>
      </c>
      <c r="G548" s="11" t="s">
        <v>5</v>
      </c>
    </row>
    <row r="549" spans="2:7" x14ac:dyDescent="0.25">
      <c r="B549" s="12"/>
      <c r="C549" s="13"/>
      <c r="D549" s="14"/>
      <c r="E549" s="14"/>
      <c r="F549" s="15"/>
      <c r="G549" s="16"/>
    </row>
    <row r="550" spans="2:7" x14ac:dyDescent="0.25">
      <c r="B550" s="17" t="s">
        <v>19</v>
      </c>
      <c r="C550" s="13"/>
      <c r="D550" s="14"/>
      <c r="E550" s="14"/>
      <c r="F550" s="15"/>
      <c r="G550" s="16"/>
    </row>
    <row r="551" spans="2:7" x14ac:dyDescent="0.25">
      <c r="B551" s="18" t="s">
        <v>171</v>
      </c>
      <c r="C551" s="19" t="s">
        <v>20</v>
      </c>
      <c r="D551" s="20">
        <v>1.5</v>
      </c>
      <c r="E551" s="21">
        <v>0</v>
      </c>
      <c r="F551" s="22">
        <f>'MANO DE OBRA'!D17/8+'MANO DE OBRA'!D32/8</f>
        <v>29626.59375</v>
      </c>
      <c r="G551" s="23">
        <f>+(D551+D551*E551)*F551</f>
        <v>44439.890625</v>
      </c>
    </row>
    <row r="552" spans="2:7" x14ac:dyDescent="0.25">
      <c r="B552" s="12"/>
      <c r="C552" s="13"/>
      <c r="D552" s="14"/>
      <c r="E552" s="14"/>
      <c r="F552" s="15" t="s">
        <v>21</v>
      </c>
      <c r="G552" s="24">
        <f>SUM(G551:G551)</f>
        <v>44439.890625</v>
      </c>
    </row>
    <row r="553" spans="2:7" x14ac:dyDescent="0.25">
      <c r="B553" s="25" t="s">
        <v>22</v>
      </c>
      <c r="C553" s="13"/>
      <c r="D553" s="14"/>
      <c r="E553" s="14"/>
      <c r="F553" s="15"/>
      <c r="G553" s="26"/>
    </row>
    <row r="554" spans="2:7" x14ac:dyDescent="0.25">
      <c r="B554" s="18" t="s">
        <v>32</v>
      </c>
      <c r="C554" s="19" t="s">
        <v>33</v>
      </c>
      <c r="D554" s="21">
        <v>0.05</v>
      </c>
      <c r="E554" s="21">
        <v>0</v>
      </c>
      <c r="F554" s="39">
        <f>+G552</f>
        <v>44439.890625</v>
      </c>
      <c r="G554" s="23">
        <f>+(D554+D554*E554)*F554</f>
        <v>2221.9945312499999</v>
      </c>
    </row>
    <row r="555" spans="2:7" x14ac:dyDescent="0.25">
      <c r="B555" s="12"/>
      <c r="C555" s="13"/>
      <c r="D555" s="14"/>
      <c r="E555" s="14"/>
      <c r="F555" s="15" t="s">
        <v>23</v>
      </c>
      <c r="G555" s="24">
        <f>SUM(G554:G554)</f>
        <v>2221.9945312499999</v>
      </c>
    </row>
    <row r="556" spans="2:7" x14ac:dyDescent="0.25">
      <c r="B556" s="12"/>
      <c r="C556" s="13"/>
      <c r="D556" s="14"/>
      <c r="E556" s="14"/>
      <c r="F556" s="15"/>
      <c r="G556" s="26"/>
    </row>
    <row r="557" spans="2:7" x14ac:dyDescent="0.25">
      <c r="B557" s="243" t="s">
        <v>6</v>
      </c>
      <c r="C557" s="244"/>
      <c r="D557" s="244"/>
      <c r="E557" s="244"/>
      <c r="F557" s="244"/>
      <c r="G557" s="27">
        <f>+ROUND(G555+G552,0)</f>
        <v>46662</v>
      </c>
    </row>
    <row r="558" spans="2:7" x14ac:dyDescent="0.25">
      <c r="B558" s="28" t="s">
        <v>24</v>
      </c>
      <c r="C558" s="29"/>
      <c r="D558" s="30"/>
      <c r="E558" s="14"/>
      <c r="F558" s="31"/>
      <c r="G558" s="32"/>
    </row>
    <row r="559" spans="2:7" x14ac:dyDescent="0.25">
      <c r="B559" s="33" t="s">
        <v>25</v>
      </c>
      <c r="C559" s="29"/>
      <c r="D559" s="34"/>
      <c r="E559" s="71">
        <v>0.25</v>
      </c>
      <c r="F559" s="35"/>
      <c r="G559" s="36">
        <f>ROUND(G557*E559,0)</f>
        <v>11666</v>
      </c>
    </row>
    <row r="560" spans="2:7" x14ac:dyDescent="0.25">
      <c r="B560" s="33" t="s">
        <v>8</v>
      </c>
      <c r="C560" s="29"/>
      <c r="D560" s="34"/>
      <c r="E560" s="71">
        <v>0.01</v>
      </c>
      <c r="F560" s="35"/>
      <c r="G560" s="36">
        <f>ROUND(G557*E560,0)</f>
        <v>467</v>
      </c>
    </row>
    <row r="561" spans="2:7" x14ac:dyDescent="0.25">
      <c r="B561" s="33" t="s">
        <v>9</v>
      </c>
      <c r="C561" s="29"/>
      <c r="D561" s="34"/>
      <c r="E561" s="71">
        <v>0.05</v>
      </c>
      <c r="F561" s="35"/>
      <c r="G561" s="36">
        <f>ROUND(G557*E561,0)</f>
        <v>2333</v>
      </c>
    </row>
    <row r="562" spans="2:7" x14ac:dyDescent="0.25">
      <c r="B562" s="245" t="s">
        <v>26</v>
      </c>
      <c r="C562" s="246"/>
      <c r="D562" s="246"/>
      <c r="E562" s="246"/>
      <c r="F562" s="246"/>
      <c r="G562" s="37">
        <f>SUM(G559:G561)</f>
        <v>14466</v>
      </c>
    </row>
    <row r="563" spans="2:7" x14ac:dyDescent="0.25">
      <c r="B563" s="247" t="s">
        <v>27</v>
      </c>
      <c r="C563" s="248"/>
      <c r="D563" s="248"/>
      <c r="E563" s="248"/>
      <c r="F563" s="248"/>
      <c r="G563" s="38">
        <f>+G562+G557</f>
        <v>61128</v>
      </c>
    </row>
    <row r="570" spans="2:7" x14ac:dyDescent="0.25">
      <c r="B570" s="254" t="s">
        <v>172</v>
      </c>
      <c r="C570" s="255"/>
      <c r="D570" s="255"/>
      <c r="E570" s="255"/>
      <c r="F570" s="4"/>
      <c r="G570" s="5" t="s">
        <v>123</v>
      </c>
    </row>
    <row r="571" spans="2:7" x14ac:dyDescent="0.25">
      <c r="B571" s="256"/>
      <c r="C571" s="257"/>
      <c r="D571" s="257"/>
      <c r="E571" s="257"/>
      <c r="F571" s="6"/>
      <c r="G571" s="7">
        <v>4.0999999999999996</v>
      </c>
    </row>
    <row r="572" spans="2:7" x14ac:dyDescent="0.25">
      <c r="B572" s="8" t="s">
        <v>15</v>
      </c>
      <c r="C572" s="9" t="s">
        <v>13</v>
      </c>
      <c r="D572" s="9" t="s">
        <v>16</v>
      </c>
      <c r="E572" s="9" t="s">
        <v>17</v>
      </c>
      <c r="F572" s="10" t="s">
        <v>18</v>
      </c>
      <c r="G572" s="11" t="s">
        <v>5</v>
      </c>
    </row>
    <row r="573" spans="2:7" x14ac:dyDescent="0.25">
      <c r="B573" s="12"/>
      <c r="C573" s="13"/>
      <c r="D573" s="14"/>
      <c r="E573" s="14"/>
      <c r="F573" s="15"/>
      <c r="G573" s="16"/>
    </row>
    <row r="574" spans="2:7" x14ac:dyDescent="0.25">
      <c r="B574" s="17" t="s">
        <v>19</v>
      </c>
      <c r="C574" s="13"/>
      <c r="D574" s="14"/>
      <c r="E574" s="14"/>
      <c r="F574" s="15"/>
      <c r="G574" s="16"/>
    </row>
    <row r="575" spans="2:7" x14ac:dyDescent="0.25">
      <c r="B575" s="18" t="s">
        <v>139</v>
      </c>
      <c r="C575" s="19" t="s">
        <v>20</v>
      </c>
      <c r="D575" s="20">
        <v>0.09</v>
      </c>
      <c r="E575" s="21">
        <v>0</v>
      </c>
      <c r="F575" s="22">
        <f>'MANO DE OBRA'!D18/8</f>
        <v>21945.625</v>
      </c>
      <c r="G575" s="23">
        <f>+(D575+D575*E575)*F575</f>
        <v>1975.1062499999998</v>
      </c>
    </row>
    <row r="576" spans="2:7" x14ac:dyDescent="0.25">
      <c r="B576" s="12"/>
      <c r="C576" s="13"/>
      <c r="D576" s="14"/>
      <c r="E576" s="14"/>
      <c r="F576" s="15" t="s">
        <v>21</v>
      </c>
      <c r="G576" s="24">
        <f>SUM(G575:G575)</f>
        <v>1975.1062499999998</v>
      </c>
    </row>
    <row r="577" spans="2:13" x14ac:dyDescent="0.25">
      <c r="B577" s="25" t="s">
        <v>22</v>
      </c>
      <c r="C577" s="13"/>
      <c r="D577" s="14"/>
      <c r="E577" s="14"/>
      <c r="F577" s="15"/>
      <c r="G577" s="26"/>
    </row>
    <row r="578" spans="2:13" x14ac:dyDescent="0.25">
      <c r="B578" s="18" t="s">
        <v>32</v>
      </c>
      <c r="C578" s="19" t="s">
        <v>33</v>
      </c>
      <c r="D578" s="21">
        <v>0.05</v>
      </c>
      <c r="E578" s="21">
        <v>0</v>
      </c>
      <c r="F578" s="39">
        <f>+G576</f>
        <v>1975.1062499999998</v>
      </c>
      <c r="G578" s="23">
        <f>+(D578+D578*E578)*F578</f>
        <v>98.755312500000002</v>
      </c>
    </row>
    <row r="579" spans="2:13" x14ac:dyDescent="0.25">
      <c r="B579" s="12"/>
      <c r="C579" s="13"/>
      <c r="D579" s="14"/>
      <c r="E579" s="14"/>
      <c r="F579" s="15" t="s">
        <v>23</v>
      </c>
      <c r="G579" s="24">
        <f>SUM(G578:G578)</f>
        <v>98.755312500000002</v>
      </c>
    </row>
    <row r="580" spans="2:13" x14ac:dyDescent="0.25">
      <c r="B580" s="12"/>
      <c r="C580" s="13"/>
      <c r="D580" s="14"/>
      <c r="E580" s="14"/>
      <c r="F580" s="15"/>
      <c r="G580" s="26"/>
    </row>
    <row r="581" spans="2:13" x14ac:dyDescent="0.25">
      <c r="B581" s="243" t="s">
        <v>6</v>
      </c>
      <c r="C581" s="244"/>
      <c r="D581" s="244"/>
      <c r="E581" s="244"/>
      <c r="F581" s="244"/>
      <c r="G581" s="27">
        <f>+ROUND(G579+G576,0)</f>
        <v>2074</v>
      </c>
    </row>
    <row r="582" spans="2:13" x14ac:dyDescent="0.25">
      <c r="B582" s="28" t="s">
        <v>24</v>
      </c>
      <c r="C582" s="29"/>
      <c r="D582" s="30"/>
      <c r="E582" s="14"/>
      <c r="F582" s="31"/>
      <c r="G582" s="32"/>
    </row>
    <row r="583" spans="2:13" x14ac:dyDescent="0.25">
      <c r="B583" s="33" t="s">
        <v>25</v>
      </c>
      <c r="C583" s="29"/>
      <c r="D583" s="34"/>
      <c r="E583" s="71">
        <v>0.25</v>
      </c>
      <c r="F583" s="35"/>
      <c r="G583" s="36">
        <f>ROUND(G581*E583,0)</f>
        <v>519</v>
      </c>
    </row>
    <row r="584" spans="2:13" x14ac:dyDescent="0.25">
      <c r="B584" s="33" t="s">
        <v>8</v>
      </c>
      <c r="C584" s="29"/>
      <c r="D584" s="34"/>
      <c r="E584" s="71">
        <v>0.01</v>
      </c>
      <c r="F584" s="35"/>
      <c r="G584" s="36">
        <f>ROUND(G581*E584,0)</f>
        <v>21</v>
      </c>
    </row>
    <row r="585" spans="2:13" x14ac:dyDescent="0.25">
      <c r="B585" s="33" t="s">
        <v>9</v>
      </c>
      <c r="C585" s="29"/>
      <c r="D585" s="34"/>
      <c r="E585" s="71">
        <v>0.05</v>
      </c>
      <c r="F585" s="35"/>
      <c r="G585" s="36">
        <f>ROUND(G581*E585,0)</f>
        <v>104</v>
      </c>
    </row>
    <row r="586" spans="2:13" x14ac:dyDescent="0.25">
      <c r="B586" s="245" t="s">
        <v>26</v>
      </c>
      <c r="C586" s="246"/>
      <c r="D586" s="246"/>
      <c r="E586" s="246"/>
      <c r="F586" s="246"/>
      <c r="G586" s="37">
        <f>SUM(G583:G585)</f>
        <v>644</v>
      </c>
    </row>
    <row r="587" spans="2:13" x14ac:dyDescent="0.25">
      <c r="B587" s="247" t="s">
        <v>27</v>
      </c>
      <c r="C587" s="248"/>
      <c r="D587" s="248"/>
      <c r="E587" s="248"/>
      <c r="F587" s="248"/>
      <c r="G587" s="38">
        <f>+G586+G581</f>
        <v>2718</v>
      </c>
    </row>
    <row r="589" spans="2:13" ht="15.75" thickBot="1" x14ac:dyDescent="0.3"/>
    <row r="590" spans="2:13" x14ac:dyDescent="0.25">
      <c r="B590" s="249" t="s">
        <v>173</v>
      </c>
      <c r="C590" s="250"/>
      <c r="D590" s="250"/>
      <c r="E590" s="250"/>
      <c r="F590" s="250"/>
      <c r="G590" s="250"/>
      <c r="H590" s="250"/>
      <c r="I590" s="250"/>
      <c r="J590" s="250"/>
      <c r="K590" s="250"/>
      <c r="L590" s="250"/>
      <c r="M590" s="75" t="s">
        <v>119</v>
      </c>
    </row>
    <row r="591" spans="2:13" x14ac:dyDescent="0.25">
      <c r="B591" s="251" t="s">
        <v>174</v>
      </c>
      <c r="C591" s="252"/>
      <c r="D591" s="252"/>
      <c r="E591" s="252"/>
      <c r="F591" s="253" t="s">
        <v>175</v>
      </c>
      <c r="G591" s="253"/>
      <c r="H591" s="76" t="s">
        <v>176</v>
      </c>
      <c r="I591" s="77" t="s">
        <v>177</v>
      </c>
      <c r="J591" s="253" t="s">
        <v>178</v>
      </c>
      <c r="K591" s="253"/>
      <c r="L591" s="218" t="s">
        <v>179</v>
      </c>
      <c r="M591" s="219"/>
    </row>
    <row r="592" spans="2:13" x14ac:dyDescent="0.25">
      <c r="B592" s="238" t="s">
        <v>180</v>
      </c>
      <c r="C592" s="239"/>
      <c r="D592" s="239"/>
      <c r="E592" s="239"/>
      <c r="F592" s="78" t="s">
        <v>120</v>
      </c>
      <c r="G592" s="78"/>
      <c r="H592" s="79">
        <v>0.1</v>
      </c>
      <c r="I592" s="79">
        <v>0</v>
      </c>
      <c r="J592" s="231">
        <v>13000</v>
      </c>
      <c r="K592" s="231"/>
      <c r="L592" s="205">
        <f>ROUND(H592*J592,0)</f>
        <v>1300</v>
      </c>
      <c r="M592" s="206"/>
    </row>
    <row r="593" spans="2:13" x14ac:dyDescent="0.25">
      <c r="B593" s="238" t="s">
        <v>181</v>
      </c>
      <c r="C593" s="239"/>
      <c r="D593" s="239"/>
      <c r="E593" s="239"/>
      <c r="F593" s="78" t="s">
        <v>13</v>
      </c>
      <c r="G593" s="78"/>
      <c r="H593" s="79">
        <v>0.36</v>
      </c>
      <c r="I593" s="79">
        <v>1</v>
      </c>
      <c r="J593" s="231">
        <v>5000</v>
      </c>
      <c r="K593" s="231"/>
      <c r="L593" s="205">
        <f>ROUND(H593*I593*J593,0)</f>
        <v>1800</v>
      </c>
      <c r="M593" s="206"/>
    </row>
    <row r="594" spans="2:13" x14ac:dyDescent="0.25">
      <c r="B594" s="238" t="s">
        <v>182</v>
      </c>
      <c r="C594" s="239"/>
      <c r="D594" s="239"/>
      <c r="E594" s="239"/>
      <c r="F594" s="80" t="s">
        <v>13</v>
      </c>
      <c r="G594" s="80"/>
      <c r="H594" s="79">
        <v>0.55000000000000004</v>
      </c>
      <c r="I594" s="79">
        <v>1.01</v>
      </c>
      <c r="J594" s="231">
        <v>4500</v>
      </c>
      <c r="K594" s="231"/>
      <c r="L594" s="205">
        <f t="shared" ref="L594:L604" si="16">ROUND(H594*I594*J594,0)</f>
        <v>2500</v>
      </c>
      <c r="M594" s="206"/>
    </row>
    <row r="595" spans="2:13" x14ac:dyDescent="0.25">
      <c r="B595" s="238" t="s">
        <v>183</v>
      </c>
      <c r="C595" s="239"/>
      <c r="D595" s="239"/>
      <c r="E595" s="239"/>
      <c r="F595" s="80" t="s">
        <v>13</v>
      </c>
      <c r="G595" s="80"/>
      <c r="H595" s="79">
        <v>0.7</v>
      </c>
      <c r="I595" s="79">
        <v>1.05</v>
      </c>
      <c r="J595" s="231">
        <v>6000</v>
      </c>
      <c r="K595" s="231"/>
      <c r="L595" s="205">
        <f t="shared" si="16"/>
        <v>4410</v>
      </c>
      <c r="M595" s="206"/>
    </row>
    <row r="596" spans="2:13" x14ac:dyDescent="0.25">
      <c r="B596" s="238" t="s">
        <v>184</v>
      </c>
      <c r="C596" s="239"/>
      <c r="D596" s="239"/>
      <c r="E596" s="239"/>
      <c r="F596" s="80" t="s">
        <v>124</v>
      </c>
      <c r="G596" s="80"/>
      <c r="H596" s="79">
        <v>0.05</v>
      </c>
      <c r="I596" s="79">
        <v>1</v>
      </c>
      <c r="J596" s="231">
        <v>4000</v>
      </c>
      <c r="K596" s="231"/>
      <c r="L596" s="205">
        <f t="shared" si="16"/>
        <v>200</v>
      </c>
      <c r="M596" s="206"/>
    </row>
    <row r="597" spans="2:13" x14ac:dyDescent="0.25">
      <c r="B597" s="238" t="s">
        <v>185</v>
      </c>
      <c r="C597" s="239"/>
      <c r="D597" s="239"/>
      <c r="E597" s="239"/>
      <c r="F597" s="80" t="s">
        <v>13</v>
      </c>
      <c r="G597" s="80"/>
      <c r="H597" s="79">
        <v>1.05</v>
      </c>
      <c r="I597" s="79">
        <v>1.02</v>
      </c>
      <c r="J597" s="231">
        <v>36000</v>
      </c>
      <c r="K597" s="231"/>
      <c r="L597" s="205">
        <f t="shared" si="16"/>
        <v>38556</v>
      </c>
      <c r="M597" s="206"/>
    </row>
    <row r="598" spans="2:13" x14ac:dyDescent="0.25">
      <c r="B598" s="238" t="s">
        <v>186</v>
      </c>
      <c r="C598" s="239"/>
      <c r="D598" s="239"/>
      <c r="E598" s="239"/>
      <c r="F598" s="80" t="s">
        <v>13</v>
      </c>
      <c r="G598" s="80"/>
      <c r="H598" s="79">
        <v>0.05</v>
      </c>
      <c r="I598" s="79">
        <v>1.05</v>
      </c>
      <c r="J598" s="231">
        <v>13200</v>
      </c>
      <c r="K598" s="231"/>
      <c r="L598" s="205">
        <f t="shared" si="16"/>
        <v>693</v>
      </c>
      <c r="M598" s="206"/>
    </row>
    <row r="599" spans="2:13" x14ac:dyDescent="0.25">
      <c r="B599" s="238" t="s">
        <v>187</v>
      </c>
      <c r="C599" s="239"/>
      <c r="D599" s="239"/>
      <c r="E599" s="239"/>
      <c r="F599" s="80" t="s">
        <v>13</v>
      </c>
      <c r="G599" s="80"/>
      <c r="H599" s="79">
        <v>0.06</v>
      </c>
      <c r="I599" s="79">
        <v>1</v>
      </c>
      <c r="J599" s="231">
        <v>13400</v>
      </c>
      <c r="K599" s="231"/>
      <c r="L599" s="205">
        <f t="shared" si="16"/>
        <v>804</v>
      </c>
      <c r="M599" s="206"/>
    </row>
    <row r="600" spans="2:13" x14ac:dyDescent="0.25">
      <c r="B600" s="238" t="s">
        <v>188</v>
      </c>
      <c r="C600" s="239"/>
      <c r="D600" s="239"/>
      <c r="E600" s="239"/>
      <c r="F600" s="80" t="s">
        <v>13</v>
      </c>
      <c r="G600" s="80"/>
      <c r="H600" s="79">
        <v>0.06</v>
      </c>
      <c r="I600" s="79">
        <v>1.05</v>
      </c>
      <c r="J600" s="231">
        <v>18500</v>
      </c>
      <c r="K600" s="231"/>
      <c r="L600" s="205">
        <f t="shared" si="16"/>
        <v>1166</v>
      </c>
      <c r="M600" s="206"/>
    </row>
    <row r="601" spans="2:13" x14ac:dyDescent="0.25">
      <c r="B601" s="238" t="s">
        <v>189</v>
      </c>
      <c r="C601" s="239"/>
      <c r="D601" s="239"/>
      <c r="E601" s="239"/>
      <c r="F601" s="80" t="s">
        <v>13</v>
      </c>
      <c r="G601" s="80"/>
      <c r="H601" s="79">
        <v>0.12</v>
      </c>
      <c r="I601" s="79">
        <v>1.05</v>
      </c>
      <c r="J601" s="231">
        <v>17180</v>
      </c>
      <c r="K601" s="231"/>
      <c r="L601" s="205">
        <f t="shared" si="16"/>
        <v>2165</v>
      </c>
      <c r="M601" s="206"/>
    </row>
    <row r="602" spans="2:13" x14ac:dyDescent="0.25">
      <c r="B602" s="238" t="s">
        <v>190</v>
      </c>
      <c r="C602" s="239"/>
      <c r="D602" s="239"/>
      <c r="E602" s="239"/>
      <c r="F602" s="80" t="s">
        <v>20</v>
      </c>
      <c r="G602" s="80"/>
      <c r="H602" s="79">
        <v>0.6</v>
      </c>
      <c r="I602" s="79">
        <v>1</v>
      </c>
      <c r="J602" s="231">
        <v>27056</v>
      </c>
      <c r="K602" s="231"/>
      <c r="L602" s="205">
        <f t="shared" si="16"/>
        <v>16234</v>
      </c>
      <c r="M602" s="206"/>
    </row>
    <row r="603" spans="2:13" x14ac:dyDescent="0.25">
      <c r="B603" s="238" t="s">
        <v>191</v>
      </c>
      <c r="C603" s="239"/>
      <c r="D603" s="239"/>
      <c r="E603" s="239"/>
      <c r="F603" s="80" t="s">
        <v>192</v>
      </c>
      <c r="G603" s="80"/>
      <c r="H603" s="79">
        <v>1.5</v>
      </c>
      <c r="I603" s="79">
        <v>1</v>
      </c>
      <c r="J603" s="231">
        <v>1800</v>
      </c>
      <c r="K603" s="231"/>
      <c r="L603" s="205">
        <f t="shared" si="16"/>
        <v>2700</v>
      </c>
      <c r="M603" s="206"/>
    </row>
    <row r="604" spans="2:13" x14ac:dyDescent="0.25">
      <c r="B604" s="238" t="s">
        <v>193</v>
      </c>
      <c r="C604" s="239"/>
      <c r="D604" s="239"/>
      <c r="E604" s="239"/>
      <c r="F604" s="80" t="s">
        <v>194</v>
      </c>
      <c r="G604" s="80"/>
      <c r="H604" s="79">
        <v>0.8</v>
      </c>
      <c r="I604" s="79">
        <v>1</v>
      </c>
      <c r="J604" s="231">
        <v>4000</v>
      </c>
      <c r="K604" s="231"/>
      <c r="L604" s="205">
        <f t="shared" si="16"/>
        <v>3200</v>
      </c>
      <c r="M604" s="206"/>
    </row>
    <row r="605" spans="2:13" x14ac:dyDescent="0.25">
      <c r="B605" s="258" t="s">
        <v>195</v>
      </c>
      <c r="C605" s="259"/>
      <c r="D605" s="259"/>
      <c r="E605" s="260"/>
      <c r="F605" s="80" t="s">
        <v>122</v>
      </c>
      <c r="G605" s="80"/>
      <c r="H605" s="79">
        <v>0.8</v>
      </c>
      <c r="I605" s="79">
        <v>0</v>
      </c>
      <c r="J605" s="231">
        <v>500</v>
      </c>
      <c r="K605" s="231"/>
      <c r="L605" s="205">
        <f>H605*J605</f>
        <v>400</v>
      </c>
      <c r="M605" s="206"/>
    </row>
    <row r="606" spans="2:13" x14ac:dyDescent="0.25">
      <c r="B606" s="81" t="s">
        <v>196</v>
      </c>
      <c r="C606" s="82" t="s">
        <v>197</v>
      </c>
      <c r="D606" s="83" t="s">
        <v>114</v>
      </c>
      <c r="E606" s="213" t="s">
        <v>198</v>
      </c>
      <c r="F606" s="213"/>
      <c r="G606" s="220" t="s">
        <v>199</v>
      </c>
      <c r="H606" s="220"/>
      <c r="I606" s="221" t="s">
        <v>200</v>
      </c>
      <c r="J606" s="221"/>
      <c r="K606" s="213" t="s">
        <v>5</v>
      </c>
      <c r="L606" s="213"/>
      <c r="M606" s="214"/>
    </row>
    <row r="607" spans="2:13" ht="15.75" thickBot="1" x14ac:dyDescent="0.3">
      <c r="B607" s="84"/>
      <c r="C607" s="85"/>
      <c r="D607" s="86"/>
      <c r="E607" s="222"/>
      <c r="F607" s="222"/>
      <c r="G607" s="222"/>
      <c r="H607" s="222"/>
      <c r="I607" s="223"/>
      <c r="J607" s="223"/>
      <c r="K607" s="224">
        <f>SUM(L592:M605)</f>
        <v>76128</v>
      </c>
      <c r="L607" s="225"/>
      <c r="M607" s="226"/>
    </row>
    <row r="612" spans="2:7" x14ac:dyDescent="0.25">
      <c r="B612" s="254" t="s">
        <v>248</v>
      </c>
      <c r="C612" s="255"/>
      <c r="D612" s="255"/>
      <c r="E612" s="255"/>
      <c r="F612" s="4"/>
      <c r="G612" s="5" t="s">
        <v>123</v>
      </c>
    </row>
    <row r="613" spans="2:7" x14ac:dyDescent="0.25">
      <c r="B613" s="256"/>
      <c r="C613" s="257"/>
      <c r="D613" s="257"/>
      <c r="E613" s="257"/>
      <c r="F613" s="6"/>
      <c r="G613" s="7"/>
    </row>
    <row r="614" spans="2:7" x14ac:dyDescent="0.25">
      <c r="B614" s="8" t="s">
        <v>15</v>
      </c>
      <c r="C614" s="9" t="s">
        <v>13</v>
      </c>
      <c r="D614" s="9" t="s">
        <v>16</v>
      </c>
      <c r="E614" s="9" t="s">
        <v>17</v>
      </c>
      <c r="F614" s="10" t="s">
        <v>18</v>
      </c>
      <c r="G614" s="11" t="s">
        <v>5</v>
      </c>
    </row>
    <row r="615" spans="2:7" x14ac:dyDescent="0.25">
      <c r="B615" s="12"/>
      <c r="C615" s="13"/>
      <c r="D615" s="14"/>
      <c r="E615" s="14"/>
      <c r="F615" s="15"/>
      <c r="G615" s="16"/>
    </row>
    <row r="616" spans="2:7" x14ac:dyDescent="0.25">
      <c r="B616" s="17" t="s">
        <v>29</v>
      </c>
      <c r="E616" s="14"/>
      <c r="F616" s="15"/>
      <c r="G616" s="16"/>
    </row>
    <row r="617" spans="2:7" x14ac:dyDescent="0.25">
      <c r="B617" s="73" t="s">
        <v>249</v>
      </c>
      <c r="C617" s="13" t="s">
        <v>119</v>
      </c>
      <c r="D617" s="13">
        <v>1</v>
      </c>
      <c r="E617" s="21">
        <v>0.05</v>
      </c>
      <c r="F617" s="22">
        <v>224000</v>
      </c>
      <c r="G617" s="23">
        <f>+(D617+D617*E617)*F617</f>
        <v>235200</v>
      </c>
    </row>
    <row r="618" spans="2:7" x14ac:dyDescent="0.25">
      <c r="B618" s="73" t="s">
        <v>250</v>
      </c>
      <c r="C618" s="74" t="s">
        <v>13</v>
      </c>
      <c r="D618" s="67">
        <v>0.7</v>
      </c>
      <c r="E618" s="21">
        <v>0</v>
      </c>
      <c r="F618" s="22">
        <v>26900</v>
      </c>
      <c r="G618" s="23">
        <f t="shared" ref="G618" si="17">+(D618+D618*E618)*F618</f>
        <v>18830</v>
      </c>
    </row>
    <row r="619" spans="2:7" x14ac:dyDescent="0.25">
      <c r="B619" s="12"/>
      <c r="C619" s="74"/>
      <c r="D619" s="14"/>
      <c r="E619" s="14"/>
      <c r="F619" s="15" t="s">
        <v>30</v>
      </c>
      <c r="G619" s="24">
        <f>SUM(G617:G618)</f>
        <v>254030</v>
      </c>
    </row>
    <row r="620" spans="2:7" x14ac:dyDescent="0.25">
      <c r="B620" s="17" t="s">
        <v>19</v>
      </c>
      <c r="C620" s="13"/>
      <c r="D620" s="14"/>
      <c r="E620" s="14"/>
      <c r="F620" s="15"/>
      <c r="G620" s="16"/>
    </row>
    <row r="621" spans="2:7" x14ac:dyDescent="0.25">
      <c r="B621" s="18" t="s">
        <v>251</v>
      </c>
      <c r="C621" s="19" t="s">
        <v>20</v>
      </c>
      <c r="D621" s="20">
        <v>0.4</v>
      </c>
      <c r="E621" s="21">
        <v>0</v>
      </c>
      <c r="F621" s="22">
        <f>+F63</f>
        <v>29626.6</v>
      </c>
      <c r="G621" s="23">
        <f>+(D621+D621*E621)*F621</f>
        <v>11850.64</v>
      </c>
    </row>
    <row r="622" spans="2:7" x14ac:dyDescent="0.25">
      <c r="B622" s="12"/>
      <c r="C622" s="13"/>
      <c r="D622" s="14"/>
      <c r="E622" s="14"/>
      <c r="F622" s="15" t="s">
        <v>21</v>
      </c>
      <c r="G622" s="24">
        <f>SUM(G621:G621)</f>
        <v>11850.64</v>
      </c>
    </row>
    <row r="623" spans="2:7" x14ac:dyDescent="0.25">
      <c r="B623" s="25" t="s">
        <v>22</v>
      </c>
      <c r="C623" s="13"/>
      <c r="D623" s="14"/>
      <c r="E623" s="14"/>
      <c r="F623" s="15"/>
      <c r="G623" s="26"/>
    </row>
    <row r="624" spans="2:7" x14ac:dyDescent="0.25">
      <c r="B624" s="18" t="s">
        <v>32</v>
      </c>
      <c r="C624" s="19" t="s">
        <v>33</v>
      </c>
      <c r="D624" s="21">
        <v>7.0000000000000007E-2</v>
      </c>
      <c r="E624" s="21">
        <v>0</v>
      </c>
      <c r="F624" s="39">
        <f>+G622</f>
        <v>11850.64</v>
      </c>
      <c r="G624" s="23">
        <f>+(D624+D624*E624)*F624</f>
        <v>829.54480000000001</v>
      </c>
    </row>
    <row r="625" spans="2:7" x14ac:dyDescent="0.25">
      <c r="B625" s="12"/>
      <c r="C625" s="13"/>
      <c r="D625" s="14"/>
      <c r="E625" s="14"/>
      <c r="F625" s="15" t="s">
        <v>23</v>
      </c>
      <c r="G625" s="24">
        <f>SUM(G624:G624)</f>
        <v>829.54480000000001</v>
      </c>
    </row>
    <row r="626" spans="2:7" x14ac:dyDescent="0.25">
      <c r="B626" s="12"/>
      <c r="C626" s="13"/>
      <c r="D626" s="14"/>
      <c r="E626" s="14"/>
      <c r="F626" s="15"/>
      <c r="G626" s="26"/>
    </row>
    <row r="627" spans="2:7" x14ac:dyDescent="0.25">
      <c r="B627" s="243" t="s">
        <v>6</v>
      </c>
      <c r="C627" s="244"/>
      <c r="D627" s="244"/>
      <c r="E627" s="244"/>
      <c r="F627" s="244"/>
      <c r="G627" s="27">
        <f>+ROUND(G625+G622+G619,0)</f>
        <v>266710</v>
      </c>
    </row>
    <row r="628" spans="2:7" x14ac:dyDescent="0.25">
      <c r="B628" s="28" t="s">
        <v>24</v>
      </c>
      <c r="C628" s="29"/>
      <c r="D628" s="30"/>
      <c r="E628" s="14"/>
      <c r="F628" s="31"/>
      <c r="G628" s="32"/>
    </row>
    <row r="629" spans="2:7" x14ac:dyDescent="0.25">
      <c r="B629" s="33" t="s">
        <v>25</v>
      </c>
      <c r="C629" s="29"/>
      <c r="D629" s="34"/>
      <c r="E629" s="71">
        <v>0.25</v>
      </c>
      <c r="F629" s="35"/>
      <c r="G629" s="36">
        <f>ROUND(G627*E629,0)</f>
        <v>66678</v>
      </c>
    </row>
    <row r="630" spans="2:7" x14ac:dyDescent="0.25">
      <c r="B630" s="33" t="s">
        <v>8</v>
      </c>
      <c r="C630" s="29"/>
      <c r="D630" s="34"/>
      <c r="E630" s="71">
        <v>0.01</v>
      </c>
      <c r="F630" s="35"/>
      <c r="G630" s="36">
        <f>ROUND(G627*E630,0)</f>
        <v>2667</v>
      </c>
    </row>
    <row r="631" spans="2:7" x14ac:dyDescent="0.25">
      <c r="B631" s="33" t="s">
        <v>9</v>
      </c>
      <c r="C631" s="29"/>
      <c r="D631" s="34"/>
      <c r="E631" s="71">
        <v>0.05</v>
      </c>
      <c r="F631" s="35"/>
      <c r="G631" s="36">
        <f>ROUND(G627*E631,0)</f>
        <v>13336</v>
      </c>
    </row>
    <row r="632" spans="2:7" x14ac:dyDescent="0.25">
      <c r="B632" s="245" t="s">
        <v>26</v>
      </c>
      <c r="C632" s="246"/>
      <c r="D632" s="246"/>
      <c r="E632" s="246"/>
      <c r="F632" s="246"/>
      <c r="G632" s="37">
        <f>SUM(G629:G631)</f>
        <v>82681</v>
      </c>
    </row>
    <row r="633" spans="2:7" x14ac:dyDescent="0.25">
      <c r="B633" s="247" t="s">
        <v>27</v>
      </c>
      <c r="C633" s="248"/>
      <c r="D633" s="248"/>
      <c r="E633" s="248"/>
      <c r="F633" s="248"/>
      <c r="G633" s="38">
        <f>+G632+G627</f>
        <v>349391</v>
      </c>
    </row>
    <row r="637" spans="2:7" x14ac:dyDescent="0.25">
      <c r="B637" s="254" t="s">
        <v>252</v>
      </c>
      <c r="C637" s="255"/>
      <c r="D637" s="255"/>
      <c r="E637" s="255"/>
      <c r="F637" s="4"/>
      <c r="G637" s="5" t="s">
        <v>125</v>
      </c>
    </row>
    <row r="638" spans="2:7" x14ac:dyDescent="0.25">
      <c r="B638" s="256"/>
      <c r="C638" s="257"/>
      <c r="D638" s="257"/>
      <c r="E638" s="257"/>
      <c r="F638" s="6"/>
      <c r="G638" s="7"/>
    </row>
    <row r="639" spans="2:7" x14ac:dyDescent="0.25">
      <c r="B639" s="8" t="s">
        <v>15</v>
      </c>
      <c r="C639" s="9" t="s">
        <v>13</v>
      </c>
      <c r="D639" s="9" t="s">
        <v>16</v>
      </c>
      <c r="E639" s="9" t="s">
        <v>17</v>
      </c>
      <c r="F639" s="10" t="s">
        <v>18</v>
      </c>
      <c r="G639" s="11" t="s">
        <v>5</v>
      </c>
    </row>
    <row r="640" spans="2:7" x14ac:dyDescent="0.25">
      <c r="B640" s="12"/>
      <c r="C640" s="13"/>
      <c r="D640" s="14"/>
      <c r="E640" s="14"/>
      <c r="F640" s="15"/>
      <c r="G640" s="16"/>
    </row>
    <row r="641" spans="2:7" x14ac:dyDescent="0.25">
      <c r="B641" s="17" t="s">
        <v>29</v>
      </c>
      <c r="E641" s="14"/>
      <c r="F641" s="15"/>
      <c r="G641" s="16"/>
    </row>
    <row r="642" spans="2:7" x14ac:dyDescent="0.25">
      <c r="B642" s="73" t="s">
        <v>253</v>
      </c>
      <c r="C642" s="13" t="s">
        <v>126</v>
      </c>
      <c r="D642" s="13">
        <v>1</v>
      </c>
      <c r="E642" s="21">
        <v>0.05</v>
      </c>
      <c r="F642" s="22">
        <v>18605</v>
      </c>
      <c r="G642" s="23">
        <f>+(D642+D642*E642)*F642</f>
        <v>19535.25</v>
      </c>
    </row>
    <row r="643" spans="2:7" x14ac:dyDescent="0.25">
      <c r="B643" s="73" t="s">
        <v>256</v>
      </c>
      <c r="C643" s="13" t="s">
        <v>254</v>
      </c>
      <c r="D643" s="13">
        <v>0.03</v>
      </c>
      <c r="E643" s="21">
        <v>0.02</v>
      </c>
      <c r="F643" s="22">
        <v>36900</v>
      </c>
      <c r="G643" s="23">
        <f>+(D643+D643*E643)*F643</f>
        <v>1129.1399999999999</v>
      </c>
    </row>
    <row r="644" spans="2:7" x14ac:dyDescent="0.25">
      <c r="B644" s="73" t="s">
        <v>255</v>
      </c>
      <c r="C644" s="74" t="s">
        <v>254</v>
      </c>
      <c r="D644" s="20">
        <v>0.02</v>
      </c>
      <c r="E644" s="21">
        <v>0</v>
      </c>
      <c r="F644" s="22">
        <v>44900</v>
      </c>
      <c r="G644" s="23">
        <f t="shared" ref="G644" si="18">+(D644+D644*E644)*F644</f>
        <v>898</v>
      </c>
    </row>
    <row r="645" spans="2:7" x14ac:dyDescent="0.25">
      <c r="B645" s="12"/>
      <c r="C645" s="74"/>
      <c r="D645" s="14"/>
      <c r="E645" s="14"/>
      <c r="F645" s="15" t="s">
        <v>30</v>
      </c>
      <c r="G645" s="24">
        <f>SUM(G642:G644)</f>
        <v>21562.39</v>
      </c>
    </row>
    <row r="646" spans="2:7" x14ac:dyDescent="0.25">
      <c r="B646" s="17" t="s">
        <v>19</v>
      </c>
      <c r="C646" s="13"/>
      <c r="D646" s="14"/>
      <c r="E646" s="14"/>
      <c r="F646" s="15"/>
      <c r="G646" s="16"/>
    </row>
    <row r="647" spans="2:7" x14ac:dyDescent="0.25">
      <c r="B647" s="18" t="s">
        <v>251</v>
      </c>
      <c r="C647" s="19" t="s">
        <v>20</v>
      </c>
      <c r="D647" s="20">
        <v>0.15</v>
      </c>
      <c r="E647" s="21">
        <v>0</v>
      </c>
      <c r="F647" s="22">
        <f>+F621</f>
        <v>29626.6</v>
      </c>
      <c r="G647" s="23">
        <f>+(D647+D647*E647)*F647</f>
        <v>4443.99</v>
      </c>
    </row>
    <row r="648" spans="2:7" x14ac:dyDescent="0.25">
      <c r="B648" s="12"/>
      <c r="C648" s="13"/>
      <c r="D648" s="14"/>
      <c r="E648" s="14"/>
      <c r="F648" s="15" t="s">
        <v>21</v>
      </c>
      <c r="G648" s="24">
        <f>SUM(G647:G647)</f>
        <v>4443.99</v>
      </c>
    </row>
    <row r="649" spans="2:7" x14ac:dyDescent="0.25">
      <c r="B649" s="25" t="s">
        <v>22</v>
      </c>
      <c r="C649" s="13"/>
      <c r="D649" s="14"/>
      <c r="E649" s="14"/>
      <c r="F649" s="15"/>
      <c r="G649" s="26"/>
    </row>
    <row r="650" spans="2:7" x14ac:dyDescent="0.25">
      <c r="B650" s="18" t="s">
        <v>32</v>
      </c>
      <c r="C650" s="19" t="s">
        <v>33</v>
      </c>
      <c r="D650" s="21">
        <v>0.05</v>
      </c>
      <c r="E650" s="21">
        <v>0</v>
      </c>
      <c r="F650" s="39">
        <f>+G648</f>
        <v>4443.99</v>
      </c>
      <c r="G650" s="23">
        <f>+(D650+D650*E650)*F650</f>
        <v>222.1995</v>
      </c>
    </row>
    <row r="651" spans="2:7" x14ac:dyDescent="0.25">
      <c r="B651" s="12"/>
      <c r="C651" s="13"/>
      <c r="D651" s="14"/>
      <c r="E651" s="14"/>
      <c r="F651" s="15" t="s">
        <v>23</v>
      </c>
      <c r="G651" s="24">
        <f>SUM(G650:G650)</f>
        <v>222.1995</v>
      </c>
    </row>
    <row r="652" spans="2:7" x14ac:dyDescent="0.25">
      <c r="B652" s="12"/>
      <c r="C652" s="13"/>
      <c r="D652" s="14"/>
      <c r="E652" s="14"/>
      <c r="F652" s="15"/>
      <c r="G652" s="26"/>
    </row>
    <row r="653" spans="2:7" x14ac:dyDescent="0.25">
      <c r="B653" s="243" t="s">
        <v>6</v>
      </c>
      <c r="C653" s="244"/>
      <c r="D653" s="244"/>
      <c r="E653" s="244"/>
      <c r="F653" s="244"/>
      <c r="G653" s="27">
        <f>+ROUND(G651+G648+G645,0)</f>
        <v>26229</v>
      </c>
    </row>
    <row r="654" spans="2:7" x14ac:dyDescent="0.25">
      <c r="B654" s="28" t="s">
        <v>24</v>
      </c>
      <c r="C654" s="29"/>
      <c r="D654" s="30"/>
      <c r="E654" s="14"/>
      <c r="F654" s="31"/>
      <c r="G654" s="32"/>
    </row>
    <row r="655" spans="2:7" x14ac:dyDescent="0.25">
      <c r="B655" s="33" t="s">
        <v>25</v>
      </c>
      <c r="C655" s="29"/>
      <c r="D655" s="34"/>
      <c r="E655" s="71">
        <v>0.25</v>
      </c>
      <c r="F655" s="35"/>
      <c r="G655" s="36">
        <f>ROUND(G653*E655,0)</f>
        <v>6557</v>
      </c>
    </row>
    <row r="656" spans="2:7" x14ac:dyDescent="0.25">
      <c r="B656" s="33" t="s">
        <v>8</v>
      </c>
      <c r="C656" s="29"/>
      <c r="D656" s="34"/>
      <c r="E656" s="71">
        <v>0.01</v>
      </c>
      <c r="F656" s="35"/>
      <c r="G656" s="36">
        <f>ROUND(G653*E656,0)</f>
        <v>262</v>
      </c>
    </row>
    <row r="657" spans="2:7" x14ac:dyDescent="0.25">
      <c r="B657" s="33" t="s">
        <v>9</v>
      </c>
      <c r="C657" s="29"/>
      <c r="D657" s="34"/>
      <c r="E657" s="71">
        <v>0.05</v>
      </c>
      <c r="F657" s="35"/>
      <c r="G657" s="36">
        <f>ROUND(G653*E657,0)</f>
        <v>1311</v>
      </c>
    </row>
    <row r="658" spans="2:7" x14ac:dyDescent="0.25">
      <c r="B658" s="245" t="s">
        <v>26</v>
      </c>
      <c r="C658" s="246"/>
      <c r="D658" s="246"/>
      <c r="E658" s="246"/>
      <c r="F658" s="246"/>
      <c r="G658" s="37">
        <f>SUM(G655:G657)</f>
        <v>8130</v>
      </c>
    </row>
    <row r="659" spans="2:7" x14ac:dyDescent="0.25">
      <c r="B659" s="247" t="s">
        <v>27</v>
      </c>
      <c r="C659" s="248"/>
      <c r="D659" s="248"/>
      <c r="E659" s="248"/>
      <c r="F659" s="248"/>
      <c r="G659" s="38">
        <f>+G658+G653</f>
        <v>34359</v>
      </c>
    </row>
    <row r="664" spans="2:7" x14ac:dyDescent="0.25">
      <c r="B664" s="254" t="s">
        <v>266</v>
      </c>
      <c r="C664" s="255"/>
      <c r="D664" s="255"/>
      <c r="E664" s="255"/>
      <c r="F664" s="4"/>
      <c r="G664" s="5" t="s">
        <v>125</v>
      </c>
    </row>
    <row r="665" spans="2:7" x14ac:dyDescent="0.25">
      <c r="B665" s="256"/>
      <c r="C665" s="257"/>
      <c r="D665" s="257"/>
      <c r="E665" s="257"/>
      <c r="F665" s="6"/>
      <c r="G665" s="7"/>
    </row>
    <row r="666" spans="2:7" x14ac:dyDescent="0.25">
      <c r="B666" s="8" t="s">
        <v>15</v>
      </c>
      <c r="C666" s="9" t="s">
        <v>13</v>
      </c>
      <c r="D666" s="9" t="s">
        <v>16</v>
      </c>
      <c r="E666" s="9" t="s">
        <v>17</v>
      </c>
      <c r="F666" s="10" t="s">
        <v>18</v>
      </c>
      <c r="G666" s="11" t="s">
        <v>5</v>
      </c>
    </row>
    <row r="667" spans="2:7" x14ac:dyDescent="0.25">
      <c r="B667" s="12"/>
      <c r="C667" s="13"/>
      <c r="D667" s="14"/>
      <c r="E667" s="14"/>
      <c r="F667" s="15"/>
      <c r="G667" s="16"/>
    </row>
    <row r="668" spans="2:7" x14ac:dyDescent="0.25">
      <c r="B668" s="17" t="s">
        <v>29</v>
      </c>
      <c r="E668" s="14"/>
      <c r="F668" s="15"/>
      <c r="G668" s="16"/>
    </row>
    <row r="669" spans="2:7" x14ac:dyDescent="0.25">
      <c r="B669" s="68" t="s">
        <v>267</v>
      </c>
      <c r="C669" s="13" t="s">
        <v>268</v>
      </c>
      <c r="D669" s="13">
        <v>0.6</v>
      </c>
      <c r="E669" s="21">
        <v>0.05</v>
      </c>
      <c r="F669" s="22">
        <v>29000</v>
      </c>
      <c r="G669" s="23">
        <f>+(D669+D669*E669)*F669</f>
        <v>18270</v>
      </c>
    </row>
    <row r="670" spans="2:7" x14ac:dyDescent="0.25">
      <c r="B670" s="12"/>
      <c r="C670" s="74"/>
      <c r="D670" s="14"/>
      <c r="E670" s="14"/>
      <c r="F670" s="15" t="s">
        <v>30</v>
      </c>
      <c r="G670" s="24">
        <f>SUM(G669:G669)</f>
        <v>18270</v>
      </c>
    </row>
    <row r="671" spans="2:7" x14ac:dyDescent="0.25">
      <c r="B671" s="17" t="s">
        <v>19</v>
      </c>
      <c r="C671" s="13"/>
      <c r="D671" s="14"/>
      <c r="E671" s="14"/>
      <c r="F671" s="15"/>
      <c r="G671" s="16"/>
    </row>
    <row r="672" spans="2:7" x14ac:dyDescent="0.25">
      <c r="B672" s="18" t="s">
        <v>251</v>
      </c>
      <c r="C672" s="19" t="s">
        <v>20</v>
      </c>
      <c r="D672" s="20">
        <v>0.35</v>
      </c>
      <c r="E672" s="21">
        <v>0</v>
      </c>
      <c r="F672" s="22">
        <f>+F621</f>
        <v>29626.6</v>
      </c>
      <c r="G672" s="23">
        <f>+(D672+D672*E672)*F672</f>
        <v>10369.31</v>
      </c>
    </row>
    <row r="673" spans="2:7" x14ac:dyDescent="0.25">
      <c r="B673" s="12"/>
      <c r="C673" s="13"/>
      <c r="D673" s="14"/>
      <c r="E673" s="14"/>
      <c r="F673" s="15" t="s">
        <v>21</v>
      </c>
      <c r="G673" s="24">
        <f>SUM(G672:G672)</f>
        <v>10369.31</v>
      </c>
    </row>
    <row r="674" spans="2:7" x14ac:dyDescent="0.25">
      <c r="B674" s="25" t="s">
        <v>22</v>
      </c>
      <c r="C674" s="13"/>
      <c r="D674" s="14"/>
      <c r="E674" s="14"/>
      <c r="F674" s="15"/>
      <c r="G674" s="26"/>
    </row>
    <row r="675" spans="2:7" x14ac:dyDescent="0.25">
      <c r="B675" s="18" t="s">
        <v>131</v>
      </c>
      <c r="C675" s="19" t="s">
        <v>132</v>
      </c>
      <c r="D675" s="67">
        <v>0.1</v>
      </c>
      <c r="E675" s="21">
        <v>0</v>
      </c>
      <c r="F675" s="22">
        <v>6000</v>
      </c>
      <c r="G675" s="23">
        <f>+(D675+D675*E675)*F675</f>
        <v>600</v>
      </c>
    </row>
    <row r="676" spans="2:7" x14ac:dyDescent="0.25">
      <c r="B676" s="18" t="s">
        <v>32</v>
      </c>
      <c r="C676" s="19" t="s">
        <v>33</v>
      </c>
      <c r="D676" s="21">
        <v>0.05</v>
      </c>
      <c r="E676" s="21">
        <v>0</v>
      </c>
      <c r="F676" s="39">
        <f>+G673</f>
        <v>10369.31</v>
      </c>
      <c r="G676" s="23">
        <f>+(D676+D676*E676)*F676</f>
        <v>518.46550000000002</v>
      </c>
    </row>
    <row r="677" spans="2:7" x14ac:dyDescent="0.25">
      <c r="B677" s="12"/>
      <c r="C677" s="13"/>
      <c r="D677" s="14"/>
      <c r="E677" s="14"/>
      <c r="F677" s="15" t="s">
        <v>23</v>
      </c>
      <c r="G677" s="24">
        <f>SUM(G675:G676)</f>
        <v>1118.4655</v>
      </c>
    </row>
    <row r="678" spans="2:7" x14ac:dyDescent="0.25">
      <c r="B678" s="12"/>
      <c r="C678" s="13"/>
      <c r="D678" s="14"/>
      <c r="E678" s="14"/>
      <c r="F678" s="15"/>
      <c r="G678" s="26"/>
    </row>
    <row r="679" spans="2:7" x14ac:dyDescent="0.25">
      <c r="B679" s="243" t="s">
        <v>6</v>
      </c>
      <c r="C679" s="244"/>
      <c r="D679" s="244"/>
      <c r="E679" s="244"/>
      <c r="F679" s="244"/>
      <c r="G679" s="27">
        <f>+ROUND(G677+G673+G670,0)</f>
        <v>29758</v>
      </c>
    </row>
    <row r="680" spans="2:7" x14ac:dyDescent="0.25">
      <c r="B680" s="28" t="s">
        <v>24</v>
      </c>
      <c r="C680" s="29"/>
      <c r="D680" s="30"/>
      <c r="E680" s="14"/>
      <c r="F680" s="31"/>
      <c r="G680" s="32"/>
    </row>
    <row r="681" spans="2:7" x14ac:dyDescent="0.25">
      <c r="B681" s="33" t="s">
        <v>25</v>
      </c>
      <c r="C681" s="29"/>
      <c r="D681" s="34"/>
      <c r="E681" s="71">
        <v>0.25</v>
      </c>
      <c r="F681" s="35"/>
      <c r="G681" s="36">
        <f>ROUND(G679*E681,0)</f>
        <v>7440</v>
      </c>
    </row>
    <row r="682" spans="2:7" x14ac:dyDescent="0.25">
      <c r="B682" s="33" t="s">
        <v>8</v>
      </c>
      <c r="C682" s="29"/>
      <c r="D682" s="34"/>
      <c r="E682" s="71">
        <v>0.01</v>
      </c>
      <c r="F682" s="35"/>
      <c r="G682" s="36">
        <f>ROUND(G679*E682,0)</f>
        <v>298</v>
      </c>
    </row>
    <row r="683" spans="2:7" x14ac:dyDescent="0.25">
      <c r="B683" s="33" t="s">
        <v>9</v>
      </c>
      <c r="C683" s="29"/>
      <c r="D683" s="34"/>
      <c r="E683" s="71">
        <v>0.05</v>
      </c>
      <c r="F683" s="35"/>
      <c r="G683" s="36">
        <f>ROUND(G679*E683,0)</f>
        <v>1488</v>
      </c>
    </row>
    <row r="684" spans="2:7" x14ac:dyDescent="0.25">
      <c r="B684" s="245" t="s">
        <v>26</v>
      </c>
      <c r="C684" s="246"/>
      <c r="D684" s="246"/>
      <c r="E684" s="246"/>
      <c r="F684" s="246"/>
      <c r="G684" s="37">
        <f>SUM(G681:G683)</f>
        <v>9226</v>
      </c>
    </row>
    <row r="685" spans="2:7" x14ac:dyDescent="0.25">
      <c r="B685" s="247" t="s">
        <v>27</v>
      </c>
      <c r="C685" s="248"/>
      <c r="D685" s="248"/>
      <c r="E685" s="248"/>
      <c r="F685" s="248"/>
      <c r="G685" s="38">
        <f>+G684+G679</f>
        <v>38984</v>
      </c>
    </row>
    <row r="690" spans="2:7" x14ac:dyDescent="0.25">
      <c r="B690" s="254" t="s">
        <v>286</v>
      </c>
      <c r="C690" s="255"/>
      <c r="D690" s="255"/>
      <c r="E690" s="255"/>
      <c r="F690" s="255"/>
      <c r="G690" s="5" t="s">
        <v>123</v>
      </c>
    </row>
    <row r="691" spans="2:7" x14ac:dyDescent="0.25">
      <c r="B691" s="105"/>
      <c r="C691" s="106"/>
      <c r="D691" s="106"/>
      <c r="E691" s="106"/>
      <c r="F691" s="6"/>
      <c r="G691" s="7">
        <v>1.1000000000000001</v>
      </c>
    </row>
    <row r="692" spans="2:7" x14ac:dyDescent="0.25">
      <c r="B692" s="8" t="s">
        <v>15</v>
      </c>
      <c r="C692" s="9" t="s">
        <v>13</v>
      </c>
      <c r="D692" s="9" t="s">
        <v>16</v>
      </c>
      <c r="E692" s="9" t="s">
        <v>17</v>
      </c>
      <c r="F692" s="10" t="s">
        <v>18</v>
      </c>
      <c r="G692" s="11" t="s">
        <v>5</v>
      </c>
    </row>
    <row r="693" spans="2:7" x14ac:dyDescent="0.25">
      <c r="B693" s="12"/>
      <c r="C693" s="13"/>
      <c r="D693" s="14"/>
      <c r="E693" s="14"/>
      <c r="F693" s="15"/>
      <c r="G693" s="16"/>
    </row>
    <row r="694" spans="2:7" x14ac:dyDescent="0.25">
      <c r="B694" s="17" t="s">
        <v>29</v>
      </c>
      <c r="C694" s="13"/>
      <c r="D694" s="14"/>
      <c r="E694" s="14"/>
      <c r="F694" s="15"/>
      <c r="G694" s="16"/>
    </row>
    <row r="695" spans="2:7" x14ac:dyDescent="0.25">
      <c r="B695" s="18" t="s">
        <v>292</v>
      </c>
      <c r="C695" s="19" t="s">
        <v>254</v>
      </c>
      <c r="D695" s="67">
        <v>0.14000000000000001</v>
      </c>
      <c r="E695" s="21">
        <v>0.01</v>
      </c>
      <c r="F695" s="22">
        <v>123980</v>
      </c>
      <c r="G695" s="23">
        <f t="shared" ref="G695:G696" si="19">+(D695+D695*E695)*F695</f>
        <v>17530.772000000004</v>
      </c>
    </row>
    <row r="696" spans="2:7" x14ac:dyDescent="0.25">
      <c r="B696" s="18"/>
      <c r="C696" s="19"/>
      <c r="D696" s="67"/>
      <c r="E696" s="21"/>
      <c r="F696" s="22"/>
      <c r="G696" s="23">
        <f t="shared" si="19"/>
        <v>0</v>
      </c>
    </row>
    <row r="697" spans="2:7" x14ac:dyDescent="0.25">
      <c r="B697" s="12"/>
      <c r="C697" s="13"/>
      <c r="D697" s="14"/>
      <c r="E697" s="14"/>
      <c r="F697" s="15" t="s">
        <v>30</v>
      </c>
      <c r="G697" s="24">
        <f>SUM(G695:G696)</f>
        <v>17530.772000000004</v>
      </c>
    </row>
    <row r="698" spans="2:7" x14ac:dyDescent="0.25">
      <c r="B698" s="17" t="s">
        <v>19</v>
      </c>
      <c r="C698" s="13"/>
      <c r="D698" s="14"/>
      <c r="E698" s="14"/>
      <c r="F698" s="15"/>
      <c r="G698" s="16"/>
    </row>
    <row r="699" spans="2:7" x14ac:dyDescent="0.25">
      <c r="B699" s="17" t="s">
        <v>293</v>
      </c>
      <c r="C699" s="13" t="s">
        <v>294</v>
      </c>
      <c r="D699" s="13" t="s">
        <v>13</v>
      </c>
      <c r="E699" s="13" t="s">
        <v>295</v>
      </c>
      <c r="F699" s="72" t="s">
        <v>296</v>
      </c>
      <c r="G699" s="107" t="s">
        <v>5</v>
      </c>
    </row>
    <row r="700" spans="2:7" x14ac:dyDescent="0.25">
      <c r="B700" s="18" t="s">
        <v>297</v>
      </c>
      <c r="C700" s="108">
        <v>172739</v>
      </c>
      <c r="D700" s="20" t="s">
        <v>294</v>
      </c>
      <c r="E700" s="19">
        <v>1.8</v>
      </c>
      <c r="F700" s="19">
        <v>45</v>
      </c>
      <c r="G700" s="23">
        <f>+C700*E700/F700</f>
        <v>6909.56</v>
      </c>
    </row>
    <row r="701" spans="2:7" x14ac:dyDescent="0.25">
      <c r="B701" s="12"/>
      <c r="C701" s="13"/>
      <c r="D701" s="14"/>
      <c r="E701" s="14"/>
      <c r="F701" s="15" t="s">
        <v>21</v>
      </c>
      <c r="G701" s="24">
        <f>SUM(G700:G700)</f>
        <v>6909.56</v>
      </c>
    </row>
    <row r="702" spans="2:7" x14ac:dyDescent="0.25">
      <c r="B702" s="12"/>
      <c r="C702" s="13"/>
      <c r="D702" s="14"/>
      <c r="E702" s="14"/>
      <c r="F702" s="15"/>
      <c r="G702" s="109"/>
    </row>
    <row r="703" spans="2:7" x14ac:dyDescent="0.25">
      <c r="B703" s="25" t="s">
        <v>22</v>
      </c>
      <c r="C703" s="13" t="s">
        <v>13</v>
      </c>
      <c r="D703" s="13" t="s">
        <v>298</v>
      </c>
      <c r="F703" s="13" t="s">
        <v>299</v>
      </c>
      <c r="G703" s="110" t="s">
        <v>300</v>
      </c>
    </row>
    <row r="704" spans="2:7" x14ac:dyDescent="0.25">
      <c r="B704" s="18" t="s">
        <v>32</v>
      </c>
      <c r="C704" s="19" t="s">
        <v>33</v>
      </c>
      <c r="D704" s="21">
        <v>0.05</v>
      </c>
      <c r="E704" s="21"/>
      <c r="F704" s="39">
        <f>+G701</f>
        <v>6909.56</v>
      </c>
      <c r="G704" s="23">
        <f>+(D704+D704*E704)*F704</f>
        <v>345.47800000000007</v>
      </c>
    </row>
    <row r="705" spans="2:7" x14ac:dyDescent="0.25">
      <c r="B705" s="18" t="s">
        <v>301</v>
      </c>
      <c r="C705" s="13" t="s">
        <v>302</v>
      </c>
      <c r="D705" s="111">
        <v>0.2</v>
      </c>
      <c r="E705" s="112"/>
      <c r="F705" s="15">
        <v>12000</v>
      </c>
      <c r="G705" s="23">
        <f>+(D705+D705*E705)*F705</f>
        <v>2400</v>
      </c>
    </row>
    <row r="706" spans="2:7" x14ac:dyDescent="0.25">
      <c r="B706" s="12"/>
      <c r="C706" s="13"/>
      <c r="D706" s="14"/>
      <c r="E706" s="14"/>
      <c r="F706" s="15" t="s">
        <v>23</v>
      </c>
      <c r="G706" s="24">
        <f>SUM(G704:G705)</f>
        <v>2745.4780000000001</v>
      </c>
    </row>
    <row r="707" spans="2:7" x14ac:dyDescent="0.25">
      <c r="B707" s="12"/>
      <c r="C707" s="13"/>
      <c r="D707" s="14"/>
      <c r="E707" s="14"/>
      <c r="F707" s="15"/>
      <c r="G707" s="26"/>
    </row>
    <row r="708" spans="2:7" x14ac:dyDescent="0.25">
      <c r="B708" s="243" t="s">
        <v>6</v>
      </c>
      <c r="C708" s="244"/>
      <c r="D708" s="244"/>
      <c r="E708" s="244"/>
      <c r="F708" s="244"/>
      <c r="G708" s="27">
        <f>+ROUND(G706+G701+G697,0)</f>
        <v>27186</v>
      </c>
    </row>
    <row r="709" spans="2:7" x14ac:dyDescent="0.25">
      <c r="B709" s="28" t="s">
        <v>24</v>
      </c>
      <c r="C709" s="29"/>
      <c r="D709" s="30"/>
      <c r="E709" s="14"/>
      <c r="F709" s="31"/>
      <c r="G709" s="32"/>
    </row>
    <row r="710" spans="2:7" x14ac:dyDescent="0.25">
      <c r="B710" s="33" t="s">
        <v>25</v>
      </c>
      <c r="C710" s="29"/>
      <c r="D710" s="34"/>
      <c r="E710" s="71">
        <v>0.25</v>
      </c>
      <c r="F710" s="35"/>
      <c r="G710" s="36">
        <f>ROUND(G708*E710,0)</f>
        <v>6797</v>
      </c>
    </row>
    <row r="711" spans="2:7" x14ac:dyDescent="0.25">
      <c r="B711" s="33" t="s">
        <v>8</v>
      </c>
      <c r="C711" s="29"/>
      <c r="D711" s="34"/>
      <c r="E711" s="71">
        <v>0.01</v>
      </c>
      <c r="F711" s="35"/>
      <c r="G711" s="36">
        <f>ROUND(G708*E711,0)</f>
        <v>272</v>
      </c>
    </row>
    <row r="712" spans="2:7" x14ac:dyDescent="0.25">
      <c r="B712" s="33" t="s">
        <v>9</v>
      </c>
      <c r="C712" s="29"/>
      <c r="D712" s="34"/>
      <c r="E712" s="71">
        <v>0.05</v>
      </c>
      <c r="F712" s="35"/>
      <c r="G712" s="36">
        <f>ROUND(G708*E712,0)</f>
        <v>1359</v>
      </c>
    </row>
    <row r="713" spans="2:7" x14ac:dyDescent="0.25">
      <c r="B713" s="245" t="s">
        <v>26</v>
      </c>
      <c r="C713" s="246"/>
      <c r="D713" s="246"/>
      <c r="E713" s="246"/>
      <c r="F713" s="246"/>
      <c r="G713" s="37">
        <f>SUM(G710:G712)</f>
        <v>8428</v>
      </c>
    </row>
    <row r="714" spans="2:7" x14ac:dyDescent="0.25">
      <c r="B714" s="247" t="s">
        <v>27</v>
      </c>
      <c r="C714" s="248"/>
      <c r="D714" s="248"/>
      <c r="E714" s="248"/>
      <c r="F714" s="248"/>
      <c r="G714" s="38">
        <f>+G713+G708</f>
        <v>35614</v>
      </c>
    </row>
    <row r="719" spans="2:7" x14ac:dyDescent="0.25">
      <c r="B719" s="254" t="s">
        <v>303</v>
      </c>
      <c r="C719" s="255"/>
      <c r="D719" s="255"/>
      <c r="E719" s="255"/>
      <c r="F719" s="255"/>
      <c r="G719" s="5" t="s">
        <v>123</v>
      </c>
    </row>
    <row r="720" spans="2:7" x14ac:dyDescent="0.25">
      <c r="B720" s="105"/>
      <c r="C720" s="106"/>
      <c r="D720" s="106"/>
      <c r="E720" s="106"/>
      <c r="F720" s="6"/>
      <c r="G720" s="7">
        <v>1.2</v>
      </c>
    </row>
    <row r="721" spans="2:7" x14ac:dyDescent="0.25">
      <c r="B721" s="8" t="s">
        <v>15</v>
      </c>
      <c r="C721" s="9" t="s">
        <v>13</v>
      </c>
      <c r="D721" s="9" t="s">
        <v>16</v>
      </c>
      <c r="E721" s="9" t="s">
        <v>17</v>
      </c>
      <c r="F721" s="10" t="s">
        <v>18</v>
      </c>
      <c r="G721" s="11" t="s">
        <v>5</v>
      </c>
    </row>
    <row r="722" spans="2:7" x14ac:dyDescent="0.25">
      <c r="B722" s="12"/>
      <c r="C722" s="13"/>
      <c r="D722" s="14"/>
      <c r="E722" s="14"/>
      <c r="F722" s="15"/>
      <c r="G722" s="16"/>
    </row>
    <row r="723" spans="2:7" x14ac:dyDescent="0.25">
      <c r="B723" s="17" t="s">
        <v>29</v>
      </c>
      <c r="C723" s="13"/>
      <c r="D723" s="14"/>
      <c r="E723" s="14"/>
      <c r="F723" s="15"/>
      <c r="G723" s="16"/>
    </row>
    <row r="724" spans="2:7" x14ac:dyDescent="0.25">
      <c r="B724" s="18" t="s">
        <v>304</v>
      </c>
      <c r="C724" s="19" t="s">
        <v>13</v>
      </c>
      <c r="D724" s="67">
        <v>0.12</v>
      </c>
      <c r="E724" s="21">
        <v>0.01</v>
      </c>
      <c r="F724" s="22">
        <v>157000</v>
      </c>
      <c r="G724" s="23">
        <f t="shared" ref="G724:G725" si="20">+(D724+D724*E724)*F724</f>
        <v>19028.400000000001</v>
      </c>
    </row>
    <row r="725" spans="2:7" x14ac:dyDescent="0.25">
      <c r="B725" s="18" t="s">
        <v>305</v>
      </c>
      <c r="C725" s="19" t="s">
        <v>254</v>
      </c>
      <c r="D725" s="67">
        <v>5.0000000000000001E-3</v>
      </c>
      <c r="E725" s="21">
        <v>0</v>
      </c>
      <c r="F725" s="22">
        <v>22289</v>
      </c>
      <c r="G725" s="23">
        <f t="shared" si="20"/>
        <v>111.44500000000001</v>
      </c>
    </row>
    <row r="726" spans="2:7" x14ac:dyDescent="0.25">
      <c r="B726" s="12"/>
      <c r="C726" s="13"/>
      <c r="D726" s="14"/>
      <c r="E726" s="14"/>
      <c r="F726" s="15" t="s">
        <v>30</v>
      </c>
      <c r="G726" s="24">
        <f>SUM(G724:G725)</f>
        <v>19139.845000000001</v>
      </c>
    </row>
    <row r="727" spans="2:7" x14ac:dyDescent="0.25">
      <c r="B727" s="17" t="s">
        <v>19</v>
      </c>
      <c r="C727" s="13"/>
      <c r="D727" s="14"/>
      <c r="E727" s="14"/>
      <c r="F727" s="15"/>
      <c r="G727" s="16"/>
    </row>
    <row r="728" spans="2:7" x14ac:dyDescent="0.25">
      <c r="B728" s="17" t="s">
        <v>293</v>
      </c>
      <c r="C728" s="13" t="s">
        <v>294</v>
      </c>
      <c r="D728" s="13" t="s">
        <v>13</v>
      </c>
      <c r="E728" s="13" t="s">
        <v>295</v>
      </c>
      <c r="F728" s="72" t="s">
        <v>296</v>
      </c>
      <c r="G728" s="107" t="s">
        <v>5</v>
      </c>
    </row>
    <row r="729" spans="2:7" x14ac:dyDescent="0.25">
      <c r="B729" s="18" t="s">
        <v>251</v>
      </c>
      <c r="C729" s="108">
        <v>190012</v>
      </c>
      <c r="D729" s="20" t="s">
        <v>294</v>
      </c>
      <c r="E729" s="19">
        <v>1.8</v>
      </c>
      <c r="F729" s="19">
        <v>36</v>
      </c>
      <c r="G729" s="23">
        <f>+C729*E729/F729</f>
        <v>9500.6</v>
      </c>
    </row>
    <row r="730" spans="2:7" x14ac:dyDescent="0.25">
      <c r="B730" s="12"/>
      <c r="C730" s="13"/>
      <c r="D730" s="14"/>
      <c r="E730" s="14"/>
      <c r="F730" s="15" t="s">
        <v>21</v>
      </c>
      <c r="G730" s="24">
        <f>SUM(G729:G729)</f>
        <v>9500.6</v>
      </c>
    </row>
    <row r="731" spans="2:7" x14ac:dyDescent="0.25">
      <c r="B731" s="12"/>
      <c r="C731" s="13"/>
      <c r="D731" s="14"/>
      <c r="E731" s="14"/>
      <c r="F731" s="15"/>
      <c r="G731" s="109"/>
    </row>
    <row r="732" spans="2:7" x14ac:dyDescent="0.25">
      <c r="B732" s="25" t="s">
        <v>22</v>
      </c>
      <c r="C732" s="13" t="s">
        <v>13</v>
      </c>
      <c r="D732" s="13" t="s">
        <v>298</v>
      </c>
      <c r="F732" s="13" t="s">
        <v>299</v>
      </c>
      <c r="G732" s="110" t="s">
        <v>300</v>
      </c>
    </row>
    <row r="733" spans="2:7" x14ac:dyDescent="0.25">
      <c r="B733" s="18" t="s">
        <v>32</v>
      </c>
      <c r="C733" s="19" t="s">
        <v>33</v>
      </c>
      <c r="D733" s="21">
        <v>0.01</v>
      </c>
      <c r="E733" s="21"/>
      <c r="F733" s="39">
        <f>+G730</f>
        <v>9500.6</v>
      </c>
      <c r="G733" s="23">
        <f>+(D733+D733*E733)*F733</f>
        <v>95.006</v>
      </c>
    </row>
    <row r="734" spans="2:7" x14ac:dyDescent="0.25">
      <c r="B734" s="18" t="s">
        <v>301</v>
      </c>
      <c r="C734" s="13" t="s">
        <v>302</v>
      </c>
      <c r="D734" s="111">
        <v>0.2</v>
      </c>
      <c r="E734" s="112"/>
      <c r="F734" s="15">
        <v>12000</v>
      </c>
      <c r="G734" s="23">
        <f>+(D734+D734*E734)*F734</f>
        <v>2400</v>
      </c>
    </row>
    <row r="735" spans="2:7" x14ac:dyDescent="0.25">
      <c r="B735" s="12"/>
      <c r="C735" s="13"/>
      <c r="D735" s="14"/>
      <c r="E735" s="14"/>
      <c r="F735" s="15" t="s">
        <v>23</v>
      </c>
      <c r="G735" s="24">
        <f>SUM(G733:G734)</f>
        <v>2495.0059999999999</v>
      </c>
    </row>
    <row r="736" spans="2:7" x14ac:dyDescent="0.25">
      <c r="B736" s="12"/>
      <c r="C736" s="13"/>
      <c r="D736" s="14"/>
      <c r="E736" s="14"/>
      <c r="F736" s="15"/>
      <c r="G736" s="26"/>
    </row>
    <row r="737" spans="2:7" x14ac:dyDescent="0.25">
      <c r="B737" s="243" t="s">
        <v>6</v>
      </c>
      <c r="C737" s="244"/>
      <c r="D737" s="244"/>
      <c r="E737" s="244"/>
      <c r="F737" s="244"/>
      <c r="G737" s="27">
        <f>+ROUND(G735+G730+G726,0)</f>
        <v>31135</v>
      </c>
    </row>
    <row r="738" spans="2:7" x14ac:dyDescent="0.25">
      <c r="B738" s="28" t="s">
        <v>24</v>
      </c>
      <c r="C738" s="29"/>
      <c r="D738" s="30"/>
      <c r="E738" s="14"/>
      <c r="F738" s="31"/>
      <c r="G738" s="32"/>
    </row>
    <row r="739" spans="2:7" x14ac:dyDescent="0.25">
      <c r="B739" s="33" t="s">
        <v>25</v>
      </c>
      <c r="C739" s="29"/>
      <c r="D739" s="34"/>
      <c r="E739" s="71">
        <v>0.25</v>
      </c>
      <c r="F739" s="35"/>
      <c r="G739" s="36">
        <f>ROUND(G737*E739,0)</f>
        <v>7784</v>
      </c>
    </row>
    <row r="740" spans="2:7" x14ac:dyDescent="0.25">
      <c r="B740" s="33" t="s">
        <v>8</v>
      </c>
      <c r="C740" s="29"/>
      <c r="D740" s="34"/>
      <c r="E740" s="71">
        <v>0.01</v>
      </c>
      <c r="F740" s="35"/>
      <c r="G740" s="36">
        <f>ROUND(G737*E740,0)</f>
        <v>311</v>
      </c>
    </row>
    <row r="741" spans="2:7" x14ac:dyDescent="0.25">
      <c r="B741" s="33" t="s">
        <v>9</v>
      </c>
      <c r="C741" s="29"/>
      <c r="D741" s="34"/>
      <c r="E741" s="71">
        <v>0.05</v>
      </c>
      <c r="F741" s="35"/>
      <c r="G741" s="36">
        <f>ROUND(G737*E741,0)</f>
        <v>1557</v>
      </c>
    </row>
    <row r="742" spans="2:7" x14ac:dyDescent="0.25">
      <c r="B742" s="245" t="s">
        <v>26</v>
      </c>
      <c r="C742" s="246"/>
      <c r="D742" s="246"/>
      <c r="E742" s="246"/>
      <c r="F742" s="246"/>
      <c r="G742" s="37">
        <f>SUM(G739:G741)</f>
        <v>9652</v>
      </c>
    </row>
    <row r="743" spans="2:7" x14ac:dyDescent="0.25">
      <c r="B743" s="247" t="s">
        <v>27</v>
      </c>
      <c r="C743" s="248"/>
      <c r="D743" s="248"/>
      <c r="E743" s="248"/>
      <c r="F743" s="248"/>
      <c r="G743" s="38">
        <f>+G742+G737</f>
        <v>40787</v>
      </c>
    </row>
    <row r="748" spans="2:7" x14ac:dyDescent="0.25">
      <c r="B748" s="254" t="s">
        <v>306</v>
      </c>
      <c r="C748" s="255"/>
      <c r="D748" s="255"/>
      <c r="E748" s="255"/>
      <c r="F748" s="255"/>
      <c r="G748" s="5" t="s">
        <v>123</v>
      </c>
    </row>
    <row r="749" spans="2:7" x14ac:dyDescent="0.25">
      <c r="B749" s="105"/>
      <c r="C749" s="106"/>
      <c r="D749" s="106"/>
      <c r="E749" s="106"/>
      <c r="F749" s="6"/>
      <c r="G749" s="7">
        <v>1.2</v>
      </c>
    </row>
    <row r="750" spans="2:7" x14ac:dyDescent="0.25">
      <c r="B750" s="8" t="s">
        <v>15</v>
      </c>
      <c r="C750" s="9" t="s">
        <v>13</v>
      </c>
      <c r="D750" s="9" t="s">
        <v>16</v>
      </c>
      <c r="E750" s="9" t="s">
        <v>17</v>
      </c>
      <c r="F750" s="10" t="s">
        <v>18</v>
      </c>
      <c r="G750" s="11" t="s">
        <v>5</v>
      </c>
    </row>
    <row r="751" spans="2:7" x14ac:dyDescent="0.25">
      <c r="B751" s="12"/>
      <c r="C751" s="13"/>
      <c r="D751" s="14"/>
      <c r="E751" s="14"/>
      <c r="F751" s="15"/>
      <c r="G751" s="16"/>
    </row>
    <row r="752" spans="2:7" x14ac:dyDescent="0.25">
      <c r="B752" s="17" t="s">
        <v>29</v>
      </c>
      <c r="C752" s="13"/>
      <c r="D752" s="14"/>
      <c r="E752" s="14"/>
      <c r="F752" s="15"/>
      <c r="G752" s="16"/>
    </row>
    <row r="753" spans="2:7" x14ac:dyDescent="0.25">
      <c r="B753" s="18" t="s">
        <v>225</v>
      </c>
      <c r="C753" s="19" t="s">
        <v>13</v>
      </c>
      <c r="D753" s="67">
        <v>1.05</v>
      </c>
      <c r="E753" s="21">
        <v>0</v>
      </c>
      <c r="F753" s="22">
        <v>1600</v>
      </c>
      <c r="G753" s="23">
        <f>+(D753+D753*E753)*F753</f>
        <v>1680</v>
      </c>
    </row>
    <row r="754" spans="2:7" x14ac:dyDescent="0.25">
      <c r="B754" s="18" t="s">
        <v>307</v>
      </c>
      <c r="C754" s="19" t="s">
        <v>254</v>
      </c>
      <c r="D754" s="67">
        <v>0.03</v>
      </c>
      <c r="E754" s="21">
        <v>0</v>
      </c>
      <c r="F754" s="22">
        <v>62100</v>
      </c>
      <c r="G754" s="23">
        <f t="shared" ref="G754:G755" si="21">+(D754+D754*E754)*F754</f>
        <v>1863</v>
      </c>
    </row>
    <row r="755" spans="2:7" x14ac:dyDescent="0.25">
      <c r="B755" s="18" t="s">
        <v>138</v>
      </c>
      <c r="C755" s="19" t="s">
        <v>254</v>
      </c>
      <c r="D755" s="67">
        <v>0.05</v>
      </c>
      <c r="E755" s="21">
        <v>0.01</v>
      </c>
      <c r="F755" s="22">
        <v>112900</v>
      </c>
      <c r="G755" s="23">
        <f t="shared" si="21"/>
        <v>5701.4500000000007</v>
      </c>
    </row>
    <row r="756" spans="2:7" x14ac:dyDescent="0.25">
      <c r="B756" s="12"/>
      <c r="C756" s="13"/>
      <c r="D756" s="14"/>
      <c r="E756" s="14"/>
      <c r="F756" s="15" t="s">
        <v>30</v>
      </c>
      <c r="G756" s="24">
        <f>SUM(G753:G755)</f>
        <v>9244.4500000000007</v>
      </c>
    </row>
    <row r="757" spans="2:7" x14ac:dyDescent="0.25">
      <c r="B757" s="17" t="s">
        <v>19</v>
      </c>
      <c r="C757" s="13"/>
      <c r="D757" s="14"/>
      <c r="E757" s="14"/>
      <c r="F757" s="15"/>
      <c r="G757" s="16"/>
    </row>
    <row r="758" spans="2:7" x14ac:dyDescent="0.25">
      <c r="B758" s="17" t="s">
        <v>293</v>
      </c>
      <c r="C758" s="13"/>
      <c r="D758" s="13"/>
      <c r="E758" s="13"/>
      <c r="F758" s="72"/>
      <c r="G758" s="107"/>
    </row>
    <row r="759" spans="2:7" x14ac:dyDescent="0.25">
      <c r="B759" s="18" t="s">
        <v>297</v>
      </c>
      <c r="C759" s="108" t="s">
        <v>20</v>
      </c>
      <c r="D759" s="20">
        <v>0.6</v>
      </c>
      <c r="E759" s="21">
        <v>0</v>
      </c>
      <c r="F759" s="22">
        <f>+F528</f>
        <v>33068.769999999997</v>
      </c>
      <c r="G759" s="23">
        <f>+(D759+D759*E759)*F759</f>
        <v>19841.261999999999</v>
      </c>
    </row>
    <row r="760" spans="2:7" x14ac:dyDescent="0.25">
      <c r="B760" s="12"/>
      <c r="C760" s="13"/>
      <c r="D760" s="14"/>
      <c r="E760" s="14"/>
      <c r="F760" s="15" t="s">
        <v>21</v>
      </c>
      <c r="G760" s="24">
        <f>SUM(G759:G759)</f>
        <v>19841.261999999999</v>
      </c>
    </row>
    <row r="761" spans="2:7" x14ac:dyDescent="0.25">
      <c r="B761" s="12"/>
      <c r="C761" s="13"/>
      <c r="D761" s="14"/>
      <c r="E761" s="14"/>
      <c r="F761" s="15"/>
      <c r="G761" s="109"/>
    </row>
    <row r="762" spans="2:7" x14ac:dyDescent="0.25">
      <c r="B762" s="25" t="s">
        <v>22</v>
      </c>
      <c r="C762" s="13" t="s">
        <v>13</v>
      </c>
      <c r="D762" s="13" t="s">
        <v>298</v>
      </c>
      <c r="F762" s="13" t="s">
        <v>299</v>
      </c>
      <c r="G762" s="110" t="s">
        <v>300</v>
      </c>
    </row>
    <row r="763" spans="2:7" x14ac:dyDescent="0.25">
      <c r="B763" s="18" t="s">
        <v>32</v>
      </c>
      <c r="C763" s="19" t="s">
        <v>33</v>
      </c>
      <c r="D763" s="21">
        <v>0.01</v>
      </c>
      <c r="E763" s="21"/>
      <c r="F763" s="39">
        <f>+G760</f>
        <v>19841.261999999999</v>
      </c>
      <c r="G763" s="23">
        <f>+(D763+D763*E763)*F763</f>
        <v>198.41262</v>
      </c>
    </row>
    <row r="764" spans="2:7" x14ac:dyDescent="0.25">
      <c r="B764" s="12"/>
      <c r="C764" s="13"/>
      <c r="D764" s="14"/>
      <c r="E764" s="14"/>
      <c r="F764" s="15" t="s">
        <v>23</v>
      </c>
      <c r="G764" s="24">
        <f>SUM(G763:G763)</f>
        <v>198.41262</v>
      </c>
    </row>
    <row r="765" spans="2:7" x14ac:dyDescent="0.25">
      <c r="B765" s="12"/>
      <c r="C765" s="13"/>
      <c r="D765" s="14"/>
      <c r="E765" s="14"/>
      <c r="F765" s="15"/>
      <c r="G765" s="26"/>
    </row>
    <row r="766" spans="2:7" x14ac:dyDescent="0.25">
      <c r="B766" s="243" t="s">
        <v>6</v>
      </c>
      <c r="C766" s="244"/>
      <c r="D766" s="244"/>
      <c r="E766" s="244"/>
      <c r="F766" s="244"/>
      <c r="G766" s="27">
        <f>+ROUND(G764+G760+G756,0)</f>
        <v>29284</v>
      </c>
    </row>
    <row r="767" spans="2:7" x14ac:dyDescent="0.25">
      <c r="B767" s="28" t="s">
        <v>24</v>
      </c>
      <c r="C767" s="29"/>
      <c r="D767" s="30"/>
      <c r="E767" s="14"/>
      <c r="F767" s="31"/>
      <c r="G767" s="32"/>
    </row>
    <row r="768" spans="2:7" x14ac:dyDescent="0.25">
      <c r="B768" s="33" t="s">
        <v>25</v>
      </c>
      <c r="C768" s="29"/>
      <c r="D768" s="34"/>
      <c r="E768" s="71">
        <v>0.25</v>
      </c>
      <c r="F768" s="35"/>
      <c r="G768" s="36">
        <f>ROUND(G766*E768,0)</f>
        <v>7321</v>
      </c>
    </row>
    <row r="769" spans="2:13" x14ac:dyDescent="0.25">
      <c r="B769" s="33" t="s">
        <v>8</v>
      </c>
      <c r="C769" s="29"/>
      <c r="D769" s="34"/>
      <c r="E769" s="71">
        <v>0.01</v>
      </c>
      <c r="F769" s="35"/>
      <c r="G769" s="36">
        <f>ROUND(G766*E769,0)</f>
        <v>293</v>
      </c>
    </row>
    <row r="770" spans="2:13" x14ac:dyDescent="0.25">
      <c r="B770" s="33" t="s">
        <v>9</v>
      </c>
      <c r="C770" s="29"/>
      <c r="D770" s="34"/>
      <c r="E770" s="71">
        <v>0.05</v>
      </c>
      <c r="F770" s="35"/>
      <c r="G770" s="36">
        <f>ROUND(G766*E770,0)</f>
        <v>1464</v>
      </c>
    </row>
    <row r="771" spans="2:13" x14ac:dyDescent="0.25">
      <c r="B771" s="245" t="s">
        <v>26</v>
      </c>
      <c r="C771" s="246"/>
      <c r="D771" s="246"/>
      <c r="E771" s="246"/>
      <c r="F771" s="246"/>
      <c r="G771" s="37">
        <f>SUM(G768:G770)</f>
        <v>9078</v>
      </c>
    </row>
    <row r="772" spans="2:13" x14ac:dyDescent="0.25">
      <c r="B772" s="247" t="s">
        <v>27</v>
      </c>
      <c r="C772" s="248"/>
      <c r="D772" s="248"/>
      <c r="E772" s="248"/>
      <c r="F772" s="248"/>
      <c r="G772" s="38">
        <f>+G771+G766</f>
        <v>38362</v>
      </c>
    </row>
    <row r="776" spans="2:13" ht="15.75" thickBot="1" x14ac:dyDescent="0.3"/>
    <row r="777" spans="2:13" x14ac:dyDescent="0.25">
      <c r="B777" s="249" t="s">
        <v>310</v>
      </c>
      <c r="C777" s="250"/>
      <c r="D777" s="250"/>
      <c r="E777" s="250"/>
      <c r="F777" s="250"/>
      <c r="G777" s="250"/>
      <c r="H777" s="250"/>
      <c r="I777" s="250"/>
      <c r="J777" s="250"/>
      <c r="K777" s="250"/>
      <c r="L777" s="250"/>
      <c r="M777" s="75" t="s">
        <v>119</v>
      </c>
    </row>
    <row r="778" spans="2:13" x14ac:dyDescent="0.25">
      <c r="B778" s="251" t="s">
        <v>174</v>
      </c>
      <c r="C778" s="252"/>
      <c r="D778" s="252"/>
      <c r="E778" s="252"/>
      <c r="F778" s="253" t="s">
        <v>175</v>
      </c>
      <c r="G778" s="253"/>
      <c r="H778" s="76" t="s">
        <v>176</v>
      </c>
      <c r="I778" s="77" t="s">
        <v>177</v>
      </c>
      <c r="J778" s="253" t="s">
        <v>178</v>
      </c>
      <c r="K778" s="253"/>
      <c r="L778" s="218" t="s">
        <v>179</v>
      </c>
      <c r="M778" s="219"/>
    </row>
    <row r="779" spans="2:13" x14ac:dyDescent="0.25">
      <c r="B779" s="238" t="s">
        <v>311</v>
      </c>
      <c r="C779" s="239"/>
      <c r="D779" s="239"/>
      <c r="E779" s="239"/>
      <c r="F779" s="78" t="s">
        <v>120</v>
      </c>
      <c r="G779" s="78"/>
      <c r="H779" s="79">
        <v>3</v>
      </c>
      <c r="I779" s="79">
        <v>1.02</v>
      </c>
      <c r="J779" s="229">
        <v>3200</v>
      </c>
      <c r="K779" s="230"/>
      <c r="L779" s="231">
        <f>ROUND(H779*I779*J779,0)</f>
        <v>9792</v>
      </c>
      <c r="M779" s="232"/>
    </row>
    <row r="780" spans="2:13" x14ac:dyDescent="0.25">
      <c r="B780" s="238" t="s">
        <v>312</v>
      </c>
      <c r="C780" s="239"/>
      <c r="D780" s="239"/>
      <c r="E780" s="239"/>
      <c r="F780" s="78" t="s">
        <v>120</v>
      </c>
      <c r="G780" s="78"/>
      <c r="H780" s="79">
        <v>0.1</v>
      </c>
      <c r="I780" s="79">
        <v>1</v>
      </c>
      <c r="J780" s="229">
        <v>750</v>
      </c>
      <c r="K780" s="230"/>
      <c r="L780" s="231">
        <f>ROUND(H780*I780*J780,0)</f>
        <v>75</v>
      </c>
      <c r="M780" s="232"/>
    </row>
    <row r="781" spans="2:13" x14ac:dyDescent="0.25">
      <c r="B781" s="233" t="s">
        <v>313</v>
      </c>
      <c r="C781" s="234"/>
      <c r="D781" s="234"/>
      <c r="E781" s="235"/>
      <c r="F781" s="78" t="s">
        <v>156</v>
      </c>
      <c r="G781" s="78"/>
      <c r="H781" s="79">
        <v>0.1</v>
      </c>
      <c r="I781" s="79">
        <v>1.05</v>
      </c>
      <c r="J781" s="236">
        <v>7900</v>
      </c>
      <c r="K781" s="237"/>
      <c r="L781" s="231">
        <f>ROUND(H781*I781*J781,0)</f>
        <v>830</v>
      </c>
      <c r="M781" s="232"/>
    </row>
    <row r="782" spans="2:13" x14ac:dyDescent="0.25">
      <c r="B782" s="240" t="s">
        <v>314</v>
      </c>
      <c r="C782" s="241"/>
      <c r="D782" s="241"/>
      <c r="E782" s="242"/>
      <c r="F782" s="78" t="s">
        <v>315</v>
      </c>
      <c r="G782" s="78"/>
      <c r="H782" s="79">
        <v>0.02</v>
      </c>
      <c r="I782" s="79">
        <v>1.01</v>
      </c>
      <c r="J782" s="229">
        <v>74900</v>
      </c>
      <c r="K782" s="230"/>
      <c r="L782" s="231">
        <f>ROUND(H782*I782*J782,0)</f>
        <v>1513</v>
      </c>
      <c r="M782" s="232"/>
    </row>
    <row r="783" spans="2:13" x14ac:dyDescent="0.25">
      <c r="B783" s="238" t="s">
        <v>362</v>
      </c>
      <c r="C783" s="239"/>
      <c r="D783" s="239"/>
      <c r="E783" s="239"/>
      <c r="F783" s="78" t="s">
        <v>119</v>
      </c>
      <c r="G783" s="78"/>
      <c r="H783" s="79">
        <v>1</v>
      </c>
      <c r="I783" s="79">
        <v>1.01</v>
      </c>
      <c r="J783" s="229">
        <v>39600</v>
      </c>
      <c r="K783" s="230"/>
      <c r="L783" s="231">
        <f t="shared" ref="L783:L788" si="22">ROUND(H783*I783*J783,0)</f>
        <v>39996</v>
      </c>
      <c r="M783" s="232"/>
    </row>
    <row r="784" spans="2:13" x14ac:dyDescent="0.25">
      <c r="B784" s="233" t="s">
        <v>317</v>
      </c>
      <c r="C784" s="234"/>
      <c r="D784" s="234"/>
      <c r="E784" s="235"/>
      <c r="F784" s="78" t="s">
        <v>318</v>
      </c>
      <c r="G784" s="78"/>
      <c r="H784" s="79">
        <v>0.08</v>
      </c>
      <c r="I784" s="79">
        <v>1</v>
      </c>
      <c r="J784" s="236">
        <v>14000</v>
      </c>
      <c r="K784" s="237"/>
      <c r="L784" s="231">
        <f t="shared" si="22"/>
        <v>1120</v>
      </c>
      <c r="M784" s="232"/>
    </row>
    <row r="785" spans="2:13" x14ac:dyDescent="0.25">
      <c r="B785" s="238" t="s">
        <v>319</v>
      </c>
      <c r="C785" s="239"/>
      <c r="D785" s="239"/>
      <c r="E785" s="239"/>
      <c r="F785" s="78" t="s">
        <v>20</v>
      </c>
      <c r="G785" s="78"/>
      <c r="H785" s="79">
        <v>0.8</v>
      </c>
      <c r="I785" s="79">
        <v>1</v>
      </c>
      <c r="J785" s="229">
        <f>21946</f>
        <v>21946</v>
      </c>
      <c r="K785" s="230"/>
      <c r="L785" s="231">
        <f>ROUND(H785*I785*J785,0)</f>
        <v>17557</v>
      </c>
      <c r="M785" s="232"/>
    </row>
    <row r="786" spans="2:13" x14ac:dyDescent="0.25">
      <c r="B786" s="233" t="s">
        <v>320</v>
      </c>
      <c r="C786" s="234"/>
      <c r="D786" s="234"/>
      <c r="E786" s="235"/>
      <c r="F786" s="78" t="s">
        <v>20</v>
      </c>
      <c r="G786" s="78"/>
      <c r="H786" s="79">
        <v>0.8</v>
      </c>
      <c r="I786" s="79">
        <v>1</v>
      </c>
      <c r="J786" s="229">
        <v>18654</v>
      </c>
      <c r="K786" s="230"/>
      <c r="L786" s="231">
        <f t="shared" si="22"/>
        <v>14923</v>
      </c>
      <c r="M786" s="232"/>
    </row>
    <row r="787" spans="2:13" x14ac:dyDescent="0.25">
      <c r="B787" s="233" t="s">
        <v>321</v>
      </c>
      <c r="C787" s="234"/>
      <c r="D787" s="234"/>
      <c r="E787" s="235"/>
      <c r="F787" s="78" t="s">
        <v>122</v>
      </c>
      <c r="G787" s="78"/>
      <c r="H787" s="79">
        <v>0.15</v>
      </c>
      <c r="I787" s="79">
        <v>1</v>
      </c>
      <c r="J787" s="236">
        <v>30000</v>
      </c>
      <c r="K787" s="237"/>
      <c r="L787" s="231">
        <f t="shared" si="22"/>
        <v>4500</v>
      </c>
      <c r="M787" s="232"/>
    </row>
    <row r="788" spans="2:13" x14ac:dyDescent="0.25">
      <c r="B788" s="238" t="s">
        <v>32</v>
      </c>
      <c r="C788" s="239"/>
      <c r="D788" s="239"/>
      <c r="E788" s="239"/>
      <c r="F788" s="78" t="s">
        <v>192</v>
      </c>
      <c r="G788" s="78"/>
      <c r="H788" s="79">
        <v>0.82</v>
      </c>
      <c r="I788" s="79">
        <v>1</v>
      </c>
      <c r="J788" s="229">
        <v>1800</v>
      </c>
      <c r="K788" s="230"/>
      <c r="L788" s="231">
        <f t="shared" si="22"/>
        <v>1476</v>
      </c>
      <c r="M788" s="232"/>
    </row>
    <row r="789" spans="2:13" x14ac:dyDescent="0.25">
      <c r="B789" s="81" t="s">
        <v>196</v>
      </c>
      <c r="C789" s="82" t="s">
        <v>197</v>
      </c>
      <c r="D789" s="83" t="s">
        <v>114</v>
      </c>
      <c r="E789" s="213" t="s">
        <v>198</v>
      </c>
      <c r="F789" s="213"/>
      <c r="G789" s="220" t="s">
        <v>199</v>
      </c>
      <c r="H789" s="220"/>
      <c r="I789" s="221" t="s">
        <v>200</v>
      </c>
      <c r="J789" s="221"/>
      <c r="K789" s="213" t="s">
        <v>5</v>
      </c>
      <c r="L789" s="213"/>
      <c r="M789" s="214"/>
    </row>
    <row r="790" spans="2:13" ht="15.75" thickBot="1" x14ac:dyDescent="0.3">
      <c r="B790" s="84"/>
      <c r="C790" s="85"/>
      <c r="D790" s="86"/>
      <c r="E790" s="222"/>
      <c r="F790" s="222"/>
      <c r="G790" s="222"/>
      <c r="H790" s="222"/>
      <c r="I790" s="223"/>
      <c r="J790" s="223"/>
      <c r="K790" s="224">
        <f>SUM(L779:M788)</f>
        <v>91782</v>
      </c>
      <c r="L790" s="225"/>
      <c r="M790" s="226"/>
    </row>
    <row r="791" spans="2:13" x14ac:dyDescent="0.25">
      <c r="B791" s="138"/>
      <c r="C791" s="138"/>
      <c r="D791" s="139"/>
      <c r="E791" s="140"/>
      <c r="F791" s="140"/>
      <c r="G791" s="140"/>
      <c r="H791" s="140"/>
      <c r="I791" s="139"/>
      <c r="J791" s="139"/>
      <c r="K791" s="141"/>
      <c r="L791" s="142"/>
      <c r="M791" s="142"/>
    </row>
    <row r="793" spans="2:13" ht="15.75" thickBot="1" x14ac:dyDescent="0.3"/>
    <row r="794" spans="2:13" x14ac:dyDescent="0.25">
      <c r="B794" s="249" t="s">
        <v>310</v>
      </c>
      <c r="C794" s="250"/>
      <c r="D794" s="250"/>
      <c r="E794" s="250"/>
      <c r="F794" s="250"/>
      <c r="G794" s="250"/>
      <c r="H794" s="250"/>
      <c r="I794" s="250"/>
      <c r="J794" s="250"/>
      <c r="K794" s="250"/>
      <c r="L794" s="250"/>
      <c r="M794" s="75" t="s">
        <v>119</v>
      </c>
    </row>
    <row r="795" spans="2:13" x14ac:dyDescent="0.25">
      <c r="B795" s="251" t="s">
        <v>174</v>
      </c>
      <c r="C795" s="252"/>
      <c r="D795" s="252"/>
      <c r="E795" s="252"/>
      <c r="F795" s="253" t="s">
        <v>175</v>
      </c>
      <c r="G795" s="253"/>
      <c r="H795" s="76" t="s">
        <v>176</v>
      </c>
      <c r="I795" s="77" t="s">
        <v>177</v>
      </c>
      <c r="J795" s="253" t="s">
        <v>178</v>
      </c>
      <c r="K795" s="253"/>
      <c r="L795" s="218" t="s">
        <v>179</v>
      </c>
      <c r="M795" s="219"/>
    </row>
    <row r="796" spans="2:13" x14ac:dyDescent="0.25">
      <c r="B796" s="238" t="s">
        <v>311</v>
      </c>
      <c r="C796" s="239"/>
      <c r="D796" s="239"/>
      <c r="E796" s="239"/>
      <c r="F796" s="78" t="s">
        <v>120</v>
      </c>
      <c r="G796" s="78"/>
      <c r="H796" s="79">
        <v>3</v>
      </c>
      <c r="I796" s="79">
        <v>1.02</v>
      </c>
      <c r="J796" s="229">
        <v>3200</v>
      </c>
      <c r="K796" s="230"/>
      <c r="L796" s="231">
        <f>ROUND(H796*I796*J796,0)</f>
        <v>9792</v>
      </c>
      <c r="M796" s="232"/>
    </row>
    <row r="797" spans="2:13" x14ac:dyDescent="0.25">
      <c r="B797" s="238" t="s">
        <v>312</v>
      </c>
      <c r="C797" s="239"/>
      <c r="D797" s="239"/>
      <c r="E797" s="239"/>
      <c r="F797" s="78" t="s">
        <v>120</v>
      </c>
      <c r="G797" s="78"/>
      <c r="H797" s="79">
        <v>0.1</v>
      </c>
      <c r="I797" s="79">
        <v>1</v>
      </c>
      <c r="J797" s="229">
        <v>750</v>
      </c>
      <c r="K797" s="230"/>
      <c r="L797" s="231">
        <f>ROUND(H797*I797*J797,0)</f>
        <v>75</v>
      </c>
      <c r="M797" s="232"/>
    </row>
    <row r="798" spans="2:13" x14ac:dyDescent="0.25">
      <c r="B798" s="233" t="s">
        <v>313</v>
      </c>
      <c r="C798" s="234"/>
      <c r="D798" s="234"/>
      <c r="E798" s="235"/>
      <c r="F798" s="78" t="s">
        <v>156</v>
      </c>
      <c r="G798" s="78"/>
      <c r="H798" s="79">
        <v>0.1</v>
      </c>
      <c r="I798" s="79">
        <v>1.05</v>
      </c>
      <c r="J798" s="236">
        <v>7900</v>
      </c>
      <c r="K798" s="237"/>
      <c r="L798" s="231">
        <f>ROUND(H798*I798*J798,0)</f>
        <v>830</v>
      </c>
      <c r="M798" s="232"/>
    </row>
    <row r="799" spans="2:13" x14ac:dyDescent="0.25">
      <c r="B799" s="240" t="s">
        <v>314</v>
      </c>
      <c r="C799" s="241"/>
      <c r="D799" s="241"/>
      <c r="E799" s="242"/>
      <c r="F799" s="78" t="s">
        <v>315</v>
      </c>
      <c r="G799" s="78"/>
      <c r="H799" s="79">
        <v>0.02</v>
      </c>
      <c r="I799" s="79">
        <v>1.01</v>
      </c>
      <c r="J799" s="229">
        <v>74900</v>
      </c>
      <c r="K799" s="230"/>
      <c r="L799" s="231">
        <f>ROUND(H799*I799*J799,0)</f>
        <v>1513</v>
      </c>
      <c r="M799" s="232"/>
    </row>
    <row r="800" spans="2:13" x14ac:dyDescent="0.25">
      <c r="B800" s="238" t="s">
        <v>316</v>
      </c>
      <c r="C800" s="239"/>
      <c r="D800" s="239"/>
      <c r="E800" s="239"/>
      <c r="F800" s="78" t="s">
        <v>119</v>
      </c>
      <c r="G800" s="78"/>
      <c r="H800" s="79">
        <v>1</v>
      </c>
      <c r="I800" s="79">
        <v>1.01</v>
      </c>
      <c r="J800" s="229">
        <v>43700</v>
      </c>
      <c r="K800" s="230"/>
      <c r="L800" s="231">
        <f t="shared" ref="L800:L801" si="23">ROUND(H800*I800*J800,0)</f>
        <v>44137</v>
      </c>
      <c r="M800" s="232"/>
    </row>
    <row r="801" spans="2:13" x14ac:dyDescent="0.25">
      <c r="B801" s="233" t="s">
        <v>317</v>
      </c>
      <c r="C801" s="234"/>
      <c r="D801" s="234"/>
      <c r="E801" s="235"/>
      <c r="F801" s="78" t="s">
        <v>318</v>
      </c>
      <c r="G801" s="78"/>
      <c r="H801" s="79">
        <v>0.08</v>
      </c>
      <c r="I801" s="79">
        <v>1</v>
      </c>
      <c r="J801" s="236">
        <v>14000</v>
      </c>
      <c r="K801" s="237"/>
      <c r="L801" s="231">
        <f t="shared" si="23"/>
        <v>1120</v>
      </c>
      <c r="M801" s="232"/>
    </row>
    <row r="802" spans="2:13" x14ac:dyDescent="0.25">
      <c r="B802" s="238" t="s">
        <v>319</v>
      </c>
      <c r="C802" s="239"/>
      <c r="D802" s="239"/>
      <c r="E802" s="239"/>
      <c r="F802" s="78" t="s">
        <v>20</v>
      </c>
      <c r="G802" s="78"/>
      <c r="H802" s="79">
        <v>0.8</v>
      </c>
      <c r="I802" s="79">
        <v>1</v>
      </c>
      <c r="J802" s="229">
        <f>21946</f>
        <v>21946</v>
      </c>
      <c r="K802" s="230"/>
      <c r="L802" s="231">
        <f>ROUND(H802*I802*J802,0)</f>
        <v>17557</v>
      </c>
      <c r="M802" s="232"/>
    </row>
    <row r="803" spans="2:13" x14ac:dyDescent="0.25">
      <c r="B803" s="233" t="s">
        <v>320</v>
      </c>
      <c r="C803" s="234"/>
      <c r="D803" s="234"/>
      <c r="E803" s="235"/>
      <c r="F803" s="78" t="s">
        <v>20</v>
      </c>
      <c r="G803" s="78"/>
      <c r="H803" s="79">
        <v>0.8</v>
      </c>
      <c r="I803" s="79">
        <v>1</v>
      </c>
      <c r="J803" s="229">
        <v>18654</v>
      </c>
      <c r="K803" s="230"/>
      <c r="L803" s="231">
        <f t="shared" ref="L803:L805" si="24">ROUND(H803*I803*J803,0)</f>
        <v>14923</v>
      </c>
      <c r="M803" s="232"/>
    </row>
    <row r="804" spans="2:13" x14ac:dyDescent="0.25">
      <c r="B804" s="233" t="s">
        <v>321</v>
      </c>
      <c r="C804" s="234"/>
      <c r="D804" s="234"/>
      <c r="E804" s="235"/>
      <c r="F804" s="78" t="s">
        <v>122</v>
      </c>
      <c r="G804" s="78"/>
      <c r="H804" s="79">
        <v>0.15</v>
      </c>
      <c r="I804" s="79">
        <v>1</v>
      </c>
      <c r="J804" s="236">
        <v>30000</v>
      </c>
      <c r="K804" s="237"/>
      <c r="L804" s="231">
        <f t="shared" si="24"/>
        <v>4500</v>
      </c>
      <c r="M804" s="232"/>
    </row>
    <row r="805" spans="2:13" x14ac:dyDescent="0.25">
      <c r="B805" s="238" t="s">
        <v>32</v>
      </c>
      <c r="C805" s="239"/>
      <c r="D805" s="239"/>
      <c r="E805" s="239"/>
      <c r="F805" s="78" t="s">
        <v>192</v>
      </c>
      <c r="G805" s="78"/>
      <c r="H805" s="79">
        <v>0.82</v>
      </c>
      <c r="I805" s="79">
        <v>1</v>
      </c>
      <c r="J805" s="229">
        <v>1800</v>
      </c>
      <c r="K805" s="230"/>
      <c r="L805" s="231">
        <f t="shared" si="24"/>
        <v>1476</v>
      </c>
      <c r="M805" s="232"/>
    </row>
    <row r="806" spans="2:13" x14ac:dyDescent="0.25">
      <c r="B806" s="81" t="s">
        <v>196</v>
      </c>
      <c r="C806" s="82" t="s">
        <v>197</v>
      </c>
      <c r="D806" s="83" t="s">
        <v>114</v>
      </c>
      <c r="E806" s="213" t="s">
        <v>198</v>
      </c>
      <c r="F806" s="213"/>
      <c r="G806" s="220" t="s">
        <v>199</v>
      </c>
      <c r="H806" s="220"/>
      <c r="I806" s="221" t="s">
        <v>200</v>
      </c>
      <c r="J806" s="221"/>
      <c r="K806" s="213" t="s">
        <v>5</v>
      </c>
      <c r="L806" s="213"/>
      <c r="M806" s="214"/>
    </row>
    <row r="807" spans="2:13" ht="15.75" thickBot="1" x14ac:dyDescent="0.3">
      <c r="B807" s="84"/>
      <c r="C807" s="85"/>
      <c r="D807" s="86"/>
      <c r="E807" s="222"/>
      <c r="F807" s="222"/>
      <c r="G807" s="222"/>
      <c r="H807" s="222"/>
      <c r="I807" s="223"/>
      <c r="J807" s="223"/>
      <c r="K807" s="224">
        <f>SUM(L796:M805)</f>
        <v>95923</v>
      </c>
      <c r="L807" s="225"/>
      <c r="M807" s="226"/>
    </row>
    <row r="809" spans="2:13" ht="15.75" thickBot="1" x14ac:dyDescent="0.3"/>
    <row r="810" spans="2:13" x14ac:dyDescent="0.25">
      <c r="B810" s="227" t="s">
        <v>327</v>
      </c>
      <c r="C810" s="228"/>
      <c r="D810" s="228"/>
      <c r="E810" s="228"/>
      <c r="F810" s="228"/>
      <c r="G810" s="228"/>
      <c r="H810" s="228"/>
      <c r="I810" s="228"/>
      <c r="J810" s="228"/>
      <c r="K810" s="228"/>
      <c r="L810" s="228"/>
      <c r="M810" s="75" t="s">
        <v>14</v>
      </c>
    </row>
    <row r="811" spans="2:13" x14ac:dyDescent="0.25">
      <c r="B811" s="251" t="s">
        <v>174</v>
      </c>
      <c r="C811" s="252"/>
      <c r="D811" s="252"/>
      <c r="E811" s="252"/>
      <c r="F811" s="77" t="s">
        <v>175</v>
      </c>
      <c r="G811" s="77" t="s">
        <v>324</v>
      </c>
      <c r="H811" s="113" t="s">
        <v>176</v>
      </c>
      <c r="I811" s="113" t="s">
        <v>177</v>
      </c>
      <c r="J811" s="217" t="s">
        <v>178</v>
      </c>
      <c r="K811" s="217"/>
      <c r="L811" s="218" t="s">
        <v>179</v>
      </c>
      <c r="M811" s="219"/>
    </row>
    <row r="812" spans="2:13" x14ac:dyDescent="0.25">
      <c r="B812" s="202" t="s">
        <v>325</v>
      </c>
      <c r="C812" s="203"/>
      <c r="D812" s="203"/>
      <c r="E812" s="203"/>
      <c r="F812" s="114" t="s">
        <v>14</v>
      </c>
      <c r="G812" s="114"/>
      <c r="H812" s="79">
        <v>1</v>
      </c>
      <c r="I812" s="79">
        <v>1</v>
      </c>
      <c r="J812" s="261">
        <v>440848</v>
      </c>
      <c r="K812" s="261"/>
      <c r="L812" s="205">
        <f t="shared" ref="L812:L814" si="25">ROUND(H812*I812*J812,0)</f>
        <v>440848</v>
      </c>
      <c r="M812" s="206"/>
    </row>
    <row r="813" spans="2:13" x14ac:dyDescent="0.25">
      <c r="B813" s="202" t="s">
        <v>326</v>
      </c>
      <c r="C813" s="203"/>
      <c r="D813" s="203"/>
      <c r="E813" s="203"/>
      <c r="F813" s="114" t="s">
        <v>20</v>
      </c>
      <c r="G813" s="114"/>
      <c r="H813" s="79">
        <v>2.6</v>
      </c>
      <c r="I813" s="79">
        <v>1</v>
      </c>
      <c r="J813" s="261">
        <f>10973*3+18654</f>
        <v>51573</v>
      </c>
      <c r="K813" s="261"/>
      <c r="L813" s="205">
        <f t="shared" si="25"/>
        <v>134090</v>
      </c>
      <c r="M813" s="206"/>
    </row>
    <row r="814" spans="2:13" x14ac:dyDescent="0.25">
      <c r="B814" s="202" t="s">
        <v>191</v>
      </c>
      <c r="C814" s="203"/>
      <c r="D814" s="203"/>
      <c r="E814" s="203"/>
      <c r="F814" s="114" t="s">
        <v>192</v>
      </c>
      <c r="G814" s="114"/>
      <c r="H814" s="79">
        <v>0.05</v>
      </c>
      <c r="I814" s="79">
        <v>1</v>
      </c>
      <c r="J814" s="261">
        <v>1800</v>
      </c>
      <c r="K814" s="261"/>
      <c r="L814" s="205">
        <f t="shared" si="25"/>
        <v>90</v>
      </c>
      <c r="M814" s="206"/>
    </row>
    <row r="815" spans="2:13" x14ac:dyDescent="0.25">
      <c r="B815" s="207"/>
      <c r="C815" s="208"/>
      <c r="D815" s="208"/>
      <c r="E815" s="208"/>
      <c r="F815" s="208"/>
      <c r="G815" s="208"/>
      <c r="H815" s="208"/>
      <c r="I815" s="208"/>
      <c r="J815" s="209"/>
      <c r="K815" s="213" t="s">
        <v>5</v>
      </c>
      <c r="L815" s="213"/>
      <c r="M815" s="214"/>
    </row>
    <row r="816" spans="2:13" ht="15.75" thickBot="1" x14ac:dyDescent="0.3">
      <c r="B816" s="210"/>
      <c r="C816" s="211"/>
      <c r="D816" s="211"/>
      <c r="E816" s="211"/>
      <c r="F816" s="211"/>
      <c r="G816" s="211"/>
      <c r="H816" s="211"/>
      <c r="I816" s="211"/>
      <c r="J816" s="212"/>
      <c r="K816" s="215">
        <f>ROUND(SUM(L812:M814),0)</f>
        <v>575028</v>
      </c>
      <c r="L816" s="215"/>
      <c r="M816" s="216"/>
    </row>
    <row r="819" spans="2:14" ht="15.75" thickBot="1" x14ac:dyDescent="0.3"/>
    <row r="820" spans="2:14" x14ac:dyDescent="0.25">
      <c r="B820" s="262" t="s">
        <v>333</v>
      </c>
      <c r="C820" s="263"/>
      <c r="D820" s="263"/>
      <c r="E820" s="263"/>
      <c r="F820" s="263"/>
      <c r="G820" s="263"/>
      <c r="H820" s="263"/>
      <c r="I820" s="263"/>
      <c r="J820" s="263"/>
      <c r="K820" s="263"/>
      <c r="L820" s="263"/>
      <c r="M820" s="75" t="s">
        <v>119</v>
      </c>
    </row>
    <row r="821" spans="2:14" x14ac:dyDescent="0.25">
      <c r="B821" s="251" t="s">
        <v>174</v>
      </c>
      <c r="C821" s="252"/>
      <c r="D821" s="252"/>
      <c r="E821" s="252"/>
      <c r="F821" s="217" t="s">
        <v>175</v>
      </c>
      <c r="G821" s="217"/>
      <c r="H821" s="113" t="s">
        <v>176</v>
      </c>
      <c r="I821" s="113" t="s">
        <v>177</v>
      </c>
      <c r="J821" s="217" t="s">
        <v>178</v>
      </c>
      <c r="K821" s="217"/>
      <c r="L821" s="218" t="s">
        <v>179</v>
      </c>
      <c r="M821" s="219"/>
    </row>
    <row r="822" spans="2:14" x14ac:dyDescent="0.25">
      <c r="B822" s="202" t="s">
        <v>334</v>
      </c>
      <c r="C822" s="203"/>
      <c r="D822" s="203"/>
      <c r="E822" s="203"/>
      <c r="F822" s="114" t="s">
        <v>13</v>
      </c>
      <c r="G822" s="114"/>
      <c r="H822" s="79">
        <v>3</v>
      </c>
      <c r="I822" s="79">
        <v>1</v>
      </c>
      <c r="J822" s="204">
        <v>952</v>
      </c>
      <c r="K822" s="204"/>
      <c r="L822" s="205">
        <f t="shared" ref="L822:L828" si="26">ROUND(H822*I822*J822,0)</f>
        <v>2856</v>
      </c>
      <c r="M822" s="206"/>
    </row>
    <row r="823" spans="2:14" x14ac:dyDescent="0.25">
      <c r="B823" s="202" t="s">
        <v>335</v>
      </c>
      <c r="C823" s="203"/>
      <c r="D823" s="203"/>
      <c r="E823" s="203"/>
      <c r="F823" s="114" t="s">
        <v>13</v>
      </c>
      <c r="G823" s="114"/>
      <c r="H823" s="79">
        <v>2</v>
      </c>
      <c r="I823" s="79">
        <v>1</v>
      </c>
      <c r="J823" s="204">
        <v>952</v>
      </c>
      <c r="K823" s="204"/>
      <c r="L823" s="205">
        <f t="shared" si="26"/>
        <v>1904</v>
      </c>
      <c r="M823" s="206"/>
    </row>
    <row r="824" spans="2:14" x14ac:dyDescent="0.25">
      <c r="B824" s="202" t="s">
        <v>336</v>
      </c>
      <c r="C824" s="203"/>
      <c r="D824" s="203"/>
      <c r="E824" s="203"/>
      <c r="F824" s="114" t="s">
        <v>119</v>
      </c>
      <c r="G824" s="114"/>
      <c r="H824" s="79">
        <v>1</v>
      </c>
      <c r="I824" s="79">
        <v>1.1000000000000001</v>
      </c>
      <c r="J824" s="204">
        <v>59500</v>
      </c>
      <c r="K824" s="204"/>
      <c r="L824" s="205">
        <f t="shared" si="26"/>
        <v>65450</v>
      </c>
      <c r="M824" s="206"/>
    </row>
    <row r="825" spans="2:14" x14ac:dyDescent="0.25">
      <c r="B825" s="202" t="s">
        <v>337</v>
      </c>
      <c r="C825" s="203"/>
      <c r="D825" s="203"/>
      <c r="E825" s="203"/>
      <c r="F825" s="114" t="s">
        <v>20</v>
      </c>
      <c r="G825" s="114"/>
      <c r="H825" s="136">
        <v>0.68</v>
      </c>
      <c r="I825" s="79">
        <v>1</v>
      </c>
      <c r="J825" s="204">
        <f>10973+18654</f>
        <v>29627</v>
      </c>
      <c r="K825" s="204"/>
      <c r="L825" s="205">
        <f t="shared" si="26"/>
        <v>20146</v>
      </c>
      <c r="M825" s="206"/>
      <c r="N825">
        <v>10973</v>
      </c>
    </row>
    <row r="826" spans="2:14" x14ac:dyDescent="0.25">
      <c r="B826" s="202" t="s">
        <v>191</v>
      </c>
      <c r="C826" s="203"/>
      <c r="D826" s="203"/>
      <c r="E826" s="203"/>
      <c r="F826" s="114" t="s">
        <v>192</v>
      </c>
      <c r="G826" s="114"/>
      <c r="H826" s="136">
        <v>0.59419999999999995</v>
      </c>
      <c r="I826" s="79">
        <v>1</v>
      </c>
      <c r="J826" s="204">
        <v>1800</v>
      </c>
      <c r="K826" s="204"/>
      <c r="L826" s="205">
        <f t="shared" si="26"/>
        <v>1070</v>
      </c>
      <c r="M826" s="206"/>
      <c r="N826">
        <v>18654</v>
      </c>
    </row>
    <row r="827" spans="2:14" x14ac:dyDescent="0.25">
      <c r="B827" s="202" t="s">
        <v>338</v>
      </c>
      <c r="C827" s="203"/>
      <c r="D827" s="203"/>
      <c r="E827" s="203"/>
      <c r="F827" s="114" t="s">
        <v>132</v>
      </c>
      <c r="G827" s="114"/>
      <c r="H827" s="79">
        <v>0.2</v>
      </c>
      <c r="I827" s="79">
        <v>1</v>
      </c>
      <c r="J827" s="204">
        <v>4000</v>
      </c>
      <c r="K827" s="204"/>
      <c r="L827" s="205">
        <f t="shared" si="26"/>
        <v>800</v>
      </c>
      <c r="M827" s="206"/>
    </row>
    <row r="828" spans="2:14" x14ac:dyDescent="0.25">
      <c r="B828" s="202" t="s">
        <v>195</v>
      </c>
      <c r="C828" s="203"/>
      <c r="D828" s="203"/>
      <c r="E828" s="203"/>
      <c r="F828" s="114" t="s">
        <v>122</v>
      </c>
      <c r="G828" s="114"/>
      <c r="H828" s="79">
        <v>0.2</v>
      </c>
      <c r="I828" s="79">
        <v>1</v>
      </c>
      <c r="J828" s="204">
        <v>500</v>
      </c>
      <c r="K828" s="204"/>
      <c r="L828" s="205">
        <f t="shared" si="26"/>
        <v>100</v>
      </c>
      <c r="M828" s="206"/>
    </row>
    <row r="829" spans="2:14" x14ac:dyDescent="0.25">
      <c r="B829" s="207"/>
      <c r="C829" s="208"/>
      <c r="D829" s="208"/>
      <c r="E829" s="208"/>
      <c r="F829" s="208"/>
      <c r="G829" s="208"/>
      <c r="H829" s="208"/>
      <c r="I829" s="208"/>
      <c r="J829" s="209"/>
      <c r="K829" s="213" t="s">
        <v>5</v>
      </c>
      <c r="L829" s="213"/>
      <c r="M829" s="214"/>
    </row>
    <row r="830" spans="2:14" ht="15.75" thickBot="1" x14ac:dyDescent="0.3">
      <c r="B830" s="210"/>
      <c r="C830" s="211"/>
      <c r="D830" s="211"/>
      <c r="E830" s="211"/>
      <c r="F830" s="211"/>
      <c r="G830" s="211"/>
      <c r="H830" s="211"/>
      <c r="I830" s="211"/>
      <c r="J830" s="212"/>
      <c r="K830" s="215">
        <f>ROUND(SUM(L822:M828),0)</f>
        <v>92326</v>
      </c>
      <c r="L830" s="215"/>
      <c r="M830" s="216"/>
    </row>
    <row r="834" spans="2:7" x14ac:dyDescent="0.25">
      <c r="B834" s="254" t="s">
        <v>341</v>
      </c>
      <c r="C834" s="255"/>
      <c r="D834" s="255"/>
      <c r="E834" s="255"/>
      <c r="F834" s="255"/>
      <c r="G834" s="5" t="s">
        <v>155</v>
      </c>
    </row>
    <row r="835" spans="2:7" x14ac:dyDescent="0.25">
      <c r="B835" s="105"/>
      <c r="C835" s="106"/>
      <c r="D835" s="106"/>
      <c r="E835" s="106"/>
      <c r="F835" s="6"/>
      <c r="G835" s="7"/>
    </row>
    <row r="836" spans="2:7" x14ac:dyDescent="0.25">
      <c r="B836" s="8" t="s">
        <v>15</v>
      </c>
      <c r="C836" s="9" t="s">
        <v>13</v>
      </c>
      <c r="D836" s="9" t="s">
        <v>16</v>
      </c>
      <c r="E836" s="9" t="s">
        <v>17</v>
      </c>
      <c r="F836" s="10" t="s">
        <v>18</v>
      </c>
      <c r="G836" s="11" t="s">
        <v>5</v>
      </c>
    </row>
    <row r="837" spans="2:7" x14ac:dyDescent="0.25">
      <c r="B837" s="12"/>
      <c r="C837" s="13"/>
      <c r="D837" s="14"/>
      <c r="E837" s="14"/>
      <c r="F837" s="15"/>
      <c r="G837" s="16"/>
    </row>
    <row r="838" spans="2:7" x14ac:dyDescent="0.25">
      <c r="B838" s="17" t="s">
        <v>29</v>
      </c>
      <c r="C838" s="13"/>
      <c r="D838" s="14"/>
      <c r="E838" s="14"/>
      <c r="F838" s="15"/>
      <c r="G838" s="16"/>
    </row>
    <row r="839" spans="2:7" x14ac:dyDescent="0.25">
      <c r="B839" s="18" t="s">
        <v>342</v>
      </c>
      <c r="C839" s="19" t="s">
        <v>13</v>
      </c>
      <c r="D839" s="67">
        <v>1</v>
      </c>
      <c r="E839" s="21">
        <v>0</v>
      </c>
      <c r="F839" s="22">
        <v>1900</v>
      </c>
      <c r="G839" s="23">
        <f>+(D839+D839*E839)*F839</f>
        <v>1900</v>
      </c>
    </row>
    <row r="840" spans="2:7" x14ac:dyDescent="0.25">
      <c r="B840" s="18" t="s">
        <v>138</v>
      </c>
      <c r="C840" s="19" t="s">
        <v>254</v>
      </c>
      <c r="D840" s="67">
        <v>0.18</v>
      </c>
      <c r="E840" s="21">
        <v>0</v>
      </c>
      <c r="F840" s="22">
        <v>84900</v>
      </c>
      <c r="G840" s="23">
        <f t="shared" ref="G840:G841" si="27">+(D840+D840*E840)*F840</f>
        <v>15282</v>
      </c>
    </row>
    <row r="841" spans="2:7" x14ac:dyDescent="0.25">
      <c r="B841" s="18" t="s">
        <v>343</v>
      </c>
      <c r="C841" s="19" t="s">
        <v>254</v>
      </c>
      <c r="D841" s="67">
        <v>2.5000000000000001E-2</v>
      </c>
      <c r="E841" s="21">
        <v>0</v>
      </c>
      <c r="F841" s="22">
        <v>36900</v>
      </c>
      <c r="G841" s="23">
        <f t="shared" si="27"/>
        <v>922.5</v>
      </c>
    </row>
    <row r="842" spans="2:7" x14ac:dyDescent="0.25">
      <c r="B842" s="12"/>
      <c r="C842" s="13"/>
      <c r="D842" s="14"/>
      <c r="E842" s="14"/>
      <c r="F842" s="15" t="s">
        <v>30</v>
      </c>
      <c r="G842" s="24">
        <f>SUM(G839:G841)</f>
        <v>18104.5</v>
      </c>
    </row>
    <row r="843" spans="2:7" x14ac:dyDescent="0.25">
      <c r="B843" s="17" t="s">
        <v>19</v>
      </c>
      <c r="C843" s="13"/>
      <c r="D843" s="14"/>
      <c r="E843" s="14"/>
      <c r="F843" s="15"/>
      <c r="G843" s="16"/>
    </row>
    <row r="844" spans="2:7" x14ac:dyDescent="0.25">
      <c r="B844" s="17" t="s">
        <v>293</v>
      </c>
      <c r="C844" s="13"/>
      <c r="D844" s="13"/>
      <c r="E844" s="13"/>
      <c r="F844" s="72"/>
      <c r="G844" s="107"/>
    </row>
    <row r="845" spans="2:7" x14ac:dyDescent="0.25">
      <c r="B845" s="18" t="s">
        <v>344</v>
      </c>
      <c r="C845" s="108" t="s">
        <v>20</v>
      </c>
      <c r="D845" s="20">
        <v>1.4</v>
      </c>
      <c r="E845" s="21">
        <v>0</v>
      </c>
      <c r="F845" s="22">
        <f>+F216</f>
        <v>32918.434999999998</v>
      </c>
      <c r="G845" s="23">
        <f>+(D845+D845*E845)*F845</f>
        <v>46085.808999999994</v>
      </c>
    </row>
    <row r="846" spans="2:7" x14ac:dyDescent="0.25">
      <c r="B846" s="12"/>
      <c r="C846" s="13"/>
      <c r="D846" s="14"/>
      <c r="E846" s="14"/>
      <c r="F846" s="15" t="s">
        <v>21</v>
      </c>
      <c r="G846" s="24">
        <f>SUM(G845:G845)</f>
        <v>46085.808999999994</v>
      </c>
    </row>
    <row r="847" spans="2:7" x14ac:dyDescent="0.25">
      <c r="B847" s="12"/>
      <c r="C847" s="13"/>
      <c r="D847" s="14"/>
      <c r="E847" s="14"/>
      <c r="F847" s="15"/>
      <c r="G847" s="109"/>
    </row>
    <row r="848" spans="2:7" x14ac:dyDescent="0.25">
      <c r="B848" s="25" t="s">
        <v>22</v>
      </c>
      <c r="C848" s="13"/>
      <c r="D848" s="13"/>
      <c r="F848" s="13"/>
      <c r="G848" s="110"/>
    </row>
    <row r="849" spans="2:7" x14ac:dyDescent="0.25">
      <c r="B849" s="18" t="s">
        <v>32</v>
      </c>
      <c r="C849" s="19" t="s">
        <v>33</v>
      </c>
      <c r="D849" s="21">
        <v>0.01</v>
      </c>
      <c r="E849" s="21"/>
      <c r="F849" s="39">
        <f>+G846</f>
        <v>46085.808999999994</v>
      </c>
      <c r="G849" s="23">
        <f>+(D849+D849*E849)*F849</f>
        <v>460.85808999999995</v>
      </c>
    </row>
    <row r="850" spans="2:7" x14ac:dyDescent="0.25">
      <c r="B850" s="12"/>
      <c r="C850" s="13"/>
      <c r="D850" s="14"/>
      <c r="E850" s="14"/>
      <c r="F850" s="15" t="s">
        <v>23</v>
      </c>
      <c r="G850" s="24">
        <f>SUM(G849:G849)</f>
        <v>460.85808999999995</v>
      </c>
    </row>
    <row r="851" spans="2:7" x14ac:dyDescent="0.25">
      <c r="B851" s="12"/>
      <c r="C851" s="13"/>
      <c r="D851" s="14"/>
      <c r="E851" s="14"/>
      <c r="F851" s="15"/>
      <c r="G851" s="26"/>
    </row>
    <row r="852" spans="2:7" x14ac:dyDescent="0.25">
      <c r="B852" s="243" t="s">
        <v>6</v>
      </c>
      <c r="C852" s="244"/>
      <c r="D852" s="244"/>
      <c r="E852" s="244"/>
      <c r="F852" s="244"/>
      <c r="G852" s="27">
        <f>+ROUND(G850+G846+G842,0)</f>
        <v>64651</v>
      </c>
    </row>
    <row r="853" spans="2:7" x14ac:dyDescent="0.25">
      <c r="B853" s="28" t="s">
        <v>24</v>
      </c>
      <c r="C853" s="29"/>
      <c r="D853" s="30"/>
      <c r="E853" s="14"/>
      <c r="F853" s="31"/>
      <c r="G853" s="32"/>
    </row>
    <row r="854" spans="2:7" x14ac:dyDescent="0.25">
      <c r="B854" s="33" t="s">
        <v>25</v>
      </c>
      <c r="C854" s="29"/>
      <c r="D854" s="34"/>
      <c r="E854" s="71">
        <v>0.25</v>
      </c>
      <c r="F854" s="35"/>
      <c r="G854" s="36">
        <f>ROUND(G852*E854,0)</f>
        <v>16163</v>
      </c>
    </row>
    <row r="855" spans="2:7" x14ac:dyDescent="0.25">
      <c r="B855" s="33" t="s">
        <v>8</v>
      </c>
      <c r="C855" s="29"/>
      <c r="D855" s="34"/>
      <c r="E855" s="71">
        <v>0.01</v>
      </c>
      <c r="F855" s="35"/>
      <c r="G855" s="36">
        <f>ROUND(G852*E855,0)</f>
        <v>647</v>
      </c>
    </row>
    <row r="856" spans="2:7" x14ac:dyDescent="0.25">
      <c r="B856" s="33" t="s">
        <v>9</v>
      </c>
      <c r="C856" s="29"/>
      <c r="D856" s="34"/>
      <c r="E856" s="71">
        <v>0.05</v>
      </c>
      <c r="F856" s="35"/>
      <c r="G856" s="36">
        <f>ROUND(G852*E856,0)</f>
        <v>3233</v>
      </c>
    </row>
    <row r="857" spans="2:7" x14ac:dyDescent="0.25">
      <c r="B857" s="245" t="s">
        <v>26</v>
      </c>
      <c r="C857" s="246"/>
      <c r="D857" s="246"/>
      <c r="E857" s="246"/>
      <c r="F857" s="246"/>
      <c r="G857" s="37">
        <f>SUM(G854:G856)</f>
        <v>20043</v>
      </c>
    </row>
    <row r="858" spans="2:7" x14ac:dyDescent="0.25">
      <c r="B858" s="247" t="s">
        <v>27</v>
      </c>
      <c r="C858" s="248"/>
      <c r="D858" s="248"/>
      <c r="E858" s="248"/>
      <c r="F858" s="248"/>
      <c r="G858" s="38">
        <f>+G857+G852</f>
        <v>84694</v>
      </c>
    </row>
    <row r="862" spans="2:7" x14ac:dyDescent="0.25">
      <c r="B862" s="254" t="s">
        <v>345</v>
      </c>
      <c r="C862" s="255"/>
      <c r="D862" s="255"/>
      <c r="E862" s="255"/>
      <c r="F862" s="255"/>
      <c r="G862" s="5" t="s">
        <v>155</v>
      </c>
    </row>
    <row r="863" spans="2:7" x14ac:dyDescent="0.25">
      <c r="B863" s="105"/>
      <c r="C863" s="106"/>
      <c r="D863" s="106"/>
      <c r="E863" s="106"/>
      <c r="F863" s="6"/>
      <c r="G863" s="7"/>
    </row>
    <row r="864" spans="2:7" x14ac:dyDescent="0.25">
      <c r="B864" s="8" t="s">
        <v>15</v>
      </c>
      <c r="C864" s="9" t="s">
        <v>13</v>
      </c>
      <c r="D864" s="9" t="s">
        <v>16</v>
      </c>
      <c r="E864" s="9" t="s">
        <v>17</v>
      </c>
      <c r="F864" s="10" t="s">
        <v>18</v>
      </c>
      <c r="G864" s="11" t="s">
        <v>5</v>
      </c>
    </row>
    <row r="865" spans="2:7" x14ac:dyDescent="0.25">
      <c r="B865" s="12"/>
      <c r="C865" s="13"/>
      <c r="D865" s="14"/>
      <c r="E865" s="14"/>
      <c r="F865" s="15"/>
      <c r="G865" s="16"/>
    </row>
    <row r="866" spans="2:7" x14ac:dyDescent="0.25">
      <c r="B866" s="17" t="s">
        <v>29</v>
      </c>
      <c r="C866" s="13"/>
      <c r="D866" s="14"/>
      <c r="E866" s="14"/>
      <c r="F866" s="15"/>
      <c r="G866" s="16"/>
    </row>
    <row r="867" spans="2:7" x14ac:dyDescent="0.25">
      <c r="B867" s="18" t="s">
        <v>346</v>
      </c>
      <c r="C867" s="19" t="s">
        <v>347</v>
      </c>
      <c r="D867" s="67">
        <v>0.08</v>
      </c>
      <c r="E867" s="21">
        <v>0.01</v>
      </c>
      <c r="F867" s="22">
        <v>8900</v>
      </c>
      <c r="G867" s="23">
        <f>+(D867+D867*E867)*F867</f>
        <v>719.12</v>
      </c>
    </row>
    <row r="868" spans="2:7" x14ac:dyDescent="0.25">
      <c r="B868" s="18" t="s">
        <v>225</v>
      </c>
      <c r="C868" s="19" t="s">
        <v>13</v>
      </c>
      <c r="D868" s="67">
        <v>0.01</v>
      </c>
      <c r="E868" s="21">
        <v>0</v>
      </c>
      <c r="F868" s="22">
        <v>1600</v>
      </c>
      <c r="G868" s="23">
        <f t="shared" ref="G868:G870" si="28">+(D868+D868*E868)*F868</f>
        <v>16</v>
      </c>
    </row>
    <row r="869" spans="2:7" x14ac:dyDescent="0.25">
      <c r="B869" s="18" t="s">
        <v>138</v>
      </c>
      <c r="C869" s="19" t="s">
        <v>254</v>
      </c>
      <c r="D869" s="67">
        <v>0.1</v>
      </c>
      <c r="E869" s="21">
        <v>0</v>
      </c>
      <c r="F869" s="22">
        <v>84900</v>
      </c>
      <c r="G869" s="23">
        <f t="shared" si="28"/>
        <v>8490</v>
      </c>
    </row>
    <row r="870" spans="2:7" x14ac:dyDescent="0.25">
      <c r="B870" s="18" t="s">
        <v>343</v>
      </c>
      <c r="C870" s="19" t="s">
        <v>254</v>
      </c>
      <c r="D870" s="67">
        <v>1.4999999999999999E-2</v>
      </c>
      <c r="E870" s="21">
        <v>0</v>
      </c>
      <c r="F870" s="22">
        <v>36900</v>
      </c>
      <c r="G870" s="23">
        <f t="shared" si="28"/>
        <v>553.5</v>
      </c>
    </row>
    <row r="871" spans="2:7" x14ac:dyDescent="0.25">
      <c r="B871" s="12"/>
      <c r="C871" s="13"/>
      <c r="D871" s="14"/>
      <c r="E871" s="14"/>
      <c r="F871" s="15" t="s">
        <v>30</v>
      </c>
      <c r="G871" s="24">
        <f>SUM(G867:G870)</f>
        <v>9778.6200000000008</v>
      </c>
    </row>
    <row r="872" spans="2:7" x14ac:dyDescent="0.25">
      <c r="B872" s="17" t="s">
        <v>19</v>
      </c>
      <c r="C872" s="13"/>
      <c r="D872" s="14"/>
      <c r="E872" s="14"/>
      <c r="F872" s="15"/>
      <c r="G872" s="16"/>
    </row>
    <row r="873" spans="2:7" x14ac:dyDescent="0.25">
      <c r="B873" s="17" t="s">
        <v>293</v>
      </c>
      <c r="C873" s="13"/>
      <c r="D873" s="13"/>
      <c r="E873" s="13"/>
      <c r="F873" s="72"/>
      <c r="G873" s="107"/>
    </row>
    <row r="874" spans="2:7" x14ac:dyDescent="0.25">
      <c r="B874" s="18" t="s">
        <v>344</v>
      </c>
      <c r="C874" s="108" t="s">
        <v>20</v>
      </c>
      <c r="D874" s="20">
        <v>0.8</v>
      </c>
      <c r="E874" s="21">
        <v>0</v>
      </c>
      <c r="F874" s="22">
        <f>+F845</f>
        <v>32918.434999999998</v>
      </c>
      <c r="G874" s="23">
        <f>+(D874+D874*E874)*F874</f>
        <v>26334.748</v>
      </c>
    </row>
    <row r="875" spans="2:7" x14ac:dyDescent="0.25">
      <c r="B875" s="12"/>
      <c r="C875" s="13"/>
      <c r="D875" s="14"/>
      <c r="E875" s="14"/>
      <c r="F875" s="15" t="s">
        <v>21</v>
      </c>
      <c r="G875" s="24">
        <f>SUM(G874:G874)</f>
        <v>26334.748</v>
      </c>
    </row>
    <row r="876" spans="2:7" x14ac:dyDescent="0.25">
      <c r="B876" s="12"/>
      <c r="C876" s="13"/>
      <c r="D876" s="14"/>
      <c r="E876" s="14"/>
      <c r="F876" s="15"/>
      <c r="G876" s="109"/>
    </row>
    <row r="877" spans="2:7" x14ac:dyDescent="0.25">
      <c r="B877" s="25" t="s">
        <v>22</v>
      </c>
      <c r="C877" s="13"/>
      <c r="D877" s="13"/>
      <c r="F877" s="13"/>
      <c r="G877" s="110"/>
    </row>
    <row r="878" spans="2:7" x14ac:dyDescent="0.25">
      <c r="B878" s="18" t="s">
        <v>32</v>
      </c>
      <c r="C878" s="19" t="s">
        <v>33</v>
      </c>
      <c r="D878" s="21">
        <v>0.01</v>
      </c>
      <c r="E878" s="21"/>
      <c r="F878" s="39">
        <f>+G875</f>
        <v>26334.748</v>
      </c>
      <c r="G878" s="23">
        <f>+(D878+D878*E878)*F878</f>
        <v>263.34748000000002</v>
      </c>
    </row>
    <row r="879" spans="2:7" x14ac:dyDescent="0.25">
      <c r="B879" s="12"/>
      <c r="C879" s="13"/>
      <c r="D879" s="14"/>
      <c r="E879" s="14"/>
      <c r="F879" s="15" t="s">
        <v>23</v>
      </c>
      <c r="G879" s="24">
        <f>SUM(G878:G878)</f>
        <v>263.34748000000002</v>
      </c>
    </row>
    <row r="880" spans="2:7" x14ac:dyDescent="0.25">
      <c r="B880" s="12"/>
      <c r="C880" s="13"/>
      <c r="D880" s="14"/>
      <c r="E880" s="14"/>
      <c r="F880" s="15"/>
      <c r="G880" s="26"/>
    </row>
    <row r="881" spans="2:7" x14ac:dyDescent="0.25">
      <c r="B881" s="243" t="s">
        <v>6</v>
      </c>
      <c r="C881" s="244"/>
      <c r="D881" s="244"/>
      <c r="E881" s="244"/>
      <c r="F881" s="244"/>
      <c r="G881" s="27">
        <f>+ROUND(G879+G875+G871,0)</f>
        <v>36377</v>
      </c>
    </row>
    <row r="882" spans="2:7" x14ac:dyDescent="0.25">
      <c r="B882" s="28" t="s">
        <v>24</v>
      </c>
      <c r="C882" s="29"/>
      <c r="D882" s="30"/>
      <c r="E882" s="14"/>
      <c r="F882" s="31"/>
      <c r="G882" s="32"/>
    </row>
    <row r="883" spans="2:7" x14ac:dyDescent="0.25">
      <c r="B883" s="33" t="s">
        <v>25</v>
      </c>
      <c r="C883" s="29"/>
      <c r="D883" s="34"/>
      <c r="E883" s="71">
        <v>0.25</v>
      </c>
      <c r="F883" s="35"/>
      <c r="G883" s="36">
        <f>ROUND(G881*E883,0)</f>
        <v>9094</v>
      </c>
    </row>
    <row r="884" spans="2:7" x14ac:dyDescent="0.25">
      <c r="B884" s="33" t="s">
        <v>8</v>
      </c>
      <c r="C884" s="29"/>
      <c r="D884" s="34"/>
      <c r="E884" s="71">
        <v>0.01</v>
      </c>
      <c r="F884" s="35"/>
      <c r="G884" s="36">
        <f>ROUND(G881*E884,0)</f>
        <v>364</v>
      </c>
    </row>
    <row r="885" spans="2:7" x14ac:dyDescent="0.25">
      <c r="B885" s="33" t="s">
        <v>9</v>
      </c>
      <c r="C885" s="29"/>
      <c r="D885" s="34"/>
      <c r="E885" s="71">
        <v>0.05</v>
      </c>
      <c r="F885" s="35"/>
      <c r="G885" s="36">
        <f>ROUND(G881*E885,0)</f>
        <v>1819</v>
      </c>
    </row>
    <row r="886" spans="2:7" x14ac:dyDescent="0.25">
      <c r="B886" s="245" t="s">
        <v>26</v>
      </c>
      <c r="C886" s="246"/>
      <c r="D886" s="246"/>
      <c r="E886" s="246"/>
      <c r="F886" s="246"/>
      <c r="G886" s="37">
        <f>SUM(G883:G885)</f>
        <v>11277</v>
      </c>
    </row>
    <row r="887" spans="2:7" x14ac:dyDescent="0.25">
      <c r="B887" s="247" t="s">
        <v>27</v>
      </c>
      <c r="C887" s="248"/>
      <c r="D887" s="248"/>
      <c r="E887" s="248"/>
      <c r="F887" s="248"/>
      <c r="G887" s="38">
        <f>+G886+G881</f>
        <v>47654</v>
      </c>
    </row>
    <row r="891" spans="2:7" x14ac:dyDescent="0.25">
      <c r="B891" s="254" t="s">
        <v>352</v>
      </c>
      <c r="C891" s="255"/>
      <c r="D891" s="255"/>
      <c r="E891" s="255"/>
      <c r="F891" s="255"/>
      <c r="G891" s="5" t="s">
        <v>123</v>
      </c>
    </row>
    <row r="892" spans="2:7" x14ac:dyDescent="0.25">
      <c r="B892" s="105"/>
      <c r="C892" s="106"/>
      <c r="D892" s="106"/>
      <c r="E892" s="106"/>
      <c r="F892" s="6"/>
      <c r="G892" s="7"/>
    </row>
    <row r="893" spans="2:7" x14ac:dyDescent="0.25">
      <c r="B893" s="8" t="s">
        <v>15</v>
      </c>
      <c r="C893" s="9" t="s">
        <v>13</v>
      </c>
      <c r="D893" s="9" t="s">
        <v>16</v>
      </c>
      <c r="E893" s="9" t="s">
        <v>17</v>
      </c>
      <c r="F893" s="10" t="s">
        <v>18</v>
      </c>
      <c r="G893" s="11" t="s">
        <v>5</v>
      </c>
    </row>
    <row r="894" spans="2:7" x14ac:dyDescent="0.25">
      <c r="B894" s="12"/>
      <c r="C894" s="13"/>
      <c r="D894" s="14"/>
      <c r="E894" s="14"/>
      <c r="F894" s="15"/>
      <c r="G894" s="16"/>
    </row>
    <row r="895" spans="2:7" x14ac:dyDescent="0.25">
      <c r="B895" s="17" t="s">
        <v>29</v>
      </c>
      <c r="C895" s="13"/>
      <c r="D895" s="14"/>
      <c r="E895" s="14"/>
      <c r="F895" s="15"/>
      <c r="G895" s="16"/>
    </row>
    <row r="896" spans="2:7" x14ac:dyDescent="0.25">
      <c r="B896" s="18" t="s">
        <v>351</v>
      </c>
      <c r="C896" s="19" t="s">
        <v>254</v>
      </c>
      <c r="D896" s="67">
        <v>4.4999999999999998E-2</v>
      </c>
      <c r="E896" s="21">
        <v>0</v>
      </c>
      <c r="F896" s="22">
        <v>88490</v>
      </c>
      <c r="G896" s="23">
        <f t="shared" ref="G896:G897" si="29">+(D896+D896*E896)*F896</f>
        <v>3982.0499999999997</v>
      </c>
    </row>
    <row r="897" spans="2:7" x14ac:dyDescent="0.25">
      <c r="B897" s="18" t="s">
        <v>343</v>
      </c>
      <c r="C897" s="19" t="s">
        <v>254</v>
      </c>
      <c r="D897" s="67">
        <v>6.0000000000000001E-3</v>
      </c>
      <c r="E897" s="21">
        <v>0</v>
      </c>
      <c r="F897" s="22">
        <v>36900</v>
      </c>
      <c r="G897" s="23">
        <f t="shared" si="29"/>
        <v>221.4</v>
      </c>
    </row>
    <row r="898" spans="2:7" x14ac:dyDescent="0.25">
      <c r="B898" s="12"/>
      <c r="C898" s="13"/>
      <c r="D898" s="14"/>
      <c r="E898" s="14"/>
      <c r="F898" s="15" t="s">
        <v>30</v>
      </c>
      <c r="G898" s="24">
        <f>SUM(G896:G897)</f>
        <v>4203.45</v>
      </c>
    </row>
    <row r="899" spans="2:7" x14ac:dyDescent="0.25">
      <c r="B899" s="17" t="s">
        <v>19</v>
      </c>
      <c r="C899" s="13"/>
      <c r="D899" s="14"/>
      <c r="E899" s="14"/>
      <c r="F899" s="15"/>
      <c r="G899" s="16"/>
    </row>
    <row r="900" spans="2:7" x14ac:dyDescent="0.25">
      <c r="B900" s="17" t="s">
        <v>293</v>
      </c>
      <c r="C900" s="13"/>
      <c r="D900" s="13"/>
      <c r="E900" s="13"/>
      <c r="F900" s="72"/>
      <c r="G900" s="107"/>
    </row>
    <row r="901" spans="2:7" x14ac:dyDescent="0.25">
      <c r="B901" s="18" t="s">
        <v>344</v>
      </c>
      <c r="C901" s="108" t="s">
        <v>20</v>
      </c>
      <c r="D901" s="20">
        <v>0.38</v>
      </c>
      <c r="E901" s="21">
        <v>0</v>
      </c>
      <c r="F901" s="22">
        <f>+F874</f>
        <v>32918.434999999998</v>
      </c>
      <c r="G901" s="23">
        <f>+(D901+D901*E901)*F901</f>
        <v>12509.005299999999</v>
      </c>
    </row>
    <row r="902" spans="2:7" x14ac:dyDescent="0.25">
      <c r="B902" s="12"/>
      <c r="C902" s="13"/>
      <c r="D902" s="14"/>
      <c r="E902" s="14"/>
      <c r="F902" s="15" t="s">
        <v>21</v>
      </c>
      <c r="G902" s="24">
        <f>SUM(G901:G901)</f>
        <v>12509.005299999999</v>
      </c>
    </row>
    <row r="903" spans="2:7" x14ac:dyDescent="0.25">
      <c r="B903" s="12"/>
      <c r="C903" s="13"/>
      <c r="D903" s="14"/>
      <c r="E903" s="14"/>
      <c r="F903" s="15"/>
      <c r="G903" s="109"/>
    </row>
    <row r="904" spans="2:7" x14ac:dyDescent="0.25">
      <c r="B904" s="25" t="s">
        <v>22</v>
      </c>
      <c r="C904" s="13"/>
      <c r="D904" s="13"/>
      <c r="F904" s="13"/>
      <c r="G904" s="110"/>
    </row>
    <row r="905" spans="2:7" x14ac:dyDescent="0.25">
      <c r="B905" s="69" t="s">
        <v>353</v>
      </c>
      <c r="C905" s="13" t="s">
        <v>13</v>
      </c>
      <c r="D905" s="13">
        <v>0.1</v>
      </c>
      <c r="E905" s="21"/>
      <c r="F905" s="39">
        <v>6000</v>
      </c>
      <c r="G905" s="23">
        <f>+(D905+D905*E905)*F905</f>
        <v>600</v>
      </c>
    </row>
    <row r="906" spans="2:7" x14ac:dyDescent="0.25">
      <c r="B906" s="18" t="s">
        <v>32</v>
      </c>
      <c r="C906" s="19" t="s">
        <v>33</v>
      </c>
      <c r="D906" s="21">
        <v>0.01</v>
      </c>
      <c r="E906" s="21"/>
      <c r="F906" s="39">
        <f>+G902</f>
        <v>12509.005299999999</v>
      </c>
      <c r="G906" s="23">
        <f>+(D906+D906*E906)*F906</f>
        <v>125.090053</v>
      </c>
    </row>
    <row r="907" spans="2:7" x14ac:dyDescent="0.25">
      <c r="B907" s="12"/>
      <c r="C907" s="13"/>
      <c r="D907" s="14"/>
      <c r="E907" s="14"/>
      <c r="F907" s="15" t="s">
        <v>23</v>
      </c>
      <c r="G907" s="24">
        <f>SUM(G905:G906)</f>
        <v>725.09005300000001</v>
      </c>
    </row>
    <row r="908" spans="2:7" x14ac:dyDescent="0.25">
      <c r="B908" s="12"/>
      <c r="C908" s="13"/>
      <c r="D908" s="14"/>
      <c r="E908" s="14"/>
      <c r="F908" s="15"/>
      <c r="G908" s="26"/>
    </row>
    <row r="909" spans="2:7" x14ac:dyDescent="0.25">
      <c r="B909" s="243" t="s">
        <v>6</v>
      </c>
      <c r="C909" s="244"/>
      <c r="D909" s="244"/>
      <c r="E909" s="244"/>
      <c r="F909" s="244"/>
      <c r="G909" s="27">
        <f>+ROUND(G907+G902+G898,0)</f>
        <v>17438</v>
      </c>
    </row>
    <row r="910" spans="2:7" x14ac:dyDescent="0.25">
      <c r="B910" s="28" t="s">
        <v>24</v>
      </c>
      <c r="C910" s="29"/>
      <c r="D910" s="30"/>
      <c r="E910" s="14"/>
      <c r="F910" s="31"/>
      <c r="G910" s="32"/>
    </row>
    <row r="911" spans="2:7" x14ac:dyDescent="0.25">
      <c r="B911" s="33" t="s">
        <v>25</v>
      </c>
      <c r="C911" s="29"/>
      <c r="D911" s="34"/>
      <c r="E911" s="71">
        <v>0.25</v>
      </c>
      <c r="F911" s="35"/>
      <c r="G911" s="36">
        <f>ROUND(G909*E911,0)</f>
        <v>4360</v>
      </c>
    </row>
    <row r="912" spans="2:7" x14ac:dyDescent="0.25">
      <c r="B912" s="33" t="s">
        <v>8</v>
      </c>
      <c r="C912" s="29"/>
      <c r="D912" s="34"/>
      <c r="E912" s="71">
        <v>0.01</v>
      </c>
      <c r="F912" s="35"/>
      <c r="G912" s="36">
        <f>ROUND(G909*E912,0)</f>
        <v>174</v>
      </c>
    </row>
    <row r="913" spans="2:7" x14ac:dyDescent="0.25">
      <c r="B913" s="33" t="s">
        <v>9</v>
      </c>
      <c r="C913" s="29"/>
      <c r="D913" s="34"/>
      <c r="E913" s="71">
        <v>0.05</v>
      </c>
      <c r="F913" s="35"/>
      <c r="G913" s="36">
        <f>ROUND(G909*E913,0)</f>
        <v>872</v>
      </c>
    </row>
    <row r="914" spans="2:7" x14ac:dyDescent="0.25">
      <c r="B914" s="245" t="s">
        <v>26</v>
      </c>
      <c r="C914" s="246"/>
      <c r="D914" s="246"/>
      <c r="E914" s="246"/>
      <c r="F914" s="246"/>
      <c r="G914" s="37">
        <f>SUM(G911:G913)</f>
        <v>5406</v>
      </c>
    </row>
    <row r="915" spans="2:7" x14ac:dyDescent="0.25">
      <c r="B915" s="247" t="s">
        <v>27</v>
      </c>
      <c r="C915" s="248"/>
      <c r="D915" s="248"/>
      <c r="E915" s="248"/>
      <c r="F915" s="248"/>
      <c r="G915" s="38">
        <f>+G914+G909</f>
        <v>22844</v>
      </c>
    </row>
    <row r="919" spans="2:7" x14ac:dyDescent="0.25">
      <c r="B919" s="254" t="s">
        <v>354</v>
      </c>
      <c r="C919" s="255"/>
      <c r="D919" s="255"/>
      <c r="E919" s="255"/>
      <c r="F919" s="255"/>
      <c r="G919" s="5" t="s">
        <v>125</v>
      </c>
    </row>
    <row r="920" spans="2:7" x14ac:dyDescent="0.25">
      <c r="B920" s="105"/>
      <c r="C920" s="106"/>
      <c r="D920" s="106"/>
      <c r="E920" s="106"/>
      <c r="F920" s="6"/>
      <c r="G920" s="7"/>
    </row>
    <row r="921" spans="2:7" x14ac:dyDescent="0.25">
      <c r="B921" s="8" t="s">
        <v>15</v>
      </c>
      <c r="C921" s="9" t="s">
        <v>13</v>
      </c>
      <c r="D921" s="9" t="s">
        <v>16</v>
      </c>
      <c r="E921" s="9" t="s">
        <v>17</v>
      </c>
      <c r="F921" s="10" t="s">
        <v>18</v>
      </c>
      <c r="G921" s="11" t="s">
        <v>5</v>
      </c>
    </row>
    <row r="922" spans="2:7" x14ac:dyDescent="0.25">
      <c r="B922" s="12"/>
      <c r="C922" s="13"/>
      <c r="D922" s="14"/>
      <c r="E922" s="14"/>
      <c r="F922" s="15"/>
      <c r="G922" s="16"/>
    </row>
    <row r="923" spans="2:7" x14ac:dyDescent="0.25">
      <c r="B923" s="17" t="s">
        <v>29</v>
      </c>
      <c r="C923" s="13"/>
      <c r="D923" s="14"/>
      <c r="E923" s="14"/>
      <c r="F923" s="15"/>
      <c r="G923" s="16"/>
    </row>
    <row r="924" spans="2:7" x14ac:dyDescent="0.25">
      <c r="B924" s="18" t="s">
        <v>225</v>
      </c>
      <c r="C924" s="19" t="s">
        <v>13</v>
      </c>
      <c r="D924" s="67">
        <v>4.4999999999999998E-2</v>
      </c>
      <c r="E924" s="21">
        <v>0</v>
      </c>
      <c r="F924" s="22">
        <v>1600</v>
      </c>
      <c r="G924" s="23">
        <f t="shared" ref="G924:G927" si="30">+(D924+D924*E924)*F924</f>
        <v>72</v>
      </c>
    </row>
    <row r="925" spans="2:7" x14ac:dyDescent="0.25">
      <c r="B925" s="18" t="s">
        <v>138</v>
      </c>
      <c r="C925" s="19" t="s">
        <v>254</v>
      </c>
      <c r="D925" s="67">
        <v>0.06</v>
      </c>
      <c r="E925" s="21">
        <v>0</v>
      </c>
      <c r="F925" s="22">
        <v>84900</v>
      </c>
      <c r="G925" s="23">
        <f t="shared" si="30"/>
        <v>5094</v>
      </c>
    </row>
    <row r="926" spans="2:7" x14ac:dyDescent="0.25">
      <c r="B926" s="18" t="s">
        <v>343</v>
      </c>
      <c r="C926" s="19" t="s">
        <v>254</v>
      </c>
      <c r="D926" s="67">
        <v>0.04</v>
      </c>
      <c r="E926" s="21">
        <v>0</v>
      </c>
      <c r="F926" s="22">
        <v>36900</v>
      </c>
      <c r="G926" s="23">
        <f t="shared" si="30"/>
        <v>1476</v>
      </c>
    </row>
    <row r="927" spans="2:7" x14ac:dyDescent="0.25">
      <c r="B927" s="18" t="s">
        <v>355</v>
      </c>
      <c r="C927" s="19" t="s">
        <v>254</v>
      </c>
      <c r="D927" s="67">
        <v>1.2E-2</v>
      </c>
      <c r="E927" s="21">
        <v>0</v>
      </c>
      <c r="F927" s="22">
        <v>74900</v>
      </c>
      <c r="G927" s="23">
        <f t="shared" si="30"/>
        <v>898.80000000000007</v>
      </c>
    </row>
    <row r="928" spans="2:7" x14ac:dyDescent="0.25">
      <c r="B928" s="12"/>
      <c r="C928" s="13"/>
      <c r="D928" s="14"/>
      <c r="E928" s="14"/>
      <c r="F928" s="15" t="s">
        <v>30</v>
      </c>
      <c r="G928" s="24">
        <f>SUM(G924:G927)</f>
        <v>7540.8</v>
      </c>
    </row>
    <row r="929" spans="2:7" x14ac:dyDescent="0.25">
      <c r="B929" s="17" t="s">
        <v>19</v>
      </c>
      <c r="C929" s="13"/>
      <c r="D929" s="14"/>
      <c r="E929" s="14"/>
      <c r="F929" s="15"/>
      <c r="G929" s="16"/>
    </row>
    <row r="930" spans="2:7" x14ac:dyDescent="0.25">
      <c r="B930" s="17" t="s">
        <v>293</v>
      </c>
      <c r="C930" s="13"/>
      <c r="D930" s="13"/>
      <c r="E930" s="13"/>
      <c r="F930" s="72"/>
      <c r="G930" s="107"/>
    </row>
    <row r="931" spans="2:7" x14ac:dyDescent="0.25">
      <c r="B931" s="18" t="s">
        <v>356</v>
      </c>
      <c r="C931" s="108" t="s">
        <v>20</v>
      </c>
      <c r="D931" s="20">
        <v>0.09</v>
      </c>
      <c r="E931" s="21">
        <v>0</v>
      </c>
      <c r="F931" s="22">
        <v>10973</v>
      </c>
      <c r="G931" s="23">
        <f>+(D931+D931*E931)*F931</f>
        <v>987.56999999999994</v>
      </c>
    </row>
    <row r="932" spans="2:7" x14ac:dyDescent="0.25">
      <c r="B932" s="18" t="s">
        <v>344</v>
      </c>
      <c r="C932" s="108" t="s">
        <v>20</v>
      </c>
      <c r="D932" s="20">
        <v>0.25</v>
      </c>
      <c r="E932" s="21">
        <v>0</v>
      </c>
      <c r="F932" s="22">
        <f>+F901</f>
        <v>32918.434999999998</v>
      </c>
      <c r="G932" s="23">
        <f>+(D932+D932*E932)*F932</f>
        <v>8229.6087499999994</v>
      </c>
    </row>
    <row r="933" spans="2:7" x14ac:dyDescent="0.25">
      <c r="B933" s="12"/>
      <c r="C933" s="13"/>
      <c r="D933" s="14"/>
      <c r="E933" s="14"/>
      <c r="F933" s="15" t="s">
        <v>21</v>
      </c>
      <c r="G933" s="24">
        <f>SUM(G932:G932)</f>
        <v>8229.6087499999994</v>
      </c>
    </row>
    <row r="934" spans="2:7" x14ac:dyDescent="0.25">
      <c r="B934" s="12"/>
      <c r="C934" s="13"/>
      <c r="D934" s="14"/>
      <c r="E934" s="14"/>
      <c r="F934" s="15"/>
      <c r="G934" s="109"/>
    </row>
    <row r="935" spans="2:7" x14ac:dyDescent="0.25">
      <c r="B935" s="25" t="s">
        <v>22</v>
      </c>
      <c r="C935" s="13"/>
      <c r="D935" s="13"/>
      <c r="F935" s="13"/>
      <c r="G935" s="110"/>
    </row>
    <row r="936" spans="2:7" x14ac:dyDescent="0.25">
      <c r="B936" s="18" t="s">
        <v>32</v>
      </c>
      <c r="C936" s="19" t="s">
        <v>33</v>
      </c>
      <c r="D936" s="21">
        <v>0.01</v>
      </c>
      <c r="E936" s="21"/>
      <c r="F936" s="39">
        <f>+G933</f>
        <v>8229.6087499999994</v>
      </c>
      <c r="G936" s="23">
        <f>+(D936+D936*E936)*F936</f>
        <v>82.296087499999999</v>
      </c>
    </row>
    <row r="937" spans="2:7" x14ac:dyDescent="0.25">
      <c r="B937" s="12"/>
      <c r="C937" s="13"/>
      <c r="D937" s="14"/>
      <c r="E937" s="14"/>
      <c r="F937" s="15" t="s">
        <v>23</v>
      </c>
      <c r="G937" s="24">
        <f>SUM(G936:G936)</f>
        <v>82.296087499999999</v>
      </c>
    </row>
    <row r="938" spans="2:7" x14ac:dyDescent="0.25">
      <c r="B938" s="12"/>
      <c r="C938" s="13"/>
      <c r="D938" s="14"/>
      <c r="E938" s="14"/>
      <c r="F938" s="15"/>
      <c r="G938" s="26"/>
    </row>
    <row r="939" spans="2:7" x14ac:dyDescent="0.25">
      <c r="B939" s="243" t="s">
        <v>6</v>
      </c>
      <c r="C939" s="244"/>
      <c r="D939" s="244"/>
      <c r="E939" s="244"/>
      <c r="F939" s="244"/>
      <c r="G939" s="27">
        <f>+ROUND(G937+G933+G928,0)</f>
        <v>15853</v>
      </c>
    </row>
    <row r="940" spans="2:7" x14ac:dyDescent="0.25">
      <c r="B940" s="28" t="s">
        <v>24</v>
      </c>
      <c r="C940" s="29"/>
      <c r="D940" s="30"/>
      <c r="E940" s="14"/>
      <c r="F940" s="31"/>
      <c r="G940" s="32"/>
    </row>
    <row r="941" spans="2:7" x14ac:dyDescent="0.25">
      <c r="B941" s="33" t="s">
        <v>25</v>
      </c>
      <c r="C941" s="29"/>
      <c r="D941" s="34"/>
      <c r="E941" s="71">
        <v>0.25</v>
      </c>
      <c r="F941" s="35"/>
      <c r="G941" s="36">
        <f>ROUND(G939*E941,0)</f>
        <v>3963</v>
      </c>
    </row>
    <row r="942" spans="2:7" x14ac:dyDescent="0.25">
      <c r="B942" s="33" t="s">
        <v>8</v>
      </c>
      <c r="C942" s="29"/>
      <c r="D942" s="34"/>
      <c r="E942" s="71">
        <v>0.01</v>
      </c>
      <c r="F942" s="35"/>
      <c r="G942" s="36">
        <f>ROUND(G939*E942,0)</f>
        <v>159</v>
      </c>
    </row>
    <row r="943" spans="2:7" x14ac:dyDescent="0.25">
      <c r="B943" s="33" t="s">
        <v>9</v>
      </c>
      <c r="C943" s="29"/>
      <c r="D943" s="34"/>
      <c r="E943" s="71">
        <v>0.05</v>
      </c>
      <c r="F943" s="35"/>
      <c r="G943" s="36">
        <f>ROUND(G939*E943,0)</f>
        <v>793</v>
      </c>
    </row>
    <row r="944" spans="2:7" x14ac:dyDescent="0.25">
      <c r="B944" s="245" t="s">
        <v>26</v>
      </c>
      <c r="C944" s="246"/>
      <c r="D944" s="246"/>
      <c r="E944" s="246"/>
      <c r="F944" s="246"/>
      <c r="G944" s="37">
        <f>SUM(G941:G943)</f>
        <v>4915</v>
      </c>
    </row>
    <row r="945" spans="2:7" x14ac:dyDescent="0.25">
      <c r="B945" s="247" t="s">
        <v>27</v>
      </c>
      <c r="C945" s="248"/>
      <c r="D945" s="248"/>
      <c r="E945" s="248"/>
      <c r="F945" s="248"/>
      <c r="G945" s="38">
        <f>+G944+G939</f>
        <v>20768</v>
      </c>
    </row>
    <row r="950" spans="2:7" x14ac:dyDescent="0.25">
      <c r="B950" s="254" t="s">
        <v>357</v>
      </c>
      <c r="C950" s="255"/>
      <c r="D950" s="255"/>
      <c r="E950" s="255"/>
      <c r="F950" s="255"/>
      <c r="G950" s="5" t="s">
        <v>155</v>
      </c>
    </row>
    <row r="951" spans="2:7" x14ac:dyDescent="0.25">
      <c r="B951" s="105"/>
      <c r="C951" s="106"/>
      <c r="D951" s="106"/>
      <c r="E951" s="106"/>
      <c r="F951" s="6"/>
      <c r="G951" s="7"/>
    </row>
    <row r="952" spans="2:7" x14ac:dyDescent="0.25">
      <c r="B952" s="8" t="s">
        <v>15</v>
      </c>
      <c r="C952" s="9" t="s">
        <v>13</v>
      </c>
      <c r="D952" s="9" t="s">
        <v>16</v>
      </c>
      <c r="E952" s="9" t="s">
        <v>17</v>
      </c>
      <c r="F952" s="10" t="s">
        <v>18</v>
      </c>
      <c r="G952" s="11" t="s">
        <v>5</v>
      </c>
    </row>
    <row r="953" spans="2:7" x14ac:dyDescent="0.25">
      <c r="B953" s="12"/>
      <c r="C953" s="13"/>
      <c r="D953" s="14"/>
      <c r="E953" s="14"/>
      <c r="F953" s="15"/>
      <c r="G953" s="16"/>
    </row>
    <row r="954" spans="2:7" x14ac:dyDescent="0.25">
      <c r="B954" s="17" t="s">
        <v>29</v>
      </c>
      <c r="C954" s="13"/>
      <c r="D954" s="14"/>
      <c r="E954" s="14"/>
      <c r="F954" s="15"/>
      <c r="G954" s="16"/>
    </row>
    <row r="955" spans="2:7" x14ac:dyDescent="0.25">
      <c r="B955" s="18" t="s">
        <v>157</v>
      </c>
      <c r="C955" s="19" t="s">
        <v>226</v>
      </c>
      <c r="D955" s="67">
        <v>1</v>
      </c>
      <c r="E955" s="21">
        <v>0</v>
      </c>
      <c r="F955" s="22">
        <v>74</v>
      </c>
      <c r="G955" s="23">
        <f t="shared" ref="G955:G958" si="31">+(D955+D955*E955)*F955</f>
        <v>74</v>
      </c>
    </row>
    <row r="956" spans="2:7" x14ac:dyDescent="0.25">
      <c r="B956" s="18" t="s">
        <v>314</v>
      </c>
      <c r="C956" s="19" t="s">
        <v>156</v>
      </c>
      <c r="D956" s="67">
        <v>1</v>
      </c>
      <c r="E956" s="21">
        <v>0</v>
      </c>
      <c r="F956" s="22">
        <v>2000</v>
      </c>
      <c r="G956" s="23">
        <f t="shared" si="31"/>
        <v>2000</v>
      </c>
    </row>
    <row r="957" spans="2:7" x14ac:dyDescent="0.25">
      <c r="B957" s="18" t="s">
        <v>358</v>
      </c>
      <c r="C957" s="19" t="s">
        <v>13</v>
      </c>
      <c r="D957" s="67">
        <v>1</v>
      </c>
      <c r="E957" s="21">
        <v>0</v>
      </c>
      <c r="F957" s="22">
        <v>5900</v>
      </c>
      <c r="G957" s="23">
        <f t="shared" si="31"/>
        <v>5900</v>
      </c>
    </row>
    <row r="958" spans="2:7" x14ac:dyDescent="0.25">
      <c r="B958" s="18" t="s">
        <v>357</v>
      </c>
      <c r="C958" s="19" t="s">
        <v>13</v>
      </c>
      <c r="D958" s="67">
        <v>1</v>
      </c>
      <c r="E958" s="21">
        <v>0</v>
      </c>
      <c r="F958" s="22">
        <v>315602</v>
      </c>
      <c r="G958" s="23">
        <f t="shared" si="31"/>
        <v>315602</v>
      </c>
    </row>
    <row r="959" spans="2:7" x14ac:dyDescent="0.25">
      <c r="B959" s="12"/>
      <c r="C959" s="13"/>
      <c r="D959" s="14"/>
      <c r="E959" s="14"/>
      <c r="F959" s="15" t="s">
        <v>30</v>
      </c>
      <c r="G959" s="24">
        <f>SUM(G955:G958)</f>
        <v>323576</v>
      </c>
    </row>
    <row r="960" spans="2:7" x14ac:dyDescent="0.25">
      <c r="B960" s="17" t="s">
        <v>19</v>
      </c>
      <c r="C960" s="13"/>
      <c r="D960" s="14"/>
      <c r="E960" s="14"/>
      <c r="F960" s="15"/>
      <c r="G960" s="16"/>
    </row>
    <row r="961" spans="2:7" x14ac:dyDescent="0.25">
      <c r="B961" s="17" t="s">
        <v>293</v>
      </c>
      <c r="C961" s="13"/>
      <c r="D961" s="13"/>
      <c r="E961" s="13"/>
      <c r="F961" s="72"/>
      <c r="G961" s="107"/>
    </row>
    <row r="962" spans="2:7" x14ac:dyDescent="0.25">
      <c r="B962" s="18" t="s">
        <v>359</v>
      </c>
      <c r="C962" s="108" t="s">
        <v>20</v>
      </c>
      <c r="D962" s="20">
        <v>0.7</v>
      </c>
      <c r="E962" s="21">
        <v>0</v>
      </c>
      <c r="F962" s="22">
        <f>+F475</f>
        <v>33068.769999999997</v>
      </c>
      <c r="G962" s="23">
        <f>+(D962+D962*E962)*F962</f>
        <v>23148.138999999996</v>
      </c>
    </row>
    <row r="963" spans="2:7" x14ac:dyDescent="0.25">
      <c r="B963" s="18" t="s">
        <v>360</v>
      </c>
      <c r="C963" s="108" t="s">
        <v>20</v>
      </c>
      <c r="D963" s="20">
        <v>1.7</v>
      </c>
      <c r="E963" s="21">
        <v>0</v>
      </c>
      <c r="F963" s="22">
        <f>+F962</f>
        <v>33068.769999999997</v>
      </c>
      <c r="G963" s="23">
        <f>+(D963+D963*E963)*F963</f>
        <v>56216.908999999992</v>
      </c>
    </row>
    <row r="964" spans="2:7" x14ac:dyDescent="0.25">
      <c r="B964" s="12"/>
      <c r="C964" s="13"/>
      <c r="D964" s="14"/>
      <c r="E964" s="14"/>
      <c r="F964" s="15" t="s">
        <v>21</v>
      </c>
      <c r="G964" s="24">
        <f>SUM(G962:G963)</f>
        <v>79365.047999999981</v>
      </c>
    </row>
    <row r="965" spans="2:7" x14ac:dyDescent="0.25">
      <c r="B965" s="12"/>
      <c r="C965" s="13"/>
      <c r="D965" s="14"/>
      <c r="E965" s="14"/>
      <c r="F965" s="15"/>
      <c r="G965" s="109"/>
    </row>
    <row r="966" spans="2:7" x14ac:dyDescent="0.25">
      <c r="B966" s="25" t="s">
        <v>22</v>
      </c>
      <c r="C966" s="13"/>
      <c r="D966" s="13"/>
      <c r="F966" s="13"/>
      <c r="G966" s="110"/>
    </row>
    <row r="967" spans="2:7" x14ac:dyDescent="0.25">
      <c r="B967" s="18" t="s">
        <v>32</v>
      </c>
      <c r="C967" s="19" t="s">
        <v>33</v>
      </c>
      <c r="D967" s="21">
        <v>0.01</v>
      </c>
      <c r="E967" s="21"/>
      <c r="F967" s="39">
        <f>+G964</f>
        <v>79365.047999999981</v>
      </c>
      <c r="G967" s="23">
        <f>+(D967+D967*E967)*F967</f>
        <v>793.65047999999979</v>
      </c>
    </row>
    <row r="968" spans="2:7" x14ac:dyDescent="0.25">
      <c r="B968" s="12"/>
      <c r="C968" s="13"/>
      <c r="D968" s="14"/>
      <c r="E968" s="14"/>
      <c r="F968" s="15" t="s">
        <v>23</v>
      </c>
      <c r="G968" s="24">
        <f>SUM(G967:G967)</f>
        <v>793.65047999999979</v>
      </c>
    </row>
    <row r="969" spans="2:7" x14ac:dyDescent="0.25">
      <c r="B969" s="12"/>
      <c r="C969" s="13"/>
      <c r="D969" s="14"/>
      <c r="E969" s="14"/>
      <c r="F969" s="15"/>
      <c r="G969" s="26"/>
    </row>
    <row r="970" spans="2:7" x14ac:dyDescent="0.25">
      <c r="B970" s="243" t="s">
        <v>6</v>
      </c>
      <c r="C970" s="244"/>
      <c r="D970" s="244"/>
      <c r="E970" s="244"/>
      <c r="F970" s="244"/>
      <c r="G970" s="27">
        <f>+ROUND(G968+G964+G959,0)</f>
        <v>403735</v>
      </c>
    </row>
    <row r="971" spans="2:7" x14ac:dyDescent="0.25">
      <c r="B971" s="28" t="s">
        <v>24</v>
      </c>
      <c r="C971" s="29"/>
      <c r="D971" s="30"/>
      <c r="E971" s="14"/>
      <c r="F971" s="31"/>
      <c r="G971" s="32"/>
    </row>
    <row r="972" spans="2:7" x14ac:dyDescent="0.25">
      <c r="B972" s="33" t="s">
        <v>25</v>
      </c>
      <c r="C972" s="29"/>
      <c r="D972" s="34"/>
      <c r="E972" s="71">
        <v>0.25</v>
      </c>
      <c r="F972" s="35"/>
      <c r="G972" s="36">
        <f>ROUND(G970*E972,0)</f>
        <v>100934</v>
      </c>
    </row>
    <row r="973" spans="2:7" x14ac:dyDescent="0.25">
      <c r="B973" s="33" t="s">
        <v>8</v>
      </c>
      <c r="C973" s="29"/>
      <c r="D973" s="34"/>
      <c r="E973" s="71">
        <v>0.01</v>
      </c>
      <c r="F973" s="35"/>
      <c r="G973" s="36">
        <f>ROUND(G970*E973,0)</f>
        <v>4037</v>
      </c>
    </row>
    <row r="974" spans="2:7" x14ac:dyDescent="0.25">
      <c r="B974" s="33" t="s">
        <v>9</v>
      </c>
      <c r="C974" s="29"/>
      <c r="D974" s="34"/>
      <c r="E974" s="71">
        <v>0.05</v>
      </c>
      <c r="F974" s="35"/>
      <c r="G974" s="36">
        <f>ROUND(G970*E974,0)</f>
        <v>20187</v>
      </c>
    </row>
    <row r="975" spans="2:7" x14ac:dyDescent="0.25">
      <c r="B975" s="245" t="s">
        <v>26</v>
      </c>
      <c r="C975" s="246"/>
      <c r="D975" s="246"/>
      <c r="E975" s="246"/>
      <c r="F975" s="246"/>
      <c r="G975" s="37">
        <f>SUM(G972:G974)</f>
        <v>125158</v>
      </c>
    </row>
    <row r="976" spans="2:7" x14ac:dyDescent="0.25">
      <c r="B976" s="247" t="s">
        <v>27</v>
      </c>
      <c r="C976" s="248"/>
      <c r="D976" s="248"/>
      <c r="E976" s="248"/>
      <c r="F976" s="248"/>
      <c r="G976" s="38">
        <f>+G975+G970</f>
        <v>528893</v>
      </c>
    </row>
    <row r="980" spans="2:7" x14ac:dyDescent="0.25">
      <c r="B980" s="254" t="s">
        <v>361</v>
      </c>
      <c r="C980" s="255"/>
      <c r="D980" s="255"/>
      <c r="E980" s="255"/>
      <c r="F980" s="255"/>
      <c r="G980" s="5" t="s">
        <v>155</v>
      </c>
    </row>
    <row r="981" spans="2:7" x14ac:dyDescent="0.25">
      <c r="B981" s="105"/>
      <c r="C981" s="106"/>
      <c r="D981" s="106"/>
      <c r="E981" s="106"/>
      <c r="F981" s="6"/>
      <c r="G981" s="7"/>
    </row>
    <row r="982" spans="2:7" x14ac:dyDescent="0.25">
      <c r="B982" s="8" t="s">
        <v>15</v>
      </c>
      <c r="C982" s="9" t="s">
        <v>13</v>
      </c>
      <c r="D982" s="9" t="s">
        <v>16</v>
      </c>
      <c r="E982" s="9" t="s">
        <v>17</v>
      </c>
      <c r="F982" s="10" t="s">
        <v>18</v>
      </c>
      <c r="G982" s="11" t="s">
        <v>5</v>
      </c>
    </row>
    <row r="983" spans="2:7" x14ac:dyDescent="0.25">
      <c r="B983" s="12"/>
      <c r="C983" s="13"/>
      <c r="D983" s="14"/>
      <c r="E983" s="14"/>
      <c r="F983" s="15"/>
      <c r="G983" s="16"/>
    </row>
    <row r="984" spans="2:7" x14ac:dyDescent="0.25">
      <c r="B984" s="17" t="s">
        <v>29</v>
      </c>
      <c r="C984" s="13"/>
      <c r="D984" s="14"/>
      <c r="E984" s="14"/>
      <c r="F984" s="15"/>
      <c r="G984" s="16"/>
    </row>
    <row r="985" spans="2:7" x14ac:dyDescent="0.25">
      <c r="B985" s="18" t="s">
        <v>157</v>
      </c>
      <c r="C985" s="19" t="s">
        <v>226</v>
      </c>
      <c r="D985" s="67">
        <v>1</v>
      </c>
      <c r="E985" s="21">
        <v>0</v>
      </c>
      <c r="F985" s="22">
        <v>74</v>
      </c>
      <c r="G985" s="23">
        <f t="shared" ref="G985:G987" si="32">+(D985+D985*E985)*F985</f>
        <v>74</v>
      </c>
    </row>
    <row r="986" spans="2:7" x14ac:dyDescent="0.25">
      <c r="B986" s="18" t="s">
        <v>314</v>
      </c>
      <c r="C986" s="19" t="s">
        <v>156</v>
      </c>
      <c r="D986" s="67">
        <v>1</v>
      </c>
      <c r="E986" s="21">
        <v>0</v>
      </c>
      <c r="F986" s="22">
        <v>2000</v>
      </c>
      <c r="G986" s="23">
        <f t="shared" si="32"/>
        <v>2000</v>
      </c>
    </row>
    <row r="987" spans="2:7" x14ac:dyDescent="0.25">
      <c r="B987" s="18" t="s">
        <v>361</v>
      </c>
      <c r="C987" s="19" t="s">
        <v>13</v>
      </c>
      <c r="D987" s="67">
        <v>1</v>
      </c>
      <c r="E987" s="21">
        <v>0</v>
      </c>
      <c r="F987" s="22">
        <v>322501</v>
      </c>
      <c r="G987" s="23">
        <f t="shared" si="32"/>
        <v>322501</v>
      </c>
    </row>
    <row r="988" spans="2:7" x14ac:dyDescent="0.25">
      <c r="B988" s="12"/>
      <c r="C988" s="13"/>
      <c r="D988" s="14"/>
      <c r="E988" s="14"/>
      <c r="F988" s="15" t="s">
        <v>30</v>
      </c>
      <c r="G988" s="24">
        <f>SUM(G985:G987)</f>
        <v>324575</v>
      </c>
    </row>
    <row r="989" spans="2:7" x14ac:dyDescent="0.25">
      <c r="B989" s="17" t="s">
        <v>19</v>
      </c>
      <c r="C989" s="13"/>
      <c r="D989" s="14"/>
      <c r="E989" s="14"/>
      <c r="F989" s="15"/>
      <c r="G989" s="16"/>
    </row>
    <row r="990" spans="2:7" x14ac:dyDescent="0.25">
      <c r="B990" s="17" t="s">
        <v>293</v>
      </c>
      <c r="C990" s="13"/>
      <c r="D990" s="13"/>
      <c r="E990" s="13"/>
      <c r="F990" s="72"/>
      <c r="G990" s="107"/>
    </row>
    <row r="991" spans="2:7" x14ac:dyDescent="0.25">
      <c r="B991" s="18" t="s">
        <v>359</v>
      </c>
      <c r="C991" s="108" t="s">
        <v>20</v>
      </c>
      <c r="D991" s="20">
        <v>0.6</v>
      </c>
      <c r="E991" s="21">
        <v>0</v>
      </c>
      <c r="F991" s="22">
        <f>+F962</f>
        <v>33068.769999999997</v>
      </c>
      <c r="G991" s="23">
        <f>+(D991+D991*E991)*F991</f>
        <v>19841.261999999999</v>
      </c>
    </row>
    <row r="992" spans="2:7" x14ac:dyDescent="0.25">
      <c r="B992" s="18" t="s">
        <v>360</v>
      </c>
      <c r="C992" s="108" t="s">
        <v>20</v>
      </c>
      <c r="D992" s="20">
        <v>1</v>
      </c>
      <c r="E992" s="21">
        <v>0</v>
      </c>
      <c r="F992" s="22">
        <f>+F991</f>
        <v>33068.769999999997</v>
      </c>
      <c r="G992" s="23">
        <f>+(D992+D992*E992)*F992</f>
        <v>33068.769999999997</v>
      </c>
    </row>
    <row r="993" spans="2:7" x14ac:dyDescent="0.25">
      <c r="B993" s="12"/>
      <c r="C993" s="13"/>
      <c r="D993" s="14"/>
      <c r="E993" s="14"/>
      <c r="F993" s="15" t="s">
        <v>21</v>
      </c>
      <c r="G993" s="24">
        <f>SUM(G991:G992)</f>
        <v>52910.031999999992</v>
      </c>
    </row>
    <row r="994" spans="2:7" x14ac:dyDescent="0.25">
      <c r="B994" s="12"/>
      <c r="C994" s="13"/>
      <c r="D994" s="14"/>
      <c r="E994" s="14"/>
      <c r="F994" s="15"/>
      <c r="G994" s="109"/>
    </row>
    <row r="995" spans="2:7" x14ac:dyDescent="0.25">
      <c r="B995" s="25" t="s">
        <v>22</v>
      </c>
      <c r="C995" s="13"/>
      <c r="D995" s="13"/>
      <c r="F995" s="13"/>
      <c r="G995" s="110"/>
    </row>
    <row r="996" spans="2:7" x14ac:dyDescent="0.25">
      <c r="B996" s="18" t="s">
        <v>32</v>
      </c>
      <c r="C996" s="19" t="s">
        <v>33</v>
      </c>
      <c r="D996" s="21">
        <v>0.01</v>
      </c>
      <c r="E996" s="21"/>
      <c r="F996" s="39">
        <f>+G993</f>
        <v>52910.031999999992</v>
      </c>
      <c r="G996" s="23">
        <f>+(D996+D996*E996)*F996</f>
        <v>529.1003199999999</v>
      </c>
    </row>
    <row r="997" spans="2:7" x14ac:dyDescent="0.25">
      <c r="B997" s="12"/>
      <c r="C997" s="13"/>
      <c r="D997" s="14"/>
      <c r="E997" s="14"/>
      <c r="F997" s="15" t="s">
        <v>23</v>
      </c>
      <c r="G997" s="24">
        <f>SUM(G996:G996)</f>
        <v>529.1003199999999</v>
      </c>
    </row>
    <row r="998" spans="2:7" x14ac:dyDescent="0.25">
      <c r="B998" s="12"/>
      <c r="C998" s="13"/>
      <c r="D998" s="14"/>
      <c r="E998" s="14"/>
      <c r="F998" s="15"/>
      <c r="G998" s="26"/>
    </row>
    <row r="999" spans="2:7" x14ac:dyDescent="0.25">
      <c r="B999" s="243" t="s">
        <v>6</v>
      </c>
      <c r="C999" s="244"/>
      <c r="D999" s="244"/>
      <c r="E999" s="244"/>
      <c r="F999" s="244"/>
      <c r="G999" s="27">
        <f>+ROUND(G997+G993+G988,0)</f>
        <v>378014</v>
      </c>
    </row>
    <row r="1000" spans="2:7" x14ac:dyDescent="0.25">
      <c r="B1000" s="28" t="s">
        <v>24</v>
      </c>
      <c r="C1000" s="29"/>
      <c r="D1000" s="30"/>
      <c r="E1000" s="14"/>
      <c r="F1000" s="31"/>
      <c r="G1000" s="32"/>
    </row>
    <row r="1001" spans="2:7" x14ac:dyDescent="0.25">
      <c r="B1001" s="33" t="s">
        <v>25</v>
      </c>
      <c r="C1001" s="29"/>
      <c r="D1001" s="34"/>
      <c r="E1001" s="71">
        <v>0.25</v>
      </c>
      <c r="F1001" s="35"/>
      <c r="G1001" s="36">
        <f>ROUND(G999*E1001,0)</f>
        <v>94504</v>
      </c>
    </row>
    <row r="1002" spans="2:7" x14ac:dyDescent="0.25">
      <c r="B1002" s="33" t="s">
        <v>8</v>
      </c>
      <c r="C1002" s="29"/>
      <c r="D1002" s="34"/>
      <c r="E1002" s="71">
        <v>0.01</v>
      </c>
      <c r="F1002" s="35"/>
      <c r="G1002" s="36">
        <f>ROUND(G999*E1002,0)</f>
        <v>3780</v>
      </c>
    </row>
    <row r="1003" spans="2:7" x14ac:dyDescent="0.25">
      <c r="B1003" s="33" t="s">
        <v>9</v>
      </c>
      <c r="C1003" s="29"/>
      <c r="D1003" s="34"/>
      <c r="E1003" s="71">
        <v>0.05</v>
      </c>
      <c r="F1003" s="35"/>
      <c r="G1003" s="36">
        <f>ROUND(G999*E1003,0)</f>
        <v>18901</v>
      </c>
    </row>
    <row r="1004" spans="2:7" x14ac:dyDescent="0.25">
      <c r="B1004" s="245" t="s">
        <v>26</v>
      </c>
      <c r="C1004" s="246"/>
      <c r="D1004" s="246"/>
      <c r="E1004" s="246"/>
      <c r="F1004" s="246"/>
      <c r="G1004" s="37">
        <f>SUM(G1001:G1003)</f>
        <v>117185</v>
      </c>
    </row>
    <row r="1005" spans="2:7" x14ac:dyDescent="0.25">
      <c r="B1005" s="247" t="s">
        <v>27</v>
      </c>
      <c r="C1005" s="248"/>
      <c r="D1005" s="248"/>
      <c r="E1005" s="248"/>
      <c r="F1005" s="248"/>
      <c r="G1005" s="38">
        <f>+G1004+G999</f>
        <v>495199</v>
      </c>
    </row>
    <row r="1009" spans="2:7" x14ac:dyDescent="0.25">
      <c r="B1009" s="254" t="s">
        <v>365</v>
      </c>
      <c r="C1009" s="255"/>
      <c r="D1009" s="255"/>
      <c r="E1009" s="255"/>
      <c r="F1009" s="255"/>
      <c r="G1009" s="5" t="s">
        <v>123</v>
      </c>
    </row>
    <row r="1010" spans="2:7" x14ac:dyDescent="0.25">
      <c r="B1010" s="105"/>
      <c r="C1010" s="106"/>
      <c r="D1010" s="106"/>
      <c r="E1010" s="106"/>
      <c r="F1010" s="6"/>
      <c r="G1010" s="7"/>
    </row>
    <row r="1011" spans="2:7" x14ac:dyDescent="0.25">
      <c r="B1011" s="8" t="s">
        <v>15</v>
      </c>
      <c r="C1011" s="9" t="s">
        <v>13</v>
      </c>
      <c r="D1011" s="9" t="s">
        <v>16</v>
      </c>
      <c r="E1011" s="9" t="s">
        <v>17</v>
      </c>
      <c r="F1011" s="10" t="s">
        <v>18</v>
      </c>
      <c r="G1011" s="11" t="s">
        <v>5</v>
      </c>
    </row>
    <row r="1012" spans="2:7" x14ac:dyDescent="0.25">
      <c r="B1012" s="12"/>
      <c r="C1012" s="13"/>
      <c r="D1012" s="14"/>
      <c r="E1012" s="14"/>
      <c r="F1012" s="15"/>
      <c r="G1012" s="16"/>
    </row>
    <row r="1013" spans="2:7" x14ac:dyDescent="0.25">
      <c r="B1013" s="17" t="s">
        <v>29</v>
      </c>
      <c r="C1013" s="13"/>
      <c r="D1013" s="14"/>
      <c r="E1013" s="14"/>
      <c r="F1013" s="15"/>
      <c r="G1013" s="16"/>
    </row>
    <row r="1014" spans="2:7" x14ac:dyDescent="0.25">
      <c r="B1014" s="18"/>
      <c r="C1014" s="19"/>
      <c r="D1014" s="67"/>
      <c r="E1014" s="21"/>
      <c r="F1014" s="22"/>
      <c r="G1014" s="23">
        <f t="shared" ref="G1014:G1016" si="33">+(D1014+D1014*E1014)*F1014</f>
        <v>0</v>
      </c>
    </row>
    <row r="1015" spans="2:7" x14ac:dyDescent="0.25">
      <c r="B1015" s="18"/>
      <c r="C1015" s="19"/>
      <c r="D1015" s="67"/>
      <c r="E1015" s="21"/>
      <c r="F1015" s="22"/>
      <c r="G1015" s="23">
        <f t="shared" si="33"/>
        <v>0</v>
      </c>
    </row>
    <row r="1016" spans="2:7" x14ac:dyDescent="0.25">
      <c r="B1016" s="18"/>
      <c r="C1016" s="19"/>
      <c r="D1016" s="67"/>
      <c r="E1016" s="21"/>
      <c r="F1016" s="22"/>
      <c r="G1016" s="23">
        <f t="shared" si="33"/>
        <v>0</v>
      </c>
    </row>
    <row r="1017" spans="2:7" x14ac:dyDescent="0.25">
      <c r="B1017" s="12"/>
      <c r="C1017" s="13"/>
      <c r="D1017" s="14"/>
      <c r="E1017" s="14"/>
      <c r="F1017" s="15" t="s">
        <v>30</v>
      </c>
      <c r="G1017" s="24">
        <f>SUM(G1014:G1016)</f>
        <v>0</v>
      </c>
    </row>
    <row r="1018" spans="2:7" x14ac:dyDescent="0.25">
      <c r="B1018" s="17" t="s">
        <v>19</v>
      </c>
      <c r="C1018" s="13"/>
      <c r="D1018" s="14"/>
      <c r="E1018" s="14"/>
      <c r="F1018" s="15"/>
      <c r="G1018" s="16"/>
    </row>
    <row r="1019" spans="2:7" x14ac:dyDescent="0.25">
      <c r="B1019" s="17" t="s">
        <v>293</v>
      </c>
      <c r="C1019" s="13"/>
      <c r="D1019" s="13"/>
      <c r="E1019" s="13"/>
      <c r="F1019" s="72"/>
      <c r="G1019" s="107"/>
    </row>
    <row r="1020" spans="2:7" x14ac:dyDescent="0.25">
      <c r="B1020" s="18" t="s">
        <v>364</v>
      </c>
      <c r="C1020" s="108" t="s">
        <v>20</v>
      </c>
      <c r="D1020" s="20">
        <v>0.6</v>
      </c>
      <c r="E1020" s="21">
        <v>0</v>
      </c>
      <c r="F1020" s="22">
        <v>10973</v>
      </c>
      <c r="G1020" s="23">
        <f>+(D1020+D1020*E1020)*F1020</f>
        <v>6583.8</v>
      </c>
    </row>
    <row r="1021" spans="2:7" x14ac:dyDescent="0.25">
      <c r="B1021" s="12"/>
      <c r="C1021" s="13"/>
      <c r="D1021" s="14"/>
      <c r="E1021" s="14"/>
      <c r="F1021" s="15" t="s">
        <v>21</v>
      </c>
      <c r="G1021" s="24">
        <f>SUM(G1020:G1020)</f>
        <v>6583.8</v>
      </c>
    </row>
    <row r="1022" spans="2:7" x14ac:dyDescent="0.25">
      <c r="B1022" s="12"/>
      <c r="C1022" s="13"/>
      <c r="D1022" s="14"/>
      <c r="E1022" s="14"/>
      <c r="F1022" s="15"/>
      <c r="G1022" s="109"/>
    </row>
    <row r="1023" spans="2:7" x14ac:dyDescent="0.25">
      <c r="B1023" s="25" t="s">
        <v>22</v>
      </c>
      <c r="C1023" s="13"/>
      <c r="D1023" s="13"/>
      <c r="F1023" s="13"/>
      <c r="G1023" s="110"/>
    </row>
    <row r="1024" spans="2:7" x14ac:dyDescent="0.25">
      <c r="B1024" s="18" t="s">
        <v>32</v>
      </c>
      <c r="C1024" s="19" t="s">
        <v>33</v>
      </c>
      <c r="D1024" s="21">
        <v>7.0000000000000007E-2</v>
      </c>
      <c r="E1024" s="21"/>
      <c r="F1024" s="39">
        <f>+G1021</f>
        <v>6583.8</v>
      </c>
      <c r="G1024" s="23">
        <f>+(D1024+D1024*E1024)*F1024</f>
        <v>460.86600000000004</v>
      </c>
    </row>
    <row r="1025" spans="2:7" x14ac:dyDescent="0.25">
      <c r="B1025" s="12"/>
      <c r="C1025" s="13"/>
      <c r="D1025" s="14"/>
      <c r="E1025" s="14"/>
      <c r="F1025" s="15" t="s">
        <v>23</v>
      </c>
      <c r="G1025" s="24">
        <f>SUM(G1024:G1024)</f>
        <v>460.86600000000004</v>
      </c>
    </row>
    <row r="1026" spans="2:7" x14ac:dyDescent="0.25">
      <c r="B1026" s="12"/>
      <c r="C1026" s="13"/>
      <c r="D1026" s="14"/>
      <c r="E1026" s="14"/>
      <c r="F1026" s="15"/>
      <c r="G1026" s="26"/>
    </row>
    <row r="1027" spans="2:7" x14ac:dyDescent="0.25">
      <c r="B1027" s="243" t="s">
        <v>6</v>
      </c>
      <c r="C1027" s="244"/>
      <c r="D1027" s="244"/>
      <c r="E1027" s="244"/>
      <c r="F1027" s="244"/>
      <c r="G1027" s="27">
        <f>+ROUND(G1025+G1021+G1017,0)</f>
        <v>7045</v>
      </c>
    </row>
    <row r="1028" spans="2:7" x14ac:dyDescent="0.25">
      <c r="B1028" s="28" t="s">
        <v>24</v>
      </c>
      <c r="C1028" s="29"/>
      <c r="D1028" s="30"/>
      <c r="E1028" s="14"/>
      <c r="F1028" s="31"/>
      <c r="G1028" s="32"/>
    </row>
    <row r="1029" spans="2:7" x14ac:dyDescent="0.25">
      <c r="B1029" s="33" t="s">
        <v>25</v>
      </c>
      <c r="C1029" s="29"/>
      <c r="D1029" s="34"/>
      <c r="E1029" s="71">
        <v>0.25</v>
      </c>
      <c r="F1029" s="35"/>
      <c r="G1029" s="36">
        <f>ROUND(G1027*E1029,0)</f>
        <v>1761</v>
      </c>
    </row>
    <row r="1030" spans="2:7" x14ac:dyDescent="0.25">
      <c r="B1030" s="33" t="s">
        <v>8</v>
      </c>
      <c r="C1030" s="29"/>
      <c r="D1030" s="34"/>
      <c r="E1030" s="71">
        <v>0.01</v>
      </c>
      <c r="F1030" s="35"/>
      <c r="G1030" s="36">
        <f>ROUND(G1027*E1030,0)</f>
        <v>70</v>
      </c>
    </row>
    <row r="1031" spans="2:7" x14ac:dyDescent="0.25">
      <c r="B1031" s="33" t="s">
        <v>9</v>
      </c>
      <c r="C1031" s="29"/>
      <c r="D1031" s="34"/>
      <c r="E1031" s="71">
        <v>0.05</v>
      </c>
      <c r="F1031" s="35"/>
      <c r="G1031" s="36">
        <f>ROUND(G1027*E1031,0)</f>
        <v>352</v>
      </c>
    </row>
    <row r="1032" spans="2:7" x14ac:dyDescent="0.25">
      <c r="B1032" s="245" t="s">
        <v>26</v>
      </c>
      <c r="C1032" s="246"/>
      <c r="D1032" s="246"/>
      <c r="E1032" s="246"/>
      <c r="F1032" s="246"/>
      <c r="G1032" s="37">
        <f>SUM(G1029:G1031)</f>
        <v>2183</v>
      </c>
    </row>
    <row r="1033" spans="2:7" x14ac:dyDescent="0.25">
      <c r="B1033" s="247" t="s">
        <v>27</v>
      </c>
      <c r="C1033" s="248"/>
      <c r="D1033" s="248"/>
      <c r="E1033" s="248"/>
      <c r="F1033" s="248"/>
      <c r="G1033" s="38">
        <f>+G1032+G1027</f>
        <v>9228</v>
      </c>
    </row>
    <row r="1037" spans="2:7" x14ac:dyDescent="0.25">
      <c r="B1037" s="254" t="s">
        <v>289</v>
      </c>
      <c r="C1037" s="255"/>
      <c r="D1037" s="255"/>
      <c r="E1037" s="255"/>
      <c r="F1037" s="255"/>
      <c r="G1037" s="5" t="s">
        <v>123</v>
      </c>
    </row>
    <row r="1038" spans="2:7" x14ac:dyDescent="0.25">
      <c r="B1038" s="105"/>
      <c r="C1038" s="106"/>
      <c r="D1038" s="106"/>
      <c r="E1038" s="106"/>
      <c r="F1038" s="6"/>
      <c r="G1038" s="7"/>
    </row>
    <row r="1039" spans="2:7" x14ac:dyDescent="0.25">
      <c r="B1039" s="8" t="s">
        <v>15</v>
      </c>
      <c r="C1039" s="9" t="s">
        <v>13</v>
      </c>
      <c r="D1039" s="9" t="s">
        <v>16</v>
      </c>
      <c r="E1039" s="9" t="s">
        <v>17</v>
      </c>
      <c r="F1039" s="10" t="s">
        <v>18</v>
      </c>
      <c r="G1039" s="11" t="s">
        <v>5</v>
      </c>
    </row>
    <row r="1040" spans="2:7" x14ac:dyDescent="0.25">
      <c r="B1040" s="12"/>
      <c r="C1040" s="13"/>
      <c r="D1040" s="14"/>
      <c r="E1040" s="14"/>
      <c r="F1040" s="15"/>
      <c r="G1040" s="16"/>
    </row>
    <row r="1041" spans="2:7" x14ac:dyDescent="0.25">
      <c r="B1041" s="17" t="s">
        <v>29</v>
      </c>
      <c r="C1041" s="13"/>
      <c r="D1041" s="14"/>
      <c r="E1041" s="14"/>
      <c r="F1041" s="15"/>
      <c r="G1041" s="16"/>
    </row>
    <row r="1042" spans="2:7" x14ac:dyDescent="0.25">
      <c r="B1042" s="18"/>
      <c r="C1042" s="19"/>
      <c r="D1042" s="67"/>
      <c r="E1042" s="21"/>
      <c r="F1042" s="22"/>
      <c r="G1042" s="23">
        <f t="shared" ref="G1042:G1044" si="34">+(D1042+D1042*E1042)*F1042</f>
        <v>0</v>
      </c>
    </row>
    <row r="1043" spans="2:7" x14ac:dyDescent="0.25">
      <c r="B1043" s="18"/>
      <c r="C1043" s="19"/>
      <c r="D1043" s="67"/>
      <c r="E1043" s="21"/>
      <c r="F1043" s="22"/>
      <c r="G1043" s="23">
        <f t="shared" si="34"/>
        <v>0</v>
      </c>
    </row>
    <row r="1044" spans="2:7" x14ac:dyDescent="0.25">
      <c r="B1044" s="18"/>
      <c r="C1044" s="19"/>
      <c r="D1044" s="67"/>
      <c r="E1044" s="21"/>
      <c r="F1044" s="22"/>
      <c r="G1044" s="23">
        <f t="shared" si="34"/>
        <v>0</v>
      </c>
    </row>
    <row r="1045" spans="2:7" x14ac:dyDescent="0.25">
      <c r="B1045" s="12"/>
      <c r="C1045" s="13"/>
      <c r="D1045" s="14"/>
      <c r="E1045" s="14"/>
      <c r="F1045" s="15" t="s">
        <v>30</v>
      </c>
      <c r="G1045" s="24">
        <f>SUM(G1042:G1044)</f>
        <v>0</v>
      </c>
    </row>
    <row r="1046" spans="2:7" x14ac:dyDescent="0.25">
      <c r="B1046" s="17" t="s">
        <v>19</v>
      </c>
      <c r="C1046" s="13"/>
      <c r="D1046" s="14"/>
      <c r="E1046" s="14"/>
      <c r="F1046" s="15"/>
      <c r="G1046" s="16"/>
    </row>
    <row r="1047" spans="2:7" x14ac:dyDescent="0.25">
      <c r="B1047" s="17" t="s">
        <v>293</v>
      </c>
      <c r="C1047" s="13"/>
      <c r="D1047" s="13"/>
      <c r="E1047" s="13"/>
      <c r="F1047" s="72"/>
      <c r="G1047" s="107"/>
    </row>
    <row r="1048" spans="2:7" x14ac:dyDescent="0.25">
      <c r="B1048" s="18" t="s">
        <v>364</v>
      </c>
      <c r="C1048" s="108" t="s">
        <v>20</v>
      </c>
      <c r="D1048" s="20">
        <v>0.7</v>
      </c>
      <c r="E1048" s="21">
        <v>0</v>
      </c>
      <c r="F1048" s="22">
        <v>10973</v>
      </c>
      <c r="G1048" s="23">
        <f>+(D1048+D1048*E1048)*F1048</f>
        <v>7681.0999999999995</v>
      </c>
    </row>
    <row r="1049" spans="2:7" x14ac:dyDescent="0.25">
      <c r="B1049" s="12"/>
      <c r="C1049" s="13"/>
      <c r="D1049" s="14"/>
      <c r="E1049" s="14"/>
      <c r="F1049" s="15" t="s">
        <v>21</v>
      </c>
      <c r="G1049" s="24">
        <f>SUM(G1048:G1048)</f>
        <v>7681.0999999999995</v>
      </c>
    </row>
    <row r="1050" spans="2:7" x14ac:dyDescent="0.25">
      <c r="B1050" s="12"/>
      <c r="C1050" s="13"/>
      <c r="D1050" s="14"/>
      <c r="E1050" s="14"/>
      <c r="F1050" s="15"/>
      <c r="G1050" s="109"/>
    </row>
    <row r="1051" spans="2:7" x14ac:dyDescent="0.25">
      <c r="B1051" s="25" t="s">
        <v>22</v>
      </c>
      <c r="C1051" s="13"/>
      <c r="D1051" s="13"/>
      <c r="F1051" s="13"/>
      <c r="G1051" s="110"/>
    </row>
    <row r="1052" spans="2:7" x14ac:dyDescent="0.25">
      <c r="B1052" s="18" t="s">
        <v>32</v>
      </c>
      <c r="C1052" s="19" t="s">
        <v>33</v>
      </c>
      <c r="D1052" s="21">
        <v>0.03</v>
      </c>
      <c r="E1052" s="21"/>
      <c r="F1052" s="39">
        <f>+G1049</f>
        <v>7681.0999999999995</v>
      </c>
      <c r="G1052" s="23">
        <f>+(D1052+D1052*E1052)*F1052</f>
        <v>230.43299999999996</v>
      </c>
    </row>
    <row r="1053" spans="2:7" x14ac:dyDescent="0.25">
      <c r="B1053" s="12"/>
      <c r="C1053" s="13"/>
      <c r="D1053" s="14"/>
      <c r="E1053" s="14"/>
      <c r="F1053" s="15" t="s">
        <v>23</v>
      </c>
      <c r="G1053" s="24">
        <f>SUM(G1052:G1052)</f>
        <v>230.43299999999996</v>
      </c>
    </row>
    <row r="1054" spans="2:7" x14ac:dyDescent="0.25">
      <c r="B1054" s="12"/>
      <c r="C1054" s="13"/>
      <c r="D1054" s="14"/>
      <c r="E1054" s="14"/>
      <c r="F1054" s="15"/>
      <c r="G1054" s="26"/>
    </row>
    <row r="1055" spans="2:7" x14ac:dyDescent="0.25">
      <c r="B1055" s="243" t="s">
        <v>6</v>
      </c>
      <c r="C1055" s="244"/>
      <c r="D1055" s="244"/>
      <c r="E1055" s="244"/>
      <c r="F1055" s="244"/>
      <c r="G1055" s="27">
        <f>+ROUND(G1053+G1049+G1045,0)</f>
        <v>7912</v>
      </c>
    </row>
    <row r="1056" spans="2:7" x14ac:dyDescent="0.25">
      <c r="B1056" s="28" t="s">
        <v>24</v>
      </c>
      <c r="C1056" s="29"/>
      <c r="D1056" s="30"/>
      <c r="E1056" s="14"/>
      <c r="F1056" s="31"/>
      <c r="G1056" s="32"/>
    </row>
    <row r="1057" spans="2:7" x14ac:dyDescent="0.25">
      <c r="B1057" s="33" t="s">
        <v>25</v>
      </c>
      <c r="C1057" s="29"/>
      <c r="D1057" s="34"/>
      <c r="E1057" s="71">
        <v>0.25</v>
      </c>
      <c r="F1057" s="35"/>
      <c r="G1057" s="36">
        <f>ROUND(G1055*E1057,0)</f>
        <v>1978</v>
      </c>
    </row>
    <row r="1058" spans="2:7" x14ac:dyDescent="0.25">
      <c r="B1058" s="33" t="s">
        <v>8</v>
      </c>
      <c r="C1058" s="29"/>
      <c r="D1058" s="34"/>
      <c r="E1058" s="71">
        <v>0.01</v>
      </c>
      <c r="F1058" s="35"/>
      <c r="G1058" s="36">
        <f>ROUND(G1055*E1058,0)</f>
        <v>79</v>
      </c>
    </row>
    <row r="1059" spans="2:7" x14ac:dyDescent="0.25">
      <c r="B1059" s="33" t="s">
        <v>9</v>
      </c>
      <c r="C1059" s="29"/>
      <c r="D1059" s="34"/>
      <c r="E1059" s="71">
        <v>0.05</v>
      </c>
      <c r="F1059" s="35"/>
      <c r="G1059" s="36">
        <f>ROUND(G1055*E1059,0)</f>
        <v>396</v>
      </c>
    </row>
    <row r="1060" spans="2:7" x14ac:dyDescent="0.25">
      <c r="B1060" s="245" t="s">
        <v>26</v>
      </c>
      <c r="C1060" s="246"/>
      <c r="D1060" s="246"/>
      <c r="E1060" s="246"/>
      <c r="F1060" s="246"/>
      <c r="G1060" s="37">
        <f>SUM(G1057:G1059)</f>
        <v>2453</v>
      </c>
    </row>
    <row r="1061" spans="2:7" x14ac:dyDescent="0.25">
      <c r="B1061" s="247" t="s">
        <v>27</v>
      </c>
      <c r="C1061" s="248"/>
      <c r="D1061" s="248"/>
      <c r="E1061" s="248"/>
      <c r="F1061" s="248"/>
      <c r="G1061" s="38">
        <f>+G1060+G1055</f>
        <v>10365</v>
      </c>
    </row>
    <row r="1065" spans="2:7" x14ac:dyDescent="0.25">
      <c r="B1065" s="254" t="s">
        <v>366</v>
      </c>
      <c r="C1065" s="255"/>
      <c r="D1065" s="255"/>
      <c r="E1065" s="255"/>
      <c r="F1065" s="255"/>
      <c r="G1065" s="5" t="s">
        <v>155</v>
      </c>
    </row>
    <row r="1066" spans="2:7" x14ac:dyDescent="0.25">
      <c r="B1066" s="105"/>
      <c r="C1066" s="106"/>
      <c r="D1066" s="106"/>
      <c r="E1066" s="106"/>
      <c r="F1066" s="6"/>
      <c r="G1066" s="7"/>
    </row>
    <row r="1067" spans="2:7" x14ac:dyDescent="0.25">
      <c r="B1067" s="8" t="s">
        <v>15</v>
      </c>
      <c r="C1067" s="9" t="s">
        <v>13</v>
      </c>
      <c r="D1067" s="9" t="s">
        <v>16</v>
      </c>
      <c r="E1067" s="9" t="s">
        <v>17</v>
      </c>
      <c r="F1067" s="10" t="s">
        <v>18</v>
      </c>
      <c r="G1067" s="11" t="s">
        <v>5</v>
      </c>
    </row>
    <row r="1068" spans="2:7" x14ac:dyDescent="0.25">
      <c r="B1068" s="12"/>
      <c r="C1068" s="13"/>
      <c r="D1068" s="14"/>
      <c r="E1068" s="14"/>
      <c r="F1068" s="15"/>
      <c r="G1068" s="16"/>
    </row>
    <row r="1069" spans="2:7" x14ac:dyDescent="0.25">
      <c r="B1069" s="17" t="s">
        <v>29</v>
      </c>
      <c r="C1069" s="13"/>
      <c r="D1069" s="14"/>
      <c r="E1069" s="14"/>
      <c r="F1069" s="15"/>
      <c r="G1069" s="16"/>
    </row>
    <row r="1070" spans="2:7" x14ac:dyDescent="0.25">
      <c r="B1070" s="18"/>
      <c r="C1070" s="19"/>
      <c r="D1070" s="67"/>
      <c r="E1070" s="21"/>
      <c r="F1070" s="22"/>
      <c r="G1070" s="23">
        <f t="shared" ref="G1070:G1072" si="35">+(D1070+D1070*E1070)*F1070</f>
        <v>0</v>
      </c>
    </row>
    <row r="1071" spans="2:7" x14ac:dyDescent="0.25">
      <c r="B1071" s="18"/>
      <c r="C1071" s="19"/>
      <c r="D1071" s="67"/>
      <c r="E1071" s="21"/>
      <c r="F1071" s="22"/>
      <c r="G1071" s="23">
        <f t="shared" si="35"/>
        <v>0</v>
      </c>
    </row>
    <row r="1072" spans="2:7" x14ac:dyDescent="0.25">
      <c r="B1072" s="18"/>
      <c r="C1072" s="19"/>
      <c r="D1072" s="67"/>
      <c r="E1072" s="21"/>
      <c r="F1072" s="22"/>
      <c r="G1072" s="23">
        <f t="shared" si="35"/>
        <v>0</v>
      </c>
    </row>
    <row r="1073" spans="2:7" x14ac:dyDescent="0.25">
      <c r="B1073" s="12"/>
      <c r="C1073" s="13"/>
      <c r="D1073" s="14"/>
      <c r="E1073" s="14"/>
      <c r="F1073" s="15" t="s">
        <v>30</v>
      </c>
      <c r="G1073" s="24">
        <f>SUM(G1070:G1072)</f>
        <v>0</v>
      </c>
    </row>
    <row r="1074" spans="2:7" x14ac:dyDescent="0.25">
      <c r="B1074" s="17" t="s">
        <v>19</v>
      </c>
      <c r="C1074" s="13"/>
      <c r="D1074" s="14"/>
      <c r="E1074" s="14"/>
      <c r="F1074" s="15"/>
      <c r="G1074" s="16"/>
    </row>
    <row r="1075" spans="2:7" x14ac:dyDescent="0.25">
      <c r="B1075" s="17" t="s">
        <v>293</v>
      </c>
      <c r="C1075" s="13"/>
      <c r="D1075" s="13"/>
      <c r="E1075" s="13"/>
      <c r="F1075" s="72"/>
      <c r="G1075" s="107"/>
    </row>
    <row r="1076" spans="2:7" x14ac:dyDescent="0.25">
      <c r="B1076" s="18" t="s">
        <v>359</v>
      </c>
      <c r="C1076" s="108" t="s">
        <v>20</v>
      </c>
      <c r="D1076" s="20">
        <v>1</v>
      </c>
      <c r="E1076" s="21">
        <v>0</v>
      </c>
      <c r="F1076" s="22">
        <f>+F991</f>
        <v>33068.769999999997</v>
      </c>
      <c r="G1076" s="23">
        <f>+(D1076+D1076*E1076)*F1076</f>
        <v>33068.769999999997</v>
      </c>
    </row>
    <row r="1077" spans="2:7" x14ac:dyDescent="0.25">
      <c r="B1077" s="12"/>
      <c r="C1077" s="13"/>
      <c r="D1077" s="14"/>
      <c r="E1077" s="14"/>
      <c r="F1077" s="15" t="s">
        <v>21</v>
      </c>
      <c r="G1077" s="24">
        <f>SUM(G1076:G1076)</f>
        <v>33068.769999999997</v>
      </c>
    </row>
    <row r="1078" spans="2:7" x14ac:dyDescent="0.25">
      <c r="B1078" s="12"/>
      <c r="C1078" s="13"/>
      <c r="D1078" s="14"/>
      <c r="E1078" s="14"/>
      <c r="F1078" s="15"/>
      <c r="G1078" s="109"/>
    </row>
    <row r="1079" spans="2:7" x14ac:dyDescent="0.25">
      <c r="B1079" s="25" t="s">
        <v>22</v>
      </c>
      <c r="C1079" s="13"/>
      <c r="D1079" s="13"/>
      <c r="F1079" s="13"/>
      <c r="G1079" s="110"/>
    </row>
    <row r="1080" spans="2:7" x14ac:dyDescent="0.25">
      <c r="B1080" s="18" t="s">
        <v>32</v>
      </c>
      <c r="C1080" s="19" t="s">
        <v>33</v>
      </c>
      <c r="D1080" s="21">
        <v>0.05</v>
      </c>
      <c r="E1080" s="21"/>
      <c r="F1080" s="39">
        <f>+G1077</f>
        <v>33068.769999999997</v>
      </c>
      <c r="G1080" s="23">
        <f>+(D1080+D1080*E1080)*F1080</f>
        <v>1653.4385</v>
      </c>
    </row>
    <row r="1081" spans="2:7" x14ac:dyDescent="0.25">
      <c r="B1081" s="12"/>
      <c r="C1081" s="13"/>
      <c r="D1081" s="14"/>
      <c r="E1081" s="14"/>
      <c r="F1081" s="15" t="s">
        <v>23</v>
      </c>
      <c r="G1081" s="24">
        <f>SUM(G1080:G1080)</f>
        <v>1653.4385</v>
      </c>
    </row>
    <row r="1082" spans="2:7" x14ac:dyDescent="0.25">
      <c r="B1082" s="12"/>
      <c r="C1082" s="13"/>
      <c r="D1082" s="14"/>
      <c r="E1082" s="14"/>
      <c r="F1082" s="15"/>
      <c r="G1082" s="26"/>
    </row>
    <row r="1083" spans="2:7" x14ac:dyDescent="0.25">
      <c r="B1083" s="243" t="s">
        <v>6</v>
      </c>
      <c r="C1083" s="244"/>
      <c r="D1083" s="244"/>
      <c r="E1083" s="244"/>
      <c r="F1083" s="244"/>
      <c r="G1083" s="27">
        <f>+ROUND(G1081+G1077+G1073,0)</f>
        <v>34722</v>
      </c>
    </row>
    <row r="1084" spans="2:7" x14ac:dyDescent="0.25">
      <c r="B1084" s="28" t="s">
        <v>24</v>
      </c>
      <c r="C1084" s="29"/>
      <c r="D1084" s="30"/>
      <c r="E1084" s="14"/>
      <c r="F1084" s="31"/>
      <c r="G1084" s="32"/>
    </row>
    <row r="1085" spans="2:7" x14ac:dyDescent="0.25">
      <c r="B1085" s="33" t="s">
        <v>25</v>
      </c>
      <c r="C1085" s="29"/>
      <c r="D1085" s="34"/>
      <c r="E1085" s="71">
        <v>0.25</v>
      </c>
      <c r="F1085" s="35"/>
      <c r="G1085" s="36">
        <f>ROUND(G1083*E1085,0)</f>
        <v>8681</v>
      </c>
    </row>
    <row r="1086" spans="2:7" x14ac:dyDescent="0.25">
      <c r="B1086" s="33" t="s">
        <v>8</v>
      </c>
      <c r="C1086" s="29"/>
      <c r="D1086" s="34"/>
      <c r="E1086" s="71">
        <v>0.01</v>
      </c>
      <c r="F1086" s="35"/>
      <c r="G1086" s="36">
        <f>ROUND(G1083*E1086,0)</f>
        <v>347</v>
      </c>
    </row>
    <row r="1087" spans="2:7" x14ac:dyDescent="0.25">
      <c r="B1087" s="33" t="s">
        <v>9</v>
      </c>
      <c r="C1087" s="29"/>
      <c r="D1087" s="34"/>
      <c r="E1087" s="71">
        <v>0.05</v>
      </c>
      <c r="F1087" s="35"/>
      <c r="G1087" s="36">
        <f>ROUND(G1083*E1087,0)</f>
        <v>1736</v>
      </c>
    </row>
    <row r="1088" spans="2:7" x14ac:dyDescent="0.25">
      <c r="B1088" s="245" t="s">
        <v>26</v>
      </c>
      <c r="C1088" s="246"/>
      <c r="D1088" s="246"/>
      <c r="E1088" s="246"/>
      <c r="F1088" s="246"/>
      <c r="G1088" s="37">
        <f>SUM(G1085:G1087)</f>
        <v>10764</v>
      </c>
    </row>
    <row r="1089" spans="2:7" x14ac:dyDescent="0.25">
      <c r="B1089" s="247" t="s">
        <v>27</v>
      </c>
      <c r="C1089" s="248"/>
      <c r="D1089" s="248"/>
      <c r="E1089" s="248"/>
      <c r="F1089" s="248"/>
      <c r="G1089" s="38">
        <f>+G1088+G1083</f>
        <v>45486</v>
      </c>
    </row>
  </sheetData>
  <mergeCells count="334">
    <mergeCell ref="B1088:F1088"/>
    <mergeCell ref="B1089:F1089"/>
    <mergeCell ref="B1027:F1027"/>
    <mergeCell ref="B1032:F1032"/>
    <mergeCell ref="B1033:F1033"/>
    <mergeCell ref="B1037:F1037"/>
    <mergeCell ref="B1055:F1055"/>
    <mergeCell ref="B1060:F1060"/>
    <mergeCell ref="B1061:F1061"/>
    <mergeCell ref="B1065:F1065"/>
    <mergeCell ref="B1083:F1083"/>
    <mergeCell ref="K807:M807"/>
    <mergeCell ref="B2:E3"/>
    <mergeCell ref="B18:F18"/>
    <mergeCell ref="B23:F23"/>
    <mergeCell ref="B24:F24"/>
    <mergeCell ref="B1009:F1009"/>
    <mergeCell ref="J804:K804"/>
    <mergeCell ref="L804:M804"/>
    <mergeCell ref="B805:E805"/>
    <mergeCell ref="J805:K805"/>
    <mergeCell ref="L805:M805"/>
    <mergeCell ref="E806:F806"/>
    <mergeCell ref="G806:H806"/>
    <mergeCell ref="I806:J806"/>
    <mergeCell ref="K806:M806"/>
    <mergeCell ref="B975:F975"/>
    <mergeCell ref="B976:F976"/>
    <mergeCell ref="B980:F980"/>
    <mergeCell ref="B999:F999"/>
    <mergeCell ref="B1004:F1004"/>
    <mergeCell ref="B1005:F1005"/>
    <mergeCell ref="B794:L794"/>
    <mergeCell ref="B795:E795"/>
    <mergeCell ref="F795:G795"/>
    <mergeCell ref="J795:K795"/>
    <mergeCell ref="L795:M795"/>
    <mergeCell ref="B796:E796"/>
    <mergeCell ref="J796:K796"/>
    <mergeCell ref="L796:M796"/>
    <mergeCell ref="B797:E797"/>
    <mergeCell ref="J797:K797"/>
    <mergeCell ref="L797:M797"/>
    <mergeCell ref="B799:E799"/>
    <mergeCell ref="J799:K799"/>
    <mergeCell ref="L799:M799"/>
    <mergeCell ref="B800:E800"/>
    <mergeCell ref="B909:F909"/>
    <mergeCell ref="B914:F914"/>
    <mergeCell ref="B811:E811"/>
    <mergeCell ref="J811:K811"/>
    <mergeCell ref="L811:M811"/>
    <mergeCell ref="B815:J816"/>
    <mergeCell ref="K815:M815"/>
    <mergeCell ref="K816:M816"/>
    <mergeCell ref="B812:E812"/>
    <mergeCell ref="J812:K812"/>
    <mergeCell ref="L812:M812"/>
    <mergeCell ref="B813:E813"/>
    <mergeCell ref="J813:K813"/>
    <mergeCell ref="L813:M813"/>
    <mergeCell ref="B814:E814"/>
    <mergeCell ref="J814:K814"/>
    <mergeCell ref="L814:M814"/>
    <mergeCell ref="E807:F807"/>
    <mergeCell ref="G807:H807"/>
    <mergeCell ref="I807:J807"/>
    <mergeCell ref="B820:L820"/>
    <mergeCell ref="B821:E821"/>
    <mergeCell ref="F821:G821"/>
    <mergeCell ref="B915:F915"/>
    <mergeCell ref="B919:F919"/>
    <mergeCell ref="B939:F939"/>
    <mergeCell ref="B944:F944"/>
    <mergeCell ref="B945:F945"/>
    <mergeCell ref="B950:F950"/>
    <mergeCell ref="B970:F970"/>
    <mergeCell ref="B834:F834"/>
    <mergeCell ref="B852:F852"/>
    <mergeCell ref="B857:F857"/>
    <mergeCell ref="B858:F858"/>
    <mergeCell ref="B862:F862"/>
    <mergeCell ref="B881:F881"/>
    <mergeCell ref="B886:F886"/>
    <mergeCell ref="B887:F887"/>
    <mergeCell ref="B891:F891"/>
    <mergeCell ref="B684:F684"/>
    <mergeCell ref="B685:F685"/>
    <mergeCell ref="B109:E110"/>
    <mergeCell ref="B125:F125"/>
    <mergeCell ref="B130:F130"/>
    <mergeCell ref="B131:F131"/>
    <mergeCell ref="B664:E665"/>
    <mergeCell ref="B679:F679"/>
    <mergeCell ref="B27:E28"/>
    <mergeCell ref="B43:F43"/>
    <mergeCell ref="B48:F48"/>
    <mergeCell ref="B49:F49"/>
    <mergeCell ref="B81:E82"/>
    <mergeCell ref="B98:F98"/>
    <mergeCell ref="B103:F103"/>
    <mergeCell ref="B104:F104"/>
    <mergeCell ref="B570:E571"/>
    <mergeCell ref="B581:F581"/>
    <mergeCell ref="B586:F586"/>
    <mergeCell ref="B587:F587"/>
    <mergeCell ref="B492:E493"/>
    <mergeCell ref="B509:F509"/>
    <mergeCell ref="B514:F514"/>
    <mergeCell ref="B515:F515"/>
    <mergeCell ref="B519:E520"/>
    <mergeCell ref="B534:F534"/>
    <mergeCell ref="B539:F539"/>
    <mergeCell ref="B540:F540"/>
    <mergeCell ref="B563:F563"/>
    <mergeCell ref="B557:F557"/>
    <mergeCell ref="B562:F562"/>
    <mergeCell ref="B426:F426"/>
    <mergeCell ref="B427:F427"/>
    <mergeCell ref="B431:E432"/>
    <mergeCell ref="B448:F448"/>
    <mergeCell ref="B546:E547"/>
    <mergeCell ref="B453:F453"/>
    <mergeCell ref="B454:F454"/>
    <mergeCell ref="B459:E460"/>
    <mergeCell ref="B481:F481"/>
    <mergeCell ref="B486:F486"/>
    <mergeCell ref="B487:F487"/>
    <mergeCell ref="B307:E308"/>
    <mergeCell ref="B328:F328"/>
    <mergeCell ref="B333:F333"/>
    <mergeCell ref="B334:F334"/>
    <mergeCell ref="B339:E340"/>
    <mergeCell ref="B369:F369"/>
    <mergeCell ref="B370:F370"/>
    <mergeCell ref="B402:E403"/>
    <mergeCell ref="B421:F421"/>
    <mergeCell ref="B54:E55"/>
    <mergeCell ref="B70:F70"/>
    <mergeCell ref="B75:F75"/>
    <mergeCell ref="B76:F76"/>
    <mergeCell ref="B278:F278"/>
    <mergeCell ref="B257:E258"/>
    <mergeCell ref="B272:F272"/>
    <mergeCell ref="B277:F277"/>
    <mergeCell ref="B234:E235"/>
    <mergeCell ref="B246:F246"/>
    <mergeCell ref="B251:F251"/>
    <mergeCell ref="B252:F252"/>
    <mergeCell ref="B174:F174"/>
    <mergeCell ref="B179:F179"/>
    <mergeCell ref="B184:E185"/>
    <mergeCell ref="B196:F196"/>
    <mergeCell ref="B201:F201"/>
    <mergeCell ref="B202:F202"/>
    <mergeCell ref="B180:F180"/>
    <mergeCell ref="B140:E141"/>
    <mergeCell ref="B152:F152"/>
    <mergeCell ref="B157:F157"/>
    <mergeCell ref="B158:F158"/>
    <mergeCell ref="B162:E163"/>
    <mergeCell ref="J594:K594"/>
    <mergeCell ref="L594:M594"/>
    <mergeCell ref="B595:E595"/>
    <mergeCell ref="J595:K595"/>
    <mergeCell ref="L595:M595"/>
    <mergeCell ref="B596:E596"/>
    <mergeCell ref="J596:K596"/>
    <mergeCell ref="L596:M596"/>
    <mergeCell ref="B590:L590"/>
    <mergeCell ref="B591:E591"/>
    <mergeCell ref="F591:G591"/>
    <mergeCell ref="J591:K591"/>
    <mergeCell ref="L591:M591"/>
    <mergeCell ref="B592:E592"/>
    <mergeCell ref="J592:K592"/>
    <mergeCell ref="L592:M592"/>
    <mergeCell ref="B593:E593"/>
    <mergeCell ref="J593:K593"/>
    <mergeCell ref="L593:M593"/>
    <mergeCell ref="J600:K600"/>
    <mergeCell ref="L600:M600"/>
    <mergeCell ref="B601:E601"/>
    <mergeCell ref="J601:K601"/>
    <mergeCell ref="L601:M601"/>
    <mergeCell ref="B602:E602"/>
    <mergeCell ref="J602:K602"/>
    <mergeCell ref="L602:M602"/>
    <mergeCell ref="B597:E597"/>
    <mergeCell ref="J597:K597"/>
    <mergeCell ref="L597:M597"/>
    <mergeCell ref="B598:E598"/>
    <mergeCell ref="J598:K598"/>
    <mergeCell ref="L598:M598"/>
    <mergeCell ref="B599:E599"/>
    <mergeCell ref="J599:K599"/>
    <mergeCell ref="L599:M599"/>
    <mergeCell ref="G606:H606"/>
    <mergeCell ref="I606:J606"/>
    <mergeCell ref="K606:M606"/>
    <mergeCell ref="E607:F607"/>
    <mergeCell ref="G607:H607"/>
    <mergeCell ref="I607:J607"/>
    <mergeCell ref="K607:M607"/>
    <mergeCell ref="B603:E603"/>
    <mergeCell ref="J603:K603"/>
    <mergeCell ref="L603:M603"/>
    <mergeCell ref="B604:E604"/>
    <mergeCell ref="J604:K604"/>
    <mergeCell ref="L604:M604"/>
    <mergeCell ref="B605:E605"/>
    <mergeCell ref="J605:K605"/>
    <mergeCell ref="L605:M605"/>
    <mergeCell ref="B627:F627"/>
    <mergeCell ref="B632:F632"/>
    <mergeCell ref="B633:F633"/>
    <mergeCell ref="B637:E638"/>
    <mergeCell ref="B653:F653"/>
    <mergeCell ref="B658:F658"/>
    <mergeCell ref="B659:F659"/>
    <mergeCell ref="B205:E206"/>
    <mergeCell ref="B223:F223"/>
    <mergeCell ref="B228:F228"/>
    <mergeCell ref="B229:F229"/>
    <mergeCell ref="B612:E613"/>
    <mergeCell ref="E606:F606"/>
    <mergeCell ref="B600:E600"/>
    <mergeCell ref="B594:E594"/>
    <mergeCell ref="B364:F364"/>
    <mergeCell ref="B282:E283"/>
    <mergeCell ref="B298:F298"/>
    <mergeCell ref="B303:F303"/>
    <mergeCell ref="B304:F304"/>
    <mergeCell ref="B375:E376"/>
    <mergeCell ref="B391:F391"/>
    <mergeCell ref="B396:F396"/>
    <mergeCell ref="B397:F397"/>
    <mergeCell ref="B690:F690"/>
    <mergeCell ref="B708:F708"/>
    <mergeCell ref="B713:F713"/>
    <mergeCell ref="B714:F714"/>
    <mergeCell ref="B719:F719"/>
    <mergeCell ref="B737:F737"/>
    <mergeCell ref="B742:F742"/>
    <mergeCell ref="B743:F743"/>
    <mergeCell ref="B748:F748"/>
    <mergeCell ref="B766:F766"/>
    <mergeCell ref="B771:F771"/>
    <mergeCell ref="B772:F772"/>
    <mergeCell ref="B777:L777"/>
    <mergeCell ref="B778:E778"/>
    <mergeCell ref="F778:G778"/>
    <mergeCell ref="J778:K778"/>
    <mergeCell ref="L778:M778"/>
    <mergeCell ref="B779:E779"/>
    <mergeCell ref="J779:K779"/>
    <mergeCell ref="L779:M779"/>
    <mergeCell ref="B780:E780"/>
    <mergeCell ref="J780:K780"/>
    <mergeCell ref="L780:M780"/>
    <mergeCell ref="B781:E781"/>
    <mergeCell ref="J781:K781"/>
    <mergeCell ref="L781:M781"/>
    <mergeCell ref="B782:E782"/>
    <mergeCell ref="J782:K782"/>
    <mergeCell ref="L782:M782"/>
    <mergeCell ref="B783:E783"/>
    <mergeCell ref="J783:K783"/>
    <mergeCell ref="L783:M783"/>
    <mergeCell ref="B784:E784"/>
    <mergeCell ref="J784:K784"/>
    <mergeCell ref="L784:M784"/>
    <mergeCell ref="B785:E785"/>
    <mergeCell ref="J785:K785"/>
    <mergeCell ref="L785:M785"/>
    <mergeCell ref="B786:E786"/>
    <mergeCell ref="J786:K786"/>
    <mergeCell ref="L786:M786"/>
    <mergeCell ref="B787:E787"/>
    <mergeCell ref="J787:K787"/>
    <mergeCell ref="L787:M787"/>
    <mergeCell ref="B788:E788"/>
    <mergeCell ref="J788:K788"/>
    <mergeCell ref="L788:M788"/>
    <mergeCell ref="E789:F789"/>
    <mergeCell ref="G789:H789"/>
    <mergeCell ref="I789:J789"/>
    <mergeCell ref="K789:M789"/>
    <mergeCell ref="E790:F790"/>
    <mergeCell ref="G790:H790"/>
    <mergeCell ref="I790:J790"/>
    <mergeCell ref="K790:M790"/>
    <mergeCell ref="B810:L810"/>
    <mergeCell ref="J800:K800"/>
    <mergeCell ref="L800:M800"/>
    <mergeCell ref="B801:E801"/>
    <mergeCell ref="J801:K801"/>
    <mergeCell ref="L801:M801"/>
    <mergeCell ref="B802:E802"/>
    <mergeCell ref="J802:K802"/>
    <mergeCell ref="L802:M802"/>
    <mergeCell ref="B803:E803"/>
    <mergeCell ref="J803:K803"/>
    <mergeCell ref="L803:M803"/>
    <mergeCell ref="B804:E804"/>
    <mergeCell ref="B798:E798"/>
    <mergeCell ref="J798:K798"/>
    <mergeCell ref="L798:M798"/>
    <mergeCell ref="J821:K821"/>
    <mergeCell ref="L821:M821"/>
    <mergeCell ref="B822:E822"/>
    <mergeCell ref="J822:K822"/>
    <mergeCell ref="L822:M822"/>
    <mergeCell ref="B823:E823"/>
    <mergeCell ref="J823:K823"/>
    <mergeCell ref="L823:M823"/>
    <mergeCell ref="B824:E824"/>
    <mergeCell ref="J824:K824"/>
    <mergeCell ref="L824:M824"/>
    <mergeCell ref="B828:E828"/>
    <mergeCell ref="J828:K828"/>
    <mergeCell ref="L828:M828"/>
    <mergeCell ref="B829:J830"/>
    <mergeCell ref="K829:M829"/>
    <mergeCell ref="K830:M830"/>
    <mergeCell ref="B825:E825"/>
    <mergeCell ref="J825:K825"/>
    <mergeCell ref="L825:M825"/>
    <mergeCell ref="B826:E826"/>
    <mergeCell ref="J826:K826"/>
    <mergeCell ref="L826:M826"/>
    <mergeCell ref="B827:E827"/>
    <mergeCell ref="J827:K827"/>
    <mergeCell ref="L827:M827"/>
  </mergeCells>
  <pageMargins left="0.7" right="0.7" top="0.75" bottom="0.75" header="0.3" footer="0.3"/>
  <pageSetup orientation="portrait" r:id="rId1"/>
  <ignoredErrors>
    <ignoredError sqref="G145 G216 G220:G221 F220 F243:G243 G244 G318" evalError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topLeftCell="B1" zoomScale="90" zoomScaleNormal="90" workbookViewId="0">
      <selection activeCell="B4" sqref="B4:G4"/>
    </sheetView>
  </sheetViews>
  <sheetFormatPr baseColWidth="10" defaultRowHeight="15.75" x14ac:dyDescent="0.25"/>
  <cols>
    <col min="1" max="1" width="3.7109375" style="1" customWidth="1"/>
    <col min="2" max="2" width="13.140625" style="2" customWidth="1"/>
    <col min="3" max="3" width="77.85546875" style="1" customWidth="1"/>
    <col min="4" max="4" width="9.140625" style="1" bestFit="1" customWidth="1"/>
    <col min="5" max="5" width="11.85546875" style="3" bestFit="1" customWidth="1"/>
    <col min="6" max="6" width="23" style="1" customWidth="1"/>
    <col min="7" max="7" width="24.7109375" style="1" bestFit="1" customWidth="1"/>
    <col min="8" max="8" width="6.140625" style="1" bestFit="1" customWidth="1"/>
    <col min="9" max="9" width="8" style="1" bestFit="1" customWidth="1"/>
    <col min="10" max="14" width="11.42578125" style="1"/>
  </cols>
  <sheetData>
    <row r="1" spans="2:8" ht="29.25" customHeight="1" x14ac:dyDescent="0.25">
      <c r="B1" s="274"/>
      <c r="C1" s="276" t="s">
        <v>245</v>
      </c>
      <c r="D1" s="276"/>
      <c r="E1" s="276"/>
      <c r="F1" s="276"/>
      <c r="G1" s="277"/>
    </row>
    <row r="2" spans="2:8" ht="30.75" customHeight="1" x14ac:dyDescent="0.25">
      <c r="B2" s="275"/>
      <c r="C2" s="278" t="s">
        <v>247</v>
      </c>
      <c r="D2" s="278"/>
      <c r="E2" s="278"/>
      <c r="F2" s="278"/>
      <c r="G2" s="279"/>
    </row>
    <row r="3" spans="2:8" ht="24.75" customHeight="1" x14ac:dyDescent="0.25">
      <c r="B3" s="275"/>
      <c r="C3" s="280" t="s">
        <v>246</v>
      </c>
      <c r="D3" s="280"/>
      <c r="E3" s="280"/>
      <c r="F3" s="280"/>
      <c r="G3" s="281"/>
    </row>
    <row r="4" spans="2:8" ht="46.5" customHeight="1" x14ac:dyDescent="0.25">
      <c r="B4" s="282" t="s">
        <v>370</v>
      </c>
      <c r="C4" s="283"/>
      <c r="D4" s="283"/>
      <c r="E4" s="283"/>
      <c r="F4" s="283"/>
      <c r="G4" s="284"/>
    </row>
    <row r="5" spans="2:8" ht="22.5" customHeight="1" x14ac:dyDescent="0.25">
      <c r="B5" s="146" t="s">
        <v>0</v>
      </c>
      <c r="C5" s="147" t="s">
        <v>1</v>
      </c>
      <c r="D5" s="147" t="s">
        <v>2</v>
      </c>
      <c r="E5" s="147" t="s">
        <v>3</v>
      </c>
      <c r="F5" s="147" t="s">
        <v>4</v>
      </c>
      <c r="G5" s="148" t="s">
        <v>5</v>
      </c>
    </row>
    <row r="6" spans="2:8" x14ac:dyDescent="0.25">
      <c r="B6" s="149"/>
      <c r="C6" s="150"/>
      <c r="D6" s="150"/>
      <c r="E6" s="151"/>
      <c r="F6" s="150"/>
      <c r="G6" s="152"/>
    </row>
    <row r="7" spans="2:8" ht="21" customHeight="1" x14ac:dyDescent="0.25">
      <c r="B7" s="146">
        <v>1</v>
      </c>
      <c r="C7" s="147" t="s">
        <v>118</v>
      </c>
      <c r="D7" s="147"/>
      <c r="E7" s="147"/>
      <c r="F7" s="147"/>
      <c r="G7" s="148">
        <f>SUM(G8:G10)</f>
        <v>648995</v>
      </c>
    </row>
    <row r="8" spans="2:8" ht="21" customHeight="1" x14ac:dyDescent="0.25">
      <c r="B8" s="145">
        <v>1.1000000000000001</v>
      </c>
      <c r="C8" s="153" t="s">
        <v>271</v>
      </c>
      <c r="D8" s="154" t="s">
        <v>126</v>
      </c>
      <c r="E8" s="154">
        <v>21</v>
      </c>
      <c r="F8" s="155">
        <f>+APUS!G174</f>
        <v>9932</v>
      </c>
      <c r="G8" s="156">
        <f t="shared" ref="G8:G10" si="0">+ROUND(E8*F8,0)</f>
        <v>208572</v>
      </c>
      <c r="H8" s="96"/>
    </row>
    <row r="9" spans="2:8" ht="21" customHeight="1" x14ac:dyDescent="0.25">
      <c r="B9" s="145">
        <v>1.2</v>
      </c>
      <c r="C9" s="153" t="s">
        <v>289</v>
      </c>
      <c r="D9" s="154" t="s">
        <v>119</v>
      </c>
      <c r="E9" s="154">
        <f>3.8*3.1</f>
        <v>11.78</v>
      </c>
      <c r="F9" s="157">
        <f>+APUS!G1055</f>
        <v>7912</v>
      </c>
      <c r="G9" s="156">
        <f t="shared" si="0"/>
        <v>93203</v>
      </c>
      <c r="H9" s="96"/>
    </row>
    <row r="10" spans="2:8" ht="21" customHeight="1" x14ac:dyDescent="0.25">
      <c r="B10" s="145">
        <v>1.3</v>
      </c>
      <c r="C10" s="153" t="s">
        <v>323</v>
      </c>
      <c r="D10" s="154" t="s">
        <v>13</v>
      </c>
      <c r="E10" s="154">
        <v>10</v>
      </c>
      <c r="F10" s="157">
        <f>+APUS!G1083</f>
        <v>34722</v>
      </c>
      <c r="G10" s="156">
        <f t="shared" si="0"/>
        <v>347220</v>
      </c>
      <c r="H10" s="96"/>
    </row>
    <row r="11" spans="2:8" ht="18.75" customHeight="1" x14ac:dyDescent="0.25">
      <c r="B11" s="146">
        <v>2</v>
      </c>
      <c r="C11" s="147" t="s">
        <v>127</v>
      </c>
      <c r="D11" s="147"/>
      <c r="E11" s="147"/>
      <c r="F11" s="147"/>
      <c r="G11" s="148">
        <f>SUM(G12:G15)</f>
        <v>4665504</v>
      </c>
      <c r="H11" s="104"/>
    </row>
    <row r="12" spans="2:8" ht="31.5" customHeight="1" x14ac:dyDescent="0.25">
      <c r="B12" s="145">
        <v>2.1</v>
      </c>
      <c r="C12" s="158" t="s">
        <v>263</v>
      </c>
      <c r="D12" s="154" t="s">
        <v>119</v>
      </c>
      <c r="E12" s="159">
        <v>45</v>
      </c>
      <c r="F12" s="155">
        <f>+APUS!G43</f>
        <v>21529</v>
      </c>
      <c r="G12" s="156">
        <f>+ROUND(E12*F12,0)</f>
        <v>968805</v>
      </c>
      <c r="H12" s="96"/>
    </row>
    <row r="13" spans="2:8" x14ac:dyDescent="0.25">
      <c r="B13" s="145">
        <f>+B12+0.1</f>
        <v>2.2000000000000002</v>
      </c>
      <c r="C13" s="158" t="s">
        <v>332</v>
      </c>
      <c r="D13" s="154" t="s">
        <v>119</v>
      </c>
      <c r="E13" s="159">
        <v>10</v>
      </c>
      <c r="F13" s="155">
        <f>+APUS!K830</f>
        <v>92326</v>
      </c>
      <c r="G13" s="156">
        <f t="shared" ref="G13:G14" si="1">+ROUND(E13*F13,0)</f>
        <v>923260</v>
      </c>
      <c r="H13" s="96"/>
    </row>
    <row r="14" spans="2:8" x14ac:dyDescent="0.25">
      <c r="B14" s="145">
        <f t="shared" ref="B14:B15" si="2">+B13+0.1</f>
        <v>2.3000000000000003</v>
      </c>
      <c r="C14" s="158" t="s">
        <v>265</v>
      </c>
      <c r="D14" s="154" t="s">
        <v>126</v>
      </c>
      <c r="E14" s="159">
        <v>21</v>
      </c>
      <c r="F14" s="160">
        <f>+APUS!G328</f>
        <v>120723</v>
      </c>
      <c r="G14" s="156">
        <f t="shared" si="1"/>
        <v>2535183</v>
      </c>
      <c r="H14" s="96"/>
    </row>
    <row r="15" spans="2:8" x14ac:dyDescent="0.25">
      <c r="B15" s="145">
        <f t="shared" si="2"/>
        <v>2.4000000000000004</v>
      </c>
      <c r="C15" s="161" t="s">
        <v>272</v>
      </c>
      <c r="D15" s="154" t="s">
        <v>126</v>
      </c>
      <c r="E15" s="154">
        <f>34+20.1</f>
        <v>54.1</v>
      </c>
      <c r="F15" s="162">
        <f>+APUS!G18</f>
        <v>4404</v>
      </c>
      <c r="G15" s="156">
        <f>+ROUND(E15*F15,0)</f>
        <v>238256</v>
      </c>
      <c r="H15" s="96"/>
    </row>
    <row r="16" spans="2:8" x14ac:dyDescent="0.25">
      <c r="B16" s="146">
        <v>3</v>
      </c>
      <c r="C16" s="147" t="s">
        <v>291</v>
      </c>
      <c r="D16" s="147"/>
      <c r="E16" s="147"/>
      <c r="F16" s="147"/>
      <c r="G16" s="148">
        <f>+G17+G18</f>
        <v>6393075</v>
      </c>
    </row>
    <row r="17" spans="2:9" x14ac:dyDescent="0.25">
      <c r="B17" s="145">
        <v>3.1</v>
      </c>
      <c r="C17" s="161" t="s">
        <v>309</v>
      </c>
      <c r="D17" s="154" t="s">
        <v>119</v>
      </c>
      <c r="E17" s="154">
        <f>20.1*1.05+3.15+4.1+6.3+17.6+1+7.4+6+3</f>
        <v>69.655000000000001</v>
      </c>
      <c r="F17" s="160">
        <f>+APUS!K790</f>
        <v>91782</v>
      </c>
      <c r="G17" s="156">
        <f>+ROUND(E17*F17,0)</f>
        <v>6393075</v>
      </c>
    </row>
    <row r="18" spans="2:9" x14ac:dyDescent="0.25">
      <c r="B18" s="145">
        <f>+B17+0.1</f>
        <v>3.2</v>
      </c>
      <c r="C18" s="161" t="s">
        <v>322</v>
      </c>
      <c r="D18" s="154" t="s">
        <v>119</v>
      </c>
      <c r="E18" s="154">
        <v>0</v>
      </c>
      <c r="F18" s="160">
        <f>+APUS!K807</f>
        <v>95923</v>
      </c>
      <c r="G18" s="156">
        <f>+ROUND(E18*F18,0)</f>
        <v>0</v>
      </c>
    </row>
    <row r="19" spans="2:9" x14ac:dyDescent="0.25">
      <c r="B19" s="146">
        <v>4</v>
      </c>
      <c r="C19" s="147" t="s">
        <v>277</v>
      </c>
      <c r="D19" s="147"/>
      <c r="E19" s="147"/>
      <c r="F19" s="147"/>
      <c r="G19" s="148">
        <f>+SUM(G20:G20)</f>
        <v>677382.98399999994</v>
      </c>
    </row>
    <row r="20" spans="2:9" x14ac:dyDescent="0.25">
      <c r="B20" s="163">
        <v>4.0999999999999996</v>
      </c>
      <c r="C20" s="164" t="s">
        <v>290</v>
      </c>
      <c r="D20" s="154" t="s">
        <v>14</v>
      </c>
      <c r="E20" s="165">
        <f>3.8*3.1*0.1</f>
        <v>1.1779999999999999</v>
      </c>
      <c r="F20" s="160">
        <f>+APUS!K816</f>
        <v>575028</v>
      </c>
      <c r="G20" s="156">
        <f t="shared" ref="G20" si="3">+F20*E20</f>
        <v>677382.98399999994</v>
      </c>
    </row>
    <row r="21" spans="2:9" x14ac:dyDescent="0.25">
      <c r="B21" s="146">
        <v>5</v>
      </c>
      <c r="C21" s="147" t="s">
        <v>328</v>
      </c>
      <c r="D21" s="147"/>
      <c r="E21" s="147"/>
      <c r="F21" s="147"/>
      <c r="G21" s="148">
        <f>+G22+G23</f>
        <v>3960187</v>
      </c>
      <c r="H21" s="96"/>
    </row>
    <row r="22" spans="2:9" x14ac:dyDescent="0.25">
      <c r="B22" s="163">
        <v>5.0999999999999996</v>
      </c>
      <c r="C22" s="161" t="s">
        <v>331</v>
      </c>
      <c r="D22" s="154" t="s">
        <v>13</v>
      </c>
      <c r="E22" s="154">
        <v>7</v>
      </c>
      <c r="F22" s="162">
        <f>+APUS!G970</f>
        <v>403735</v>
      </c>
      <c r="G22" s="156">
        <f>+F22*E22</f>
        <v>2826145</v>
      </c>
      <c r="H22" s="96"/>
    </row>
    <row r="23" spans="2:9" x14ac:dyDescent="0.25">
      <c r="B23" s="163">
        <v>5.2</v>
      </c>
      <c r="C23" s="161" t="s">
        <v>329</v>
      </c>
      <c r="D23" s="154" t="s">
        <v>13</v>
      </c>
      <c r="E23" s="154">
        <v>3</v>
      </c>
      <c r="F23" s="162">
        <f>+APUS!G999</f>
        <v>378014</v>
      </c>
      <c r="G23" s="156">
        <f>+F23*E23</f>
        <v>1134042</v>
      </c>
      <c r="H23" s="96"/>
    </row>
    <row r="24" spans="2:9" x14ac:dyDescent="0.25">
      <c r="B24" s="146">
        <v>6</v>
      </c>
      <c r="C24" s="147" t="s">
        <v>330</v>
      </c>
      <c r="D24" s="147"/>
      <c r="E24" s="147"/>
      <c r="F24" s="147"/>
      <c r="G24" s="148">
        <f>+G25</f>
        <v>5028902.0199999996</v>
      </c>
      <c r="H24" s="96"/>
      <c r="I24" s="104"/>
    </row>
    <row r="25" spans="2:9" x14ac:dyDescent="0.25">
      <c r="B25" s="163">
        <v>6.1</v>
      </c>
      <c r="C25" s="161" t="s">
        <v>349</v>
      </c>
      <c r="D25" s="154" t="s">
        <v>13</v>
      </c>
      <c r="E25" s="154">
        <v>1</v>
      </c>
      <c r="F25" s="166">
        <v>5028902.0199999996</v>
      </c>
      <c r="G25" s="156">
        <f>+F25*E25</f>
        <v>5028902.0199999996</v>
      </c>
      <c r="H25" s="96"/>
      <c r="I25" s="96"/>
    </row>
    <row r="26" spans="2:9" x14ac:dyDescent="0.25">
      <c r="B26" s="268" t="s">
        <v>6</v>
      </c>
      <c r="C26" s="269"/>
      <c r="D26" s="269"/>
      <c r="E26" s="269"/>
      <c r="F26" s="269"/>
      <c r="G26" s="167">
        <f>+G24+G21+G19+G16+G11+G7</f>
        <v>21374046.004000001</v>
      </c>
      <c r="I26" s="104"/>
    </row>
    <row r="27" spans="2:9" x14ac:dyDescent="0.25">
      <c r="B27" s="270" t="s">
        <v>7</v>
      </c>
      <c r="C27" s="271"/>
      <c r="D27" s="271"/>
      <c r="E27" s="271"/>
      <c r="F27" s="168">
        <v>0.25</v>
      </c>
      <c r="G27" s="169">
        <f>+ROUND($G$26*F27,0)</f>
        <v>5343512</v>
      </c>
    </row>
    <row r="28" spans="2:9" x14ac:dyDescent="0.25">
      <c r="B28" s="270" t="s">
        <v>8</v>
      </c>
      <c r="C28" s="271"/>
      <c r="D28" s="271"/>
      <c r="E28" s="271"/>
      <c r="F28" s="168">
        <v>0.01</v>
      </c>
      <c r="G28" s="169">
        <f>+ROUND($G$26*F28,0)</f>
        <v>213740</v>
      </c>
      <c r="H28" s="96"/>
    </row>
    <row r="29" spans="2:9" x14ac:dyDescent="0.25">
      <c r="B29" s="270" t="s">
        <v>9</v>
      </c>
      <c r="C29" s="271"/>
      <c r="D29" s="271"/>
      <c r="E29" s="271"/>
      <c r="F29" s="168">
        <v>0.05</v>
      </c>
      <c r="G29" s="169">
        <f>+ROUND($G$26*F29,0)</f>
        <v>1068702</v>
      </c>
    </row>
    <row r="30" spans="2:9" x14ac:dyDescent="0.25">
      <c r="B30" s="272" t="s">
        <v>10</v>
      </c>
      <c r="C30" s="273"/>
      <c r="D30" s="273"/>
      <c r="E30" s="273"/>
      <c r="F30" s="170">
        <f>+SUM(F27:F29)</f>
        <v>0.31</v>
      </c>
      <c r="G30" s="167">
        <f>+SUM(G27:G29)</f>
        <v>6625954</v>
      </c>
      <c r="H30" s="104"/>
      <c r="I30" s="104"/>
    </row>
    <row r="31" spans="2:9" ht="16.5" thickBot="1" x14ac:dyDescent="0.3">
      <c r="B31" s="266" t="s">
        <v>12</v>
      </c>
      <c r="C31" s="267"/>
      <c r="D31" s="267"/>
      <c r="E31" s="267"/>
      <c r="F31" s="267"/>
      <c r="G31" s="171">
        <f>+G30+G26</f>
        <v>28000000.004000001</v>
      </c>
      <c r="I31" s="65"/>
    </row>
    <row r="34" spans="2:7" x14ac:dyDescent="0.25">
      <c r="B34" s="264" t="s">
        <v>368</v>
      </c>
      <c r="C34" s="264"/>
      <c r="G34" s="96"/>
    </row>
    <row r="35" spans="2:7" x14ac:dyDescent="0.25">
      <c r="B35" s="265" t="s">
        <v>369</v>
      </c>
      <c r="C35" s="265"/>
      <c r="G35" s="96"/>
    </row>
    <row r="36" spans="2:7" x14ac:dyDescent="0.25">
      <c r="G36" s="104"/>
    </row>
  </sheetData>
  <mergeCells count="13">
    <mergeCell ref="B1:B3"/>
    <mergeCell ref="C1:G1"/>
    <mergeCell ref="C2:G2"/>
    <mergeCell ref="C3:G3"/>
    <mergeCell ref="B4:G4"/>
    <mergeCell ref="B34:C34"/>
    <mergeCell ref="B35:C35"/>
    <mergeCell ref="B31:F31"/>
    <mergeCell ref="B26:F26"/>
    <mergeCell ref="B27:E27"/>
    <mergeCell ref="B28:E28"/>
    <mergeCell ref="B29:E29"/>
    <mergeCell ref="B30:E30"/>
  </mergeCells>
  <printOptions horizontalCentered="1"/>
  <pageMargins left="0.70866141732283472" right="0.70866141732283472" top="0.56999999999999995" bottom="0.43307086614173229" header="0.31496062992125984" footer="0.31496062992125984"/>
  <pageSetup scale="65" orientation="landscape" r:id="rId1"/>
  <colBreaks count="1" manualBreakCount="1">
    <brk id="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PRESUPUESTO</vt:lpstr>
      <vt:lpstr>MANO DE OBRA</vt:lpstr>
      <vt:lpstr>APUS</vt:lpstr>
      <vt:lpstr>PRESUPUESTO (2)</vt:lpstr>
      <vt:lpstr>PRESUPUESTO!Área_de_impresión</vt:lpstr>
      <vt:lpstr>'PRESUPUESTO (2)'!Área_de_impresión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Apoyo Gestion Juridica</cp:lastModifiedBy>
  <cp:lastPrinted>2025-06-19T16:00:29Z</cp:lastPrinted>
  <dcterms:created xsi:type="dcterms:W3CDTF">2024-01-11T21:44:51Z</dcterms:created>
  <dcterms:modified xsi:type="dcterms:W3CDTF">2025-07-21T20:50:47Z</dcterms:modified>
</cp:coreProperties>
</file>