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autoCompressPictures="0" defaultThemeVersion="124226"/>
  <mc:AlternateContent xmlns:mc="http://schemas.openxmlformats.org/markup-compatibility/2006">
    <mc:Choice Requires="x15">
      <x15ac:absPath xmlns:x15ac="http://schemas.microsoft.com/office/spreadsheetml/2010/11/ac" url="https://d.docs.live.net/ca1af988fe3e2da2/Desktop/TRABAJOS/LOCALIDAD DE SUBA/2025/MENOR CUANTIA/OPERADOR LOGISTICO/PUBLICACIÓN OPERADOR LOGÍSTICO - SECOP/OFERTAS/EVALUACIÓN DEFINITIVA/"/>
    </mc:Choice>
  </mc:AlternateContent>
  <xr:revisionPtr revIDLastSave="12" documentId="13_ncr:1_{91F73333-33B4-4EC5-99FD-66B44009F3BC}" xr6:coauthVersionLast="47" xr6:coauthVersionMax="47" xr10:uidLastSave="{947E1607-FFB6-43ED-ACF5-9ACD922E2F38}"/>
  <bookViews>
    <workbookView xWindow="-108" yWindow="-108" windowWidth="23256" windowHeight="12456" tabRatio="669" activeTab="3" xr2:uid="{00000000-000D-0000-FFFF-FFFF00000000}"/>
  </bookViews>
  <sheets>
    <sheet name="FDLSUBA-SA-MC-004-2025 1 al 13" sheetId="8" r:id="rId1"/>
    <sheet name="Consolidado 1 al 13" sheetId="7" r:id="rId2"/>
    <sheet name="FDLSUBA-SA-MC-004-2025 14 al 25" sheetId="10" r:id="rId3"/>
    <sheet name="Consolidado 14 al 25" sheetId="11" r:id="rId4"/>
  </sheets>
  <definedNames>
    <definedName name="_xlnm._FilterDatabase" localSheetId="1" hidden="1">'Consolidado 1 al 13'!$A$10:$WVQ$24</definedName>
    <definedName name="_xlnm._FilterDatabase" localSheetId="3" hidden="1">'Consolidado 14 al 25'!$A$10:$WVQ$23</definedName>
    <definedName name="_xlnm.Print_Area" localSheetId="1">'Consolidado 1 al 13'!$A$1:$K$34</definedName>
    <definedName name="_xlnm.Print_Area" localSheetId="3">'Consolidado 14 al 25'!$A$1:$K$33</definedName>
    <definedName name="_xlnm.Print_Area" localSheetId="0">'FDLSUBA-SA-MC-004-2025 1 al 13'!$B$2:$U$57</definedName>
    <definedName name="_xlnm.Print_Area" localSheetId="2">'FDLSUBA-SA-MC-004-2025 14 al 25'!$B$2:$P$57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23" i="11" l="1"/>
  <c r="B21" i="11"/>
  <c r="B20" i="11"/>
  <c r="B13" i="11"/>
  <c r="P23" i="10" l="1"/>
  <c r="N72" i="10"/>
  <c r="N73" i="10" s="1"/>
  <c r="N11" i="10" s="1"/>
  <c r="N68" i="10"/>
  <c r="N66" i="10"/>
  <c r="M72" i="10"/>
  <c r="M73" i="10" s="1"/>
  <c r="M11" i="10" s="1"/>
  <c r="M68" i="10"/>
  <c r="M66" i="10"/>
  <c r="N41" i="10"/>
  <c r="N40" i="10"/>
  <c r="N39" i="10"/>
  <c r="N38" i="10"/>
  <c r="N35" i="10"/>
  <c r="N34" i="10" s="1"/>
  <c r="N33" i="10"/>
  <c r="N32" i="10"/>
  <c r="N31" i="10"/>
  <c r="N30" i="10" s="1"/>
  <c r="N29" i="10"/>
  <c r="N28" i="10" s="1"/>
  <c r="N23" i="10"/>
  <c r="N22" i="10"/>
  <c r="N21" i="10"/>
  <c r="N18" i="10"/>
  <c r="N9" i="10"/>
  <c r="M41" i="10"/>
  <c r="M40" i="10" s="1"/>
  <c r="M39" i="10"/>
  <c r="M38" i="10"/>
  <c r="M35" i="10"/>
  <c r="M34" i="10" s="1"/>
  <c r="M33" i="10"/>
  <c r="M32" i="10"/>
  <c r="M31" i="10"/>
  <c r="M30" i="10" s="1"/>
  <c r="M29" i="10"/>
  <c r="M28" i="10" s="1"/>
  <c r="M23" i="10"/>
  <c r="M22" i="10"/>
  <c r="M21" i="10"/>
  <c r="M18" i="10"/>
  <c r="M9" i="10"/>
  <c r="O9" i="10" s="1"/>
  <c r="J35" i="10"/>
  <c r="J33" i="10"/>
  <c r="J32" i="10" s="1"/>
  <c r="J31" i="10"/>
  <c r="J30" i="10" s="1"/>
  <c r="J29" i="10"/>
  <c r="J28" i="10" s="1"/>
  <c r="J41" i="10"/>
  <c r="J40" i="10" s="1"/>
  <c r="J39" i="10"/>
  <c r="J38" i="10" s="1"/>
  <c r="D9" i="10"/>
  <c r="D18" i="10"/>
  <c r="E18" i="10"/>
  <c r="F18" i="10"/>
  <c r="G18" i="10"/>
  <c r="B27" i="11"/>
  <c r="B22" i="11"/>
  <c r="B19" i="11"/>
  <c r="B18" i="11"/>
  <c r="B17" i="11"/>
  <c r="B16" i="11"/>
  <c r="B15" i="11"/>
  <c r="B14" i="11"/>
  <c r="B12" i="11"/>
  <c r="C9" i="11"/>
  <c r="C7" i="11"/>
  <c r="B6" i="11"/>
  <c r="B5" i="11"/>
  <c r="P72" i="10"/>
  <c r="O72" i="10"/>
  <c r="O73" i="10" s="1"/>
  <c r="O11" i="10" s="1"/>
  <c r="L72" i="10"/>
  <c r="L73" i="10" s="1"/>
  <c r="L11" i="10" s="1"/>
  <c r="K72" i="10"/>
  <c r="K73" i="10" s="1"/>
  <c r="K11" i="10" s="1"/>
  <c r="J72" i="10"/>
  <c r="J73" i="10" s="1"/>
  <c r="J11" i="10" s="1"/>
  <c r="I72" i="10"/>
  <c r="I73" i="10" s="1"/>
  <c r="I11" i="10" s="1"/>
  <c r="H72" i="10"/>
  <c r="G72" i="10"/>
  <c r="G73" i="10" s="1"/>
  <c r="G11" i="10" s="1"/>
  <c r="F72" i="10"/>
  <c r="F73" i="10" s="1"/>
  <c r="F11" i="10" s="1"/>
  <c r="E72" i="10"/>
  <c r="E73" i="10" s="1"/>
  <c r="E11" i="10" s="1"/>
  <c r="D72" i="10"/>
  <c r="D73" i="10" s="1"/>
  <c r="D11" i="10" s="1"/>
  <c r="C72" i="10"/>
  <c r="C73" i="10" s="1"/>
  <c r="C11" i="10" s="1"/>
  <c r="G68" i="10"/>
  <c r="F68" i="10"/>
  <c r="C68" i="10"/>
  <c r="P66" i="10"/>
  <c r="O66" i="10"/>
  <c r="L66" i="10"/>
  <c r="K66" i="10"/>
  <c r="J66" i="10"/>
  <c r="I66" i="10"/>
  <c r="H66" i="10"/>
  <c r="G66" i="10"/>
  <c r="F66" i="10"/>
  <c r="E66" i="10"/>
  <c r="D66" i="10"/>
  <c r="C66" i="10"/>
  <c r="B47" i="10"/>
  <c r="P41" i="10"/>
  <c r="P40" i="10" s="1"/>
  <c r="O41" i="10"/>
  <c r="O40" i="10" s="1"/>
  <c r="L41" i="10"/>
  <c r="L40" i="10" s="1"/>
  <c r="K41" i="10"/>
  <c r="K40" i="10" s="1"/>
  <c r="I41" i="10"/>
  <c r="I40" i="10" s="1"/>
  <c r="E41" i="10"/>
  <c r="E40" i="10" s="1"/>
  <c r="D41" i="10"/>
  <c r="D40" i="10" s="1"/>
  <c r="C41" i="10"/>
  <c r="C40" i="10" s="1"/>
  <c r="B40" i="10"/>
  <c r="P39" i="10"/>
  <c r="P38" i="10" s="1"/>
  <c r="O39" i="10"/>
  <c r="O38" i="10" s="1"/>
  <c r="L39" i="10"/>
  <c r="L38" i="10" s="1"/>
  <c r="K39" i="10"/>
  <c r="K38" i="10" s="1"/>
  <c r="I39" i="10"/>
  <c r="I38" i="10" s="1"/>
  <c r="E39" i="10"/>
  <c r="E38" i="10" s="1"/>
  <c r="D39" i="10"/>
  <c r="D38" i="10" s="1"/>
  <c r="C39" i="10"/>
  <c r="C38" i="10" s="1"/>
  <c r="B38" i="10"/>
  <c r="P35" i="10"/>
  <c r="O35" i="10"/>
  <c r="L35" i="10"/>
  <c r="K35" i="10"/>
  <c r="I35" i="10"/>
  <c r="H35" i="10"/>
  <c r="E35" i="10"/>
  <c r="D35" i="10"/>
  <c r="C35" i="10"/>
  <c r="B35" i="10"/>
  <c r="B34" i="10"/>
  <c r="P33" i="10"/>
  <c r="P32" i="10" s="1"/>
  <c r="O33" i="10"/>
  <c r="O32" i="10" s="1"/>
  <c r="L33" i="10"/>
  <c r="L32" i="10" s="1"/>
  <c r="K33" i="10"/>
  <c r="K32" i="10" s="1"/>
  <c r="I33" i="10"/>
  <c r="I32" i="10" s="1"/>
  <c r="E33" i="10"/>
  <c r="E32" i="10" s="1"/>
  <c r="D33" i="10"/>
  <c r="D32" i="10" s="1"/>
  <c r="C33" i="10"/>
  <c r="C32" i="10" s="1"/>
  <c r="B32" i="10"/>
  <c r="P31" i="10"/>
  <c r="P30" i="10" s="1"/>
  <c r="O31" i="10"/>
  <c r="O30" i="10" s="1"/>
  <c r="L31" i="10"/>
  <c r="L30" i="10" s="1"/>
  <c r="K31" i="10"/>
  <c r="K30" i="10" s="1"/>
  <c r="I31" i="10"/>
  <c r="I30" i="10" s="1"/>
  <c r="E31" i="10"/>
  <c r="E30" i="10" s="1"/>
  <c r="D31" i="10"/>
  <c r="D30" i="10" s="1"/>
  <c r="C31" i="10"/>
  <c r="C30" i="10" s="1"/>
  <c r="B30" i="10"/>
  <c r="P29" i="10"/>
  <c r="P28" i="10" s="1"/>
  <c r="O29" i="10"/>
  <c r="L29" i="10"/>
  <c r="L28" i="10" s="1"/>
  <c r="K29" i="10"/>
  <c r="K28" i="10" s="1"/>
  <c r="I29" i="10"/>
  <c r="I28" i="10" s="1"/>
  <c r="E29" i="10"/>
  <c r="E28" i="10" s="1"/>
  <c r="D29" i="10"/>
  <c r="D28" i="10" s="1"/>
  <c r="C29" i="10"/>
  <c r="C28" i="10" s="1"/>
  <c r="O28" i="10"/>
  <c r="B28" i="10"/>
  <c r="O23" i="10"/>
  <c r="L23" i="10"/>
  <c r="L34" i="10" s="1"/>
  <c r="K23" i="10"/>
  <c r="J23" i="10"/>
  <c r="I23" i="10"/>
  <c r="G23" i="10"/>
  <c r="F23" i="10"/>
  <c r="E23" i="10"/>
  <c r="D23" i="10"/>
  <c r="C23" i="10"/>
  <c r="P22" i="10"/>
  <c r="O22" i="10"/>
  <c r="L22" i="10"/>
  <c r="K22" i="10"/>
  <c r="J22" i="10"/>
  <c r="I22" i="10"/>
  <c r="G22" i="10"/>
  <c r="F22" i="10"/>
  <c r="E22" i="10"/>
  <c r="D22" i="10"/>
  <c r="C22" i="10"/>
  <c r="P21" i="10"/>
  <c r="O21" i="10"/>
  <c r="L21" i="10"/>
  <c r="K21" i="10"/>
  <c r="J21" i="10"/>
  <c r="I21" i="10"/>
  <c r="G21" i="10"/>
  <c r="F21" i="10"/>
  <c r="E21" i="10"/>
  <c r="D21" i="10"/>
  <c r="C21" i="10"/>
  <c r="H20" i="10"/>
  <c r="H19" i="10"/>
  <c r="P18" i="10"/>
  <c r="O18" i="10"/>
  <c r="L18" i="10"/>
  <c r="K18" i="10"/>
  <c r="J18" i="10"/>
  <c r="I18" i="10"/>
  <c r="C18" i="10"/>
  <c r="H17" i="10"/>
  <c r="H16" i="10"/>
  <c r="H15" i="10"/>
  <c r="H14" i="10"/>
  <c r="H13" i="10"/>
  <c r="H12" i="10"/>
  <c r="P11" i="10"/>
  <c r="B24" i="7"/>
  <c r="B23" i="7"/>
  <c r="B22" i="7"/>
  <c r="B21" i="7"/>
  <c r="B20" i="7"/>
  <c r="B19" i="7"/>
  <c r="B18" i="7"/>
  <c r="B17" i="7"/>
  <c r="B16" i="7"/>
  <c r="B15" i="7"/>
  <c r="B14" i="7"/>
  <c r="B13" i="7"/>
  <c r="B12" i="7"/>
  <c r="C9" i="7"/>
  <c r="C7" i="7"/>
  <c r="B6" i="7"/>
  <c r="B5" i="7"/>
  <c r="R28" i="8"/>
  <c r="N72" i="8"/>
  <c r="N68" i="8"/>
  <c r="N66" i="8"/>
  <c r="K72" i="8"/>
  <c r="K68" i="8"/>
  <c r="K66" i="8"/>
  <c r="M72" i="8"/>
  <c r="M73" i="8" s="1"/>
  <c r="M11" i="8" s="1"/>
  <c r="M68" i="8"/>
  <c r="M66" i="8"/>
  <c r="L73" i="8"/>
  <c r="L11" i="8" s="1"/>
  <c r="L72" i="8"/>
  <c r="L68" i="8"/>
  <c r="L66" i="8"/>
  <c r="N35" i="8"/>
  <c r="M23" i="8"/>
  <c r="L23" i="8"/>
  <c r="M22" i="8"/>
  <c r="L22" i="8"/>
  <c r="M21" i="8"/>
  <c r="L21" i="8"/>
  <c r="N20" i="8"/>
  <c r="N19" i="8"/>
  <c r="M18" i="8"/>
  <c r="L18" i="8"/>
  <c r="N17" i="8"/>
  <c r="N16" i="8"/>
  <c r="N15" i="8"/>
  <c r="N14" i="8"/>
  <c r="N13" i="8"/>
  <c r="N12" i="8"/>
  <c r="N23" i="8" s="1"/>
  <c r="N9" i="8"/>
  <c r="J73" i="8"/>
  <c r="J11" i="8" s="1"/>
  <c r="J72" i="8"/>
  <c r="I72" i="8"/>
  <c r="I73" i="8" s="1"/>
  <c r="I11" i="8" s="1"/>
  <c r="J68" i="8"/>
  <c r="I68" i="8"/>
  <c r="J66" i="8"/>
  <c r="I66" i="8"/>
  <c r="K35" i="8"/>
  <c r="J23" i="8"/>
  <c r="I23" i="8"/>
  <c r="J22" i="8"/>
  <c r="I22" i="8"/>
  <c r="J21" i="8"/>
  <c r="I21" i="8"/>
  <c r="K20" i="8"/>
  <c r="K19" i="8"/>
  <c r="J18" i="8"/>
  <c r="I18" i="8"/>
  <c r="K17" i="8"/>
  <c r="K16" i="8"/>
  <c r="K15" i="8"/>
  <c r="K14" i="8"/>
  <c r="K13" i="8"/>
  <c r="K12" i="8"/>
  <c r="U35" i="8"/>
  <c r="T35" i="8"/>
  <c r="S35" i="8"/>
  <c r="R35" i="8"/>
  <c r="Q35" i="8"/>
  <c r="P35" i="8"/>
  <c r="O35" i="8"/>
  <c r="U33" i="8"/>
  <c r="U32" i="8" s="1"/>
  <c r="T33" i="8"/>
  <c r="T32" i="8" s="1"/>
  <c r="S33" i="8"/>
  <c r="R33" i="8"/>
  <c r="R32" i="8" s="1"/>
  <c r="Q33" i="8"/>
  <c r="Q32" i="8" s="1"/>
  <c r="P33" i="8"/>
  <c r="P32" i="8" s="1"/>
  <c r="O33" i="8"/>
  <c r="O32" i="8" s="1"/>
  <c r="S32" i="8"/>
  <c r="U31" i="8"/>
  <c r="T31" i="8"/>
  <c r="T30" i="8" s="1"/>
  <c r="S31" i="8"/>
  <c r="S30" i="8" s="1"/>
  <c r="R31" i="8"/>
  <c r="R30" i="8" s="1"/>
  <c r="Q31" i="8"/>
  <c r="Q30" i="8" s="1"/>
  <c r="P31" i="8"/>
  <c r="P30" i="8" s="1"/>
  <c r="O31" i="8"/>
  <c r="U30" i="8"/>
  <c r="O30" i="8"/>
  <c r="U29" i="8"/>
  <c r="U28" i="8" s="1"/>
  <c r="T29" i="8"/>
  <c r="T28" i="8" s="1"/>
  <c r="S29" i="8"/>
  <c r="S28" i="8" s="1"/>
  <c r="R29" i="8"/>
  <c r="Q29" i="8"/>
  <c r="P29" i="8"/>
  <c r="P28" i="8" s="1"/>
  <c r="O29" i="8"/>
  <c r="O28" i="8" s="1"/>
  <c r="Q28" i="8"/>
  <c r="H35" i="8"/>
  <c r="H33" i="8"/>
  <c r="H32" i="8" s="1"/>
  <c r="H31" i="8"/>
  <c r="H30" i="8" s="1"/>
  <c r="H29" i="8"/>
  <c r="H28" i="8"/>
  <c r="G35" i="8"/>
  <c r="G33" i="8"/>
  <c r="G32" i="8" s="1"/>
  <c r="G31" i="8"/>
  <c r="G30" i="8"/>
  <c r="G29" i="8"/>
  <c r="G28" i="8"/>
  <c r="U41" i="8"/>
  <c r="U40" i="8" s="1"/>
  <c r="U39" i="8"/>
  <c r="U38" i="8" s="1"/>
  <c r="T41" i="8"/>
  <c r="T40" i="8" s="1"/>
  <c r="T39" i="8"/>
  <c r="T38" i="8" s="1"/>
  <c r="S41" i="8"/>
  <c r="S40" i="8" s="1"/>
  <c r="S39" i="8"/>
  <c r="S38" i="8"/>
  <c r="R41" i="8"/>
  <c r="R40" i="8" s="1"/>
  <c r="R39" i="8"/>
  <c r="R38" i="8" s="1"/>
  <c r="Q41" i="8"/>
  <c r="Q40" i="8"/>
  <c r="Q39" i="8"/>
  <c r="Q38" i="8" s="1"/>
  <c r="P41" i="8"/>
  <c r="P40" i="8" s="1"/>
  <c r="P39" i="8"/>
  <c r="P38" i="8"/>
  <c r="O41" i="8"/>
  <c r="O40" i="8" s="1"/>
  <c r="O39" i="8"/>
  <c r="O38" i="8"/>
  <c r="H41" i="8"/>
  <c r="H40" i="8" s="1"/>
  <c r="H39" i="8"/>
  <c r="H38" i="8"/>
  <c r="G41" i="8"/>
  <c r="G40" i="8" s="1"/>
  <c r="G39" i="8"/>
  <c r="G38" i="8"/>
  <c r="F35" i="8"/>
  <c r="E72" i="8"/>
  <c r="E73" i="8" s="1"/>
  <c r="E11" i="8" s="1"/>
  <c r="E68" i="8"/>
  <c r="E66" i="8"/>
  <c r="D72" i="8"/>
  <c r="D73" i="8" s="1"/>
  <c r="D11" i="8" s="1"/>
  <c r="D68" i="8"/>
  <c r="D66" i="8"/>
  <c r="E23" i="8"/>
  <c r="D23" i="8"/>
  <c r="E22" i="8"/>
  <c r="D22" i="8"/>
  <c r="E21" i="8"/>
  <c r="D21" i="8"/>
  <c r="F20" i="8"/>
  <c r="F19" i="8"/>
  <c r="E18" i="8"/>
  <c r="D18" i="8"/>
  <c r="F17" i="8"/>
  <c r="F16" i="8"/>
  <c r="F15" i="8"/>
  <c r="F14" i="8"/>
  <c r="F13" i="8"/>
  <c r="F12" i="8"/>
  <c r="F9" i="8"/>
  <c r="O34" i="10" l="1"/>
  <c r="M42" i="10"/>
  <c r="N42" i="10"/>
  <c r="J34" i="10"/>
  <c r="J42" i="10"/>
  <c r="H23" i="10"/>
  <c r="C34" i="10"/>
  <c r="C42" i="10" s="1"/>
  <c r="K34" i="10"/>
  <c r="E34" i="10"/>
  <c r="P34" i="10"/>
  <c r="P42" i="10" s="1"/>
  <c r="D34" i="10"/>
  <c r="D42" i="10" s="1"/>
  <c r="H29" i="10"/>
  <c r="H28" i="10" s="1"/>
  <c r="K42" i="10"/>
  <c r="O42" i="10"/>
  <c r="L42" i="10"/>
  <c r="I34" i="10"/>
  <c r="I42" i="10" s="1"/>
  <c r="H18" i="10"/>
  <c r="H31" i="10"/>
  <c r="H30" i="10" s="1"/>
  <c r="H41" i="10"/>
  <c r="H40" i="10" s="1"/>
  <c r="H21" i="10"/>
  <c r="E9" i="10"/>
  <c r="E68" i="10" s="1"/>
  <c r="E42" i="10"/>
  <c r="H34" i="10"/>
  <c r="H39" i="10"/>
  <c r="H38" i="10" s="1"/>
  <c r="H33" i="10"/>
  <c r="H32" i="10" s="1"/>
  <c r="H22" i="10"/>
  <c r="N31" i="8"/>
  <c r="N30" i="8" s="1"/>
  <c r="N41" i="8"/>
  <c r="N40" i="8" s="1"/>
  <c r="N22" i="8"/>
  <c r="N18" i="8"/>
  <c r="N29" i="8"/>
  <c r="N28" i="8" s="1"/>
  <c r="N39" i="8"/>
  <c r="N38" i="8" s="1"/>
  <c r="N34" i="8"/>
  <c r="N33" i="8"/>
  <c r="N32" i="8" s="1"/>
  <c r="N21" i="8"/>
  <c r="K33" i="8"/>
  <c r="K32" i="8" s="1"/>
  <c r="K29" i="8"/>
  <c r="K28" i="8" s="1"/>
  <c r="K31" i="8"/>
  <c r="K30" i="8" s="1"/>
  <c r="K39" i="8"/>
  <c r="K38" i="8" s="1"/>
  <c r="K18" i="8"/>
  <c r="K41" i="8"/>
  <c r="K40" i="8" s="1"/>
  <c r="K21" i="8"/>
  <c r="K22" i="8"/>
  <c r="F29" i="8"/>
  <c r="F28" i="8" s="1"/>
  <c r="F33" i="8"/>
  <c r="F32" i="8" s="1"/>
  <c r="F41" i="8"/>
  <c r="F40" i="8" s="1"/>
  <c r="F18" i="8"/>
  <c r="F22" i="8"/>
  <c r="F21" i="8"/>
  <c r="F39" i="8"/>
  <c r="F38" i="8" s="1"/>
  <c r="F31" i="8"/>
  <c r="F30" i="8" s="1"/>
  <c r="C39" i="8"/>
  <c r="C38" i="8" s="1"/>
  <c r="C35" i="8"/>
  <c r="C33" i="8"/>
  <c r="C32" i="8" s="1"/>
  <c r="C31" i="8"/>
  <c r="C30" i="8" s="1"/>
  <c r="C29" i="8"/>
  <c r="C28" i="8" s="1"/>
  <c r="U72" i="8"/>
  <c r="T72" i="8"/>
  <c r="T73" i="8" s="1"/>
  <c r="T11" i="8" s="1"/>
  <c r="S72" i="8"/>
  <c r="S73" i="8" s="1"/>
  <c r="S11" i="8" s="1"/>
  <c r="R72" i="8"/>
  <c r="R73" i="8" s="1"/>
  <c r="R11" i="8" s="1"/>
  <c r="Q72" i="8"/>
  <c r="Q73" i="8" s="1"/>
  <c r="Q11" i="8" s="1"/>
  <c r="P72" i="8"/>
  <c r="P73" i="8" s="1"/>
  <c r="P11" i="8" s="1"/>
  <c r="O72" i="8"/>
  <c r="O73" i="8" s="1"/>
  <c r="O11" i="8" s="1"/>
  <c r="H72" i="8"/>
  <c r="H73" i="8" s="1"/>
  <c r="H11" i="8" s="1"/>
  <c r="G72" i="8"/>
  <c r="G73" i="8" s="1"/>
  <c r="G11" i="8" s="1"/>
  <c r="F72" i="8"/>
  <c r="C72" i="8"/>
  <c r="C73" i="8" s="1"/>
  <c r="C11" i="8" s="1"/>
  <c r="C68" i="8"/>
  <c r="U66" i="8"/>
  <c r="T66" i="8"/>
  <c r="S66" i="8"/>
  <c r="R66" i="8"/>
  <c r="Q66" i="8"/>
  <c r="P66" i="8"/>
  <c r="O66" i="8"/>
  <c r="H66" i="8"/>
  <c r="G66" i="8"/>
  <c r="F66" i="8"/>
  <c r="C66" i="8"/>
  <c r="B47" i="8"/>
  <c r="C41" i="8"/>
  <c r="C40" i="8" s="1"/>
  <c r="B40" i="8"/>
  <c r="B38" i="8"/>
  <c r="B35" i="8"/>
  <c r="B34" i="8"/>
  <c r="B32" i="8"/>
  <c r="B30" i="8"/>
  <c r="B28" i="8"/>
  <c r="U23" i="8"/>
  <c r="U34" i="8" s="1"/>
  <c r="U42" i="8" s="1"/>
  <c r="T23" i="8"/>
  <c r="T34" i="8" s="1"/>
  <c r="T42" i="8" s="1"/>
  <c r="S23" i="8"/>
  <c r="S34" i="8" s="1"/>
  <c r="S42" i="8" s="1"/>
  <c r="R23" i="8"/>
  <c r="R34" i="8" s="1"/>
  <c r="R42" i="8" s="1"/>
  <c r="Q23" i="8"/>
  <c r="Q34" i="8" s="1"/>
  <c r="Q42" i="8" s="1"/>
  <c r="P23" i="8"/>
  <c r="P34" i="8" s="1"/>
  <c r="P42" i="8" s="1"/>
  <c r="O23" i="8"/>
  <c r="O34" i="8" s="1"/>
  <c r="O42" i="8" s="1"/>
  <c r="H23" i="8"/>
  <c r="H34" i="8" s="1"/>
  <c r="H42" i="8" s="1"/>
  <c r="G23" i="8"/>
  <c r="G34" i="8" s="1"/>
  <c r="G42" i="8" s="1"/>
  <c r="C23" i="8"/>
  <c r="C34" i="8" s="1"/>
  <c r="U22" i="8"/>
  <c r="T22" i="8"/>
  <c r="S22" i="8"/>
  <c r="R22" i="8"/>
  <c r="Q22" i="8"/>
  <c r="P22" i="8"/>
  <c r="O22" i="8"/>
  <c r="H22" i="8"/>
  <c r="G22" i="8"/>
  <c r="C22" i="8"/>
  <c r="U21" i="8"/>
  <c r="T21" i="8"/>
  <c r="S21" i="8"/>
  <c r="R21" i="8"/>
  <c r="Q21" i="8"/>
  <c r="P21" i="8"/>
  <c r="O21" i="8"/>
  <c r="H21" i="8"/>
  <c r="G21" i="8"/>
  <c r="C21" i="8"/>
  <c r="U18" i="8"/>
  <c r="T18" i="8"/>
  <c r="S18" i="8"/>
  <c r="R18" i="8"/>
  <c r="Q18" i="8"/>
  <c r="P18" i="8"/>
  <c r="O18" i="8"/>
  <c r="H18" i="8"/>
  <c r="G18" i="8"/>
  <c r="C18" i="8"/>
  <c r="U11" i="8"/>
  <c r="F68" i="8"/>
  <c r="B28" i="7"/>
  <c r="H42" i="10" l="1"/>
  <c r="D68" i="10"/>
  <c r="H9" i="10"/>
  <c r="I9" i="10" s="1"/>
  <c r="N42" i="8"/>
  <c r="K23" i="8"/>
  <c r="K34" i="8" s="1"/>
  <c r="K42" i="8" s="1"/>
  <c r="F23" i="8"/>
  <c r="F34" i="8" s="1"/>
  <c r="F42" i="8" s="1"/>
  <c r="G9" i="8"/>
  <c r="H9" i="8" s="1"/>
  <c r="C42" i="8"/>
  <c r="H68" i="10" l="1"/>
  <c r="H68" i="8"/>
  <c r="K9" i="8"/>
  <c r="G68" i="8"/>
  <c r="I68" i="10" l="1"/>
  <c r="J9" i="10"/>
  <c r="O9" i="8"/>
  <c r="P9" i="8" s="1"/>
  <c r="J68" i="10" l="1"/>
  <c r="K9" i="10"/>
  <c r="O68" i="8"/>
  <c r="Q9" i="8"/>
  <c r="P68" i="8"/>
  <c r="K68" i="10" l="1"/>
  <c r="L9" i="10"/>
  <c r="R9" i="8"/>
  <c r="Q68" i="8"/>
  <c r="P9" i="10" l="1"/>
  <c r="L68" i="10"/>
  <c r="S9" i="8"/>
  <c r="R68" i="8"/>
  <c r="O68" i="10" l="1"/>
  <c r="S68" i="8"/>
  <c r="T9" i="8"/>
  <c r="P68" i="10" l="1"/>
  <c r="T68" i="8"/>
  <c r="U9" i="8"/>
  <c r="U68" i="8" s="1"/>
</calcChain>
</file>

<file path=xl/sharedStrings.xml><?xml version="1.0" encoding="utf-8"?>
<sst xmlns="http://schemas.openxmlformats.org/spreadsheetml/2006/main" count="488" uniqueCount="111">
  <si>
    <t>VERIFICACIÓN FINANCIERA  Y CAPACIDAD ORGANIZACIONAL</t>
  </si>
  <si>
    <t>Código: GCO-GCI-F107
Versión: 03
Vigencia: 21 de diciembre de 2022
Caso HOLA: 282943</t>
  </si>
  <si>
    <t>SELECCIÓN ABREVIADA DE MENOR CUANTÍA 
FDLSUBA-SA-MC-004-2025 (133182)</t>
  </si>
  <si>
    <t>OBJETO: "PRESTAR SERVICIOS DE APOYO LOGÍSTICOS PARA LA REALIZACIÓN DE EVENTOS Y ACTIVIDADES QUE PROMUEVAN EL DESARROLLO ECONÓMICO QUE REQUIERA LA ALCALDÍA LOCAL DE SUBA EN EL MARCO DEL  CUMPLIMIENTO DEL PLAN DE DESARROLLO LOCAL"</t>
  </si>
  <si>
    <t>CONCEPTO</t>
  </si>
  <si>
    <t xml:space="preserve"> 4 CUARTOS SAS
 NIT: 830105695 1</t>
  </si>
  <si>
    <t>CESAR AUGUSTO CALDERON RODRIGUEZ
 NIT: 1022323197 1</t>
  </si>
  <si>
    <t>INNOVATIVE PROJECTS 
S A S
 NIT: 900803347 1</t>
  </si>
  <si>
    <t>UT IPRO SWAT EVENTS</t>
  </si>
  <si>
    <t>INVERSIONES C F S S A S
 NIT: 900508201 0</t>
  </si>
  <si>
    <t>CONSULTORES Y ASESORES TIC SAS
 NIT: 901360556 5</t>
  </si>
  <si>
    <t xml:space="preserve"> ORGANIZACIÓN SANANDANTE S.A.S
 NIT: 900209160 4</t>
  </si>
  <si>
    <t>ORGANIZACION IGP SAS
 NIT: 900777884 3</t>
  </si>
  <si>
    <t>UT SANIG SUBA 2025</t>
  </si>
  <si>
    <t xml:space="preserve">FUNDACIÓN G3
NIT 900.843.188-8 </t>
  </si>
  <si>
    <t>SINERGY ON SAS
NIT 900.890.436-1</t>
  </si>
  <si>
    <t xml:space="preserve"> CONSORCIO INTEGRAL G3 SINERGY</t>
  </si>
  <si>
    <t>SOA PROJECTS AND EVENTS SAS
 NIT: 901827332 9</t>
  </si>
  <si>
    <t>DSV COMPANY SAS
 NIT: 900456900 6</t>
  </si>
  <si>
    <t xml:space="preserve"> FUNXI
 NIT: 830123782 0</t>
  </si>
  <si>
    <t>FUNDESCO
 NIT: 830133329 1</t>
  </si>
  <si>
    <t>PEOPLE SECURITY SAS
 NIT: 900810120 6</t>
  </si>
  <si>
    <t>MERCADEO EFECTIVO
S A S
 NIT: 830135377 2</t>
  </si>
  <si>
    <t>ALVAREZ FUENTES ANA LUCIA
 NIT:50891527-3</t>
  </si>
  <si>
    <t>Datos para validación financiera</t>
  </si>
  <si>
    <t>A</t>
  </si>
  <si>
    <t>B</t>
  </si>
  <si>
    <t>BALANCE GENERAL CON CORTE A 31 DE DICIEMBRE DEL AÑO: 2024</t>
  </si>
  <si>
    <t>31-DIC.-2024 RUP</t>
  </si>
  <si>
    <t xml:space="preserve">PRESENTACIÓN DE RUP VIGENTE </t>
  </si>
  <si>
    <t>INFORMACION TOMADA DEL RUP VIGENTE</t>
  </si>
  <si>
    <t>ACTIVO CORRIENTE</t>
  </si>
  <si>
    <t>PASIVO CORRIENTE</t>
  </si>
  <si>
    <t>ACTIVO TOTAL</t>
  </si>
  <si>
    <t>PASIVO TOTAL</t>
  </si>
  <si>
    <t xml:space="preserve">PATRIMONIO </t>
  </si>
  <si>
    <t>Activo total-Pasivo total-Patrimonio</t>
  </si>
  <si>
    <t>UTILIDAD OPERACIONAL</t>
  </si>
  <si>
    <t>GASTOS DE INTERESES</t>
  </si>
  <si>
    <r>
      <t xml:space="preserve">Rentabilidad del Patrimonio = </t>
    </r>
    <r>
      <rPr>
        <sz val="12"/>
        <rFont val="Garamond"/>
        <family val="1"/>
      </rPr>
      <t>Utilidad Operacional / Patrimonio</t>
    </r>
  </si>
  <si>
    <r>
      <t xml:space="preserve">Rentabilidad del Activo = </t>
    </r>
    <r>
      <rPr>
        <sz val="12"/>
        <rFont val="Garamond"/>
        <family val="1"/>
      </rPr>
      <t xml:space="preserve">Utilidad Operacional / Activo Total </t>
    </r>
  </si>
  <si>
    <t>MiPyME</t>
  </si>
  <si>
    <t>VALOR DEL PRESUPUESTO OFICIAL</t>
  </si>
  <si>
    <t>CRITERIO DE VERIFICACIÓN FINANCIERA</t>
  </si>
  <si>
    <t>HÁBIL</t>
  </si>
  <si>
    <t>NO HÁBIL</t>
  </si>
  <si>
    <t>Activo corriente / Pasivo corriente</t>
  </si>
  <si>
    <t>(Pasivo total / Activo total)*100</t>
  </si>
  <si>
    <t>RC= (Utilidad Operacional) / (Gastos de Intereses)</t>
  </si>
  <si>
    <t>Plazo requerido</t>
  </si>
  <si>
    <t>Cap. Trab. Requerido</t>
  </si>
  <si>
    <t>CRITERIO DE VERIFICACIÓN CAPACIDAD ORGANIZACIONAL</t>
  </si>
  <si>
    <r>
      <t>RP</t>
    </r>
    <r>
      <rPr>
        <b/>
        <sz val="12"/>
        <rFont val="Garamond"/>
        <family val="1"/>
      </rPr>
      <t xml:space="preserve">  </t>
    </r>
    <r>
      <rPr>
        <sz val="12"/>
        <rFont val="Garamond"/>
        <family val="1"/>
      </rPr>
      <t xml:space="preserve">= (Utilidad Operacional / Patrimonio)    </t>
    </r>
  </si>
  <si>
    <t xml:space="preserve">RA   = (Utilidad Operacional / Activo Total) </t>
  </si>
  <si>
    <t>CUMPLIMIENTO REQUISITOS HABLITANTES</t>
  </si>
  <si>
    <r>
      <t xml:space="preserve">NOTA: </t>
    </r>
    <r>
      <rPr>
        <sz val="12"/>
        <rFont val="Garamond"/>
        <family val="1"/>
      </rPr>
      <t>Una vez verificada la Información Financiera presentada por cada uno de los proponentes, se informa que las sociedades arriba descritas, que cumplen con lo solicitado en los pliegos de condiciones definitivos en cuanto a los Indicadores Financieros requeridos, se encuentran HABILITADAS.</t>
    </r>
  </si>
  <si>
    <t>Fecha de elaboración (preliminar):</t>
  </si>
  <si>
    <t>Magda C. Vargas Del Valle</t>
  </si>
  <si>
    <t>Profesional Área de Contratación - FDL Suba</t>
  </si>
  <si>
    <t>Comité Evaluador Financiero</t>
  </si>
  <si>
    <t>Fecha de verificación defiitiva:</t>
  </si>
  <si>
    <t xml:space="preserve">NOTA: La fecha de corte de la información financiera registrada en el RUP debe ser 31/12/2024, de acuerdo a lo establecido en el pliego definitivo de condiciones del proceso FDLSUBA-SA-MC-004-2025 (133182), las veinticinco (25) empresas que se presentaron están habilitadas. </t>
  </si>
  <si>
    <t>Verificaciones efectuadas por el(los) miembro(s) del Comité Evaluador:</t>
  </si>
  <si>
    <t>Fecha de elaboración:</t>
  </si>
  <si>
    <t>Fecha de expedición RUP:</t>
  </si>
  <si>
    <t>Fecha de última renovación en el registro de los proponentes y se encuentra en firme:</t>
  </si>
  <si>
    <t>Fecha de cierre del proceso:</t>
  </si>
  <si>
    <t>Días (calend.) transcurridos entre exped. RUP y cierre del proceso:</t>
  </si>
  <si>
    <t>CERTIFICA:
CLASIFICACION POR TAMAÑO DE LA EMPRESA
QUE EL INSCRITO SE CLASIFICO COMO:
MICROEMPRESA</t>
  </si>
  <si>
    <t>CERTIFICA:
CLASIFICACION POR TAMAÑO DE LA EMPRESA
QUE EL INSCRITO SE CLASIFICO COMO:
PEQUEÑA EMPRESA</t>
  </si>
  <si>
    <t>CERTIFICA:
CLASIFICACION POR TAMAÑO DE LA EMPRESA
QUE EL INSCRITO SE CLASIFICO COMO:
MEDIANA EMPRESA</t>
  </si>
  <si>
    <t>CERTIFICA:
CLASIFICACION POR TAMAÑO DE LA EMPRESA
QUE EL INSCRITO SE CLASIFICO COMO:
GRANEMPRESA</t>
  </si>
  <si>
    <t>CLASIFICACIÓN POR TAMAÑO DE LA EMPRESA:</t>
  </si>
  <si>
    <t>CERTIFICA:
CLASIFICACION POR TAMAÑO DE LA EMPRESA
QUE EL INSCRITO SE CLASIFICO COMO:
 PEQUEÑA EMPRESA</t>
  </si>
  <si>
    <t>Alcaldía de Bogotá D.C.</t>
  </si>
  <si>
    <t>Secretaría Distrital de Gobierno</t>
  </si>
  <si>
    <t>Alcaldía Local de Suba</t>
  </si>
  <si>
    <t>Presupuesto Oficial del Proceso</t>
  </si>
  <si>
    <t>Fecha corte Información Financiera</t>
  </si>
  <si>
    <t>Fecha cierre del proceso de selección</t>
  </si>
  <si>
    <t>VERIFICACIóN DE LOS INDICADORES</t>
  </si>
  <si>
    <t>RUP</t>
  </si>
  <si>
    <t>RESULTADO FINANCIERO</t>
  </si>
  <si>
    <t>OBERVACIONES</t>
  </si>
  <si>
    <t>NOMBRE DEL PROPONENTE</t>
  </si>
  <si>
    <t xml:space="preserve">Índice de liquidez </t>
  </si>
  <si>
    <t xml:space="preserve">Índice de endeudamiento </t>
  </si>
  <si>
    <t>Razón de Cobertura de intereses</t>
  </si>
  <si>
    <t>Capital de trabajo</t>
  </si>
  <si>
    <t xml:space="preserve">Rentabilidad del patrimonio </t>
  </si>
  <si>
    <t>Rentabilidad del activo</t>
  </si>
  <si>
    <t>VIGENTE; EN FIRME Y 30 DÍAS ANTERIORES</t>
  </si>
  <si>
    <t>CUMPLE</t>
  </si>
  <si>
    <t>HABILITADO</t>
  </si>
  <si>
    <t xml:space="preserve">* Se realiza la Evaluación Financiera y Organizacional de acuerdo a lo establecido con el pliego de condiciones definitivo del proceso; la evaluación es puesta a disposición de la Oficina de Contratación y Despacho para que se continúe con el proceso de evaluación. </t>
  </si>
  <si>
    <t>GEMGAL S.A.S
 NIT: 901517484-1</t>
  </si>
  <si>
    <t>COLOMBIANA DE SERVICIOS COMEDORES &amp; SUMINISTROS S.A.S
 NIT: 900782536-5</t>
  </si>
  <si>
    <t>CREIGHTIVE S.A.S.
  NIT:900894796-4</t>
  </si>
  <si>
    <t>INDUHOTEL SAS
 NIT: 900300970 1</t>
  </si>
  <si>
    <t>INVERSIONES PUIN S.A.S NIT: 900273896 8</t>
  </si>
  <si>
    <t>UNIÓN TEMPORAL UT LOGÍSTICA IP</t>
  </si>
  <si>
    <t>GRUPO SOCIEDAD CAPITAL SAS
 NIT: 900565133 0</t>
  </si>
  <si>
    <t>LOGISTICA Y GESTION DE NEGOCIOS SAS 
NIT: 900582854 4</t>
  </si>
  <si>
    <t>LILLY HAIDY BALAGUERA RODRIGUEZ
 NIT: 52822142 4</t>
  </si>
  <si>
    <t>ORGANIZACION TOTALL PRO S.A.S
 NIT: 900305935 6</t>
  </si>
  <si>
    <t>INNOVA NOUS SAS
 NIT: 900864269 6</t>
  </si>
  <si>
    <t xml:space="preserve"> CARLOS ALBERTO PINZON MOLINA
 NIT: 79867234 5</t>
  </si>
  <si>
    <t>FUNDACION NINOS ACORDEONEROS Y CANTORES DEL VALLENATO ANDRES TURCO GIL
 NIT:824003749-0</t>
  </si>
  <si>
    <t>URBANO EXPRESS LOGISTICA Y MERCADEO S.A.S
 NIT: 900046728 6</t>
  </si>
  <si>
    <t>CERTIFICA:
CLASIFICACION POR TAMAÑO DE LA EMPRESA
QUE EL INSCRITO SE CLASIFICO COMO:
GRAN EMPRESA</t>
  </si>
  <si>
    <t>ORIGINAL FIRMADO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</si>
</sst>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1" formatCode="_-* #,##0_-;\-* #,##0_-;_-* &quot;-&quot;_-;_-@_-"/>
    <numFmt numFmtId="43" formatCode="_-* #,##0.00_-;\-* #,##0.00_-;_-* &quot;-&quot;??_-;_-@_-"/>
    <numFmt numFmtId="164" formatCode="[$-C0A]dd\-mmm\-yy;@"/>
    <numFmt numFmtId="165" formatCode="[$-F800]dddd\,\ mmmm\ dd\,\ yyyy"/>
    <numFmt numFmtId="166" formatCode="0\ &quot;días&quot;"/>
    <numFmt numFmtId="167" formatCode="&quot;$&quot;\ #,##0"/>
    <numFmt numFmtId="168" formatCode="0\ &quot;meses&quot;"/>
    <numFmt numFmtId="169" formatCode="0.0"/>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Garamond"/>
      <family val="1"/>
    </font>
    <font>
      <sz val="11"/>
      <name val="Garamond"/>
      <family val="1"/>
    </font>
    <font>
      <b/>
      <sz val="11"/>
      <color rgb="FFFF0000"/>
      <name val="Garamond"/>
      <family val="1"/>
    </font>
    <font>
      <b/>
      <sz val="20"/>
      <name val="Garamond"/>
      <family val="1"/>
    </font>
    <font>
      <sz val="12"/>
      <name val="Garamond"/>
      <family val="1"/>
    </font>
    <font>
      <b/>
      <sz val="12"/>
      <name val="Garamond"/>
      <family val="1"/>
    </font>
    <font>
      <b/>
      <sz val="12"/>
      <color theme="1"/>
      <name val="Garamond"/>
      <family val="1"/>
    </font>
    <font>
      <sz val="12"/>
      <color theme="1"/>
      <name val="Garamond"/>
      <family val="1"/>
    </font>
    <font>
      <b/>
      <sz val="12"/>
      <color theme="0"/>
      <name val="Garamond"/>
      <family val="1"/>
    </font>
    <font>
      <i/>
      <sz val="11"/>
      <name val="Garamond"/>
      <family val="1"/>
    </font>
    <font>
      <b/>
      <sz val="11"/>
      <color theme="1"/>
      <name val="Calibri"/>
      <family val="2"/>
      <scheme val="minor"/>
    </font>
    <font>
      <sz val="10"/>
      <color theme="1"/>
      <name val="Tahoma"/>
      <family val="2"/>
    </font>
    <font>
      <b/>
      <sz val="10"/>
      <color theme="1"/>
      <name val="Tahoma"/>
      <family val="2"/>
    </font>
    <font>
      <sz val="10"/>
      <color indexed="8"/>
      <name val="Tahoma"/>
      <family val="2"/>
    </font>
    <font>
      <sz val="9"/>
      <name val="Tahoma"/>
      <family val="2"/>
    </font>
    <font>
      <b/>
      <sz val="11"/>
      <color theme="1"/>
      <name val="Tahoma"/>
      <family val="2"/>
    </font>
    <font>
      <b/>
      <sz val="12"/>
      <color theme="1"/>
      <name val="Tahoma"/>
      <family val="2"/>
    </font>
  </fonts>
  <fills count="8">
    <fill>
      <patternFill patternType="none"/>
    </fill>
    <fill>
      <patternFill patternType="gray125"/>
    </fill>
    <fill>
      <patternFill patternType="solid">
        <fgColor theme="8"/>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1"/>
        <bgColor indexed="64"/>
      </patternFill>
    </fill>
    <fill>
      <patternFill patternType="solid">
        <fgColor theme="6" tint="0.59999389629810485"/>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
      <left/>
      <right style="medium">
        <color auto="1"/>
      </right>
      <top/>
      <bottom/>
      <diagonal/>
    </border>
    <border>
      <left style="medium">
        <color auto="1"/>
      </left>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auto="1"/>
      </right>
      <top/>
      <bottom style="medium">
        <color auto="1"/>
      </bottom>
      <diagonal/>
    </border>
    <border>
      <left style="medium">
        <color auto="1"/>
      </left>
      <right/>
      <top style="thin">
        <color auto="1"/>
      </top>
      <bottom/>
      <diagonal/>
    </border>
    <border>
      <left/>
      <right style="medium">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style="medium">
        <color indexed="64"/>
      </top>
      <bottom/>
      <diagonal/>
    </border>
    <border>
      <left/>
      <right style="medium">
        <color auto="1"/>
      </right>
      <top style="medium">
        <color indexed="64"/>
      </top>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s>
  <cellStyleXfs count="5">
    <xf numFmtId="0" fontId="0" fillId="0" borderId="0"/>
    <xf numFmtId="9" fontId="4" fillId="0" borderId="0" applyFont="0" applyFill="0" applyBorder="0" applyAlignment="0" applyProtection="0"/>
    <xf numFmtId="43" fontId="4" fillId="0" borderId="0" applyFont="0" applyFill="0" applyBorder="0" applyAlignment="0" applyProtection="0"/>
    <xf numFmtId="0" fontId="4" fillId="0" borderId="0"/>
    <xf numFmtId="0" fontId="3" fillId="0" borderId="0"/>
  </cellStyleXfs>
  <cellXfs count="194">
    <xf numFmtId="0" fontId="0" fillId="0" borderId="0" xfId="0"/>
    <xf numFmtId="0" fontId="6" fillId="0" borderId="0" xfId="0" applyFont="1"/>
    <xf numFmtId="0" fontId="5" fillId="0" borderId="0" xfId="0" applyFont="1" applyAlignment="1">
      <alignment horizontal="center" vertical="center" wrapText="1"/>
    </xf>
    <xf numFmtId="0" fontId="6" fillId="0" borderId="0" xfId="0" applyFont="1" applyAlignment="1">
      <alignment vertical="center"/>
    </xf>
    <xf numFmtId="0" fontId="5" fillId="0" borderId="0" xfId="0" applyFont="1" applyAlignment="1">
      <alignment vertical="center" wrapText="1"/>
    </xf>
    <xf numFmtId="0" fontId="5" fillId="0" borderId="0" xfId="0" applyFont="1" applyAlignment="1">
      <alignment vertical="top" wrapText="1"/>
    </xf>
    <xf numFmtId="0" fontId="7" fillId="0" borderId="0" xfId="0" applyFont="1"/>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xf>
    <xf numFmtId="9" fontId="10" fillId="0" borderId="1" xfId="0" applyNumberFormat="1" applyFont="1" applyBorder="1" applyAlignment="1">
      <alignment horizontal="center" vertical="center" wrapText="1"/>
    </xf>
    <xf numFmtId="0" fontId="10" fillId="3" borderId="5" xfId="0" applyFont="1" applyFill="1" applyBorder="1" applyAlignment="1">
      <alignment horizontal="left" vertical="center" wrapText="1"/>
    </xf>
    <xf numFmtId="0" fontId="10" fillId="5" borderId="5" xfId="0" applyFont="1" applyFill="1" applyBorder="1" applyAlignment="1">
      <alignment horizontal="center" vertical="center"/>
    </xf>
    <xf numFmtId="0" fontId="10" fillId="5" borderId="1" xfId="0" applyFont="1" applyFill="1" applyBorder="1" applyAlignment="1">
      <alignment horizontal="center" vertical="center"/>
    </xf>
    <xf numFmtId="4" fontId="11" fillId="0" borderId="1" xfId="0" applyNumberFormat="1" applyFont="1" applyBorder="1" applyAlignment="1">
      <alignment horizontal="center" vertical="center"/>
    </xf>
    <xf numFmtId="4" fontId="12" fillId="0" borderId="1" xfId="0" applyNumberFormat="1" applyFont="1" applyBorder="1" applyAlignment="1">
      <alignment horizontal="center" vertical="center"/>
    </xf>
    <xf numFmtId="4" fontId="10" fillId="0" borderId="1" xfId="0" applyNumberFormat="1" applyFont="1" applyBorder="1" applyAlignment="1">
      <alignment horizontal="center" vertical="center"/>
    </xf>
    <xf numFmtId="10" fontId="9" fillId="0" borderId="1" xfId="1" applyNumberFormat="1" applyFont="1" applyFill="1" applyBorder="1" applyAlignment="1">
      <alignment horizontal="center" vertical="center"/>
    </xf>
    <xf numFmtId="0" fontId="10" fillId="0" borderId="5" xfId="0" applyFont="1" applyBorder="1" applyAlignment="1">
      <alignment horizontal="center" vertical="center"/>
    </xf>
    <xf numFmtId="9" fontId="9" fillId="0" borderId="1" xfId="1" applyFont="1" applyFill="1" applyBorder="1" applyAlignment="1">
      <alignment horizontal="center" vertical="center"/>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5" xfId="0" applyFont="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2" xfId="0" applyFont="1" applyBorder="1" applyAlignment="1">
      <alignment horizontal="centerContinuous" vertical="center"/>
    </xf>
    <xf numFmtId="0" fontId="10" fillId="0" borderId="10" xfId="0" applyFont="1" applyBorder="1" applyAlignment="1">
      <alignment horizontal="centerContinuous" vertical="center"/>
    </xf>
    <xf numFmtId="0" fontId="10" fillId="0" borderId="11" xfId="0" applyFont="1" applyBorder="1" applyAlignment="1">
      <alignment horizontal="centerContinuous" vertical="center" wrapText="1"/>
    </xf>
    <xf numFmtId="0" fontId="10" fillId="0" borderId="12" xfId="0" applyFont="1" applyBorder="1" applyAlignment="1">
      <alignment horizontal="centerContinuous" vertical="center" wrapText="1"/>
    </xf>
    <xf numFmtId="0" fontId="10" fillId="0" borderId="10" xfId="0" applyFont="1" applyBorder="1" applyAlignment="1">
      <alignment horizontal="centerContinuous" vertical="center" wrapText="1"/>
    </xf>
    <xf numFmtId="6" fontId="9" fillId="0" borderId="1" xfId="0" applyNumberFormat="1" applyFont="1" applyBorder="1" applyAlignment="1">
      <alignment horizontal="right" vertical="center"/>
    </xf>
    <xf numFmtId="2" fontId="9" fillId="0" borderId="1" xfId="1" applyNumberFormat="1" applyFont="1" applyFill="1" applyBorder="1" applyAlignment="1">
      <alignment horizontal="center" vertical="center"/>
    </xf>
    <xf numFmtId="0" fontId="10" fillId="4" borderId="11" xfId="0" applyFont="1" applyFill="1" applyBorder="1" applyAlignment="1">
      <alignment horizontal="centerContinuous" vertical="center"/>
    </xf>
    <xf numFmtId="0" fontId="10" fillId="4" borderId="12" xfId="0" applyFont="1" applyFill="1" applyBorder="1" applyAlignment="1">
      <alignment horizontal="centerContinuous" vertical="center"/>
    </xf>
    <xf numFmtId="0" fontId="10" fillId="4" borderId="10" xfId="0" applyFont="1" applyFill="1" applyBorder="1" applyAlignment="1">
      <alignment horizontal="centerContinuous" vertical="center"/>
    </xf>
    <xf numFmtId="0" fontId="10" fillId="0" borderId="5" xfId="0" quotePrefix="1" applyFont="1" applyBorder="1" applyAlignment="1">
      <alignment horizontal="left" vertical="center" wrapText="1"/>
    </xf>
    <xf numFmtId="0" fontId="10" fillId="4" borderId="5" xfId="0" applyFont="1" applyFill="1" applyBorder="1" applyAlignment="1">
      <alignment horizontal="centerContinuous" vertical="center"/>
    </xf>
    <xf numFmtId="4" fontId="9" fillId="0" borderId="1" xfId="0" applyNumberFormat="1" applyFont="1" applyBorder="1" applyAlignment="1">
      <alignment horizontal="center" vertical="center"/>
    </xf>
    <xf numFmtId="6" fontId="10" fillId="3" borderId="1" xfId="0" applyNumberFormat="1" applyFont="1" applyFill="1" applyBorder="1" applyAlignment="1">
      <alignment vertical="center"/>
    </xf>
    <xf numFmtId="14" fontId="10" fillId="0" borderId="1" xfId="0" quotePrefix="1" applyNumberFormat="1" applyFont="1" applyBorder="1" applyAlignment="1">
      <alignment horizontal="center" vertical="center" wrapText="1"/>
    </xf>
    <xf numFmtId="2" fontId="6" fillId="0" borderId="1" xfId="0" applyNumberFormat="1" applyFont="1" applyBorder="1" applyAlignment="1">
      <alignment horizontal="center" vertical="center"/>
    </xf>
    <xf numFmtId="9" fontId="6" fillId="0" borderId="1" xfId="0" applyNumberFormat="1" applyFont="1" applyBorder="1" applyAlignment="1">
      <alignment horizontal="center" vertical="center"/>
    </xf>
    <xf numFmtId="6" fontId="6" fillId="0" borderId="1" xfId="0" applyNumberFormat="1" applyFont="1" applyBorder="1" applyAlignment="1">
      <alignment vertical="center"/>
    </xf>
    <xf numFmtId="0" fontId="10" fillId="0" borderId="4" xfId="0" applyFont="1" applyBorder="1" applyAlignment="1">
      <alignment horizontal="center" vertical="center" wrapText="1"/>
    </xf>
    <xf numFmtId="0" fontId="9" fillId="0" borderId="4" xfId="0" applyFont="1" applyBorder="1" applyAlignment="1">
      <alignment horizontal="left" vertical="center" indent="2"/>
    </xf>
    <xf numFmtId="165" fontId="10" fillId="0" borderId="4" xfId="0" quotePrefix="1" applyNumberFormat="1" applyFont="1" applyBorder="1" applyAlignment="1">
      <alignment horizontal="right" vertical="center"/>
    </xf>
    <xf numFmtId="165" fontId="10" fillId="0" borderId="4" xfId="0" applyNumberFormat="1" applyFont="1" applyBorder="1" applyAlignment="1">
      <alignment horizontal="right" vertical="center" wrapText="1"/>
    </xf>
    <xf numFmtId="0" fontId="10" fillId="0" borderId="12" xfId="0" applyFont="1" applyBorder="1" applyAlignment="1">
      <alignment horizontal="left" vertical="center"/>
    </xf>
    <xf numFmtId="0" fontId="10" fillId="0" borderId="10" xfId="0" applyFont="1" applyBorder="1" applyAlignment="1">
      <alignment horizontal="left" vertical="center"/>
    </xf>
    <xf numFmtId="0" fontId="10" fillId="0" borderId="0" xfId="0" applyFont="1" applyAlignment="1">
      <alignment horizontal="center" vertical="center"/>
    </xf>
    <xf numFmtId="0" fontId="9" fillId="0" borderId="0" xfId="0" quotePrefix="1" applyFont="1" applyAlignment="1">
      <alignment horizontal="center" vertical="center"/>
    </xf>
    <xf numFmtId="0" fontId="10" fillId="0" borderId="3" xfId="0" applyFont="1" applyBorder="1" applyAlignment="1">
      <alignment vertical="top"/>
    </xf>
    <xf numFmtId="0" fontId="13" fillId="0" borderId="11" xfId="0" applyFont="1" applyBorder="1" applyAlignment="1">
      <alignment horizontal="center" vertical="center"/>
    </xf>
    <xf numFmtId="0" fontId="10" fillId="0" borderId="4" xfId="0" quotePrefix="1" applyFont="1" applyBorder="1" applyAlignment="1">
      <alignment horizontal="center" vertical="center"/>
    </xf>
    <xf numFmtId="6" fontId="6" fillId="0" borderId="0" xfId="0" applyNumberFormat="1" applyFont="1"/>
    <xf numFmtId="0" fontId="3" fillId="0" borderId="0" xfId="4"/>
    <xf numFmtId="0" fontId="3" fillId="7" borderId="0" xfId="4" applyFill="1"/>
    <xf numFmtId="0" fontId="17" fillId="7" borderId="1" xfId="4" applyFont="1" applyFill="1" applyBorder="1" applyAlignment="1">
      <alignment horizontal="left" wrapText="1"/>
    </xf>
    <xf numFmtId="0" fontId="15" fillId="0" borderId="20" xfId="4" applyFont="1" applyBorder="1" applyAlignment="1">
      <alignment horizontal="center"/>
    </xf>
    <xf numFmtId="0" fontId="17" fillId="0" borderId="1" xfId="4" applyFont="1" applyBorder="1" applyAlignment="1">
      <alignment horizontal="center" vertical="center" wrapText="1"/>
    </xf>
    <xf numFmtId="0" fontId="3" fillId="0" borderId="1" xfId="4" applyBorder="1" applyAlignment="1">
      <alignment horizontal="center" vertical="center"/>
    </xf>
    <xf numFmtId="0" fontId="16" fillId="0" borderId="1" xfId="4" applyFont="1" applyBorder="1" applyAlignment="1">
      <alignment horizontal="center" vertical="center" wrapText="1"/>
    </xf>
    <xf numFmtId="0" fontId="3" fillId="0" borderId="0" xfId="4" applyAlignment="1">
      <alignment horizontal="center"/>
    </xf>
    <xf numFmtId="164" fontId="19" fillId="0" borderId="1" xfId="4" applyNumberFormat="1" applyFont="1" applyBorder="1" applyAlignment="1">
      <alignment horizontal="center" vertical="center"/>
    </xf>
    <xf numFmtId="0" fontId="17" fillId="0" borderId="1" xfId="4" quotePrefix="1" applyFont="1" applyBorder="1" applyAlignment="1">
      <alignment horizontal="center" vertical="center" wrapText="1"/>
    </xf>
    <xf numFmtId="0" fontId="17" fillId="0" borderId="1" xfId="4" applyFont="1" applyBorder="1"/>
    <xf numFmtId="0" fontId="2" fillId="0" borderId="1" xfId="4" quotePrefix="1" applyFont="1" applyBorder="1" applyAlignment="1">
      <alignment horizontal="left" vertical="center" wrapText="1"/>
    </xf>
    <xf numFmtId="0" fontId="5" fillId="0" borderId="0" xfId="0" quotePrefix="1" applyFont="1" applyAlignment="1">
      <alignment horizontal="center" vertical="center"/>
    </xf>
    <xf numFmtId="0" fontId="6" fillId="0" borderId="0" xfId="0" applyFont="1" applyAlignment="1">
      <alignment horizontal="right" vertical="center"/>
    </xf>
    <xf numFmtId="0" fontId="20" fillId="0" borderId="1" xfId="4" quotePrefix="1" applyFont="1" applyBorder="1" applyAlignment="1">
      <alignment horizontal="center" vertical="center" wrapText="1"/>
    </xf>
    <xf numFmtId="0" fontId="10" fillId="2" borderId="6" xfId="0" applyFont="1" applyFill="1" applyBorder="1" applyAlignment="1">
      <alignment horizontal="center" vertical="center" wrapText="1"/>
    </xf>
    <xf numFmtId="14" fontId="10" fillId="0" borderId="6" xfId="0" quotePrefix="1" applyNumberFormat="1" applyFont="1" applyBorder="1" applyAlignment="1">
      <alignment horizontal="center" vertical="center" wrapText="1"/>
    </xf>
    <xf numFmtId="0" fontId="10" fillId="0" borderId="6" xfId="0" applyFont="1" applyBorder="1" applyAlignment="1">
      <alignment horizontal="center" vertical="center" wrapText="1"/>
    </xf>
    <xf numFmtId="2" fontId="9" fillId="0" borderId="6" xfId="1" applyNumberFormat="1" applyFont="1" applyFill="1" applyBorder="1" applyAlignment="1">
      <alignment horizontal="center" vertical="center"/>
    </xf>
    <xf numFmtId="6" fontId="10" fillId="3" borderId="6" xfId="0" applyNumberFormat="1" applyFont="1" applyFill="1" applyBorder="1" applyAlignment="1">
      <alignment vertical="center"/>
    </xf>
    <xf numFmtId="0" fontId="10" fillId="5" borderId="6" xfId="0" applyFont="1" applyFill="1" applyBorder="1" applyAlignment="1">
      <alignment horizontal="center" vertical="center"/>
    </xf>
    <xf numFmtId="4" fontId="11" fillId="0" borderId="6" xfId="0" applyNumberFormat="1" applyFont="1" applyBorder="1" applyAlignment="1">
      <alignment horizontal="center" vertical="center"/>
    </xf>
    <xf numFmtId="4" fontId="10" fillId="0" borderId="6" xfId="0" applyNumberFormat="1" applyFont="1" applyBorder="1" applyAlignment="1">
      <alignment horizontal="center" vertical="center"/>
    </xf>
    <xf numFmtId="0" fontId="10" fillId="4" borderId="6" xfId="0" applyFont="1" applyFill="1" applyBorder="1" applyAlignment="1">
      <alignment horizontal="centerContinuous" vertical="center"/>
    </xf>
    <xf numFmtId="0" fontId="10" fillId="0" borderId="6" xfId="0" applyFont="1" applyBorder="1" applyAlignment="1">
      <alignment horizontal="center" vertical="center"/>
    </xf>
    <xf numFmtId="9" fontId="9" fillId="0" borderId="6" xfId="1" applyFont="1" applyFill="1" applyBorder="1" applyAlignment="1">
      <alignment horizontal="center" vertical="center"/>
    </xf>
    <xf numFmtId="0" fontId="6" fillId="0" borderId="3" xfId="0" applyFont="1" applyBorder="1" applyAlignment="1">
      <alignment vertical="center"/>
    </xf>
    <xf numFmtId="0" fontId="10" fillId="0" borderId="3" xfId="0" applyFont="1" applyBorder="1" applyAlignment="1">
      <alignment horizontal="center" vertical="center"/>
    </xf>
    <xf numFmtId="0" fontId="9" fillId="0" borderId="3" xfId="0" quotePrefix="1" applyFont="1" applyBorder="1" applyAlignment="1">
      <alignment horizontal="center" vertical="center"/>
    </xf>
    <xf numFmtId="0" fontId="10" fillId="0" borderId="1" xfId="0" quotePrefix="1" applyFont="1" applyBorder="1" applyAlignment="1">
      <alignment horizontal="center" vertical="center" wrapText="1"/>
    </xf>
    <xf numFmtId="0" fontId="10" fillId="0" borderId="6" xfId="0" quotePrefix="1" applyFont="1" applyBorder="1" applyAlignment="1">
      <alignment horizontal="center" vertical="center" wrapText="1"/>
    </xf>
    <xf numFmtId="9" fontId="10" fillId="0" borderId="6" xfId="0" applyNumberFormat="1" applyFont="1" applyBorder="1" applyAlignment="1">
      <alignment horizontal="center" vertical="center" wrapText="1"/>
    </xf>
    <xf numFmtId="6" fontId="9" fillId="0" borderId="6" xfId="0" applyNumberFormat="1" applyFont="1" applyBorder="1" applyAlignment="1">
      <alignment horizontal="right" vertical="center"/>
    </xf>
    <xf numFmtId="4" fontId="12" fillId="0" borderId="6" xfId="0" applyNumberFormat="1" applyFont="1" applyBorder="1" applyAlignment="1">
      <alignment horizontal="center" vertical="center"/>
    </xf>
    <xf numFmtId="10" fontId="9" fillId="0" borderId="6" xfId="1" applyNumberFormat="1" applyFont="1" applyFill="1" applyBorder="1" applyAlignment="1">
      <alignment horizontal="center" vertical="center"/>
    </xf>
    <xf numFmtId="4" fontId="9" fillId="0" borderId="6" xfId="0" applyNumberFormat="1" applyFont="1" applyBorder="1" applyAlignment="1">
      <alignment horizontal="center" vertical="center"/>
    </xf>
    <xf numFmtId="0" fontId="6" fillId="0" borderId="0" xfId="0" quotePrefix="1" applyFont="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23" xfId="0" applyFont="1" applyBorder="1" applyAlignment="1">
      <alignment horizontal="left" vertical="center" wrapText="1"/>
    </xf>
    <xf numFmtId="0" fontId="10" fillId="6" borderId="24" xfId="0" applyFont="1" applyFill="1" applyBorder="1" applyAlignment="1">
      <alignment horizontal="center" vertical="center"/>
    </xf>
    <xf numFmtId="0" fontId="10" fillId="6" borderId="25" xfId="0" applyFont="1" applyFill="1" applyBorder="1" applyAlignment="1">
      <alignment horizontal="center" vertical="center"/>
    </xf>
    <xf numFmtId="0" fontId="5" fillId="0" borderId="21" xfId="0" quotePrefix="1" applyFont="1" applyBorder="1" applyAlignment="1">
      <alignment horizontal="left"/>
    </xf>
    <xf numFmtId="0" fontId="6" fillId="0" borderId="2" xfId="0" applyFont="1" applyBorder="1"/>
    <xf numFmtId="0" fontId="6" fillId="0" borderId="22" xfId="0" applyFont="1" applyBorder="1"/>
    <xf numFmtId="0" fontId="6" fillId="0" borderId="4" xfId="0" applyFont="1" applyBorder="1"/>
    <xf numFmtId="0" fontId="6" fillId="0" borderId="3" xfId="0" applyFont="1" applyBorder="1"/>
    <xf numFmtId="164" fontId="5" fillId="0" borderId="3" xfId="0" applyNumberFormat="1" applyFont="1" applyBorder="1" applyAlignment="1">
      <alignment horizontal="center"/>
    </xf>
    <xf numFmtId="0" fontId="6" fillId="0" borderId="4" xfId="0" applyFont="1" applyBorder="1" applyAlignment="1">
      <alignment horizontal="center"/>
    </xf>
    <xf numFmtId="0" fontId="6" fillId="0" borderId="3" xfId="0" applyFont="1" applyBorder="1" applyAlignment="1">
      <alignment horizontal="center"/>
    </xf>
    <xf numFmtId="0" fontId="6" fillId="0" borderId="4" xfId="0" quotePrefix="1" applyFont="1" applyBorder="1" applyAlignment="1">
      <alignment horizontal="left"/>
    </xf>
    <xf numFmtId="164" fontId="6" fillId="0" borderId="3" xfId="0" applyNumberFormat="1" applyFont="1" applyBorder="1" applyAlignment="1">
      <alignment horizontal="center"/>
    </xf>
    <xf numFmtId="166" fontId="6" fillId="0" borderId="3" xfId="0" applyNumberFormat="1" applyFont="1" applyBorder="1" applyAlignment="1">
      <alignment horizontal="center"/>
    </xf>
    <xf numFmtId="0" fontId="6" fillId="0" borderId="4" xfId="0" quotePrefix="1" applyFont="1" applyBorder="1" applyAlignment="1">
      <alignment horizontal="left" vertical="center" wrapText="1"/>
    </xf>
    <xf numFmtId="0" fontId="6" fillId="0" borderId="3" xfId="0" quotePrefix="1" applyFont="1" applyBorder="1" applyAlignment="1">
      <alignment horizontal="center" vertical="center" wrapText="1"/>
    </xf>
    <xf numFmtId="0" fontId="6" fillId="0" borderId="14" xfId="0" applyFont="1" applyBorder="1"/>
    <xf numFmtId="0" fontId="6" fillId="0" borderId="15" xfId="0" applyFont="1" applyBorder="1" applyAlignment="1">
      <alignment vertical="top" wrapText="1"/>
    </xf>
    <xf numFmtId="0" fontId="6" fillId="0" borderId="16" xfId="0" applyFont="1" applyBorder="1" applyAlignment="1">
      <alignment vertical="top" wrapText="1"/>
    </xf>
    <xf numFmtId="0" fontId="6" fillId="0" borderId="1" xfId="0" applyFont="1" applyBorder="1" applyAlignment="1">
      <alignment horizontal="center" vertical="center" wrapText="1"/>
    </xf>
    <xf numFmtId="9" fontId="6" fillId="0" borderId="0" xfId="0" applyNumberFormat="1" applyFont="1" applyAlignment="1">
      <alignment horizontal="center" vertical="center"/>
    </xf>
    <xf numFmtId="0" fontId="9" fillId="0" borderId="5" xfId="0" applyFont="1" applyBorder="1" applyAlignment="1">
      <alignment vertical="center"/>
    </xf>
    <xf numFmtId="41" fontId="6" fillId="0" borderId="0" xfId="0" applyNumberFormat="1" applyFont="1" applyAlignment="1">
      <alignment horizontal="right" vertical="center"/>
    </xf>
    <xf numFmtId="168" fontId="6" fillId="0" borderId="0" xfId="0" applyNumberFormat="1" applyFont="1" applyAlignment="1">
      <alignment horizontal="center" vertical="center"/>
    </xf>
    <xf numFmtId="167" fontId="19" fillId="0" borderId="1" xfId="4" applyNumberFormat="1" applyFont="1" applyBorder="1" applyAlignment="1">
      <alignment horizontal="center" vertical="center" wrapText="1"/>
    </xf>
    <xf numFmtId="167" fontId="19" fillId="0" borderId="0" xfId="4" applyNumberFormat="1" applyFont="1" applyAlignment="1">
      <alignment vertical="center" wrapText="1"/>
    </xf>
    <xf numFmtId="164" fontId="19" fillId="0" borderId="0" xfId="4" applyNumberFormat="1" applyFont="1" applyAlignment="1">
      <alignment horizontal="center" vertical="center"/>
    </xf>
    <xf numFmtId="0" fontId="17" fillId="7" borderId="0" xfId="4" applyFont="1" applyFill="1" applyAlignment="1">
      <alignment vertical="center"/>
    </xf>
    <xf numFmtId="0" fontId="16" fillId="7" borderId="0" xfId="4" applyFont="1" applyFill="1" applyAlignment="1">
      <alignment vertical="center"/>
    </xf>
    <xf numFmtId="166" fontId="14" fillId="0" borderId="4" xfId="0" applyNumberFormat="1" applyFont="1" applyBorder="1" applyAlignment="1">
      <alignment horizontal="center"/>
    </xf>
    <xf numFmtId="0" fontId="6" fillId="0" borderId="14" xfId="0" quotePrefix="1" applyFont="1" applyBorder="1" applyAlignment="1">
      <alignment horizontal="left"/>
    </xf>
    <xf numFmtId="6" fontId="9" fillId="0" borderId="1" xfId="0" applyNumberFormat="1" applyFont="1" applyBorder="1" applyAlignment="1">
      <alignment vertical="center"/>
    </xf>
    <xf numFmtId="164" fontId="5" fillId="0" borderId="0" xfId="0" applyNumberFormat="1" applyFont="1" applyAlignment="1">
      <alignment horizontal="center"/>
    </xf>
    <xf numFmtId="0" fontId="6" fillId="0" borderId="0" xfId="0" applyFont="1" applyAlignment="1">
      <alignment horizontal="center"/>
    </xf>
    <xf numFmtId="164" fontId="6" fillId="0" borderId="0" xfId="0" applyNumberFormat="1" applyFont="1" applyAlignment="1">
      <alignment horizontal="center"/>
    </xf>
    <xf numFmtId="166" fontId="6" fillId="0" borderId="0" xfId="0" applyNumberFormat="1" applyFont="1" applyAlignment="1">
      <alignment horizontal="center"/>
    </xf>
    <xf numFmtId="6" fontId="9" fillId="0" borderId="6" xfId="0" applyNumberFormat="1" applyFont="1" applyBorder="1" applyAlignment="1">
      <alignment vertical="center"/>
    </xf>
    <xf numFmtId="0" fontId="9" fillId="0" borderId="0" xfId="0" applyFont="1" applyAlignment="1">
      <alignment horizontal="center" vertical="center" wrapText="1"/>
    </xf>
    <xf numFmtId="165" fontId="10" fillId="0" borderId="0" xfId="0" applyNumberFormat="1" applyFont="1" applyAlignment="1">
      <alignment vertical="top"/>
    </xf>
    <xf numFmtId="169" fontId="6" fillId="0" borderId="1" xfId="0" applyNumberFormat="1" applyFont="1" applyBorder="1" applyAlignment="1">
      <alignment horizontal="center" vertical="center"/>
    </xf>
    <xf numFmtId="0" fontId="10" fillId="4" borderId="1" xfId="0" quotePrefix="1" applyFont="1" applyFill="1" applyBorder="1" applyAlignment="1">
      <alignment horizontal="center" vertical="center" wrapText="1"/>
    </xf>
    <xf numFmtId="0" fontId="10" fillId="4" borderId="1" xfId="0" applyFont="1" applyFill="1" applyBorder="1" applyAlignment="1">
      <alignment horizontal="center" vertical="center" wrapText="1"/>
    </xf>
    <xf numFmtId="49" fontId="10" fillId="4" borderId="1" xfId="0" quotePrefix="1" applyNumberFormat="1" applyFont="1" applyFill="1" applyBorder="1" applyAlignment="1">
      <alignment horizontal="center" vertical="center" wrapText="1"/>
    </xf>
    <xf numFmtId="10" fontId="10" fillId="4" borderId="1" xfId="0" quotePrefix="1" applyNumberFormat="1" applyFont="1" applyFill="1" applyBorder="1" applyAlignment="1">
      <alignment horizontal="center" vertical="center"/>
    </xf>
    <xf numFmtId="10" fontId="10" fillId="4" borderId="1" xfId="0" applyNumberFormat="1" applyFont="1" applyFill="1" applyBorder="1" applyAlignment="1">
      <alignment horizontal="center" vertical="center"/>
    </xf>
    <xf numFmtId="6" fontId="9" fillId="4" borderId="1" xfId="0" applyNumberFormat="1" applyFont="1" applyFill="1" applyBorder="1" applyAlignment="1">
      <alignment horizontal="right" vertical="center"/>
    </xf>
    <xf numFmtId="2" fontId="9" fillId="4" borderId="1" xfId="1" applyNumberFormat="1" applyFont="1" applyFill="1" applyBorder="1" applyAlignment="1">
      <alignment horizontal="center" vertical="center"/>
    </xf>
    <xf numFmtId="6" fontId="10" fillId="4" borderId="1" xfId="0" applyNumberFormat="1" applyFont="1" applyFill="1" applyBorder="1" applyAlignment="1">
      <alignment vertical="center"/>
    </xf>
    <xf numFmtId="4" fontId="11" fillId="4" borderId="1" xfId="0" applyNumberFormat="1" applyFont="1" applyFill="1" applyBorder="1" applyAlignment="1">
      <alignment horizontal="center" vertical="center"/>
    </xf>
    <xf numFmtId="4" fontId="12" fillId="4" borderId="1" xfId="0" applyNumberFormat="1" applyFont="1" applyFill="1" applyBorder="1" applyAlignment="1">
      <alignment horizontal="center" vertical="center"/>
    </xf>
    <xf numFmtId="4" fontId="10" fillId="4" borderId="1" xfId="0" applyNumberFormat="1" applyFont="1" applyFill="1" applyBorder="1" applyAlignment="1">
      <alignment horizontal="center" vertical="center"/>
    </xf>
    <xf numFmtId="10" fontId="9" fillId="4" borderId="1" xfId="1" applyNumberFormat="1" applyFont="1" applyFill="1" applyBorder="1" applyAlignment="1">
      <alignment horizontal="center" vertical="center"/>
    </xf>
    <xf numFmtId="4" fontId="9" fillId="4" borderId="1" xfId="0" applyNumberFormat="1" applyFont="1" applyFill="1" applyBorder="1" applyAlignment="1">
      <alignment horizontal="center" vertical="center"/>
    </xf>
    <xf numFmtId="6" fontId="9" fillId="4" borderId="1" xfId="0" applyNumberFormat="1" applyFont="1" applyFill="1" applyBorder="1" applyAlignment="1">
      <alignment vertical="center"/>
    </xf>
    <xf numFmtId="6" fontId="9" fillId="4" borderId="24" xfId="0" applyNumberFormat="1" applyFont="1" applyFill="1" applyBorder="1" applyAlignment="1">
      <alignment horizontal="right" vertical="center"/>
    </xf>
    <xf numFmtId="9" fontId="10" fillId="4" borderId="1" xfId="0" quotePrefix="1" applyNumberFormat="1" applyFont="1" applyFill="1" applyBorder="1" applyAlignment="1">
      <alignment horizontal="center" vertical="center"/>
    </xf>
    <xf numFmtId="9" fontId="10" fillId="4" borderId="1" xfId="0" applyNumberFormat="1" applyFont="1" applyFill="1" applyBorder="1" applyAlignment="1">
      <alignment horizontal="center" vertical="center"/>
    </xf>
    <xf numFmtId="164" fontId="6" fillId="0" borderId="0" xfId="0" applyNumberFormat="1" applyFont="1" applyAlignment="1">
      <alignment horizontal="center" vertical="center"/>
    </xf>
    <xf numFmtId="165" fontId="2" fillId="0" borderId="0" xfId="4" quotePrefix="1" applyNumberFormat="1" applyFont="1" applyAlignment="1">
      <alignment horizontal="center"/>
    </xf>
    <xf numFmtId="0" fontId="6" fillId="0" borderId="0" xfId="0" applyFont="1" applyAlignment="1">
      <alignment horizontal="center" vertical="center"/>
    </xf>
    <xf numFmtId="0" fontId="1" fillId="0" borderId="0" xfId="4" applyFont="1"/>
    <xf numFmtId="164" fontId="6" fillId="0" borderId="0" xfId="0" applyNumberFormat="1" applyFont="1" applyAlignment="1">
      <alignment horizontal="center" vertical="center"/>
    </xf>
    <xf numFmtId="164" fontId="6" fillId="0" borderId="3" xfId="0" applyNumberFormat="1" applyFont="1" applyBorder="1" applyAlignment="1">
      <alignment horizontal="center" vertical="center"/>
    </xf>
    <xf numFmtId="0" fontId="6" fillId="0" borderId="8" xfId="0" applyFont="1" applyBorder="1" applyAlignment="1">
      <alignment horizontal="center"/>
    </xf>
    <xf numFmtId="0" fontId="6" fillId="0" borderId="5" xfId="0" applyFont="1" applyBorder="1" applyAlignment="1">
      <alignment horizontal="center"/>
    </xf>
    <xf numFmtId="0" fontId="8" fillId="0" borderId="26" xfId="0" applyFont="1" applyBorder="1" applyAlignment="1">
      <alignment horizontal="center" vertical="center" wrapText="1"/>
    </xf>
    <xf numFmtId="0" fontId="8" fillId="0" borderId="2"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0" xfId="0" applyFont="1" applyAlignment="1">
      <alignment horizontal="center" vertical="center" wrapText="1"/>
    </xf>
    <xf numFmtId="0" fontId="8" fillId="0" borderId="28" xfId="0" applyFont="1" applyBorder="1" applyAlignment="1">
      <alignment horizontal="center" vertical="center" wrapText="1"/>
    </xf>
    <xf numFmtId="0" fontId="8" fillId="0" borderId="7" xfId="0" applyFont="1" applyBorder="1" applyAlignment="1">
      <alignment horizontal="center" vertical="center" wrapText="1"/>
    </xf>
    <xf numFmtId="0" fontId="9" fillId="0" borderId="9" xfId="0" applyFont="1" applyBorder="1" applyAlignment="1">
      <alignment horizontal="left" vertical="center" wrapText="1"/>
    </xf>
    <xf numFmtId="0" fontId="9" fillId="0" borderId="6" xfId="0" applyFont="1" applyBorder="1" applyAlignment="1">
      <alignment horizontal="left" vertical="center"/>
    </xf>
    <xf numFmtId="165" fontId="10" fillId="0" borderId="17" xfId="0" quotePrefix="1" applyNumberFormat="1" applyFont="1" applyBorder="1" applyAlignment="1">
      <alignment horizontal="justify" vertical="center" wrapText="1"/>
    </xf>
    <xf numFmtId="165" fontId="10" fillId="0" borderId="13" xfId="0" quotePrefix="1" applyNumberFormat="1" applyFont="1" applyBorder="1" applyAlignment="1">
      <alignment horizontal="justify" vertical="center" wrapText="1"/>
    </xf>
    <xf numFmtId="165" fontId="10" fillId="0" borderId="18" xfId="0" quotePrefix="1" applyNumberFormat="1" applyFont="1" applyBorder="1" applyAlignment="1">
      <alignment horizontal="justify" vertical="center" wrapText="1"/>
    </xf>
    <xf numFmtId="165" fontId="10" fillId="0" borderId="4" xfId="0" quotePrefix="1" applyNumberFormat="1" applyFont="1" applyBorder="1" applyAlignment="1">
      <alignment horizontal="justify" vertical="center" wrapText="1"/>
    </xf>
    <xf numFmtId="165" fontId="10" fillId="0" borderId="0" xfId="0" quotePrefix="1" applyNumberFormat="1" applyFont="1" applyAlignment="1">
      <alignment horizontal="justify" vertical="center" wrapText="1"/>
    </xf>
    <xf numFmtId="165" fontId="10" fillId="0" borderId="3" xfId="0" quotePrefix="1" applyNumberFormat="1" applyFont="1" applyBorder="1" applyAlignment="1">
      <alignment horizontal="justify" vertical="center" wrapText="1"/>
    </xf>
    <xf numFmtId="165" fontId="9" fillId="0" borderId="17" xfId="0" quotePrefix="1" applyNumberFormat="1" applyFont="1" applyBorder="1" applyAlignment="1">
      <alignment horizontal="justify" vertical="center" wrapText="1"/>
    </xf>
    <xf numFmtId="165" fontId="9" fillId="0" borderId="13" xfId="0" quotePrefix="1" applyNumberFormat="1" applyFont="1" applyBorder="1" applyAlignment="1">
      <alignment horizontal="justify" vertical="center" wrapText="1"/>
    </xf>
    <xf numFmtId="165" fontId="9" fillId="0" borderId="18" xfId="0" quotePrefix="1" applyNumberFormat="1" applyFont="1" applyBorder="1" applyAlignment="1">
      <alignment horizontal="justify" vertical="center" wrapText="1"/>
    </xf>
    <xf numFmtId="165" fontId="9" fillId="0" borderId="4" xfId="0" quotePrefix="1" applyNumberFormat="1" applyFont="1" applyBorder="1" applyAlignment="1">
      <alignment horizontal="justify" vertical="center" wrapText="1"/>
    </xf>
    <xf numFmtId="165" fontId="9" fillId="0" borderId="0" xfId="0" quotePrefix="1" applyNumberFormat="1" applyFont="1" applyAlignment="1">
      <alignment horizontal="justify" vertical="center" wrapText="1"/>
    </xf>
    <xf numFmtId="165" fontId="9" fillId="0" borderId="3" xfId="0" quotePrefix="1" applyNumberFormat="1" applyFont="1" applyBorder="1" applyAlignment="1">
      <alignment horizontal="justify" vertical="center" wrapText="1"/>
    </xf>
    <xf numFmtId="165" fontId="9" fillId="0" borderId="14" xfId="0" quotePrefix="1" applyNumberFormat="1" applyFont="1" applyBorder="1" applyAlignment="1">
      <alignment horizontal="justify" vertical="center" wrapText="1"/>
    </xf>
    <xf numFmtId="165" fontId="9" fillId="0" borderId="15" xfId="0" quotePrefix="1" applyNumberFormat="1" applyFont="1" applyBorder="1" applyAlignment="1">
      <alignment horizontal="justify" vertical="center" wrapText="1"/>
    </xf>
    <xf numFmtId="165" fontId="9" fillId="0" borderId="16" xfId="0" quotePrefix="1" applyNumberFormat="1" applyFont="1" applyBorder="1" applyAlignment="1">
      <alignment horizontal="justify" vertical="center" wrapText="1"/>
    </xf>
    <xf numFmtId="0" fontId="6" fillId="0" borderId="4" xfId="0" quotePrefix="1" applyFont="1" applyBorder="1" applyAlignment="1">
      <alignment horizontal="left" wrapText="1"/>
    </xf>
    <xf numFmtId="0" fontId="15" fillId="0" borderId="19" xfId="4" quotePrefix="1" applyFont="1" applyBorder="1" applyAlignment="1">
      <alignment horizontal="center"/>
    </xf>
    <xf numFmtId="0" fontId="15" fillId="0" borderId="12" xfId="4" applyFont="1" applyBorder="1" applyAlignment="1">
      <alignment horizontal="center"/>
    </xf>
    <xf numFmtId="0" fontId="15" fillId="0" borderId="20" xfId="4" applyFont="1" applyBorder="1" applyAlignment="1">
      <alignment horizontal="center"/>
    </xf>
    <xf numFmtId="0" fontId="20" fillId="0" borderId="1" xfId="4" applyFont="1" applyBorder="1" applyAlignment="1">
      <alignment horizontal="center" vertical="center" wrapText="1"/>
    </xf>
    <xf numFmtId="0" fontId="15" fillId="0" borderId="1" xfId="4" applyFont="1" applyBorder="1" applyAlignment="1">
      <alignment horizontal="center" vertical="center"/>
    </xf>
    <xf numFmtId="0" fontId="21" fillId="7" borderId="0" xfId="4" applyFont="1" applyFill="1" applyAlignment="1">
      <alignment horizontal="center"/>
    </xf>
    <xf numFmtId="0" fontId="20" fillId="7" borderId="0" xfId="4" applyFont="1" applyFill="1" applyAlignment="1">
      <alignment horizontal="center"/>
    </xf>
    <xf numFmtId="0" fontId="17" fillId="7" borderId="0" xfId="4" applyFont="1" applyFill="1" applyAlignment="1">
      <alignment horizontal="center"/>
    </xf>
    <xf numFmtId="0" fontId="16" fillId="7" borderId="0" xfId="4" applyFont="1" applyFill="1" applyAlignment="1">
      <alignment horizontal="center"/>
    </xf>
    <xf numFmtId="0" fontId="18" fillId="7" borderId="0" xfId="4" applyFont="1" applyFill="1" applyAlignment="1">
      <alignment horizontal="center" vertical="center" wrapText="1"/>
    </xf>
  </cellXfs>
  <cellStyles count="5">
    <cellStyle name="Millares 2" xfId="2" xr:uid="{00000000-0005-0000-0000-000000000000}"/>
    <cellStyle name="Normal" xfId="0" builtinId="0"/>
    <cellStyle name="Normal 2" xfId="3" xr:uid="{00000000-0005-0000-0000-000002000000}"/>
    <cellStyle name="Normal 3" xfId="4" xr:uid="{00000000-0005-0000-0000-000003000000}"/>
    <cellStyle name="Porcentaje" xfId="1" builtinId="5"/>
  </cellStyles>
  <dxfs count="13">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9" tint="0.39994506668294322"/>
        </patternFill>
      </fill>
    </dxf>
    <dxf>
      <fill>
        <patternFill>
          <bgColor theme="9" tint="0.59996337778862885"/>
        </patternFill>
      </fill>
    </dxf>
    <dxf>
      <fill>
        <patternFill>
          <bgColor theme="5" tint="0.39994506668294322"/>
        </patternFill>
      </fill>
    </dxf>
    <dxf>
      <fill>
        <patternFill>
          <bgColor theme="5" tint="0.3999450666829432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2.xml"/><Relationship Id="rId5" Type="http://schemas.openxmlformats.org/officeDocument/2006/relationships/theme" Target="theme/theme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gi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2672666</xdr:colOff>
      <xdr:row>3</xdr:row>
      <xdr:rowOff>158146</xdr:rowOff>
    </xdr:to>
    <xdr:pic>
      <xdr:nvPicPr>
        <xdr:cNvPr id="2" name="3 Imagen" descr="Logo de SDG.jpg">
          <a:extLst>
            <a:ext uri="{FF2B5EF4-FFF2-40B4-BE49-F238E27FC236}">
              <a16:creationId xmlns:a16="http://schemas.microsoft.com/office/drawing/2014/main" id="{5C41450F-FC04-423D-A780-3E4600F9192D}"/>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19909"/>
        </a:xfrm>
        <a:prstGeom prst="rect">
          <a:avLst/>
        </a:prstGeom>
        <a:noFill/>
        <a:ln w="9525">
          <a:noFill/>
          <a:miter lim="800000"/>
          <a:headEnd/>
          <a:tailEnd/>
        </a:ln>
      </xdr:spPr>
    </xdr:pic>
    <xdr:clientData/>
  </xdr:twoCellAnchor>
  <xdr:twoCellAnchor editAs="oneCell">
    <xdr:from>
      <xdr:col>5</xdr:col>
      <xdr:colOff>446315</xdr:colOff>
      <xdr:row>45</xdr:row>
      <xdr:rowOff>128450</xdr:rowOff>
    </xdr:from>
    <xdr:to>
      <xdr:col>5</xdr:col>
      <xdr:colOff>1804972</xdr:colOff>
      <xdr:row>50</xdr:row>
      <xdr:rowOff>91771</xdr:rowOff>
    </xdr:to>
    <xdr:pic>
      <xdr:nvPicPr>
        <xdr:cNvPr id="3" name="Imagen 2">
          <a:extLst>
            <a:ext uri="{FF2B5EF4-FFF2-40B4-BE49-F238E27FC236}">
              <a16:creationId xmlns:a16="http://schemas.microsoft.com/office/drawing/2014/main" id="{A9CCD78A-73CD-4893-BEA2-7F23A8E5A47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877414">
          <a:off x="6511835" y="12358550"/>
          <a:ext cx="1358657" cy="953921"/>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99060</xdr:colOff>
      <xdr:row>26</xdr:row>
      <xdr:rowOff>91441</xdr:rowOff>
    </xdr:from>
    <xdr:to>
      <xdr:col>5</xdr:col>
      <xdr:colOff>185177</xdr:colOff>
      <xdr:row>31</xdr:row>
      <xdr:rowOff>104836</xdr:rowOff>
    </xdr:to>
    <xdr:pic>
      <xdr:nvPicPr>
        <xdr:cNvPr id="2" name="Imagen 1">
          <a:extLst>
            <a:ext uri="{FF2B5EF4-FFF2-40B4-BE49-F238E27FC236}">
              <a16:creationId xmlns:a16="http://schemas.microsoft.com/office/drawing/2014/main" id="{52F9A031-4A2C-4FB7-BC86-846EA7A8C2B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877414">
          <a:off x="5593080" y="14798041"/>
          <a:ext cx="1358657" cy="943035"/>
        </a:xfrm>
        <a:prstGeom prst="rect">
          <a:avLst/>
        </a:prstGeom>
        <a:noFill/>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242156</xdr:colOff>
      <xdr:row>0</xdr:row>
      <xdr:rowOff>116417</xdr:rowOff>
    </xdr:from>
    <xdr:to>
      <xdr:col>1</xdr:col>
      <xdr:colOff>2674571</xdr:colOff>
      <xdr:row>3</xdr:row>
      <xdr:rowOff>160051</xdr:rowOff>
    </xdr:to>
    <xdr:pic>
      <xdr:nvPicPr>
        <xdr:cNvPr id="2" name="3 Imagen" descr="Logo de SDG.jpg">
          <a:extLst>
            <a:ext uri="{FF2B5EF4-FFF2-40B4-BE49-F238E27FC236}">
              <a16:creationId xmlns:a16="http://schemas.microsoft.com/office/drawing/2014/main" id="{434BC709-BBE3-4992-A171-A4E723CB89BF}"/>
            </a:ext>
          </a:extLst>
        </xdr:cNvPr>
        <xdr:cNvPicPr>
          <a:picLocks noChangeAspect="1"/>
        </xdr:cNvPicPr>
      </xdr:nvPicPr>
      <xdr:blipFill>
        <a:blip xmlns:r="http://schemas.openxmlformats.org/officeDocument/2006/relationships" r:embed="rId1" cstate="print"/>
        <a:srcRect/>
        <a:stretch>
          <a:fillRect/>
        </a:stretch>
      </xdr:blipFill>
      <xdr:spPr bwMode="auto">
        <a:xfrm>
          <a:off x="341216" y="116417"/>
          <a:ext cx="2430510" cy="719909"/>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0947F6-0CE0-4518-BD3E-C14BA18E1655}">
  <sheetPr>
    <pageSetUpPr fitToPage="1"/>
  </sheetPr>
  <dimension ref="A1:W91"/>
  <sheetViews>
    <sheetView showGridLines="0" topLeftCell="A27" zoomScale="70" zoomScaleNormal="70" zoomScalePageLayoutView="90" workbookViewId="0">
      <selection activeCell="B55" sqref="B55"/>
    </sheetView>
  </sheetViews>
  <sheetFormatPr baseColWidth="10" defaultColWidth="18.6640625" defaultRowHeight="14.4" x14ac:dyDescent="0.3"/>
  <cols>
    <col min="1" max="1" width="1.44140625" style="1" customWidth="1"/>
    <col min="2" max="2" width="57.33203125" style="1" customWidth="1"/>
    <col min="3" max="19" width="29.6640625" style="1" customWidth="1"/>
    <col min="20" max="20" width="30.5546875" style="1" customWidth="1"/>
    <col min="21" max="21" width="29.6640625" style="1" customWidth="1"/>
    <col min="22" max="22" width="21.5546875" style="1" customWidth="1"/>
    <col min="23" max="23" width="18.6640625" style="1" customWidth="1"/>
    <col min="24" max="16384" width="18.6640625" style="1"/>
  </cols>
  <sheetData>
    <row r="1" spans="1:23" ht="13.95" customHeight="1" x14ac:dyDescent="0.3">
      <c r="B1" s="158"/>
      <c r="C1" s="160" t="s">
        <v>0</v>
      </c>
      <c r="D1" s="161"/>
      <c r="E1" s="161"/>
      <c r="F1" s="161"/>
      <c r="G1" s="161"/>
      <c r="H1" s="161"/>
      <c r="I1" s="161"/>
      <c r="J1" s="161"/>
      <c r="K1" s="161"/>
      <c r="L1" s="161"/>
      <c r="M1" s="161"/>
      <c r="N1" s="161"/>
      <c r="O1" s="161"/>
      <c r="P1" s="161"/>
      <c r="Q1" s="161"/>
      <c r="R1" s="161"/>
      <c r="S1" s="161"/>
      <c r="T1" s="161"/>
      <c r="U1" s="166" t="s">
        <v>1</v>
      </c>
    </row>
    <row r="2" spans="1:23" ht="13.95" customHeight="1" x14ac:dyDescent="0.3">
      <c r="B2" s="159"/>
      <c r="C2" s="162"/>
      <c r="D2" s="163"/>
      <c r="E2" s="163"/>
      <c r="F2" s="163"/>
      <c r="G2" s="163"/>
      <c r="H2" s="163"/>
      <c r="I2" s="163"/>
      <c r="J2" s="163"/>
      <c r="K2" s="163"/>
      <c r="L2" s="163"/>
      <c r="M2" s="163"/>
      <c r="N2" s="163"/>
      <c r="O2" s="163"/>
      <c r="P2" s="163"/>
      <c r="Q2" s="163"/>
      <c r="R2" s="163"/>
      <c r="S2" s="163"/>
      <c r="T2" s="163"/>
      <c r="U2" s="167"/>
    </row>
    <row r="3" spans="1:23" ht="25.95" customHeight="1" x14ac:dyDescent="0.3">
      <c r="B3" s="159"/>
      <c r="C3" s="162"/>
      <c r="D3" s="163"/>
      <c r="E3" s="163"/>
      <c r="F3" s="163"/>
      <c r="G3" s="163"/>
      <c r="H3" s="163"/>
      <c r="I3" s="163"/>
      <c r="J3" s="163"/>
      <c r="K3" s="163"/>
      <c r="L3" s="163"/>
      <c r="M3" s="163"/>
      <c r="N3" s="163"/>
      <c r="O3" s="163"/>
      <c r="P3" s="163"/>
      <c r="Q3" s="163"/>
      <c r="R3" s="163"/>
      <c r="S3" s="163"/>
      <c r="T3" s="163"/>
      <c r="U3" s="167"/>
    </row>
    <row r="4" spans="1:23" ht="13.95" customHeight="1" x14ac:dyDescent="0.3">
      <c r="B4" s="159"/>
      <c r="C4" s="162"/>
      <c r="D4" s="163"/>
      <c r="E4" s="163"/>
      <c r="F4" s="163"/>
      <c r="G4" s="163"/>
      <c r="H4" s="163"/>
      <c r="I4" s="163"/>
      <c r="J4" s="163"/>
      <c r="K4" s="163"/>
      <c r="L4" s="163"/>
      <c r="M4" s="163"/>
      <c r="N4" s="163"/>
      <c r="O4" s="163"/>
      <c r="P4" s="163"/>
      <c r="Q4" s="163"/>
      <c r="R4" s="163"/>
      <c r="S4" s="163"/>
      <c r="T4" s="163"/>
      <c r="U4" s="167"/>
    </row>
    <row r="5" spans="1:23" ht="13.95" customHeight="1" x14ac:dyDescent="0.3">
      <c r="B5" s="159"/>
      <c r="C5" s="164"/>
      <c r="D5" s="165"/>
      <c r="E5" s="165"/>
      <c r="F5" s="165"/>
      <c r="G5" s="165"/>
      <c r="H5" s="165"/>
      <c r="I5" s="165"/>
      <c r="J5" s="165"/>
      <c r="K5" s="165"/>
      <c r="L5" s="165"/>
      <c r="M5" s="165"/>
      <c r="N5" s="165"/>
      <c r="O5" s="165"/>
      <c r="P5" s="165"/>
      <c r="Q5" s="165"/>
      <c r="R5" s="165"/>
      <c r="S5" s="165"/>
      <c r="T5" s="165"/>
      <c r="U5" s="167"/>
    </row>
    <row r="6" spans="1:23" ht="54" customHeight="1" x14ac:dyDescent="0.3">
      <c r="B6" s="27" t="s">
        <v>2</v>
      </c>
      <c r="C6" s="25"/>
      <c r="D6" s="25"/>
      <c r="E6" s="25"/>
      <c r="F6" s="25"/>
      <c r="G6" s="25"/>
      <c r="H6" s="25"/>
      <c r="I6" s="25"/>
      <c r="J6" s="25"/>
      <c r="K6" s="25"/>
      <c r="L6" s="25"/>
      <c r="M6" s="25"/>
      <c r="N6" s="25"/>
      <c r="O6" s="25"/>
      <c r="P6" s="25"/>
      <c r="Q6" s="25"/>
      <c r="R6" s="25"/>
      <c r="S6" s="25"/>
      <c r="T6" s="25"/>
      <c r="U6" s="26"/>
      <c r="W6" s="54"/>
    </row>
    <row r="7" spans="1:23" ht="54" customHeight="1" x14ac:dyDescent="0.3">
      <c r="B7" s="27" t="s">
        <v>3</v>
      </c>
      <c r="C7" s="28"/>
      <c r="D7" s="28"/>
      <c r="E7" s="28"/>
      <c r="F7" s="28"/>
      <c r="G7" s="28"/>
      <c r="H7" s="28"/>
      <c r="I7" s="28"/>
      <c r="J7" s="28"/>
      <c r="K7" s="28"/>
      <c r="L7" s="28"/>
      <c r="M7" s="28"/>
      <c r="N7" s="28"/>
      <c r="O7" s="28"/>
      <c r="P7" s="28"/>
      <c r="Q7" s="28"/>
      <c r="R7" s="28"/>
      <c r="S7" s="28"/>
      <c r="T7" s="28"/>
      <c r="U7" s="29"/>
    </row>
    <row r="8" spans="1:23" ht="46.8" x14ac:dyDescent="0.3">
      <c r="B8" s="23" t="s">
        <v>4</v>
      </c>
      <c r="C8" s="84" t="s">
        <v>5</v>
      </c>
      <c r="D8" s="135" t="s">
        <v>6</v>
      </c>
      <c r="E8" s="135" t="s">
        <v>7</v>
      </c>
      <c r="F8" s="84" t="s">
        <v>8</v>
      </c>
      <c r="G8" s="84" t="s">
        <v>9</v>
      </c>
      <c r="H8" s="84" t="s">
        <v>10</v>
      </c>
      <c r="I8" s="135" t="s">
        <v>11</v>
      </c>
      <c r="J8" s="135" t="s">
        <v>12</v>
      </c>
      <c r="K8" s="84" t="s">
        <v>13</v>
      </c>
      <c r="L8" s="135" t="s">
        <v>14</v>
      </c>
      <c r="M8" s="135" t="s">
        <v>15</v>
      </c>
      <c r="N8" s="84" t="s">
        <v>16</v>
      </c>
      <c r="O8" s="84" t="s">
        <v>17</v>
      </c>
      <c r="P8" s="84" t="s">
        <v>18</v>
      </c>
      <c r="Q8" s="84" t="s">
        <v>19</v>
      </c>
      <c r="R8" s="84" t="s">
        <v>20</v>
      </c>
      <c r="S8" s="84" t="s">
        <v>21</v>
      </c>
      <c r="T8" s="84" t="s">
        <v>22</v>
      </c>
      <c r="U8" s="85" t="s">
        <v>23</v>
      </c>
      <c r="W8" s="114" t="s">
        <v>24</v>
      </c>
    </row>
    <row r="9" spans="1:23" s="3" customFormat="1" ht="15.6" x14ac:dyDescent="0.25">
      <c r="A9" s="2"/>
      <c r="B9" s="22"/>
      <c r="C9" s="7">
        <v>1</v>
      </c>
      <c r="D9" s="136" t="s">
        <v>25</v>
      </c>
      <c r="E9" s="136" t="s">
        <v>26</v>
      </c>
      <c r="F9" s="7">
        <f>+C9+1</f>
        <v>2</v>
      </c>
      <c r="G9" s="7">
        <f t="shared" ref="G9:U9" si="0">+F9+1</f>
        <v>3</v>
      </c>
      <c r="H9" s="7">
        <f t="shared" si="0"/>
        <v>4</v>
      </c>
      <c r="I9" s="136" t="s">
        <v>25</v>
      </c>
      <c r="J9" s="136" t="s">
        <v>26</v>
      </c>
      <c r="K9" s="7">
        <f>+H9+1</f>
        <v>5</v>
      </c>
      <c r="L9" s="136" t="s">
        <v>25</v>
      </c>
      <c r="M9" s="136" t="s">
        <v>26</v>
      </c>
      <c r="N9" s="7">
        <f>+K9+1</f>
        <v>6</v>
      </c>
      <c r="O9" s="7">
        <f t="shared" si="0"/>
        <v>7</v>
      </c>
      <c r="P9" s="7">
        <f t="shared" si="0"/>
        <v>8</v>
      </c>
      <c r="Q9" s="7">
        <f t="shared" si="0"/>
        <v>9</v>
      </c>
      <c r="R9" s="7">
        <f t="shared" si="0"/>
        <v>10</v>
      </c>
      <c r="S9" s="7">
        <f t="shared" si="0"/>
        <v>11</v>
      </c>
      <c r="T9" s="7">
        <f t="shared" si="0"/>
        <v>12</v>
      </c>
      <c r="U9" s="70">
        <f t="shared" si="0"/>
        <v>13</v>
      </c>
    </row>
    <row r="10" spans="1:23" s="3" customFormat="1" ht="31.2" x14ac:dyDescent="0.25">
      <c r="B10" s="35" t="s">
        <v>27</v>
      </c>
      <c r="C10" s="39" t="s">
        <v>28</v>
      </c>
      <c r="D10" s="137" t="s">
        <v>28</v>
      </c>
      <c r="E10" s="137" t="s">
        <v>28</v>
      </c>
      <c r="F10" s="39"/>
      <c r="G10" s="39" t="s">
        <v>28</v>
      </c>
      <c r="H10" s="39" t="s">
        <v>28</v>
      </c>
      <c r="I10" s="137" t="s">
        <v>28</v>
      </c>
      <c r="J10" s="137" t="s">
        <v>28</v>
      </c>
      <c r="K10" s="39"/>
      <c r="L10" s="137" t="s">
        <v>28</v>
      </c>
      <c r="M10" s="137" t="s">
        <v>28</v>
      </c>
      <c r="N10" s="39"/>
      <c r="O10" s="39" t="s">
        <v>28</v>
      </c>
      <c r="P10" s="39" t="s">
        <v>28</v>
      </c>
      <c r="Q10" s="39" t="s">
        <v>28</v>
      </c>
      <c r="R10" s="39" t="s">
        <v>28</v>
      </c>
      <c r="S10" s="39" t="s">
        <v>28</v>
      </c>
      <c r="T10" s="39" t="s">
        <v>28</v>
      </c>
      <c r="U10" s="71" t="s">
        <v>28</v>
      </c>
    </row>
    <row r="11" spans="1:23" s="3" customFormat="1" ht="15.6" x14ac:dyDescent="0.25">
      <c r="B11" s="22" t="s">
        <v>29</v>
      </c>
      <c r="C11" s="24" t="str">
        <f t="shared" ref="C11:U11" si="1">IF(C73&lt;=$B$74,"VIGENTE","NO VIGENTE")</f>
        <v>VIGENTE</v>
      </c>
      <c r="D11" s="136" t="str">
        <f t="shared" si="1"/>
        <v>VIGENTE</v>
      </c>
      <c r="E11" s="136" t="str">
        <f t="shared" si="1"/>
        <v>VIGENTE</v>
      </c>
      <c r="F11" s="24"/>
      <c r="G11" s="24" t="str">
        <f t="shared" si="1"/>
        <v>VIGENTE</v>
      </c>
      <c r="H11" s="24" t="str">
        <f t="shared" si="1"/>
        <v>VIGENTE</v>
      </c>
      <c r="I11" s="136" t="str">
        <f t="shared" ref="I11:J11" si="2">IF(I73&lt;=$B$74,"VIGENTE","NO VIGENTE")</f>
        <v>VIGENTE</v>
      </c>
      <c r="J11" s="136" t="str">
        <f t="shared" si="2"/>
        <v>VIGENTE</v>
      </c>
      <c r="K11" s="24"/>
      <c r="L11" s="136" t="str">
        <f t="shared" ref="L11:M11" si="3">IF(L73&lt;=$B$74,"VIGENTE","NO VIGENTE")</f>
        <v>VIGENTE</v>
      </c>
      <c r="M11" s="136" t="str">
        <f t="shared" si="3"/>
        <v>VIGENTE</v>
      </c>
      <c r="N11" s="24"/>
      <c r="O11" s="24" t="str">
        <f t="shared" si="1"/>
        <v>VIGENTE</v>
      </c>
      <c r="P11" s="24" t="str">
        <f t="shared" si="1"/>
        <v>VIGENTE</v>
      </c>
      <c r="Q11" s="24" t="str">
        <f t="shared" si="1"/>
        <v>VIGENTE</v>
      </c>
      <c r="R11" s="24" t="str">
        <f t="shared" si="1"/>
        <v>VIGENTE</v>
      </c>
      <c r="S11" s="24" t="str">
        <f t="shared" si="1"/>
        <v>VIGENTE</v>
      </c>
      <c r="T11" s="24" t="str">
        <f t="shared" si="1"/>
        <v>VIGENTE</v>
      </c>
      <c r="U11" s="72" t="str">
        <f t="shared" si="1"/>
        <v>VIGENTE</v>
      </c>
    </row>
    <row r="12" spans="1:23" s="3" customFormat="1" ht="15.6" x14ac:dyDescent="0.25">
      <c r="B12" s="22" t="s">
        <v>30</v>
      </c>
      <c r="C12" s="9">
        <v>1</v>
      </c>
      <c r="D12" s="138">
        <v>0.6</v>
      </c>
      <c r="E12" s="139">
        <v>0.4</v>
      </c>
      <c r="F12" s="9">
        <f>SUM(D12:E12)</f>
        <v>1</v>
      </c>
      <c r="G12" s="9">
        <v>1</v>
      </c>
      <c r="H12" s="9">
        <v>1</v>
      </c>
      <c r="I12" s="138">
        <v>0.5</v>
      </c>
      <c r="J12" s="139">
        <v>0.5</v>
      </c>
      <c r="K12" s="9">
        <f>SUM(I12:J12)</f>
        <v>1</v>
      </c>
      <c r="L12" s="150">
        <v>0.6</v>
      </c>
      <c r="M12" s="151">
        <v>0.4</v>
      </c>
      <c r="N12" s="9">
        <f>SUM(L12:M12)</f>
        <v>1</v>
      </c>
      <c r="O12" s="9">
        <v>1</v>
      </c>
      <c r="P12" s="9">
        <v>1</v>
      </c>
      <c r="Q12" s="9">
        <v>1</v>
      </c>
      <c r="R12" s="9">
        <v>1</v>
      </c>
      <c r="S12" s="9">
        <v>1</v>
      </c>
      <c r="T12" s="9">
        <v>1</v>
      </c>
      <c r="U12" s="86">
        <v>1</v>
      </c>
    </row>
    <row r="13" spans="1:23" s="3" customFormat="1" ht="15.6" x14ac:dyDescent="0.25">
      <c r="B13" s="22" t="s">
        <v>31</v>
      </c>
      <c r="C13" s="30">
        <v>1319789743</v>
      </c>
      <c r="D13" s="140">
        <v>588156837</v>
      </c>
      <c r="E13" s="140">
        <v>573862444</v>
      </c>
      <c r="F13" s="30">
        <f>SUM((D13*D$12),(E13*E$12))</f>
        <v>582439079.79999995</v>
      </c>
      <c r="G13" s="30">
        <v>1028580671</v>
      </c>
      <c r="H13" s="30">
        <v>1800753000</v>
      </c>
      <c r="I13" s="140">
        <v>2368044212</v>
      </c>
      <c r="J13" s="140">
        <v>107124093</v>
      </c>
      <c r="K13" s="30">
        <f>SUM((I13*I$12),(J13*J$12))</f>
        <v>1237584152.5</v>
      </c>
      <c r="L13" s="140">
        <v>1012028211</v>
      </c>
      <c r="M13" s="140">
        <v>87402145</v>
      </c>
      <c r="N13" s="30">
        <f>SUM((L13*L$12),(M13*M$12))</f>
        <v>642177784.60000002</v>
      </c>
      <c r="O13" s="30">
        <v>761081000</v>
      </c>
      <c r="P13" s="30">
        <v>396731479</v>
      </c>
      <c r="Q13" s="30">
        <v>1459182877</v>
      </c>
      <c r="R13" s="30">
        <v>18702182000</v>
      </c>
      <c r="S13" s="30">
        <v>1407588552</v>
      </c>
      <c r="T13" s="30">
        <v>21349158101</v>
      </c>
      <c r="U13" s="87">
        <v>2860723187</v>
      </c>
    </row>
    <row r="14" spans="1:23" s="3" customFormat="1" ht="15.6" x14ac:dyDescent="0.25">
      <c r="B14" s="22" t="s">
        <v>32</v>
      </c>
      <c r="C14" s="30">
        <v>18051100</v>
      </c>
      <c r="D14" s="140">
        <v>30736045</v>
      </c>
      <c r="E14" s="140">
        <v>41528399</v>
      </c>
      <c r="F14" s="30">
        <f>SUM((D14*D$12),(E14*E$12))</f>
        <v>35052986.600000001</v>
      </c>
      <c r="G14" s="30">
        <v>42111900</v>
      </c>
      <c r="H14" s="30">
        <v>137254000</v>
      </c>
      <c r="I14" s="140">
        <v>753172141</v>
      </c>
      <c r="J14" s="140">
        <v>6468542</v>
      </c>
      <c r="K14" s="30">
        <f>SUM((I14*I$12),(J14*J$12))</f>
        <v>379820341.5</v>
      </c>
      <c r="L14" s="140">
        <v>322068748</v>
      </c>
      <c r="M14" s="140">
        <v>9554816</v>
      </c>
      <c r="N14" s="30">
        <f>SUM((L14*L$12),(M14*M$12))</f>
        <v>197063175.19999999</v>
      </c>
      <c r="O14" s="30">
        <v>97513000</v>
      </c>
      <c r="P14" s="30">
        <v>96074061</v>
      </c>
      <c r="Q14" s="30">
        <v>40804334</v>
      </c>
      <c r="R14" s="30">
        <v>372376000</v>
      </c>
      <c r="S14" s="30">
        <v>406635678</v>
      </c>
      <c r="T14" s="30">
        <v>9005910594</v>
      </c>
      <c r="U14" s="87">
        <v>76322092</v>
      </c>
    </row>
    <row r="15" spans="1:23" s="3" customFormat="1" ht="15.6" x14ac:dyDescent="0.25">
      <c r="B15" s="22" t="s">
        <v>33</v>
      </c>
      <c r="C15" s="30">
        <v>1807244753</v>
      </c>
      <c r="D15" s="140">
        <v>1145061868</v>
      </c>
      <c r="E15" s="140">
        <v>613862444</v>
      </c>
      <c r="F15" s="30">
        <f>SUM((D15*D$12),(E15*E$12))</f>
        <v>932582098.39999998</v>
      </c>
      <c r="G15" s="30">
        <v>2307068176</v>
      </c>
      <c r="H15" s="30">
        <v>2171344000</v>
      </c>
      <c r="I15" s="140">
        <v>2615488582</v>
      </c>
      <c r="J15" s="140">
        <v>114558741</v>
      </c>
      <c r="K15" s="30">
        <f>SUM((I15*I$12),(J15*J$12))</f>
        <v>1365023661.5</v>
      </c>
      <c r="L15" s="140">
        <v>1148081739</v>
      </c>
      <c r="M15" s="140">
        <v>87471917</v>
      </c>
      <c r="N15" s="30">
        <f>SUM((L15*L$12),(M15*M$12))</f>
        <v>723837810.19999993</v>
      </c>
      <c r="O15" s="30">
        <v>797175000</v>
      </c>
      <c r="P15" s="30">
        <v>551817794</v>
      </c>
      <c r="Q15" s="30">
        <v>1872933357</v>
      </c>
      <c r="R15" s="30">
        <v>18839678000</v>
      </c>
      <c r="S15" s="30">
        <v>1531238761</v>
      </c>
      <c r="T15" s="30">
        <v>23754746101</v>
      </c>
      <c r="U15" s="87">
        <v>3021122987</v>
      </c>
    </row>
    <row r="16" spans="1:23" s="3" customFormat="1" ht="15.6" x14ac:dyDescent="0.25">
      <c r="B16" s="22" t="s">
        <v>34</v>
      </c>
      <c r="C16" s="30">
        <v>284142652</v>
      </c>
      <c r="D16" s="140">
        <v>99452921</v>
      </c>
      <c r="E16" s="140">
        <v>104528399</v>
      </c>
      <c r="F16" s="30">
        <f>SUM((D16*D$12),(E16*E$12))</f>
        <v>101483112.2</v>
      </c>
      <c r="G16" s="30">
        <v>662513177</v>
      </c>
      <c r="H16" s="30">
        <v>137254000</v>
      </c>
      <c r="I16" s="140">
        <v>1456301787</v>
      </c>
      <c r="J16" s="140">
        <v>6468542</v>
      </c>
      <c r="K16" s="30">
        <f>SUM((I16*I$12),(J16*J$12))</f>
        <v>731385164.5</v>
      </c>
      <c r="L16" s="140">
        <v>322068748</v>
      </c>
      <c r="M16" s="140">
        <v>25881502</v>
      </c>
      <c r="N16" s="30">
        <f>SUM((L16*L$12),(M16*M$12))</f>
        <v>203593849.59999999</v>
      </c>
      <c r="O16" s="30">
        <v>97513000</v>
      </c>
      <c r="P16" s="30">
        <v>271074061</v>
      </c>
      <c r="Q16" s="30">
        <v>40804334</v>
      </c>
      <c r="R16" s="30">
        <v>5368372000</v>
      </c>
      <c r="S16" s="30">
        <v>502343678</v>
      </c>
      <c r="T16" s="30">
        <v>12385743648</v>
      </c>
      <c r="U16" s="87">
        <v>132572092</v>
      </c>
    </row>
    <row r="17" spans="2:23" s="3" customFormat="1" ht="15.6" x14ac:dyDescent="0.25">
      <c r="B17" s="22" t="s">
        <v>35</v>
      </c>
      <c r="C17" s="30">
        <v>1523102101</v>
      </c>
      <c r="D17" s="140">
        <v>1045608947</v>
      </c>
      <c r="E17" s="140">
        <v>509334045</v>
      </c>
      <c r="F17" s="30">
        <f>SUM((D17*D$12),(E17*E$12))</f>
        <v>831098986.19999993</v>
      </c>
      <c r="G17" s="30">
        <v>1644554999</v>
      </c>
      <c r="H17" s="30">
        <v>2034090000</v>
      </c>
      <c r="I17" s="140">
        <v>1159186795</v>
      </c>
      <c r="J17" s="140">
        <v>108090199</v>
      </c>
      <c r="K17" s="30">
        <f>SUM((I17*I$12),(J17*J$12))</f>
        <v>633638497</v>
      </c>
      <c r="L17" s="140">
        <v>826012991</v>
      </c>
      <c r="M17" s="140">
        <v>61590415</v>
      </c>
      <c r="N17" s="30">
        <f>SUM((L17*L$12),(M17*M$12))</f>
        <v>520243960.59999996</v>
      </c>
      <c r="O17" s="30">
        <v>699662000</v>
      </c>
      <c r="P17" s="30">
        <v>280743733</v>
      </c>
      <c r="Q17" s="30">
        <v>1832129023</v>
      </c>
      <c r="R17" s="30">
        <v>13471306000</v>
      </c>
      <c r="S17" s="30">
        <v>1028895083</v>
      </c>
      <c r="T17" s="30">
        <v>11369002453</v>
      </c>
      <c r="U17" s="87">
        <v>2888550895</v>
      </c>
    </row>
    <row r="18" spans="2:23" s="3" customFormat="1" ht="15.6" x14ac:dyDescent="0.25">
      <c r="B18" s="22" t="s">
        <v>36</v>
      </c>
      <c r="C18" s="30">
        <f t="shared" ref="C18:U18" si="4">+C15-C16-C17</f>
        <v>0</v>
      </c>
      <c r="D18" s="140">
        <f t="shared" si="4"/>
        <v>0</v>
      </c>
      <c r="E18" s="140">
        <f t="shared" si="4"/>
        <v>0</v>
      </c>
      <c r="F18" s="30">
        <f>+F15-F16-F17</f>
        <v>0</v>
      </c>
      <c r="G18" s="30">
        <f t="shared" si="4"/>
        <v>0</v>
      </c>
      <c r="H18" s="30">
        <f t="shared" si="4"/>
        <v>0</v>
      </c>
      <c r="I18" s="140">
        <f t="shared" ref="I18:J18" si="5">+I15-I16-I17</f>
        <v>0</v>
      </c>
      <c r="J18" s="140">
        <f t="shared" si="5"/>
        <v>0</v>
      </c>
      <c r="K18" s="30">
        <f>+K15-K16-K17</f>
        <v>0</v>
      </c>
      <c r="L18" s="140">
        <f t="shared" ref="L18:M18" si="6">+L15-L16-L17</f>
        <v>0</v>
      </c>
      <c r="M18" s="140">
        <f t="shared" si="6"/>
        <v>0</v>
      </c>
      <c r="N18" s="30">
        <f>+N15-N16-N17</f>
        <v>0</v>
      </c>
      <c r="O18" s="30">
        <f t="shared" si="4"/>
        <v>0</v>
      </c>
      <c r="P18" s="30">
        <f t="shared" si="4"/>
        <v>0</v>
      </c>
      <c r="Q18" s="30">
        <f t="shared" si="4"/>
        <v>0</v>
      </c>
      <c r="R18" s="30">
        <f t="shared" si="4"/>
        <v>0</v>
      </c>
      <c r="S18" s="30">
        <f t="shared" si="4"/>
        <v>0</v>
      </c>
      <c r="T18" s="30">
        <f t="shared" si="4"/>
        <v>0</v>
      </c>
      <c r="U18" s="87">
        <f t="shared" si="4"/>
        <v>0</v>
      </c>
    </row>
    <row r="19" spans="2:23" s="3" customFormat="1" ht="15.6" x14ac:dyDescent="0.25">
      <c r="B19" s="22" t="s">
        <v>37</v>
      </c>
      <c r="C19" s="30">
        <v>641223526</v>
      </c>
      <c r="D19" s="140">
        <v>107525877</v>
      </c>
      <c r="E19" s="140">
        <v>43327685</v>
      </c>
      <c r="F19" s="30">
        <f>SUM((D19*D$12),(E19*E$12))</f>
        <v>81846600.199999988</v>
      </c>
      <c r="G19" s="30">
        <v>800281670</v>
      </c>
      <c r="H19" s="30">
        <v>935766000</v>
      </c>
      <c r="I19" s="140">
        <v>377935800</v>
      </c>
      <c r="J19" s="140">
        <v>51244040</v>
      </c>
      <c r="K19" s="30">
        <f>SUM((I19*I$12),(J19*J$12))</f>
        <v>214589920</v>
      </c>
      <c r="L19" s="140">
        <v>785970101</v>
      </c>
      <c r="M19" s="140">
        <v>3635088</v>
      </c>
      <c r="N19" s="30">
        <f>SUM((L19*L$12),(M19*M$12))</f>
        <v>473036095.79999995</v>
      </c>
      <c r="O19" s="30">
        <v>199662000</v>
      </c>
      <c r="P19" s="30">
        <v>85760217</v>
      </c>
      <c r="Q19" s="30">
        <v>600838767</v>
      </c>
      <c r="R19" s="30">
        <v>6443596000</v>
      </c>
      <c r="S19" s="30">
        <v>652021227</v>
      </c>
      <c r="T19" s="30">
        <v>5108451873</v>
      </c>
      <c r="U19" s="87">
        <v>1825592113</v>
      </c>
    </row>
    <row r="20" spans="2:23" s="3" customFormat="1" ht="15.6" x14ac:dyDescent="0.25">
      <c r="B20" s="22" t="s">
        <v>38</v>
      </c>
      <c r="C20" s="30">
        <v>22926119</v>
      </c>
      <c r="D20" s="140">
        <v>1954277</v>
      </c>
      <c r="E20" s="140">
        <v>0</v>
      </c>
      <c r="F20" s="30">
        <f>SUM((D20*D$12),(E20*E$12))</f>
        <v>1172566.2</v>
      </c>
      <c r="G20" s="30">
        <v>46194111</v>
      </c>
      <c r="H20" s="30">
        <v>0</v>
      </c>
      <c r="I20" s="140">
        <v>71000</v>
      </c>
      <c r="J20" s="140">
        <v>0</v>
      </c>
      <c r="K20" s="30">
        <f>SUM((I20*I$12),(J20*J$12))</f>
        <v>35500</v>
      </c>
      <c r="L20" s="140">
        <v>2869734</v>
      </c>
      <c r="M20" s="140">
        <v>0</v>
      </c>
      <c r="N20" s="30">
        <f>SUM((L20*L$12),(M20*M$12))</f>
        <v>1721840.4</v>
      </c>
      <c r="O20" s="30">
        <v>1500000</v>
      </c>
      <c r="P20" s="30">
        <v>0</v>
      </c>
      <c r="Q20" s="30">
        <v>1210000</v>
      </c>
      <c r="R20" s="30">
        <v>0</v>
      </c>
      <c r="S20" s="30">
        <v>10561800</v>
      </c>
      <c r="T20" s="30">
        <v>1473351880</v>
      </c>
      <c r="U20" s="87">
        <v>2549628</v>
      </c>
    </row>
    <row r="21" spans="2:23" s="3" customFormat="1" ht="31.2" x14ac:dyDescent="0.25">
      <c r="B21" s="22" t="s">
        <v>39</v>
      </c>
      <c r="C21" s="31">
        <f t="shared" ref="C21:U21" si="7">+C19/C17</f>
        <v>0.42099838584622895</v>
      </c>
      <c r="D21" s="141">
        <f>+D19/D17</f>
        <v>0.10283565123319474</v>
      </c>
      <c r="E21" s="141">
        <f>+E19/E17</f>
        <v>8.5067325511295838E-2</v>
      </c>
      <c r="F21" s="31">
        <f>+F19/F17</f>
        <v>9.8479966356623622E-2</v>
      </c>
      <c r="G21" s="31">
        <f t="shared" si="7"/>
        <v>0.48662505692216135</v>
      </c>
      <c r="H21" s="31">
        <f t="shared" si="7"/>
        <v>0.46004159108004072</v>
      </c>
      <c r="I21" s="141">
        <f t="shared" ref="I21:N21" si="8">+I19/I17</f>
        <v>0.3260352875224049</v>
      </c>
      <c r="J21" s="141">
        <f t="shared" si="8"/>
        <v>0.47408590671574208</v>
      </c>
      <c r="K21" s="31">
        <f t="shared" si="8"/>
        <v>0.33866300898065543</v>
      </c>
      <c r="L21" s="141">
        <f t="shared" si="8"/>
        <v>0.95152268737139023</v>
      </c>
      <c r="M21" s="141">
        <f t="shared" si="8"/>
        <v>5.9020352436332829E-2</v>
      </c>
      <c r="N21" s="31">
        <f t="shared" si="8"/>
        <v>0.90925821657678652</v>
      </c>
      <c r="O21" s="31">
        <f t="shared" si="7"/>
        <v>0.28536922113820673</v>
      </c>
      <c r="P21" s="31">
        <f t="shared" si="7"/>
        <v>0.30547508962559816</v>
      </c>
      <c r="Q21" s="31">
        <f t="shared" si="7"/>
        <v>0.32794566291852251</v>
      </c>
      <c r="R21" s="31">
        <f t="shared" si="7"/>
        <v>0.47832006785385173</v>
      </c>
      <c r="S21" s="31">
        <f t="shared" si="7"/>
        <v>0.63371012047104902</v>
      </c>
      <c r="T21" s="31">
        <f t="shared" si="7"/>
        <v>0.44933158332215906</v>
      </c>
      <c r="U21" s="73">
        <f t="shared" si="7"/>
        <v>0.63200967521813389</v>
      </c>
    </row>
    <row r="22" spans="2:23" s="3" customFormat="1" ht="31.2" x14ac:dyDescent="0.25">
      <c r="B22" s="22" t="s">
        <v>40</v>
      </c>
      <c r="C22" s="31">
        <f t="shared" ref="C22:T22" si="9">+C19/C16</f>
        <v>2.256695788142359</v>
      </c>
      <c r="D22" s="141">
        <f>+D19/D15</f>
        <v>9.3903988950228501E-2</v>
      </c>
      <c r="E22" s="141">
        <f>+E19/E15</f>
        <v>7.0582074898851446E-2</v>
      </c>
      <c r="F22" s="31">
        <f>+F19/F15</f>
        <v>8.7763426233917072E-2</v>
      </c>
      <c r="G22" s="31">
        <f t="shared" si="9"/>
        <v>1.2079483062115759</v>
      </c>
      <c r="H22" s="31">
        <f t="shared" si="9"/>
        <v>6.8177685167645388</v>
      </c>
      <c r="I22" s="141">
        <f t="shared" ref="I22:N22" si="10">+I19/I15</f>
        <v>0.14449912058534078</v>
      </c>
      <c r="J22" s="141">
        <f t="shared" si="10"/>
        <v>0.44731671763047748</v>
      </c>
      <c r="K22" s="31">
        <f t="shared" si="10"/>
        <v>0.15720600752384833</v>
      </c>
      <c r="L22" s="141">
        <f t="shared" si="10"/>
        <v>0.68459420117995617</v>
      </c>
      <c r="M22" s="141">
        <f t="shared" si="10"/>
        <v>4.1557200581301995E-2</v>
      </c>
      <c r="N22" s="31">
        <f t="shared" si="10"/>
        <v>0.65351117216341292</v>
      </c>
      <c r="O22" s="31">
        <f t="shared" si="9"/>
        <v>2.0475423789648559</v>
      </c>
      <c r="P22" s="31">
        <f t="shared" si="9"/>
        <v>0.31637190472459109</v>
      </c>
      <c r="Q22" s="31">
        <f t="shared" si="9"/>
        <v>14.724876210453527</v>
      </c>
      <c r="R22" s="31">
        <f t="shared" si="9"/>
        <v>1.2002886536178938</v>
      </c>
      <c r="S22" s="31">
        <f t="shared" si="9"/>
        <v>1.2979584606218535</v>
      </c>
      <c r="T22" s="31">
        <f t="shared" si="9"/>
        <v>0.41244611693742689</v>
      </c>
      <c r="U22" s="73">
        <f t="shared" ref="U22" si="11">+U19/U15</f>
        <v>0.60427599963840861</v>
      </c>
      <c r="W22" s="67" t="s">
        <v>41</v>
      </c>
    </row>
    <row r="23" spans="2:23" s="3" customFormat="1" ht="15.6" x14ac:dyDescent="0.25">
      <c r="B23" s="10" t="s">
        <v>42</v>
      </c>
      <c r="C23" s="38">
        <f>IF(C12=1,$W$23,"")</f>
        <v>398000000</v>
      </c>
      <c r="D23" s="142" t="str">
        <f>IF(D12=1,$U$23,"")</f>
        <v/>
      </c>
      <c r="E23" s="142" t="str">
        <f>IF(E12=1,$U$23,"")</f>
        <v/>
      </c>
      <c r="F23" s="38">
        <f>IF(F12=1,$O$23,"")</f>
        <v>398000000</v>
      </c>
      <c r="G23" s="38">
        <f>IF(G12=1,$W$23,"")</f>
        <v>398000000</v>
      </c>
      <c r="H23" s="38">
        <f>IF(H12=1,$W$23,"")</f>
        <v>398000000</v>
      </c>
      <c r="I23" s="142" t="str">
        <f>IF(I12=1,$U$23,"")</f>
        <v/>
      </c>
      <c r="J23" s="142" t="str">
        <f>IF(J12=1,$U$23,"")</f>
        <v/>
      </c>
      <c r="K23" s="38">
        <f>IF(K12=1,$O$23,"")</f>
        <v>398000000</v>
      </c>
      <c r="L23" s="142" t="str">
        <f>IF(L12=1,$U$23,"")</f>
        <v/>
      </c>
      <c r="M23" s="142" t="str">
        <f>IF(M12=1,$U$23,"")</f>
        <v/>
      </c>
      <c r="N23" s="38">
        <f>IF(N12=1,$O$23,"")</f>
        <v>398000000</v>
      </c>
      <c r="O23" s="38">
        <f t="shared" ref="O23:U23" si="12">IF(O12=1,$W$23,"")</f>
        <v>398000000</v>
      </c>
      <c r="P23" s="38">
        <f t="shared" si="12"/>
        <v>398000000</v>
      </c>
      <c r="Q23" s="38">
        <f t="shared" si="12"/>
        <v>398000000</v>
      </c>
      <c r="R23" s="38">
        <f t="shared" si="12"/>
        <v>398000000</v>
      </c>
      <c r="S23" s="38">
        <f t="shared" si="12"/>
        <v>398000000</v>
      </c>
      <c r="T23" s="38">
        <f t="shared" si="12"/>
        <v>398000000</v>
      </c>
      <c r="U23" s="74">
        <f t="shared" si="12"/>
        <v>398000000</v>
      </c>
      <c r="W23" s="42">
        <v>398000000</v>
      </c>
    </row>
    <row r="24" spans="2:23" s="3" customFormat="1" ht="15.6" x14ac:dyDescent="0.25">
      <c r="B24" s="32" t="s">
        <v>43</v>
      </c>
      <c r="C24" s="33"/>
      <c r="D24" s="33"/>
      <c r="E24" s="33"/>
      <c r="F24" s="33"/>
      <c r="G24" s="33"/>
      <c r="H24" s="33"/>
      <c r="I24" s="33"/>
      <c r="J24" s="33"/>
      <c r="K24" s="33"/>
      <c r="L24" s="33"/>
      <c r="M24" s="33"/>
      <c r="N24" s="33"/>
      <c r="O24" s="33"/>
      <c r="P24" s="33"/>
      <c r="Q24" s="33"/>
      <c r="R24" s="33"/>
      <c r="S24" s="33"/>
      <c r="T24" s="33"/>
      <c r="U24" s="34"/>
    </row>
    <row r="25" spans="2:23" s="3" customFormat="1" ht="15.6" x14ac:dyDescent="0.25">
      <c r="B25" s="11" t="s">
        <v>44</v>
      </c>
      <c r="C25" s="12"/>
      <c r="D25" s="12"/>
      <c r="E25" s="12"/>
      <c r="F25" s="12"/>
      <c r="G25" s="12"/>
      <c r="H25" s="12"/>
      <c r="I25" s="12"/>
      <c r="J25" s="12"/>
      <c r="K25" s="12"/>
      <c r="L25" s="12"/>
      <c r="M25" s="12"/>
      <c r="N25" s="12"/>
      <c r="O25" s="12"/>
      <c r="P25" s="12"/>
      <c r="Q25" s="12"/>
      <c r="R25" s="12"/>
      <c r="S25" s="12"/>
      <c r="T25" s="12"/>
      <c r="U25" s="75"/>
    </row>
    <row r="26" spans="2:23" s="3" customFormat="1" ht="15.6" x14ac:dyDescent="0.25">
      <c r="B26" s="52" t="s">
        <v>45</v>
      </c>
      <c r="C26" s="47"/>
      <c r="D26" s="47"/>
      <c r="E26" s="47"/>
      <c r="F26" s="47"/>
      <c r="G26" s="47"/>
      <c r="H26" s="47"/>
      <c r="I26" s="47"/>
      <c r="J26" s="47"/>
      <c r="K26" s="47"/>
      <c r="L26" s="47"/>
      <c r="M26" s="47"/>
      <c r="N26" s="47"/>
      <c r="O26" s="47"/>
      <c r="P26" s="47"/>
      <c r="Q26" s="47"/>
      <c r="R26" s="47"/>
      <c r="S26" s="47"/>
      <c r="T26" s="47"/>
      <c r="U26" s="48"/>
    </row>
    <row r="27" spans="2:23" s="3" customFormat="1" ht="15.6" x14ac:dyDescent="0.25">
      <c r="B27" s="32" t="s">
        <v>43</v>
      </c>
      <c r="C27" s="33"/>
      <c r="D27" s="33"/>
      <c r="E27" s="33"/>
      <c r="F27" s="33"/>
      <c r="G27" s="33"/>
      <c r="H27" s="33"/>
      <c r="I27" s="33"/>
      <c r="J27" s="33"/>
      <c r="K27" s="33"/>
      <c r="L27" s="33"/>
      <c r="M27" s="33"/>
      <c r="N27" s="33"/>
      <c r="O27" s="33"/>
      <c r="P27" s="33"/>
      <c r="Q27" s="33"/>
      <c r="R27" s="33"/>
      <c r="S27" s="33"/>
      <c r="T27" s="33"/>
      <c r="U27" s="34"/>
    </row>
    <row r="28" spans="2:23" s="3" customFormat="1" ht="22.5" customHeight="1" x14ac:dyDescent="0.25">
      <c r="B28" s="35" t="str">
        <f>CONCATENATE("Índice de Liquidez: Mayor o Igual a ",W28)</f>
        <v>Índice de Liquidez: Mayor o Igual a 1,4</v>
      </c>
      <c r="C28" s="13" t="str">
        <f>IF(C75="MiPyME",IF(C29&gt;=$W$28,$B$25,$B$26))</f>
        <v>HÁBIL</v>
      </c>
      <c r="D28" s="143"/>
      <c r="E28" s="143"/>
      <c r="F28" s="13" t="str">
        <f>IF(F75="MiPyME",IF(F29&gt;=$W$28,$B$25,$B$26))</f>
        <v>HÁBIL</v>
      </c>
      <c r="G28" s="13" t="str">
        <f>IF(G75="MiPyME",IF(G29&gt;=$W$28,$B$25,$B$26))</f>
        <v>HÁBIL</v>
      </c>
      <c r="H28" s="13" t="str">
        <f>IF(H75="MiPyME",IF(H29&gt;=$W$28,$B$25,$B$26))</f>
        <v>HÁBIL</v>
      </c>
      <c r="I28" s="143"/>
      <c r="J28" s="143"/>
      <c r="K28" s="13" t="str">
        <f>IF(K75="MiPyME",IF(K29&gt;=$W$28,$B$25,$B$26))</f>
        <v>HÁBIL</v>
      </c>
      <c r="L28" s="143"/>
      <c r="M28" s="143"/>
      <c r="N28" s="13" t="str">
        <f>IF(N75="MiPyME",IF(N29&gt;=$W$28,$B$25,$B$26))</f>
        <v>HÁBIL</v>
      </c>
      <c r="O28" s="13" t="str">
        <f t="shared" ref="O28:U28" si="13">IF(O75="MiPyME",IF(O29&gt;=$W$28,$B$25,$B$26))</f>
        <v>HÁBIL</v>
      </c>
      <c r="P28" s="13" t="str">
        <f t="shared" si="13"/>
        <v>HÁBIL</v>
      </c>
      <c r="Q28" s="13" t="str">
        <f t="shared" si="13"/>
        <v>HÁBIL</v>
      </c>
      <c r="R28" s="13" t="str">
        <f t="shared" si="13"/>
        <v>HÁBIL</v>
      </c>
      <c r="S28" s="13" t="str">
        <f t="shared" si="13"/>
        <v>HÁBIL</v>
      </c>
      <c r="T28" s="13" t="str">
        <f>IF(T29&gt;=$W$28,$B$25,$B$26)</f>
        <v>HÁBIL</v>
      </c>
      <c r="U28" s="76" t="str">
        <f t="shared" si="13"/>
        <v>HÁBIL</v>
      </c>
      <c r="W28" s="40">
        <v>1.4</v>
      </c>
    </row>
    <row r="29" spans="2:23" s="3" customFormat="1" ht="22.5" customHeight="1" x14ac:dyDescent="0.25">
      <c r="B29" s="21" t="s">
        <v>46</v>
      </c>
      <c r="C29" s="14">
        <f>C13/C14</f>
        <v>73.114089612267392</v>
      </c>
      <c r="D29" s="144"/>
      <c r="E29" s="144"/>
      <c r="F29" s="14">
        <f t="shared" ref="F29" si="14">F13/F14</f>
        <v>16.615961613952745</v>
      </c>
      <c r="G29" s="14">
        <f>G13/G14</f>
        <v>24.42494095493198</v>
      </c>
      <c r="H29" s="14">
        <f>H13/H14</f>
        <v>13.119858073353054</v>
      </c>
      <c r="I29" s="144"/>
      <c r="J29" s="144"/>
      <c r="K29" s="14">
        <f t="shared" ref="K29" si="15">K13/K14</f>
        <v>3.2583408977320398</v>
      </c>
      <c r="L29" s="144"/>
      <c r="M29" s="144"/>
      <c r="N29" s="14">
        <f t="shared" ref="N29" si="16">N13/N14</f>
        <v>3.258740675157862</v>
      </c>
      <c r="O29" s="14">
        <f t="shared" ref="O29:U29" si="17">O13/O14</f>
        <v>7.8049183185831632</v>
      </c>
      <c r="P29" s="14">
        <f t="shared" si="17"/>
        <v>4.1294338437510207</v>
      </c>
      <c r="Q29" s="14">
        <f t="shared" si="17"/>
        <v>35.760487525663329</v>
      </c>
      <c r="R29" s="14">
        <f t="shared" si="17"/>
        <v>50.223918834726192</v>
      </c>
      <c r="S29" s="14">
        <f t="shared" si="17"/>
        <v>3.4615471001538629</v>
      </c>
      <c r="T29" s="14">
        <f t="shared" si="17"/>
        <v>2.3705718459189935</v>
      </c>
      <c r="U29" s="88">
        <f t="shared" si="17"/>
        <v>37.482242847850657</v>
      </c>
    </row>
    <row r="30" spans="2:23" s="3" customFormat="1" ht="22.5" customHeight="1" x14ac:dyDescent="0.25">
      <c r="B30" s="35" t="str">
        <f>CONCATENATE("Endeudamiento total: Menor o Igual a ",W30)</f>
        <v>Endeudamiento total: Menor o Igual a 0,6</v>
      </c>
      <c r="C30" s="15" t="str">
        <f>IF(C75="MiPyME",IF(C31&lt;=$W$30,$B$25,$B$26))</f>
        <v>HÁBIL</v>
      </c>
      <c r="D30" s="145"/>
      <c r="E30" s="145"/>
      <c r="F30" s="15" t="str">
        <f>IF(F75="MiPyME",IF(F31&lt;=$W$30,$B$25,$B$26))</f>
        <v>HÁBIL</v>
      </c>
      <c r="G30" s="15" t="str">
        <f>IF(G75="MiPyME",IF(G31&lt;=$W$30,$B$25,$B$26))</f>
        <v>HÁBIL</v>
      </c>
      <c r="H30" s="15" t="str">
        <f>IF(H75="MiPyME",IF(H31&lt;=$W$30,$B$25,$B$26))</f>
        <v>HÁBIL</v>
      </c>
      <c r="I30" s="145"/>
      <c r="J30" s="145"/>
      <c r="K30" s="15" t="str">
        <f>IF(K75="MiPyME",IF(K31&lt;=$W$30,$B$25,$B$26))</f>
        <v>HÁBIL</v>
      </c>
      <c r="L30" s="145"/>
      <c r="M30" s="145"/>
      <c r="N30" s="15" t="str">
        <f>IF(N75="MiPyME",IF(N31&lt;=$W$30,$B$25,$B$26))</f>
        <v>HÁBIL</v>
      </c>
      <c r="O30" s="15" t="str">
        <f t="shared" ref="O30:U30" si="18">IF(O75="MiPyME",IF(O31&lt;=$W$30,$B$25,$B$26))</f>
        <v>HÁBIL</v>
      </c>
      <c r="P30" s="15" t="str">
        <f t="shared" si="18"/>
        <v>HÁBIL</v>
      </c>
      <c r="Q30" s="15" t="str">
        <f t="shared" si="18"/>
        <v>HÁBIL</v>
      </c>
      <c r="R30" s="15" t="str">
        <f t="shared" si="18"/>
        <v>HÁBIL</v>
      </c>
      <c r="S30" s="15" t="str">
        <f t="shared" si="18"/>
        <v>HÁBIL</v>
      </c>
      <c r="T30" s="15" t="str">
        <f>IF(T31&lt;=$W$30,$B$25,$B$26)</f>
        <v>HÁBIL</v>
      </c>
      <c r="U30" s="77" t="str">
        <f t="shared" si="18"/>
        <v>HÁBIL</v>
      </c>
      <c r="W30" s="41">
        <v>0.6</v>
      </c>
    </row>
    <row r="31" spans="2:23" s="3" customFormat="1" ht="22.5" customHeight="1" x14ac:dyDescent="0.25">
      <c r="B31" s="21" t="s">
        <v>47</v>
      </c>
      <c r="C31" s="16">
        <f>C16/C15</f>
        <v>0.15722422296610758</v>
      </c>
      <c r="D31" s="146"/>
      <c r="E31" s="146"/>
      <c r="F31" s="16">
        <f>F16/F15</f>
        <v>0.10881949414867731</v>
      </c>
      <c r="G31" s="16">
        <f>G16/G15</f>
        <v>0.28716670963259822</v>
      </c>
      <c r="H31" s="16">
        <f>H16/H15</f>
        <v>6.3211540870539165E-2</v>
      </c>
      <c r="I31" s="146"/>
      <c r="J31" s="146"/>
      <c r="K31" s="16">
        <f>K16/K15</f>
        <v>0.53580401946754097</v>
      </c>
      <c r="L31" s="146"/>
      <c r="M31" s="146"/>
      <c r="N31" s="16">
        <f>N16/N15</f>
        <v>0.2812699844233697</v>
      </c>
      <c r="O31" s="16">
        <f t="shared" ref="O31:U31" si="19">O16/O15</f>
        <v>0.1223232038134663</v>
      </c>
      <c r="P31" s="16">
        <f t="shared" si="19"/>
        <v>0.49123834705482511</v>
      </c>
      <c r="Q31" s="16">
        <f t="shared" si="19"/>
        <v>2.1786324562748444E-2</v>
      </c>
      <c r="R31" s="16">
        <f t="shared" si="19"/>
        <v>0.2849503054139248</v>
      </c>
      <c r="S31" s="16">
        <f t="shared" si="19"/>
        <v>0.3280635853757623</v>
      </c>
      <c r="T31" s="16">
        <f t="shared" si="19"/>
        <v>0.52140080114258092</v>
      </c>
      <c r="U31" s="89">
        <f t="shared" si="19"/>
        <v>4.3881726288688826E-2</v>
      </c>
    </row>
    <row r="32" spans="2:23" s="3" customFormat="1" ht="31.2" x14ac:dyDescent="0.25">
      <c r="B32" s="35" t="str">
        <f>CONCATENATE("Razón de Cobertura de Intereses Mayor o Igual a ",W32," o Indeterminado")</f>
        <v>Razón de Cobertura de Intereses Mayor o Igual a 1,7 o Indeterminado</v>
      </c>
      <c r="C32" s="15" t="str">
        <f>IF(C75="MiPyME",IF(AND(C33="Indeterminado",C19&lt;=0),$B$26,IF(C33&gt;=$W$32,$B$25,$B$26)))</f>
        <v>HÁBIL</v>
      </c>
      <c r="D32" s="145"/>
      <c r="E32" s="145"/>
      <c r="F32" s="15" t="str">
        <f>IF(F75="MiPyME",IF(AND(F33="Indeterminado",F19&lt;=0),$B$26,IF(F33&gt;=$W$32,$B$25,$B$26)))</f>
        <v>HÁBIL</v>
      </c>
      <c r="G32" s="15" t="str">
        <f>IF(G75="MiPyME",IF(AND(G33="Indeterminado",G19&lt;=0),$B$26,IF(G33&gt;=$W$32,$B$25,$B$26)))</f>
        <v>HÁBIL</v>
      </c>
      <c r="H32" s="15" t="str">
        <f>IF(H75="MiPyME",IF(AND(H33="Indeterminado",H19&lt;=0),$B$26,IF(H33&gt;=$W$32,$B$25,$B$26)))</f>
        <v>HÁBIL</v>
      </c>
      <c r="I32" s="145"/>
      <c r="J32" s="145"/>
      <c r="K32" s="15" t="str">
        <f>IF(K75="MiPyME",IF(AND(K33="Indeterminado",K19&lt;=0),$B$26,IF(K33&gt;=$W$32,$B$25,$B$26)))</f>
        <v>HÁBIL</v>
      </c>
      <c r="L32" s="145"/>
      <c r="M32" s="145"/>
      <c r="N32" s="15" t="str">
        <f t="shared" ref="N32:S32" si="20">IF(N75="MiPyME",IF(AND(N33="Indeterminado",N19&lt;=0),$B$26,IF(N33&gt;=$W$32,$B$25,$B$26)))</f>
        <v>HÁBIL</v>
      </c>
      <c r="O32" s="15" t="str">
        <f t="shared" si="20"/>
        <v>HÁBIL</v>
      </c>
      <c r="P32" s="15" t="str">
        <f t="shared" si="20"/>
        <v>HÁBIL</v>
      </c>
      <c r="Q32" s="15" t="str">
        <f t="shared" si="20"/>
        <v>HÁBIL</v>
      </c>
      <c r="R32" s="15" t="str">
        <f t="shared" si="20"/>
        <v>HÁBIL</v>
      </c>
      <c r="S32" s="15" t="str">
        <f t="shared" si="20"/>
        <v>HÁBIL</v>
      </c>
      <c r="T32" s="15" t="str">
        <f>IF(AND(T33="Indeterminado",T19&lt;=0),$B$26,IF(T33&gt;=$W$32,$B$25,$B$26))</f>
        <v>HÁBIL</v>
      </c>
      <c r="U32" s="77" t="str">
        <f>IF(U75="MiPyME",IF(AND(U33="Indeterminado",U19&lt;=0),$B$26,IF(U33&gt;=$W$32,$B$25,$B$26)))</f>
        <v>HÁBIL</v>
      </c>
      <c r="W32" s="134">
        <v>1.7</v>
      </c>
    </row>
    <row r="33" spans="2:23" s="3" customFormat="1" ht="21.6" customHeight="1" x14ac:dyDescent="0.25">
      <c r="B33" s="21" t="s">
        <v>48</v>
      </c>
      <c r="C33" s="37">
        <f>IFERROR(C19/C20,"Indeterminado")</f>
        <v>27.969126654188614</v>
      </c>
      <c r="D33" s="147"/>
      <c r="E33" s="147"/>
      <c r="F33" s="37">
        <f t="shared" ref="F33" si="21">IFERROR(F19/F20,"Indeterminado")</f>
        <v>69.801261711279068</v>
      </c>
      <c r="G33" s="37">
        <f>IFERROR(G19/G20,"Indeterminado")</f>
        <v>17.3243223578867</v>
      </c>
      <c r="H33" s="37" t="str">
        <f>IFERROR(H19/H20,"Indeterminado")</f>
        <v>Indeterminado</v>
      </c>
      <c r="I33" s="147"/>
      <c r="J33" s="147"/>
      <c r="K33" s="37">
        <f t="shared" ref="K33" si="22">IFERROR(K19/K20,"Indeterminado")</f>
        <v>6044.7864788732395</v>
      </c>
      <c r="L33" s="147"/>
      <c r="M33" s="147"/>
      <c r="N33" s="37">
        <f t="shared" ref="N33" si="23">IFERROR(N19/N20,"Indeterminado")</f>
        <v>274.72702801026156</v>
      </c>
      <c r="O33" s="37">
        <f t="shared" ref="O33:U33" si="24">IFERROR(O19/O20,"Indeterminado")</f>
        <v>133.108</v>
      </c>
      <c r="P33" s="37" t="str">
        <f t="shared" si="24"/>
        <v>Indeterminado</v>
      </c>
      <c r="Q33" s="37">
        <f t="shared" si="24"/>
        <v>496.56096446280992</v>
      </c>
      <c r="R33" s="37" t="str">
        <f t="shared" si="24"/>
        <v>Indeterminado</v>
      </c>
      <c r="S33" s="37">
        <f t="shared" si="24"/>
        <v>61.733911549167757</v>
      </c>
      <c r="T33" s="37">
        <f t="shared" si="24"/>
        <v>3.4672313805986388</v>
      </c>
      <c r="U33" s="90">
        <f t="shared" si="24"/>
        <v>716.02293079617891</v>
      </c>
    </row>
    <row r="34" spans="2:23" s="3" customFormat="1" ht="21.6" customHeight="1" x14ac:dyDescent="0.25">
      <c r="B34" s="22" t="str">
        <f>CONCATENATE("CAPITAL DE TRABAJO ≥  A ",TEXT(AB34,"50%")," DEL PPTO OFICIAL")</f>
        <v>CAPITAL DE TRABAJO ≥  A 50% DEL PPTO OFICIAL</v>
      </c>
      <c r="C34" s="15" t="str">
        <f xml:space="preserve"> IF(C35&gt;(C23*$W$35),$B$25,$B$26)</f>
        <v>HÁBIL</v>
      </c>
      <c r="D34" s="145"/>
      <c r="E34" s="145"/>
      <c r="F34" s="15" t="str">
        <f xml:space="preserve"> IF(F35&gt;(F23*$W$35),$B$25,$B$26)</f>
        <v>HÁBIL</v>
      </c>
      <c r="G34" s="15" t="str">
        <f xml:space="preserve"> IF(G35&gt;(G23*$W$35),$B$25,$B$26)</f>
        <v>HÁBIL</v>
      </c>
      <c r="H34" s="15" t="str">
        <f xml:space="preserve"> IF(H35&gt;(H23*$W$35),$B$25,$B$26)</f>
        <v>HÁBIL</v>
      </c>
      <c r="I34" s="145"/>
      <c r="J34" s="145"/>
      <c r="K34" s="15" t="str">
        <f xml:space="preserve"> IF(K35&gt;(K23*$W$35),$B$25,$B$26)</f>
        <v>HÁBIL</v>
      </c>
      <c r="L34" s="145"/>
      <c r="M34" s="145"/>
      <c r="N34" s="15" t="str">
        <f xml:space="preserve"> IF(N35&gt;(N23*$W$35),$B$25,$B$26)</f>
        <v>HÁBIL</v>
      </c>
      <c r="O34" s="15" t="str">
        <f t="shared" ref="O34:U34" si="25" xml:space="preserve"> IF(O35&gt;(O23*$W$35),$B$25,$B$26)</f>
        <v>HÁBIL</v>
      </c>
      <c r="P34" s="15" t="str">
        <f t="shared" si="25"/>
        <v>HÁBIL</v>
      </c>
      <c r="Q34" s="15" t="str">
        <f t="shared" si="25"/>
        <v>HÁBIL</v>
      </c>
      <c r="R34" s="15" t="str">
        <f t="shared" si="25"/>
        <v>HÁBIL</v>
      </c>
      <c r="S34" s="15" t="str">
        <f t="shared" si="25"/>
        <v>HÁBIL</v>
      </c>
      <c r="T34" s="15" t="str">
        <f t="shared" si="25"/>
        <v>HÁBIL</v>
      </c>
      <c r="U34" s="77" t="str">
        <f t="shared" si="25"/>
        <v>HÁBIL</v>
      </c>
      <c r="V34" s="117" t="s">
        <v>49</v>
      </c>
      <c r="W34" s="118">
        <v>12</v>
      </c>
    </row>
    <row r="35" spans="2:23" s="3" customFormat="1" ht="21.6" customHeight="1" x14ac:dyDescent="0.25">
      <c r="B35" s="116" t="str">
        <f>CONCATENATE("CT = Activo Corriente - Pasivo Corriente ≥ ",TEXT((W23*W35),"$###.###.###.###"))</f>
        <v>CT = Activo Corriente - Pasivo Corriente ≥ $199.000.000</v>
      </c>
      <c r="C35" s="126">
        <f>+C13-C14</f>
        <v>1301738643</v>
      </c>
      <c r="D35" s="148"/>
      <c r="E35" s="148"/>
      <c r="F35" s="126">
        <f>(D13+E13)-(D14+E14)</f>
        <v>1089754837</v>
      </c>
      <c r="G35" s="126">
        <f>+G13-G14</f>
        <v>986468771</v>
      </c>
      <c r="H35" s="126">
        <f>+H13-H14</f>
        <v>1663499000</v>
      </c>
      <c r="I35" s="148"/>
      <c r="J35" s="148"/>
      <c r="K35" s="126">
        <f>(I13+J13)-(I14+J14)</f>
        <v>1715527622</v>
      </c>
      <c r="L35" s="148"/>
      <c r="M35" s="148"/>
      <c r="N35" s="126">
        <f>(L13+M13)-(L14+M14)</f>
        <v>767806792</v>
      </c>
      <c r="O35" s="126">
        <f t="shared" ref="O35:U35" si="26">+O13-O14</f>
        <v>663568000</v>
      </c>
      <c r="P35" s="126">
        <f t="shared" si="26"/>
        <v>300657418</v>
      </c>
      <c r="Q35" s="126">
        <f t="shared" si="26"/>
        <v>1418378543</v>
      </c>
      <c r="R35" s="126">
        <f t="shared" si="26"/>
        <v>18329806000</v>
      </c>
      <c r="S35" s="126">
        <f t="shared" si="26"/>
        <v>1000952874</v>
      </c>
      <c r="T35" s="126">
        <f t="shared" si="26"/>
        <v>12343247507</v>
      </c>
      <c r="U35" s="131">
        <f t="shared" si="26"/>
        <v>2784401095</v>
      </c>
      <c r="V35" s="68" t="s">
        <v>50</v>
      </c>
      <c r="W35" s="115">
        <v>0.5</v>
      </c>
    </row>
    <row r="36" spans="2:23" s="3" customFormat="1" ht="15.6" x14ac:dyDescent="0.25">
      <c r="B36" s="36" t="s">
        <v>51</v>
      </c>
      <c r="C36" s="33"/>
      <c r="D36" s="33"/>
      <c r="E36" s="33"/>
      <c r="F36" s="33"/>
      <c r="G36" s="33"/>
      <c r="H36" s="33"/>
      <c r="I36" s="33"/>
      <c r="J36" s="33"/>
      <c r="K36" s="33"/>
      <c r="L36" s="33"/>
      <c r="M36" s="33"/>
      <c r="N36" s="33"/>
      <c r="O36" s="33"/>
      <c r="P36" s="33"/>
      <c r="Q36" s="33"/>
      <c r="R36" s="33"/>
      <c r="S36" s="33"/>
      <c r="T36" s="33"/>
      <c r="U36" s="78"/>
    </row>
    <row r="37" spans="2:23" s="3" customFormat="1" ht="15.6" x14ac:dyDescent="0.25">
      <c r="B37" s="17"/>
      <c r="C37" s="8"/>
      <c r="D37" s="8"/>
      <c r="E37" s="8"/>
      <c r="F37" s="8"/>
      <c r="G37" s="8"/>
      <c r="H37" s="8"/>
      <c r="I37" s="8"/>
      <c r="J37" s="8"/>
      <c r="K37" s="8"/>
      <c r="L37" s="8"/>
      <c r="M37" s="8"/>
      <c r="N37" s="8"/>
      <c r="O37" s="8"/>
      <c r="P37" s="8"/>
      <c r="Q37" s="8"/>
      <c r="R37" s="8"/>
      <c r="S37" s="8"/>
      <c r="T37" s="8"/>
      <c r="U37" s="79"/>
    </row>
    <row r="38" spans="2:23" s="3" customFormat="1" ht="31.2" x14ac:dyDescent="0.25">
      <c r="B38" s="35" t="str">
        <f>CONCATENATE("Indicador  Rentabilidad del Patrimonio",CHAR(10),"Mayor o Igual a ",W38)</f>
        <v>Indicador  Rentabilidad del Patrimonio
Mayor o Igual a 0,05</v>
      </c>
      <c r="C38" s="15" t="str">
        <f>IF(C75="MiPyME",IF(C39&gt;=$W$38,$B$25,$B$26))</f>
        <v>HÁBIL</v>
      </c>
      <c r="D38" s="140"/>
      <c r="E38" s="140"/>
      <c r="F38" s="13" t="str">
        <f>IF(F75="MiPyME",IF(F39&gt;=$W$38,$B$25,$B$26))</f>
        <v>HÁBIL</v>
      </c>
      <c r="G38" s="15" t="str">
        <f>IF(G75="MiPyME",IF(G39&gt;=$W$38,$B$25,$B$26))</f>
        <v>HÁBIL</v>
      </c>
      <c r="H38" s="15" t="str">
        <f>IF(H75="MiPyME",IF(H39&gt;=$W$38,$B$25,$B$26))</f>
        <v>HÁBIL</v>
      </c>
      <c r="I38" s="140"/>
      <c r="J38" s="140"/>
      <c r="K38" s="13" t="str">
        <f>IF(K75="MiPyME",IF(K39&gt;=$W$38,$B$25,$B$26))</f>
        <v>HÁBIL</v>
      </c>
      <c r="L38" s="140"/>
      <c r="M38" s="140"/>
      <c r="N38" s="13" t="str">
        <f t="shared" ref="N38:S38" si="27">IF(N75="MiPyME",IF(N39&gt;=$W$38,$B$25,$B$26))</f>
        <v>HÁBIL</v>
      </c>
      <c r="O38" s="15" t="str">
        <f t="shared" si="27"/>
        <v>HÁBIL</v>
      </c>
      <c r="P38" s="15" t="str">
        <f t="shared" si="27"/>
        <v>HÁBIL</v>
      </c>
      <c r="Q38" s="15" t="str">
        <f t="shared" si="27"/>
        <v>HÁBIL</v>
      </c>
      <c r="R38" s="15" t="str">
        <f t="shared" si="27"/>
        <v>HÁBIL</v>
      </c>
      <c r="S38" s="15" t="str">
        <f t="shared" si="27"/>
        <v>HÁBIL</v>
      </c>
      <c r="T38" s="15" t="str">
        <f>IF(T39&gt;=$W$38,$B$25,$B$26)</f>
        <v>HÁBIL</v>
      </c>
      <c r="U38" s="77" t="str">
        <f>IF(U75="MiPyME",IF(U39&gt;=$W$38,$B$25,$B$26))</f>
        <v>HÁBIL</v>
      </c>
      <c r="W38" s="41">
        <v>0.05</v>
      </c>
    </row>
    <row r="39" spans="2:23" s="3" customFormat="1" ht="22.5" customHeight="1" x14ac:dyDescent="0.25">
      <c r="B39" s="21" t="s">
        <v>52</v>
      </c>
      <c r="C39" s="18">
        <f>C19/C17</f>
        <v>0.42099838584622895</v>
      </c>
      <c r="D39" s="140"/>
      <c r="E39" s="140"/>
      <c r="F39" s="18">
        <f t="shared" ref="F39" si="28">F19/F17</f>
        <v>9.8479966356623622E-2</v>
      </c>
      <c r="G39" s="18">
        <f>G19/G17</f>
        <v>0.48662505692216135</v>
      </c>
      <c r="H39" s="18">
        <f>H19/H17</f>
        <v>0.46004159108004072</v>
      </c>
      <c r="I39" s="140"/>
      <c r="J39" s="140"/>
      <c r="K39" s="18">
        <f t="shared" ref="K39" si="29">K19/K17</f>
        <v>0.33866300898065543</v>
      </c>
      <c r="L39" s="140"/>
      <c r="M39" s="140"/>
      <c r="N39" s="18">
        <f t="shared" ref="N39" si="30">N19/N17</f>
        <v>0.90925821657678652</v>
      </c>
      <c r="O39" s="18">
        <f t="shared" ref="O39:U39" si="31">O19/O17</f>
        <v>0.28536922113820673</v>
      </c>
      <c r="P39" s="18">
        <f t="shared" si="31"/>
        <v>0.30547508962559816</v>
      </c>
      <c r="Q39" s="18">
        <f t="shared" si="31"/>
        <v>0.32794566291852251</v>
      </c>
      <c r="R39" s="18">
        <f t="shared" si="31"/>
        <v>0.47832006785385173</v>
      </c>
      <c r="S39" s="18">
        <f t="shared" si="31"/>
        <v>0.63371012047104902</v>
      </c>
      <c r="T39" s="18">
        <f t="shared" si="31"/>
        <v>0.44933158332215906</v>
      </c>
      <c r="U39" s="80">
        <f t="shared" si="31"/>
        <v>0.63200967521813389</v>
      </c>
    </row>
    <row r="40" spans="2:23" s="3" customFormat="1" ht="31.2" x14ac:dyDescent="0.25">
      <c r="B40" s="35" t="str">
        <f>CONCATENATE("Indicador Rentabilidad del Activo",CHAR(10),"Mayor o Igual a ",W40)</f>
        <v>Indicador Rentabilidad del Activo
Mayor o Igual a 0,02</v>
      </c>
      <c r="C40" s="13" t="str">
        <f>IF(C75="MiPyME",IF(C41&gt;=$W$40,$B$25,$B$26))</f>
        <v>HÁBIL</v>
      </c>
      <c r="D40" s="140"/>
      <c r="E40" s="140"/>
      <c r="F40" s="13" t="str">
        <f>IF(F75="MiPyME",IF(F41&gt;=$W$40,$B$25,$B$26))</f>
        <v>HÁBIL</v>
      </c>
      <c r="G40" s="13" t="str">
        <f>IF(G75="MiPyME",IF(G41&gt;=$W$40,$B$25,$B$26))</f>
        <v>HÁBIL</v>
      </c>
      <c r="H40" s="13" t="str">
        <f>IF(H75="MiPyME",IF(H41&gt;=$W$40,$B$25,$B$26))</f>
        <v>HÁBIL</v>
      </c>
      <c r="I40" s="140"/>
      <c r="J40" s="140"/>
      <c r="K40" s="13" t="str">
        <f>IF(K75="MiPyME",IF(K41&gt;=$W$40,$B$25,$B$26))</f>
        <v>HÁBIL</v>
      </c>
      <c r="L40" s="140"/>
      <c r="M40" s="140"/>
      <c r="N40" s="13" t="str">
        <f t="shared" ref="N40:S40" si="32">IF(N75="MiPyME",IF(N41&gt;=$W$40,$B$25,$B$26))</f>
        <v>HÁBIL</v>
      </c>
      <c r="O40" s="13" t="str">
        <f t="shared" si="32"/>
        <v>HÁBIL</v>
      </c>
      <c r="P40" s="13" t="str">
        <f t="shared" si="32"/>
        <v>HÁBIL</v>
      </c>
      <c r="Q40" s="13" t="str">
        <f t="shared" si="32"/>
        <v>HÁBIL</v>
      </c>
      <c r="R40" s="13" t="str">
        <f t="shared" si="32"/>
        <v>HÁBIL</v>
      </c>
      <c r="S40" s="13" t="str">
        <f t="shared" si="32"/>
        <v>HÁBIL</v>
      </c>
      <c r="T40" s="13" t="str">
        <f>IF(T41&gt;=$W$40,$B$25,$B$26)</f>
        <v>HÁBIL</v>
      </c>
      <c r="U40" s="76" t="str">
        <f>IF(U75="MiPyME",IF(U41&gt;=$W$40,$B$25,$B$26))</f>
        <v>HÁBIL</v>
      </c>
      <c r="W40" s="41">
        <v>0.02</v>
      </c>
    </row>
    <row r="41" spans="2:23" s="3" customFormat="1" ht="22.5" customHeight="1" x14ac:dyDescent="0.25">
      <c r="B41" s="21" t="s">
        <v>53</v>
      </c>
      <c r="C41" s="18">
        <f t="shared" ref="C41" si="33">C19/C15</f>
        <v>0.35480724176157008</v>
      </c>
      <c r="D41" s="140"/>
      <c r="E41" s="140"/>
      <c r="F41" s="18">
        <f t="shared" ref="F41:U41" si="34">F19/F15</f>
        <v>8.7763426233917072E-2</v>
      </c>
      <c r="G41" s="18">
        <f t="shared" si="34"/>
        <v>0.34688254050104844</v>
      </c>
      <c r="H41" s="18">
        <f t="shared" si="34"/>
        <v>0.43096165324333685</v>
      </c>
      <c r="I41" s="140"/>
      <c r="J41" s="140"/>
      <c r="K41" s="18">
        <f t="shared" ref="K41" si="35">K19/K15</f>
        <v>0.15720600752384833</v>
      </c>
      <c r="L41" s="140"/>
      <c r="M41" s="140"/>
      <c r="N41" s="18">
        <f t="shared" ref="N41" si="36">N19/N15</f>
        <v>0.65351117216341292</v>
      </c>
      <c r="O41" s="18">
        <f t="shared" si="34"/>
        <v>0.25046194373882774</v>
      </c>
      <c r="P41" s="18">
        <f t="shared" si="34"/>
        <v>0.15541401153149476</v>
      </c>
      <c r="Q41" s="18">
        <f t="shared" si="34"/>
        <v>0.32080093226723388</v>
      </c>
      <c r="R41" s="18">
        <f t="shared" si="34"/>
        <v>0.34202261843328746</v>
      </c>
      <c r="S41" s="18">
        <f t="shared" si="34"/>
        <v>0.42581290626041041</v>
      </c>
      <c r="T41" s="18">
        <f t="shared" si="34"/>
        <v>0.21504973579932096</v>
      </c>
      <c r="U41" s="80">
        <f t="shared" si="34"/>
        <v>0.60427599963840861</v>
      </c>
    </row>
    <row r="42" spans="2:23" s="3" customFormat="1" ht="25.95" customHeight="1" thickBot="1" x14ac:dyDescent="0.3">
      <c r="B42" s="95" t="s">
        <v>54</v>
      </c>
      <c r="C42" s="96" t="str">
        <f t="shared" ref="C42" si="37">+IF(COUNTIF(C28:C41,"NO HÁBIL")&gt;=1,"NO HABILITADO","HABILITADO")</f>
        <v>HABILITADO</v>
      </c>
      <c r="D42" s="149"/>
      <c r="E42" s="149"/>
      <c r="F42" s="96" t="str">
        <f t="shared" ref="F42:U42" si="38">+IF(COUNTIF(F28:F41,"NO HÁBIL")&gt;=1,"NO HABILITADO","HABILITADO")</f>
        <v>HABILITADO</v>
      </c>
      <c r="G42" s="96" t="str">
        <f t="shared" si="38"/>
        <v>HABILITADO</v>
      </c>
      <c r="H42" s="96" t="str">
        <f t="shared" si="38"/>
        <v>HABILITADO</v>
      </c>
      <c r="I42" s="149"/>
      <c r="J42" s="149"/>
      <c r="K42" s="96" t="str">
        <f t="shared" ref="K42" si="39">+IF(COUNTIF(K28:K41,"NO HÁBIL")&gt;=1,"NO HABILITADO","HABILITADO")</f>
        <v>HABILITADO</v>
      </c>
      <c r="L42" s="149"/>
      <c r="M42" s="149"/>
      <c r="N42" s="96" t="str">
        <f t="shared" ref="N42" si="40">+IF(COUNTIF(N28:N41,"NO HÁBIL")&gt;=1,"NO HABILITADO","HABILITADO")</f>
        <v>HABILITADO</v>
      </c>
      <c r="O42" s="96" t="str">
        <f t="shared" si="38"/>
        <v>HABILITADO</v>
      </c>
      <c r="P42" s="96" t="str">
        <f t="shared" si="38"/>
        <v>HABILITADO</v>
      </c>
      <c r="Q42" s="96" t="str">
        <f t="shared" si="38"/>
        <v>HABILITADO</v>
      </c>
      <c r="R42" s="96" t="str">
        <f t="shared" si="38"/>
        <v>HABILITADO</v>
      </c>
      <c r="S42" s="96" t="str">
        <f t="shared" si="38"/>
        <v>HABILITADO</v>
      </c>
      <c r="T42" s="96" t="str">
        <f t="shared" si="38"/>
        <v>HABILITADO</v>
      </c>
      <c r="U42" s="97" t="str">
        <f t="shared" si="38"/>
        <v>HABILITADO</v>
      </c>
    </row>
    <row r="43" spans="2:23" s="3" customFormat="1" ht="16.2" thickBot="1" x14ac:dyDescent="0.3">
      <c r="B43" s="92"/>
      <c r="C43" s="93"/>
      <c r="D43" s="93"/>
      <c r="E43" s="93"/>
      <c r="F43" s="93"/>
      <c r="G43" s="93"/>
      <c r="H43" s="93"/>
      <c r="I43" s="93"/>
      <c r="J43" s="93"/>
      <c r="K43" s="93"/>
      <c r="L43" s="93"/>
      <c r="M43" s="93"/>
      <c r="N43" s="93"/>
      <c r="O43" s="93"/>
      <c r="P43" s="93"/>
      <c r="Q43" s="93"/>
      <c r="R43" s="93"/>
      <c r="S43" s="93"/>
      <c r="T43" s="93"/>
      <c r="U43" s="94"/>
    </row>
    <row r="44" spans="2:23" s="3" customFormat="1" ht="15.6" customHeight="1" x14ac:dyDescent="0.25">
      <c r="B44" s="168" t="s">
        <v>55</v>
      </c>
      <c r="C44" s="169"/>
      <c r="D44" s="169"/>
      <c r="E44" s="169"/>
      <c r="F44" s="169"/>
      <c r="G44" s="169"/>
      <c r="H44" s="169"/>
      <c r="I44" s="169"/>
      <c r="J44" s="169"/>
      <c r="K44" s="169"/>
      <c r="L44" s="169"/>
      <c r="M44" s="169"/>
      <c r="N44" s="169"/>
      <c r="O44" s="169"/>
      <c r="P44" s="169"/>
      <c r="Q44" s="169"/>
      <c r="R44" s="169"/>
      <c r="S44" s="169"/>
      <c r="T44" s="169"/>
      <c r="U44" s="170"/>
    </row>
    <row r="45" spans="2:23" s="3" customFormat="1" ht="21.6" customHeight="1" x14ac:dyDescent="0.25">
      <c r="B45" s="171"/>
      <c r="C45" s="172"/>
      <c r="D45" s="172"/>
      <c r="E45" s="172"/>
      <c r="F45" s="172"/>
      <c r="G45" s="172"/>
      <c r="H45" s="172"/>
      <c r="I45" s="172"/>
      <c r="J45" s="172"/>
      <c r="K45" s="172"/>
      <c r="L45" s="172"/>
      <c r="M45" s="172"/>
      <c r="N45" s="172"/>
      <c r="O45" s="172"/>
      <c r="P45" s="172"/>
      <c r="Q45" s="172"/>
      <c r="R45" s="172"/>
      <c r="S45" s="172"/>
      <c r="T45" s="172"/>
      <c r="U45" s="173"/>
    </row>
    <row r="46" spans="2:23" s="3" customFormat="1" ht="15.6" x14ac:dyDescent="0.25">
      <c r="B46" s="19"/>
      <c r="C46" s="132"/>
      <c r="D46" s="132"/>
      <c r="E46" s="132"/>
      <c r="F46" s="132"/>
      <c r="G46" s="132"/>
      <c r="H46" s="132"/>
      <c r="I46" s="132"/>
      <c r="J46" s="132"/>
      <c r="K46" s="132"/>
      <c r="L46" s="132"/>
      <c r="M46" s="132"/>
      <c r="N46" s="132"/>
      <c r="O46" s="132"/>
      <c r="P46" s="132"/>
      <c r="Q46" s="132"/>
      <c r="R46" s="132"/>
      <c r="S46" s="132"/>
      <c r="T46" s="132"/>
      <c r="U46" s="20"/>
    </row>
    <row r="47" spans="2:23" s="3" customFormat="1" ht="15.6" x14ac:dyDescent="0.25">
      <c r="B47" s="43" t="str">
        <f>B72</f>
        <v>Fecha de cierre del proceso:</v>
      </c>
      <c r="C47" s="132"/>
      <c r="D47" s="132"/>
      <c r="E47" s="132"/>
      <c r="F47" s="132"/>
      <c r="G47" s="132"/>
      <c r="H47" s="132"/>
      <c r="I47" s="132"/>
      <c r="J47" s="132"/>
      <c r="K47" s="132"/>
      <c r="L47" s="132"/>
      <c r="M47" s="132"/>
      <c r="N47" s="132"/>
      <c r="O47" s="132"/>
      <c r="P47" s="132"/>
      <c r="Q47" s="132"/>
      <c r="R47" s="132"/>
      <c r="S47" s="132"/>
      <c r="T47" s="132"/>
      <c r="U47" s="20"/>
    </row>
    <row r="48" spans="2:23" s="3" customFormat="1" ht="15.6" x14ac:dyDescent="0.25">
      <c r="B48" s="46">
        <v>45848</v>
      </c>
      <c r="C48" s="132"/>
      <c r="D48" s="132"/>
      <c r="E48" s="132"/>
      <c r="F48" s="132"/>
      <c r="G48" s="132"/>
      <c r="H48" s="132"/>
      <c r="I48" s="132"/>
      <c r="J48" s="132"/>
      <c r="K48" s="132"/>
      <c r="L48" s="132"/>
      <c r="M48" s="132"/>
      <c r="N48" s="132"/>
      <c r="O48" s="132"/>
      <c r="P48" s="132"/>
      <c r="Q48" s="132"/>
      <c r="R48" s="132"/>
      <c r="S48" s="132"/>
      <c r="T48" s="132"/>
      <c r="U48" s="20"/>
    </row>
    <row r="49" spans="1:21" s="3" customFormat="1" ht="15.6" x14ac:dyDescent="0.25">
      <c r="B49" s="44"/>
      <c r="U49" s="81"/>
    </row>
    <row r="50" spans="1:21" s="3" customFormat="1" ht="15.6" x14ac:dyDescent="0.25">
      <c r="B50" s="53" t="s">
        <v>56</v>
      </c>
      <c r="C50" s="49"/>
      <c r="D50" s="49"/>
      <c r="E50" s="49"/>
      <c r="F50" s="49" t="s">
        <v>57</v>
      </c>
      <c r="G50" s="49"/>
      <c r="H50" s="49"/>
      <c r="I50" s="49"/>
      <c r="J50" s="49"/>
      <c r="K50" s="49"/>
      <c r="L50" s="49"/>
      <c r="M50" s="49"/>
      <c r="N50" s="49"/>
      <c r="O50" s="49"/>
      <c r="P50" s="49"/>
      <c r="Q50" s="49"/>
      <c r="R50" s="49"/>
      <c r="S50" s="49"/>
      <c r="T50" s="49"/>
      <c r="U50" s="81"/>
    </row>
    <row r="51" spans="1:21" s="3" customFormat="1" ht="15.6" x14ac:dyDescent="0.25">
      <c r="A51" s="4"/>
      <c r="B51" s="45">
        <v>45849</v>
      </c>
      <c r="F51" s="50" t="s">
        <v>58</v>
      </c>
      <c r="G51" s="50"/>
      <c r="H51" s="50"/>
      <c r="I51" s="50"/>
      <c r="J51" s="50"/>
      <c r="K51" s="50"/>
      <c r="L51" s="50"/>
      <c r="M51" s="50"/>
      <c r="N51" s="50"/>
      <c r="O51" s="50"/>
      <c r="P51" s="50"/>
      <c r="Q51" s="50"/>
      <c r="R51" s="50"/>
      <c r="S51" s="50"/>
      <c r="T51" s="50"/>
      <c r="U51" s="81"/>
    </row>
    <row r="52" spans="1:21" s="3" customFormat="1" ht="15.6" x14ac:dyDescent="0.25">
      <c r="A52" s="4"/>
      <c r="B52" s="45"/>
      <c r="F52" s="50" t="s">
        <v>59</v>
      </c>
      <c r="G52" s="50"/>
      <c r="H52" s="50"/>
      <c r="I52" s="50"/>
      <c r="J52" s="50"/>
      <c r="K52" s="50"/>
      <c r="L52" s="50"/>
      <c r="M52" s="50"/>
      <c r="N52" s="50"/>
      <c r="O52" s="50"/>
      <c r="P52" s="50"/>
      <c r="Q52" s="50"/>
      <c r="R52" s="50"/>
      <c r="U52" s="82"/>
    </row>
    <row r="53" spans="1:21" ht="15.6" x14ac:dyDescent="0.3">
      <c r="A53" s="5"/>
      <c r="B53" s="53" t="s">
        <v>60</v>
      </c>
      <c r="U53" s="83"/>
    </row>
    <row r="54" spans="1:21" ht="15.6" x14ac:dyDescent="0.3">
      <c r="A54" s="5"/>
      <c r="B54" s="45">
        <v>45869</v>
      </c>
      <c r="U54" s="83"/>
    </row>
    <row r="55" spans="1:21" ht="15.6" x14ac:dyDescent="0.3">
      <c r="A55" s="5"/>
      <c r="B55" s="45"/>
      <c r="C55" s="133"/>
      <c r="D55" s="133"/>
      <c r="E55" s="133"/>
      <c r="F55" s="133"/>
      <c r="G55" s="133"/>
      <c r="H55" s="133"/>
      <c r="I55" s="133"/>
      <c r="J55" s="133"/>
      <c r="K55" s="133"/>
      <c r="L55" s="133"/>
      <c r="M55" s="133"/>
      <c r="N55" s="133"/>
      <c r="O55" s="133"/>
      <c r="P55" s="133"/>
      <c r="Q55" s="133"/>
      <c r="R55" s="133"/>
      <c r="S55" s="133"/>
      <c r="T55" s="133"/>
      <c r="U55" s="51"/>
    </row>
    <row r="56" spans="1:21" ht="15.6" customHeight="1" x14ac:dyDescent="0.3">
      <c r="A56" s="5"/>
      <c r="B56" s="174" t="s">
        <v>61</v>
      </c>
      <c r="C56" s="175"/>
      <c r="D56" s="175"/>
      <c r="E56" s="175"/>
      <c r="F56" s="175"/>
      <c r="G56" s="175"/>
      <c r="H56" s="175"/>
      <c r="I56" s="175"/>
      <c r="J56" s="175"/>
      <c r="K56" s="175"/>
      <c r="L56" s="175"/>
      <c r="M56" s="175"/>
      <c r="N56" s="175"/>
      <c r="O56" s="175"/>
      <c r="P56" s="175"/>
      <c r="Q56" s="175"/>
      <c r="R56" s="175"/>
      <c r="S56" s="175"/>
      <c r="T56" s="175"/>
      <c r="U56" s="176"/>
    </row>
    <row r="57" spans="1:21" ht="56.4" customHeight="1" x14ac:dyDescent="0.3">
      <c r="A57" s="5"/>
      <c r="B57" s="177"/>
      <c r="C57" s="178"/>
      <c r="D57" s="178"/>
      <c r="E57" s="178"/>
      <c r="F57" s="178"/>
      <c r="G57" s="178"/>
      <c r="H57" s="178"/>
      <c r="I57" s="178"/>
      <c r="J57" s="178"/>
      <c r="K57" s="178"/>
      <c r="L57" s="178"/>
      <c r="M57" s="178"/>
      <c r="N57" s="178"/>
      <c r="O57" s="178"/>
      <c r="P57" s="178"/>
      <c r="Q57" s="178"/>
      <c r="R57" s="178"/>
      <c r="S57" s="178"/>
      <c r="T57" s="178"/>
      <c r="U57" s="179"/>
    </row>
    <row r="58" spans="1:21" ht="15" thickBot="1" x14ac:dyDescent="0.35">
      <c r="B58" s="180"/>
      <c r="C58" s="181"/>
      <c r="D58" s="181"/>
      <c r="E58" s="181"/>
      <c r="F58" s="181"/>
      <c r="G58" s="181"/>
      <c r="H58" s="181"/>
      <c r="I58" s="181"/>
      <c r="J58" s="181"/>
      <c r="K58" s="181"/>
      <c r="L58" s="181"/>
      <c r="M58" s="181"/>
      <c r="N58" s="181"/>
      <c r="O58" s="181"/>
      <c r="P58" s="181"/>
      <c r="Q58" s="181"/>
      <c r="R58" s="181"/>
      <c r="S58" s="181"/>
      <c r="T58" s="181"/>
      <c r="U58" s="182"/>
    </row>
    <row r="60" spans="1:21" x14ac:dyDescent="0.3">
      <c r="B60" s="6"/>
      <c r="C60" s="6"/>
      <c r="D60" s="6"/>
      <c r="E60" s="6"/>
      <c r="F60" s="6"/>
      <c r="G60" s="6"/>
      <c r="H60" s="6"/>
      <c r="I60" s="6"/>
      <c r="J60" s="6"/>
      <c r="K60" s="6"/>
      <c r="L60" s="6"/>
      <c r="M60" s="6"/>
      <c r="N60" s="6"/>
      <c r="O60" s="6"/>
      <c r="P60" s="6"/>
      <c r="Q60" s="6"/>
      <c r="R60" s="6"/>
      <c r="S60" s="6"/>
      <c r="T60" s="6"/>
      <c r="U60" s="6"/>
    </row>
    <row r="63" spans="1:21" ht="15" thickBot="1" x14ac:dyDescent="0.35"/>
    <row r="64" spans="1:21" x14ac:dyDescent="0.3">
      <c r="B64" s="98" t="s">
        <v>62</v>
      </c>
      <c r="C64" s="99"/>
      <c r="D64" s="99"/>
      <c r="E64" s="99"/>
      <c r="F64" s="99"/>
      <c r="G64" s="99"/>
      <c r="H64" s="99"/>
      <c r="I64" s="99"/>
      <c r="J64" s="99"/>
      <c r="K64" s="99"/>
      <c r="L64" s="99"/>
      <c r="M64" s="99"/>
      <c r="N64" s="99"/>
      <c r="O64" s="99"/>
      <c r="P64" s="99"/>
      <c r="Q64" s="99"/>
      <c r="R64" s="99"/>
      <c r="S64" s="99"/>
      <c r="T64" s="99"/>
      <c r="U64" s="100"/>
    </row>
    <row r="65" spans="2:21" x14ac:dyDescent="0.3">
      <c r="B65" s="101"/>
      <c r="U65" s="102"/>
    </row>
    <row r="66" spans="2:21" x14ac:dyDescent="0.3">
      <c r="B66" s="101" t="s">
        <v>63</v>
      </c>
      <c r="C66" s="127">
        <f t="shared" ref="C66:U66" si="41">$B$51</f>
        <v>45849</v>
      </c>
      <c r="D66" s="127">
        <f t="shared" si="41"/>
        <v>45849</v>
      </c>
      <c r="E66" s="127">
        <f t="shared" si="41"/>
        <v>45849</v>
      </c>
      <c r="F66" s="127">
        <f t="shared" si="41"/>
        <v>45849</v>
      </c>
      <c r="G66" s="127">
        <f t="shared" si="41"/>
        <v>45849</v>
      </c>
      <c r="H66" s="127">
        <f t="shared" si="41"/>
        <v>45849</v>
      </c>
      <c r="I66" s="127">
        <f t="shared" si="41"/>
        <v>45849</v>
      </c>
      <c r="J66" s="127">
        <f t="shared" si="41"/>
        <v>45849</v>
      </c>
      <c r="K66" s="127">
        <f t="shared" si="41"/>
        <v>45849</v>
      </c>
      <c r="L66" s="127">
        <f t="shared" si="41"/>
        <v>45849</v>
      </c>
      <c r="M66" s="127">
        <f t="shared" si="41"/>
        <v>45849</v>
      </c>
      <c r="N66" s="127">
        <f t="shared" si="41"/>
        <v>45849</v>
      </c>
      <c r="O66" s="127">
        <f t="shared" si="41"/>
        <v>45849</v>
      </c>
      <c r="P66" s="127">
        <f t="shared" si="41"/>
        <v>45849</v>
      </c>
      <c r="Q66" s="127">
        <f t="shared" si="41"/>
        <v>45849</v>
      </c>
      <c r="R66" s="127">
        <f t="shared" si="41"/>
        <v>45849</v>
      </c>
      <c r="S66" s="127">
        <f t="shared" si="41"/>
        <v>45849</v>
      </c>
      <c r="T66" s="127">
        <f t="shared" si="41"/>
        <v>45849</v>
      </c>
      <c r="U66" s="103">
        <f t="shared" si="41"/>
        <v>45849</v>
      </c>
    </row>
    <row r="67" spans="2:21" x14ac:dyDescent="0.3">
      <c r="B67" s="101"/>
      <c r="U67" s="102"/>
    </row>
    <row r="68" spans="2:21" x14ac:dyDescent="0.3">
      <c r="B68" s="104"/>
      <c r="C68" s="128">
        <f t="shared" ref="C68:T68" si="42">C9</f>
        <v>1</v>
      </c>
      <c r="D68" s="128" t="str">
        <f t="shared" ref="D68:E68" si="43">D9</f>
        <v>A</v>
      </c>
      <c r="E68" s="128" t="str">
        <f t="shared" si="43"/>
        <v>B</v>
      </c>
      <c r="F68" s="128">
        <f t="shared" si="42"/>
        <v>2</v>
      </c>
      <c r="G68" s="128">
        <f t="shared" si="42"/>
        <v>3</v>
      </c>
      <c r="H68" s="128">
        <f t="shared" si="42"/>
        <v>4</v>
      </c>
      <c r="I68" s="128" t="str">
        <f t="shared" si="42"/>
        <v>A</v>
      </c>
      <c r="J68" s="128" t="str">
        <f t="shared" si="42"/>
        <v>B</v>
      </c>
      <c r="K68" s="128">
        <f t="shared" ref="K68" si="44">K9</f>
        <v>5</v>
      </c>
      <c r="L68" s="128" t="str">
        <f t="shared" ref="L68:N68" si="45">L9</f>
        <v>A</v>
      </c>
      <c r="M68" s="128" t="str">
        <f t="shared" si="45"/>
        <v>B</v>
      </c>
      <c r="N68" s="128">
        <f t="shared" si="45"/>
        <v>6</v>
      </c>
      <c r="O68" s="128">
        <f t="shared" si="42"/>
        <v>7</v>
      </c>
      <c r="P68" s="128">
        <f t="shared" si="42"/>
        <v>8</v>
      </c>
      <c r="Q68" s="128">
        <f t="shared" si="42"/>
        <v>9</v>
      </c>
      <c r="R68" s="128">
        <f t="shared" si="42"/>
        <v>10</v>
      </c>
      <c r="S68" s="128">
        <f t="shared" si="42"/>
        <v>11</v>
      </c>
      <c r="T68" s="128">
        <f t="shared" si="42"/>
        <v>12</v>
      </c>
      <c r="U68" s="105">
        <f>U9</f>
        <v>13</v>
      </c>
    </row>
    <row r="69" spans="2:21" x14ac:dyDescent="0.3">
      <c r="B69" s="106" t="s">
        <v>64</v>
      </c>
      <c r="C69" s="129">
        <v>45834</v>
      </c>
      <c r="D69" s="129">
        <v>45840</v>
      </c>
      <c r="E69" s="129">
        <v>45847</v>
      </c>
      <c r="F69" s="129"/>
      <c r="G69" s="129">
        <v>45838</v>
      </c>
      <c r="H69" s="129">
        <v>45832</v>
      </c>
      <c r="I69" s="129">
        <v>45846</v>
      </c>
      <c r="J69" s="129">
        <v>45847</v>
      </c>
      <c r="K69" s="129"/>
      <c r="L69" s="129">
        <v>45835</v>
      </c>
      <c r="M69" s="129">
        <v>45834</v>
      </c>
      <c r="N69" s="129"/>
      <c r="O69" s="129">
        <v>45846</v>
      </c>
      <c r="P69" s="129">
        <v>45845</v>
      </c>
      <c r="Q69" s="129">
        <v>45834</v>
      </c>
      <c r="R69" s="129">
        <v>45827</v>
      </c>
      <c r="S69" s="129">
        <v>45839</v>
      </c>
      <c r="T69" s="129">
        <v>45847</v>
      </c>
      <c r="U69" s="107">
        <v>45847</v>
      </c>
    </row>
    <row r="70" spans="2:21" x14ac:dyDescent="0.3">
      <c r="B70" s="183" t="s">
        <v>65</v>
      </c>
      <c r="C70" s="156">
        <v>45751</v>
      </c>
      <c r="D70" s="156">
        <v>45755</v>
      </c>
      <c r="E70" s="156">
        <v>45782</v>
      </c>
      <c r="F70" s="152"/>
      <c r="G70" s="156">
        <v>45719</v>
      </c>
      <c r="H70" s="156">
        <v>45687</v>
      </c>
      <c r="I70" s="156">
        <v>45769</v>
      </c>
      <c r="J70" s="156">
        <v>45755</v>
      </c>
      <c r="K70" s="156"/>
      <c r="L70" s="156">
        <v>45771</v>
      </c>
      <c r="M70" s="156">
        <v>45783</v>
      </c>
      <c r="N70" s="156"/>
      <c r="O70" s="156">
        <v>45772</v>
      </c>
      <c r="P70" s="156">
        <v>45775</v>
      </c>
      <c r="Q70" s="156">
        <v>45791</v>
      </c>
      <c r="R70" s="156">
        <v>45723</v>
      </c>
      <c r="S70" s="156">
        <v>45777</v>
      </c>
      <c r="T70" s="156">
        <v>45779</v>
      </c>
      <c r="U70" s="157">
        <v>45734</v>
      </c>
    </row>
    <row r="71" spans="2:21" x14ac:dyDescent="0.3">
      <c r="B71" s="183"/>
      <c r="C71" s="156"/>
      <c r="D71" s="156"/>
      <c r="E71" s="156"/>
      <c r="F71" s="3"/>
      <c r="G71" s="156"/>
      <c r="H71" s="156"/>
      <c r="I71" s="156"/>
      <c r="J71" s="156"/>
      <c r="K71" s="156"/>
      <c r="L71" s="156"/>
      <c r="M71" s="156"/>
      <c r="N71" s="156"/>
      <c r="O71" s="156"/>
      <c r="P71" s="156"/>
      <c r="Q71" s="156"/>
      <c r="R71" s="156"/>
      <c r="S71" s="156"/>
      <c r="T71" s="156"/>
      <c r="U71" s="157"/>
    </row>
    <row r="72" spans="2:21" ht="22.95" customHeight="1" x14ac:dyDescent="0.3">
      <c r="B72" s="101" t="s">
        <v>66</v>
      </c>
      <c r="C72" s="127">
        <f t="shared" ref="C72:U72" si="46">$B$48</f>
        <v>45848</v>
      </c>
      <c r="D72" s="127">
        <f t="shared" si="46"/>
        <v>45848</v>
      </c>
      <c r="E72" s="127">
        <f t="shared" si="46"/>
        <v>45848</v>
      </c>
      <c r="F72" s="127">
        <f t="shared" si="46"/>
        <v>45848</v>
      </c>
      <c r="G72" s="127">
        <f t="shared" si="46"/>
        <v>45848</v>
      </c>
      <c r="H72" s="127">
        <f t="shared" si="46"/>
        <v>45848</v>
      </c>
      <c r="I72" s="127">
        <f t="shared" si="46"/>
        <v>45848</v>
      </c>
      <c r="J72" s="127">
        <f t="shared" si="46"/>
        <v>45848</v>
      </c>
      <c r="K72" s="127">
        <f t="shared" si="46"/>
        <v>45848</v>
      </c>
      <c r="L72" s="127">
        <f t="shared" si="46"/>
        <v>45848</v>
      </c>
      <c r="M72" s="127">
        <f t="shared" si="46"/>
        <v>45848</v>
      </c>
      <c r="N72" s="127">
        <f t="shared" si="46"/>
        <v>45848</v>
      </c>
      <c r="O72" s="127">
        <f t="shared" si="46"/>
        <v>45848</v>
      </c>
      <c r="P72" s="103">
        <f t="shared" si="46"/>
        <v>45848</v>
      </c>
      <c r="Q72" s="1">
        <f t="shared" si="46"/>
        <v>45848</v>
      </c>
      <c r="R72" s="1">
        <f t="shared" si="46"/>
        <v>45848</v>
      </c>
      <c r="S72" s="1">
        <f t="shared" si="46"/>
        <v>45848</v>
      </c>
      <c r="T72" s="1">
        <f t="shared" si="46"/>
        <v>45848</v>
      </c>
      <c r="U72" s="1">
        <f t="shared" si="46"/>
        <v>45848</v>
      </c>
    </row>
    <row r="73" spans="2:21" x14ac:dyDescent="0.3">
      <c r="B73" s="106" t="s">
        <v>67</v>
      </c>
      <c r="C73" s="130">
        <f t="shared" ref="C73:T73" si="47">C72-C69</f>
        <v>14</v>
      </c>
      <c r="D73" s="130">
        <f t="shared" ref="D73:E73" si="48">D72-D69</f>
        <v>8</v>
      </c>
      <c r="E73" s="130">
        <f t="shared" si="48"/>
        <v>1</v>
      </c>
      <c r="F73" s="130"/>
      <c r="G73" s="130">
        <f t="shared" si="47"/>
        <v>10</v>
      </c>
      <c r="H73" s="130">
        <f t="shared" si="47"/>
        <v>16</v>
      </c>
      <c r="I73" s="130">
        <f t="shared" si="47"/>
        <v>2</v>
      </c>
      <c r="J73" s="130">
        <f t="shared" si="47"/>
        <v>1</v>
      </c>
      <c r="K73" s="130"/>
      <c r="L73" s="130">
        <f t="shared" ref="L73:M73" si="49">L72-L69</f>
        <v>13</v>
      </c>
      <c r="M73" s="130">
        <f t="shared" si="49"/>
        <v>14</v>
      </c>
      <c r="N73" s="130"/>
      <c r="O73" s="130">
        <f t="shared" si="47"/>
        <v>2</v>
      </c>
      <c r="P73" s="130">
        <f t="shared" si="47"/>
        <v>3</v>
      </c>
      <c r="Q73" s="130">
        <f t="shared" si="47"/>
        <v>14</v>
      </c>
      <c r="R73" s="130">
        <f t="shared" si="47"/>
        <v>21</v>
      </c>
      <c r="S73" s="130">
        <f t="shared" si="47"/>
        <v>9</v>
      </c>
      <c r="T73" s="130">
        <f t="shared" si="47"/>
        <v>1</v>
      </c>
      <c r="U73" s="108">
        <v>15</v>
      </c>
    </row>
    <row r="74" spans="2:21" x14ac:dyDescent="0.3">
      <c r="B74" s="124">
        <v>30</v>
      </c>
      <c r="C74" s="130"/>
      <c r="D74" s="130"/>
      <c r="E74" s="130"/>
      <c r="F74" s="130"/>
      <c r="G74" s="130"/>
      <c r="H74" s="130"/>
      <c r="I74" s="130"/>
      <c r="J74" s="130"/>
      <c r="K74" s="130"/>
      <c r="L74" s="130"/>
      <c r="M74" s="130"/>
      <c r="N74" s="130"/>
      <c r="O74" s="130"/>
      <c r="P74" s="130"/>
      <c r="Q74" s="130"/>
      <c r="R74" s="130"/>
      <c r="S74" s="130"/>
      <c r="T74" s="130"/>
      <c r="U74" s="108"/>
    </row>
    <row r="75" spans="2:21" x14ac:dyDescent="0.3">
      <c r="B75" s="106"/>
      <c r="C75" s="91" t="s">
        <v>41</v>
      </c>
      <c r="D75" s="91" t="s">
        <v>41</v>
      </c>
      <c r="E75" s="91" t="s">
        <v>41</v>
      </c>
      <c r="F75" s="91" t="s">
        <v>41</v>
      </c>
      <c r="G75" s="91" t="s">
        <v>41</v>
      </c>
      <c r="H75" s="91" t="s">
        <v>41</v>
      </c>
      <c r="I75" s="91" t="s">
        <v>41</v>
      </c>
      <c r="J75" s="91" t="s">
        <v>41</v>
      </c>
      <c r="K75" s="91" t="s">
        <v>41</v>
      </c>
      <c r="L75" s="91" t="s">
        <v>41</v>
      </c>
      <c r="M75" s="91" t="s">
        <v>41</v>
      </c>
      <c r="N75" s="91" t="s">
        <v>41</v>
      </c>
      <c r="O75" s="91" t="s">
        <v>41</v>
      </c>
      <c r="P75" s="91" t="s">
        <v>41</v>
      </c>
      <c r="Q75" s="91" t="s">
        <v>41</v>
      </c>
      <c r="R75" s="91" t="s">
        <v>41</v>
      </c>
      <c r="S75" s="91" t="s">
        <v>41</v>
      </c>
      <c r="T75" s="91"/>
      <c r="U75" s="110" t="s">
        <v>41</v>
      </c>
    </row>
    <row r="76" spans="2:21" ht="87" thickBot="1" x14ac:dyDescent="0.35">
      <c r="B76" s="125"/>
      <c r="C76" s="112" t="s">
        <v>68</v>
      </c>
      <c r="D76" s="112" t="s">
        <v>68</v>
      </c>
      <c r="E76" s="112" t="s">
        <v>68</v>
      </c>
      <c r="F76" s="112"/>
      <c r="G76" s="112" t="s">
        <v>69</v>
      </c>
      <c r="H76" s="112" t="s">
        <v>69</v>
      </c>
      <c r="I76" s="112" t="s">
        <v>69</v>
      </c>
      <c r="J76" s="112" t="s">
        <v>68</v>
      </c>
      <c r="K76" s="112"/>
      <c r="L76" s="112" t="s">
        <v>69</v>
      </c>
      <c r="M76" s="112" t="s">
        <v>68</v>
      </c>
      <c r="N76" s="112"/>
      <c r="O76" s="112" t="s">
        <v>68</v>
      </c>
      <c r="P76" s="112" t="s">
        <v>68</v>
      </c>
      <c r="Q76" s="112" t="s">
        <v>68</v>
      </c>
      <c r="R76" s="112" t="s">
        <v>70</v>
      </c>
      <c r="S76" s="112" t="s">
        <v>69</v>
      </c>
      <c r="T76" s="112" t="s">
        <v>71</v>
      </c>
      <c r="U76" s="113" t="s">
        <v>70</v>
      </c>
    </row>
    <row r="77" spans="2:21" hidden="1" x14ac:dyDescent="0.3">
      <c r="B77" s="109" t="s">
        <v>72</v>
      </c>
      <c r="C77" s="91" t="s">
        <v>41</v>
      </c>
      <c r="D77" s="91"/>
      <c r="E77" s="91"/>
      <c r="F77" s="91" t="s">
        <v>41</v>
      </c>
      <c r="G77" s="91"/>
      <c r="H77" s="91"/>
      <c r="I77" s="91"/>
      <c r="J77" s="91"/>
      <c r="K77" s="91"/>
      <c r="L77" s="91"/>
      <c r="M77" s="91"/>
      <c r="N77" s="91"/>
      <c r="O77" s="91"/>
      <c r="P77" s="91"/>
      <c r="Q77" s="91"/>
      <c r="R77" s="91"/>
      <c r="S77" s="91" t="s">
        <v>41</v>
      </c>
      <c r="T77" s="91" t="s">
        <v>41</v>
      </c>
      <c r="U77" s="110" t="s">
        <v>41</v>
      </c>
    </row>
    <row r="78" spans="2:21" ht="87" hidden="1" thickBot="1" x14ac:dyDescent="0.35">
      <c r="B78" s="111"/>
      <c r="C78" s="112" t="s">
        <v>73</v>
      </c>
      <c r="D78" s="112"/>
      <c r="E78" s="112"/>
      <c r="F78" s="112" t="s">
        <v>68</v>
      </c>
      <c r="G78" s="112"/>
      <c r="H78" s="112"/>
      <c r="I78" s="112"/>
      <c r="J78" s="112"/>
      <c r="K78" s="112"/>
      <c r="L78" s="112"/>
      <c r="M78" s="112"/>
      <c r="N78" s="112"/>
      <c r="O78" s="112"/>
      <c r="P78" s="112"/>
      <c r="Q78" s="112"/>
      <c r="R78" s="112"/>
      <c r="S78" s="112" t="s">
        <v>70</v>
      </c>
      <c r="T78" s="112" t="s">
        <v>70</v>
      </c>
      <c r="U78" s="113" t="s">
        <v>73</v>
      </c>
    </row>
    <row r="79" spans="2:21" x14ac:dyDescent="0.3">
      <c r="B79"/>
      <c r="C79"/>
      <c r="D79"/>
      <c r="E79"/>
      <c r="F79"/>
      <c r="G79"/>
      <c r="H79"/>
      <c r="I79"/>
      <c r="J79"/>
      <c r="K79"/>
      <c r="L79"/>
      <c r="M79"/>
      <c r="N79"/>
      <c r="O79"/>
      <c r="P79"/>
      <c r="Q79"/>
      <c r="R79"/>
      <c r="S79"/>
      <c r="T79"/>
      <c r="U79"/>
    </row>
    <row r="80" spans="2:21" x14ac:dyDescent="0.3">
      <c r="B80"/>
      <c r="C80"/>
      <c r="D80"/>
      <c r="E80"/>
      <c r="F80"/>
      <c r="G80"/>
      <c r="H80"/>
      <c r="I80"/>
      <c r="J80"/>
      <c r="K80"/>
      <c r="L80"/>
      <c r="M80"/>
      <c r="N80"/>
      <c r="O80"/>
      <c r="P80"/>
      <c r="Q80"/>
      <c r="R80"/>
      <c r="S80"/>
      <c r="T80"/>
      <c r="U80"/>
    </row>
    <row r="81" spans="2:21" x14ac:dyDescent="0.3">
      <c r="B81"/>
      <c r="C81"/>
      <c r="D81"/>
      <c r="E81"/>
      <c r="F81"/>
      <c r="G81"/>
      <c r="H81"/>
      <c r="I81"/>
      <c r="J81"/>
      <c r="K81"/>
      <c r="L81"/>
      <c r="M81"/>
      <c r="N81"/>
      <c r="O81"/>
      <c r="P81"/>
      <c r="Q81"/>
      <c r="R81"/>
      <c r="S81"/>
      <c r="T81"/>
      <c r="U81"/>
    </row>
    <row r="82" spans="2:21" x14ac:dyDescent="0.3">
      <c r="B82"/>
      <c r="C82"/>
      <c r="D82"/>
      <c r="E82"/>
      <c r="F82"/>
      <c r="G82"/>
      <c r="H82"/>
      <c r="I82"/>
      <c r="J82"/>
      <c r="K82"/>
      <c r="L82"/>
      <c r="M82"/>
      <c r="N82"/>
      <c r="O82"/>
      <c r="P82"/>
      <c r="Q82"/>
      <c r="R82"/>
      <c r="S82"/>
      <c r="T82"/>
      <c r="U82"/>
    </row>
    <row r="83" spans="2:21" x14ac:dyDescent="0.3">
      <c r="B83"/>
      <c r="C83"/>
      <c r="D83"/>
      <c r="E83"/>
      <c r="F83"/>
      <c r="G83"/>
      <c r="H83"/>
      <c r="I83"/>
      <c r="J83"/>
      <c r="K83"/>
      <c r="L83"/>
      <c r="M83"/>
      <c r="N83"/>
      <c r="O83"/>
      <c r="P83"/>
      <c r="Q83"/>
      <c r="R83"/>
      <c r="S83"/>
      <c r="T83"/>
      <c r="U83"/>
    </row>
    <row r="84" spans="2:21" x14ac:dyDescent="0.3">
      <c r="B84"/>
      <c r="C84"/>
      <c r="D84"/>
      <c r="E84"/>
      <c r="F84"/>
      <c r="G84"/>
      <c r="H84"/>
      <c r="I84"/>
      <c r="J84"/>
      <c r="K84"/>
      <c r="L84"/>
      <c r="M84"/>
      <c r="N84"/>
      <c r="O84"/>
      <c r="P84"/>
      <c r="Q84"/>
      <c r="R84"/>
      <c r="S84"/>
      <c r="T84"/>
      <c r="U84"/>
    </row>
    <row r="85" spans="2:21" x14ac:dyDescent="0.3">
      <c r="B85"/>
      <c r="C85"/>
      <c r="D85"/>
      <c r="E85"/>
      <c r="F85"/>
      <c r="G85"/>
      <c r="H85"/>
      <c r="I85"/>
      <c r="J85"/>
      <c r="K85"/>
      <c r="L85"/>
      <c r="M85"/>
      <c r="N85"/>
      <c r="O85"/>
      <c r="P85"/>
      <c r="Q85"/>
      <c r="R85"/>
      <c r="S85"/>
      <c r="T85"/>
      <c r="U85"/>
    </row>
    <row r="86" spans="2:21" x14ac:dyDescent="0.3">
      <c r="B86"/>
      <c r="C86"/>
      <c r="D86"/>
      <c r="E86"/>
      <c r="F86"/>
      <c r="G86"/>
      <c r="H86"/>
      <c r="I86"/>
      <c r="J86"/>
      <c r="K86"/>
      <c r="L86"/>
      <c r="M86"/>
      <c r="N86"/>
      <c r="O86"/>
      <c r="P86"/>
      <c r="Q86"/>
      <c r="R86"/>
      <c r="S86"/>
      <c r="T86"/>
      <c r="U86"/>
    </row>
    <row r="87" spans="2:21" x14ac:dyDescent="0.3">
      <c r="B87"/>
      <c r="C87"/>
      <c r="D87"/>
      <c r="E87"/>
      <c r="F87"/>
      <c r="G87"/>
      <c r="H87"/>
      <c r="I87"/>
      <c r="J87"/>
      <c r="K87"/>
      <c r="L87"/>
      <c r="M87"/>
      <c r="N87"/>
      <c r="O87"/>
      <c r="P87"/>
      <c r="Q87"/>
      <c r="R87"/>
      <c r="S87"/>
      <c r="T87"/>
      <c r="U87"/>
    </row>
    <row r="88" spans="2:21" x14ac:dyDescent="0.3">
      <c r="B88"/>
      <c r="C88"/>
      <c r="D88"/>
      <c r="E88"/>
      <c r="F88"/>
      <c r="G88"/>
      <c r="H88"/>
      <c r="I88"/>
      <c r="J88"/>
      <c r="K88"/>
      <c r="L88"/>
      <c r="M88"/>
      <c r="N88"/>
      <c r="O88"/>
      <c r="P88"/>
      <c r="Q88"/>
      <c r="R88"/>
      <c r="S88"/>
      <c r="T88"/>
      <c r="U88"/>
    </row>
    <row r="89" spans="2:21" x14ac:dyDescent="0.3">
      <c r="B89"/>
      <c r="C89"/>
      <c r="D89"/>
      <c r="E89"/>
      <c r="F89"/>
      <c r="G89"/>
      <c r="H89"/>
      <c r="I89"/>
      <c r="J89"/>
      <c r="K89"/>
      <c r="L89"/>
      <c r="M89"/>
      <c r="N89"/>
      <c r="O89"/>
      <c r="P89"/>
      <c r="Q89"/>
      <c r="R89"/>
      <c r="S89"/>
      <c r="T89"/>
      <c r="U89"/>
    </row>
    <row r="90" spans="2:21" x14ac:dyDescent="0.3">
      <c r="B90"/>
      <c r="C90"/>
      <c r="D90"/>
      <c r="E90"/>
      <c r="F90"/>
      <c r="G90"/>
      <c r="H90"/>
      <c r="I90"/>
      <c r="J90"/>
      <c r="K90"/>
      <c r="L90"/>
      <c r="M90"/>
      <c r="N90"/>
      <c r="O90"/>
      <c r="P90"/>
      <c r="Q90"/>
      <c r="R90"/>
      <c r="S90"/>
      <c r="T90"/>
      <c r="U90"/>
    </row>
    <row r="91" spans="2:21" x14ac:dyDescent="0.3">
      <c r="B91"/>
      <c r="C91"/>
      <c r="D91"/>
      <c r="E91"/>
      <c r="F91"/>
      <c r="G91"/>
      <c r="H91"/>
      <c r="I91"/>
      <c r="J91"/>
      <c r="K91"/>
      <c r="L91"/>
      <c r="M91"/>
      <c r="N91"/>
      <c r="O91"/>
      <c r="P91"/>
      <c r="Q91"/>
      <c r="R91"/>
      <c r="S91"/>
      <c r="T91"/>
      <c r="U91"/>
    </row>
  </sheetData>
  <mergeCells count="24">
    <mergeCell ref="M70:M71"/>
    <mergeCell ref="B1:B5"/>
    <mergeCell ref="C1:T5"/>
    <mergeCell ref="U1:U5"/>
    <mergeCell ref="B44:U45"/>
    <mergeCell ref="B56:U58"/>
    <mergeCell ref="B70:B71"/>
    <mergeCell ref="C70:C71"/>
    <mergeCell ref="D70:D71"/>
    <mergeCell ref="E70:E71"/>
    <mergeCell ref="G70:G71"/>
    <mergeCell ref="H70:H71"/>
    <mergeCell ref="I70:I71"/>
    <mergeCell ref="J70:J71"/>
    <mergeCell ref="K70:K71"/>
    <mergeCell ref="L70:L71"/>
    <mergeCell ref="T70:T71"/>
    <mergeCell ref="U70:U71"/>
    <mergeCell ref="N70:N71"/>
    <mergeCell ref="O70:O71"/>
    <mergeCell ref="P70:P71"/>
    <mergeCell ref="Q70:Q71"/>
    <mergeCell ref="R70:R71"/>
    <mergeCell ref="S70:S71"/>
  </mergeCells>
  <conditionalFormatting sqref="B74">
    <cfRule type="cellIs" dxfId="12" priority="8" operator="greaterThan">
      <formula>60</formula>
    </cfRule>
  </conditionalFormatting>
  <conditionalFormatting sqref="C42">
    <cfRule type="cellIs" dxfId="11" priority="6" operator="equal">
      <formula>"NO HABILITADO"</formula>
    </cfRule>
  </conditionalFormatting>
  <conditionalFormatting sqref="C11:U11">
    <cfRule type="cellIs" dxfId="10" priority="2" operator="equal">
      <formula>"NO VIGENTE"</formula>
    </cfRule>
  </conditionalFormatting>
  <conditionalFormatting sqref="C70:U70">
    <cfRule type="expression" dxfId="9" priority="7">
      <formula>YEAR(C70)=2022</formula>
    </cfRule>
  </conditionalFormatting>
  <conditionalFormatting sqref="C73:U74">
    <cfRule type="cellIs" dxfId="8" priority="9" operator="greaterThan">
      <formula>$B$74</formula>
    </cfRule>
  </conditionalFormatting>
  <conditionalFormatting sqref="F42:H42">
    <cfRule type="cellIs" dxfId="7" priority="3" operator="equal">
      <formula>"NO HABILITADO"</formula>
    </cfRule>
  </conditionalFormatting>
  <conditionalFormatting sqref="K42 N42:U42">
    <cfRule type="cellIs" dxfId="6" priority="1" operator="equal">
      <formula>"NO HABILITADO"</formula>
    </cfRule>
  </conditionalFormatting>
  <dataValidations count="2">
    <dataValidation type="list" allowBlank="1" showInputMessage="1" showErrorMessage="1" sqref="C77:U77" xr:uid="{6DE98901-8ED6-457A-BB25-9711F92E3D3C}">
      <formula1>$W$22:$W$22</formula1>
    </dataValidation>
    <dataValidation type="list" allowBlank="1" showInputMessage="1" showErrorMessage="1" sqref="C75:U75" xr:uid="{6036B3F5-F2BF-4B8D-9515-1E63F70E1977}">
      <formula1>#REF!</formula1>
    </dataValidation>
  </dataValidations>
  <printOptions horizontalCentered="1" verticalCentered="1"/>
  <pageMargins left="0.19685039370078741" right="0.19685039370078741" top="0.15748031496062992" bottom="0.15748031496062992" header="0.31496062992125984" footer="0.31496062992125984"/>
  <pageSetup paperSize="256" scale="27" orientation="landscape" r:id="rId1"/>
  <ignoredErrors>
    <ignoredError sqref="F12 K12" formulaRange="1"/>
    <ignoredError sqref="K18 T30:T40"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33"/>
  <sheetViews>
    <sheetView showGridLines="0" view="pageBreakPreview" zoomScaleNormal="50" zoomScaleSheetLayoutView="100" workbookViewId="0">
      <selection activeCell="C16" sqref="C16:J24"/>
    </sheetView>
  </sheetViews>
  <sheetFormatPr baseColWidth="10" defaultColWidth="11.44140625" defaultRowHeight="14.4" x14ac:dyDescent="0.3"/>
  <cols>
    <col min="1" max="1" width="7" style="55" customWidth="1"/>
    <col min="2" max="2" width="39.33203125" style="55" customWidth="1"/>
    <col min="3" max="3" width="17.33203125" style="55" customWidth="1"/>
    <col min="4" max="4" width="16.44140625" style="55" customWidth="1"/>
    <col min="5" max="6" width="18.5546875" style="55" customWidth="1"/>
    <col min="7" max="7" width="17.6640625" style="55" customWidth="1"/>
    <col min="8" max="9" width="18.33203125" style="55" customWidth="1"/>
    <col min="10" max="10" width="21" style="55" customWidth="1"/>
    <col min="11" max="11" width="75.6640625" style="55" customWidth="1"/>
    <col min="12" max="258" width="11.5546875" style="55"/>
    <col min="259" max="259" width="22.33203125" style="55" customWidth="1"/>
    <col min="260" max="260" width="17.33203125" style="55" customWidth="1"/>
    <col min="261" max="261" width="16.44140625" style="55" customWidth="1"/>
    <col min="262" max="262" width="18.5546875" style="55" customWidth="1"/>
    <col min="263" max="263" width="20.33203125" style="55" customWidth="1"/>
    <col min="264" max="264" width="17.6640625" style="55" customWidth="1"/>
    <col min="265" max="265" width="18.33203125" style="55" customWidth="1"/>
    <col min="266" max="514" width="11.5546875" style="55"/>
    <col min="515" max="515" width="22.33203125" style="55" customWidth="1"/>
    <col min="516" max="516" width="17.33203125" style="55" customWidth="1"/>
    <col min="517" max="517" width="16.44140625" style="55" customWidth="1"/>
    <col min="518" max="518" width="18.5546875" style="55" customWidth="1"/>
    <col min="519" max="519" width="20.33203125" style="55" customWidth="1"/>
    <col min="520" max="520" width="17.6640625" style="55" customWidth="1"/>
    <col min="521" max="521" width="18.33203125" style="55" customWidth="1"/>
    <col min="522" max="770" width="11.5546875" style="55"/>
    <col min="771" max="771" width="22.33203125" style="55" customWidth="1"/>
    <col min="772" max="772" width="17.33203125" style="55" customWidth="1"/>
    <col min="773" max="773" width="16.44140625" style="55" customWidth="1"/>
    <col min="774" max="774" width="18.5546875" style="55" customWidth="1"/>
    <col min="775" max="775" width="20.33203125" style="55" customWidth="1"/>
    <col min="776" max="776" width="17.6640625" style="55" customWidth="1"/>
    <col min="777" max="777" width="18.33203125" style="55" customWidth="1"/>
    <col min="778" max="1026" width="11.5546875" style="55"/>
    <col min="1027" max="1027" width="22.33203125" style="55" customWidth="1"/>
    <col min="1028" max="1028" width="17.33203125" style="55" customWidth="1"/>
    <col min="1029" max="1029" width="16.44140625" style="55" customWidth="1"/>
    <col min="1030" max="1030" width="18.5546875" style="55" customWidth="1"/>
    <col min="1031" max="1031" width="20.33203125" style="55" customWidth="1"/>
    <col min="1032" max="1032" width="17.6640625" style="55" customWidth="1"/>
    <col min="1033" max="1033" width="18.33203125" style="55" customWidth="1"/>
    <col min="1034" max="1282" width="11.5546875" style="55"/>
    <col min="1283" max="1283" width="22.33203125" style="55" customWidth="1"/>
    <col min="1284" max="1284" width="17.33203125" style="55" customWidth="1"/>
    <col min="1285" max="1285" width="16.44140625" style="55" customWidth="1"/>
    <col min="1286" max="1286" width="18.5546875" style="55" customWidth="1"/>
    <col min="1287" max="1287" width="20.33203125" style="55" customWidth="1"/>
    <col min="1288" max="1288" width="17.6640625" style="55" customWidth="1"/>
    <col min="1289" max="1289" width="18.33203125" style="55" customWidth="1"/>
    <col min="1290" max="1538" width="11.5546875" style="55"/>
    <col min="1539" max="1539" width="22.33203125" style="55" customWidth="1"/>
    <col min="1540" max="1540" width="17.33203125" style="55" customWidth="1"/>
    <col min="1541" max="1541" width="16.44140625" style="55" customWidth="1"/>
    <col min="1542" max="1542" width="18.5546875" style="55" customWidth="1"/>
    <col min="1543" max="1543" width="20.33203125" style="55" customWidth="1"/>
    <col min="1544" max="1544" width="17.6640625" style="55" customWidth="1"/>
    <col min="1545" max="1545" width="18.33203125" style="55" customWidth="1"/>
    <col min="1546" max="1794" width="11.5546875" style="55"/>
    <col min="1795" max="1795" width="22.33203125" style="55" customWidth="1"/>
    <col min="1796" max="1796" width="17.33203125" style="55" customWidth="1"/>
    <col min="1797" max="1797" width="16.44140625" style="55" customWidth="1"/>
    <col min="1798" max="1798" width="18.5546875" style="55" customWidth="1"/>
    <col min="1799" max="1799" width="20.33203125" style="55" customWidth="1"/>
    <col min="1800" max="1800" width="17.6640625" style="55" customWidth="1"/>
    <col min="1801" max="1801" width="18.33203125" style="55" customWidth="1"/>
    <col min="1802" max="2050" width="11.5546875" style="55"/>
    <col min="2051" max="2051" width="22.33203125" style="55" customWidth="1"/>
    <col min="2052" max="2052" width="17.33203125" style="55" customWidth="1"/>
    <col min="2053" max="2053" width="16.44140625" style="55" customWidth="1"/>
    <col min="2054" max="2054" width="18.5546875" style="55" customWidth="1"/>
    <col min="2055" max="2055" width="20.33203125" style="55" customWidth="1"/>
    <col min="2056" max="2056" width="17.6640625" style="55" customWidth="1"/>
    <col min="2057" max="2057" width="18.33203125" style="55" customWidth="1"/>
    <col min="2058" max="2306" width="11.5546875" style="55"/>
    <col min="2307" max="2307" width="22.33203125" style="55" customWidth="1"/>
    <col min="2308" max="2308" width="17.33203125" style="55" customWidth="1"/>
    <col min="2309" max="2309" width="16.44140625" style="55" customWidth="1"/>
    <col min="2310" max="2310" width="18.5546875" style="55" customWidth="1"/>
    <col min="2311" max="2311" width="20.33203125" style="55" customWidth="1"/>
    <col min="2312" max="2312" width="17.6640625" style="55" customWidth="1"/>
    <col min="2313" max="2313" width="18.33203125" style="55" customWidth="1"/>
    <col min="2314" max="2562" width="11.5546875" style="55"/>
    <col min="2563" max="2563" width="22.33203125" style="55" customWidth="1"/>
    <col min="2564" max="2564" width="17.33203125" style="55" customWidth="1"/>
    <col min="2565" max="2565" width="16.44140625" style="55" customWidth="1"/>
    <col min="2566" max="2566" width="18.5546875" style="55" customWidth="1"/>
    <col min="2567" max="2567" width="20.33203125" style="55" customWidth="1"/>
    <col min="2568" max="2568" width="17.6640625" style="55" customWidth="1"/>
    <col min="2569" max="2569" width="18.33203125" style="55" customWidth="1"/>
    <col min="2570" max="2818" width="11.5546875" style="55"/>
    <col min="2819" max="2819" width="22.33203125" style="55" customWidth="1"/>
    <col min="2820" max="2820" width="17.33203125" style="55" customWidth="1"/>
    <col min="2821" max="2821" width="16.44140625" style="55" customWidth="1"/>
    <col min="2822" max="2822" width="18.5546875" style="55" customWidth="1"/>
    <col min="2823" max="2823" width="20.33203125" style="55" customWidth="1"/>
    <col min="2824" max="2824" width="17.6640625" style="55" customWidth="1"/>
    <col min="2825" max="2825" width="18.33203125" style="55" customWidth="1"/>
    <col min="2826" max="3074" width="11.5546875" style="55"/>
    <col min="3075" max="3075" width="22.33203125" style="55" customWidth="1"/>
    <col min="3076" max="3076" width="17.33203125" style="55" customWidth="1"/>
    <col min="3077" max="3077" width="16.44140625" style="55" customWidth="1"/>
    <col min="3078" max="3078" width="18.5546875" style="55" customWidth="1"/>
    <col min="3079" max="3079" width="20.33203125" style="55" customWidth="1"/>
    <col min="3080" max="3080" width="17.6640625" style="55" customWidth="1"/>
    <col min="3081" max="3081" width="18.33203125" style="55" customWidth="1"/>
    <col min="3082" max="3330" width="11.5546875" style="55"/>
    <col min="3331" max="3331" width="22.33203125" style="55" customWidth="1"/>
    <col min="3332" max="3332" width="17.33203125" style="55" customWidth="1"/>
    <col min="3333" max="3333" width="16.44140625" style="55" customWidth="1"/>
    <col min="3334" max="3334" width="18.5546875" style="55" customWidth="1"/>
    <col min="3335" max="3335" width="20.33203125" style="55" customWidth="1"/>
    <col min="3336" max="3336" width="17.6640625" style="55" customWidth="1"/>
    <col min="3337" max="3337" width="18.33203125" style="55" customWidth="1"/>
    <col min="3338" max="3586" width="11.5546875" style="55"/>
    <col min="3587" max="3587" width="22.33203125" style="55" customWidth="1"/>
    <col min="3588" max="3588" width="17.33203125" style="55" customWidth="1"/>
    <col min="3589" max="3589" width="16.44140625" style="55" customWidth="1"/>
    <col min="3590" max="3590" width="18.5546875" style="55" customWidth="1"/>
    <col min="3591" max="3591" width="20.33203125" style="55" customWidth="1"/>
    <col min="3592" max="3592" width="17.6640625" style="55" customWidth="1"/>
    <col min="3593" max="3593" width="18.33203125" style="55" customWidth="1"/>
    <col min="3594" max="3842" width="11.5546875" style="55"/>
    <col min="3843" max="3843" width="22.33203125" style="55" customWidth="1"/>
    <col min="3844" max="3844" width="17.33203125" style="55" customWidth="1"/>
    <col min="3845" max="3845" width="16.44140625" style="55" customWidth="1"/>
    <col min="3846" max="3846" width="18.5546875" style="55" customWidth="1"/>
    <col min="3847" max="3847" width="20.33203125" style="55" customWidth="1"/>
    <col min="3848" max="3848" width="17.6640625" style="55" customWidth="1"/>
    <col min="3849" max="3849" width="18.33203125" style="55" customWidth="1"/>
    <col min="3850" max="4098" width="11.5546875" style="55"/>
    <col min="4099" max="4099" width="22.33203125" style="55" customWidth="1"/>
    <col min="4100" max="4100" width="17.33203125" style="55" customWidth="1"/>
    <col min="4101" max="4101" width="16.44140625" style="55" customWidth="1"/>
    <col min="4102" max="4102" width="18.5546875" style="55" customWidth="1"/>
    <col min="4103" max="4103" width="20.33203125" style="55" customWidth="1"/>
    <col min="4104" max="4104" width="17.6640625" style="55" customWidth="1"/>
    <col min="4105" max="4105" width="18.33203125" style="55" customWidth="1"/>
    <col min="4106" max="4354" width="11.5546875" style="55"/>
    <col min="4355" max="4355" width="22.33203125" style="55" customWidth="1"/>
    <col min="4356" max="4356" width="17.33203125" style="55" customWidth="1"/>
    <col min="4357" max="4357" width="16.44140625" style="55" customWidth="1"/>
    <col min="4358" max="4358" width="18.5546875" style="55" customWidth="1"/>
    <col min="4359" max="4359" width="20.33203125" style="55" customWidth="1"/>
    <col min="4360" max="4360" width="17.6640625" style="55" customWidth="1"/>
    <col min="4361" max="4361" width="18.33203125" style="55" customWidth="1"/>
    <col min="4362" max="4610" width="11.5546875" style="55"/>
    <col min="4611" max="4611" width="22.33203125" style="55" customWidth="1"/>
    <col min="4612" max="4612" width="17.33203125" style="55" customWidth="1"/>
    <col min="4613" max="4613" width="16.44140625" style="55" customWidth="1"/>
    <col min="4614" max="4614" width="18.5546875" style="55" customWidth="1"/>
    <col min="4615" max="4615" width="20.33203125" style="55" customWidth="1"/>
    <col min="4616" max="4616" width="17.6640625" style="55" customWidth="1"/>
    <col min="4617" max="4617" width="18.33203125" style="55" customWidth="1"/>
    <col min="4618" max="4866" width="11.5546875" style="55"/>
    <col min="4867" max="4867" width="22.33203125" style="55" customWidth="1"/>
    <col min="4868" max="4868" width="17.33203125" style="55" customWidth="1"/>
    <col min="4869" max="4869" width="16.44140625" style="55" customWidth="1"/>
    <col min="4870" max="4870" width="18.5546875" style="55" customWidth="1"/>
    <col min="4871" max="4871" width="20.33203125" style="55" customWidth="1"/>
    <col min="4872" max="4872" width="17.6640625" style="55" customWidth="1"/>
    <col min="4873" max="4873" width="18.33203125" style="55" customWidth="1"/>
    <col min="4874" max="5122" width="11.5546875" style="55"/>
    <col min="5123" max="5123" width="22.33203125" style="55" customWidth="1"/>
    <col min="5124" max="5124" width="17.33203125" style="55" customWidth="1"/>
    <col min="5125" max="5125" width="16.44140625" style="55" customWidth="1"/>
    <col min="5126" max="5126" width="18.5546875" style="55" customWidth="1"/>
    <col min="5127" max="5127" width="20.33203125" style="55" customWidth="1"/>
    <col min="5128" max="5128" width="17.6640625" style="55" customWidth="1"/>
    <col min="5129" max="5129" width="18.33203125" style="55" customWidth="1"/>
    <col min="5130" max="5378" width="11.5546875" style="55"/>
    <col min="5379" max="5379" width="22.33203125" style="55" customWidth="1"/>
    <col min="5380" max="5380" width="17.33203125" style="55" customWidth="1"/>
    <col min="5381" max="5381" width="16.44140625" style="55" customWidth="1"/>
    <col min="5382" max="5382" width="18.5546875" style="55" customWidth="1"/>
    <col min="5383" max="5383" width="20.33203125" style="55" customWidth="1"/>
    <col min="5384" max="5384" width="17.6640625" style="55" customWidth="1"/>
    <col min="5385" max="5385" width="18.33203125" style="55" customWidth="1"/>
    <col min="5386" max="5634" width="11.5546875" style="55"/>
    <col min="5635" max="5635" width="22.33203125" style="55" customWidth="1"/>
    <col min="5636" max="5636" width="17.33203125" style="55" customWidth="1"/>
    <col min="5637" max="5637" width="16.44140625" style="55" customWidth="1"/>
    <col min="5638" max="5638" width="18.5546875" style="55" customWidth="1"/>
    <col min="5639" max="5639" width="20.33203125" style="55" customWidth="1"/>
    <col min="5640" max="5640" width="17.6640625" style="55" customWidth="1"/>
    <col min="5641" max="5641" width="18.33203125" style="55" customWidth="1"/>
    <col min="5642" max="5890" width="11.5546875" style="55"/>
    <col min="5891" max="5891" width="22.33203125" style="55" customWidth="1"/>
    <col min="5892" max="5892" width="17.33203125" style="55" customWidth="1"/>
    <col min="5893" max="5893" width="16.44140625" style="55" customWidth="1"/>
    <col min="5894" max="5894" width="18.5546875" style="55" customWidth="1"/>
    <col min="5895" max="5895" width="20.33203125" style="55" customWidth="1"/>
    <col min="5896" max="5896" width="17.6640625" style="55" customWidth="1"/>
    <col min="5897" max="5897" width="18.33203125" style="55" customWidth="1"/>
    <col min="5898" max="6146" width="11.5546875" style="55"/>
    <col min="6147" max="6147" width="22.33203125" style="55" customWidth="1"/>
    <col min="6148" max="6148" width="17.33203125" style="55" customWidth="1"/>
    <col min="6149" max="6149" width="16.44140625" style="55" customWidth="1"/>
    <col min="6150" max="6150" width="18.5546875" style="55" customWidth="1"/>
    <col min="6151" max="6151" width="20.33203125" style="55" customWidth="1"/>
    <col min="6152" max="6152" width="17.6640625" style="55" customWidth="1"/>
    <col min="6153" max="6153" width="18.33203125" style="55" customWidth="1"/>
    <col min="6154" max="6402" width="11.5546875" style="55"/>
    <col min="6403" max="6403" width="22.33203125" style="55" customWidth="1"/>
    <col min="6404" max="6404" width="17.33203125" style="55" customWidth="1"/>
    <col min="6405" max="6405" width="16.44140625" style="55" customWidth="1"/>
    <col min="6406" max="6406" width="18.5546875" style="55" customWidth="1"/>
    <col min="6407" max="6407" width="20.33203125" style="55" customWidth="1"/>
    <col min="6408" max="6408" width="17.6640625" style="55" customWidth="1"/>
    <col min="6409" max="6409" width="18.33203125" style="55" customWidth="1"/>
    <col min="6410" max="6658" width="11.5546875" style="55"/>
    <col min="6659" max="6659" width="22.33203125" style="55" customWidth="1"/>
    <col min="6660" max="6660" width="17.33203125" style="55" customWidth="1"/>
    <col min="6661" max="6661" width="16.44140625" style="55" customWidth="1"/>
    <col min="6662" max="6662" width="18.5546875" style="55" customWidth="1"/>
    <col min="6663" max="6663" width="20.33203125" style="55" customWidth="1"/>
    <col min="6664" max="6664" width="17.6640625" style="55" customWidth="1"/>
    <col min="6665" max="6665" width="18.33203125" style="55" customWidth="1"/>
    <col min="6666" max="6914" width="11.5546875" style="55"/>
    <col min="6915" max="6915" width="22.33203125" style="55" customWidth="1"/>
    <col min="6916" max="6916" width="17.33203125" style="55" customWidth="1"/>
    <col min="6917" max="6917" width="16.44140625" style="55" customWidth="1"/>
    <col min="6918" max="6918" width="18.5546875" style="55" customWidth="1"/>
    <col min="6919" max="6919" width="20.33203125" style="55" customWidth="1"/>
    <col min="6920" max="6920" width="17.6640625" style="55" customWidth="1"/>
    <col min="6921" max="6921" width="18.33203125" style="55" customWidth="1"/>
    <col min="6922" max="7170" width="11.5546875" style="55"/>
    <col min="7171" max="7171" width="22.33203125" style="55" customWidth="1"/>
    <col min="7172" max="7172" width="17.33203125" style="55" customWidth="1"/>
    <col min="7173" max="7173" width="16.44140625" style="55" customWidth="1"/>
    <col min="7174" max="7174" width="18.5546875" style="55" customWidth="1"/>
    <col min="7175" max="7175" width="20.33203125" style="55" customWidth="1"/>
    <col min="7176" max="7176" width="17.6640625" style="55" customWidth="1"/>
    <col min="7177" max="7177" width="18.33203125" style="55" customWidth="1"/>
    <col min="7178" max="7426" width="11.5546875" style="55"/>
    <col min="7427" max="7427" width="22.33203125" style="55" customWidth="1"/>
    <col min="7428" max="7428" width="17.33203125" style="55" customWidth="1"/>
    <col min="7429" max="7429" width="16.44140625" style="55" customWidth="1"/>
    <col min="7430" max="7430" width="18.5546875" style="55" customWidth="1"/>
    <col min="7431" max="7431" width="20.33203125" style="55" customWidth="1"/>
    <col min="7432" max="7432" width="17.6640625" style="55" customWidth="1"/>
    <col min="7433" max="7433" width="18.33203125" style="55" customWidth="1"/>
    <col min="7434" max="7682" width="11.5546875" style="55"/>
    <col min="7683" max="7683" width="22.33203125" style="55" customWidth="1"/>
    <col min="7684" max="7684" width="17.33203125" style="55" customWidth="1"/>
    <col min="7685" max="7685" width="16.44140625" style="55" customWidth="1"/>
    <col min="7686" max="7686" width="18.5546875" style="55" customWidth="1"/>
    <col min="7687" max="7687" width="20.33203125" style="55" customWidth="1"/>
    <col min="7688" max="7688" width="17.6640625" style="55" customWidth="1"/>
    <col min="7689" max="7689" width="18.33203125" style="55" customWidth="1"/>
    <col min="7690" max="7938" width="11.5546875" style="55"/>
    <col min="7939" max="7939" width="22.33203125" style="55" customWidth="1"/>
    <col min="7940" max="7940" width="17.33203125" style="55" customWidth="1"/>
    <col min="7941" max="7941" width="16.44140625" style="55" customWidth="1"/>
    <col min="7942" max="7942" width="18.5546875" style="55" customWidth="1"/>
    <col min="7943" max="7943" width="20.33203125" style="55" customWidth="1"/>
    <col min="7944" max="7944" width="17.6640625" style="55" customWidth="1"/>
    <col min="7945" max="7945" width="18.33203125" style="55" customWidth="1"/>
    <col min="7946" max="8194" width="11.5546875" style="55"/>
    <col min="8195" max="8195" width="22.33203125" style="55" customWidth="1"/>
    <col min="8196" max="8196" width="17.33203125" style="55" customWidth="1"/>
    <col min="8197" max="8197" width="16.44140625" style="55" customWidth="1"/>
    <col min="8198" max="8198" width="18.5546875" style="55" customWidth="1"/>
    <col min="8199" max="8199" width="20.33203125" style="55" customWidth="1"/>
    <col min="8200" max="8200" width="17.6640625" style="55" customWidth="1"/>
    <col min="8201" max="8201" width="18.33203125" style="55" customWidth="1"/>
    <col min="8202" max="8450" width="11.5546875" style="55"/>
    <col min="8451" max="8451" width="22.33203125" style="55" customWidth="1"/>
    <col min="8452" max="8452" width="17.33203125" style="55" customWidth="1"/>
    <col min="8453" max="8453" width="16.44140625" style="55" customWidth="1"/>
    <col min="8454" max="8454" width="18.5546875" style="55" customWidth="1"/>
    <col min="8455" max="8455" width="20.33203125" style="55" customWidth="1"/>
    <col min="8456" max="8456" width="17.6640625" style="55" customWidth="1"/>
    <col min="8457" max="8457" width="18.33203125" style="55" customWidth="1"/>
    <col min="8458" max="8706" width="11.5546875" style="55"/>
    <col min="8707" max="8707" width="22.33203125" style="55" customWidth="1"/>
    <col min="8708" max="8708" width="17.33203125" style="55" customWidth="1"/>
    <col min="8709" max="8709" width="16.44140625" style="55" customWidth="1"/>
    <col min="8710" max="8710" width="18.5546875" style="55" customWidth="1"/>
    <col min="8711" max="8711" width="20.33203125" style="55" customWidth="1"/>
    <col min="8712" max="8712" width="17.6640625" style="55" customWidth="1"/>
    <col min="8713" max="8713" width="18.33203125" style="55" customWidth="1"/>
    <col min="8714" max="8962" width="11.5546875" style="55"/>
    <col min="8963" max="8963" width="22.33203125" style="55" customWidth="1"/>
    <col min="8964" max="8964" width="17.33203125" style="55" customWidth="1"/>
    <col min="8965" max="8965" width="16.44140625" style="55" customWidth="1"/>
    <col min="8966" max="8966" width="18.5546875" style="55" customWidth="1"/>
    <col min="8967" max="8967" width="20.33203125" style="55" customWidth="1"/>
    <col min="8968" max="8968" width="17.6640625" style="55" customWidth="1"/>
    <col min="8969" max="8969" width="18.33203125" style="55" customWidth="1"/>
    <col min="8970" max="9218" width="11.5546875" style="55"/>
    <col min="9219" max="9219" width="22.33203125" style="55" customWidth="1"/>
    <col min="9220" max="9220" width="17.33203125" style="55" customWidth="1"/>
    <col min="9221" max="9221" width="16.44140625" style="55" customWidth="1"/>
    <col min="9222" max="9222" width="18.5546875" style="55" customWidth="1"/>
    <col min="9223" max="9223" width="20.33203125" style="55" customWidth="1"/>
    <col min="9224" max="9224" width="17.6640625" style="55" customWidth="1"/>
    <col min="9225" max="9225" width="18.33203125" style="55" customWidth="1"/>
    <col min="9226" max="9474" width="11.5546875" style="55"/>
    <col min="9475" max="9475" width="22.33203125" style="55" customWidth="1"/>
    <col min="9476" max="9476" width="17.33203125" style="55" customWidth="1"/>
    <col min="9477" max="9477" width="16.44140625" style="55" customWidth="1"/>
    <col min="9478" max="9478" width="18.5546875" style="55" customWidth="1"/>
    <col min="9479" max="9479" width="20.33203125" style="55" customWidth="1"/>
    <col min="9480" max="9480" width="17.6640625" style="55" customWidth="1"/>
    <col min="9481" max="9481" width="18.33203125" style="55" customWidth="1"/>
    <col min="9482" max="9730" width="11.5546875" style="55"/>
    <col min="9731" max="9731" width="22.33203125" style="55" customWidth="1"/>
    <col min="9732" max="9732" width="17.33203125" style="55" customWidth="1"/>
    <col min="9733" max="9733" width="16.44140625" style="55" customWidth="1"/>
    <col min="9734" max="9734" width="18.5546875" style="55" customWidth="1"/>
    <col min="9735" max="9735" width="20.33203125" style="55" customWidth="1"/>
    <col min="9736" max="9736" width="17.6640625" style="55" customWidth="1"/>
    <col min="9737" max="9737" width="18.33203125" style="55" customWidth="1"/>
    <col min="9738" max="9986" width="11.5546875" style="55"/>
    <col min="9987" max="9987" width="22.33203125" style="55" customWidth="1"/>
    <col min="9988" max="9988" width="17.33203125" style="55" customWidth="1"/>
    <col min="9989" max="9989" width="16.44140625" style="55" customWidth="1"/>
    <col min="9990" max="9990" width="18.5546875" style="55" customWidth="1"/>
    <col min="9991" max="9991" width="20.33203125" style="55" customWidth="1"/>
    <col min="9992" max="9992" width="17.6640625" style="55" customWidth="1"/>
    <col min="9993" max="9993" width="18.33203125" style="55" customWidth="1"/>
    <col min="9994" max="10242" width="11.5546875" style="55"/>
    <col min="10243" max="10243" width="22.33203125" style="55" customWidth="1"/>
    <col min="10244" max="10244" width="17.33203125" style="55" customWidth="1"/>
    <col min="10245" max="10245" width="16.44140625" style="55" customWidth="1"/>
    <col min="10246" max="10246" width="18.5546875" style="55" customWidth="1"/>
    <col min="10247" max="10247" width="20.33203125" style="55" customWidth="1"/>
    <col min="10248" max="10248" width="17.6640625" style="55" customWidth="1"/>
    <col min="10249" max="10249" width="18.33203125" style="55" customWidth="1"/>
    <col min="10250" max="10498" width="11.5546875" style="55"/>
    <col min="10499" max="10499" width="22.33203125" style="55" customWidth="1"/>
    <col min="10500" max="10500" width="17.33203125" style="55" customWidth="1"/>
    <col min="10501" max="10501" width="16.44140625" style="55" customWidth="1"/>
    <col min="10502" max="10502" width="18.5546875" style="55" customWidth="1"/>
    <col min="10503" max="10503" width="20.33203125" style="55" customWidth="1"/>
    <col min="10504" max="10504" width="17.6640625" style="55" customWidth="1"/>
    <col min="10505" max="10505" width="18.33203125" style="55" customWidth="1"/>
    <col min="10506" max="10754" width="11.5546875" style="55"/>
    <col min="10755" max="10755" width="22.33203125" style="55" customWidth="1"/>
    <col min="10756" max="10756" width="17.33203125" style="55" customWidth="1"/>
    <col min="10757" max="10757" width="16.44140625" style="55" customWidth="1"/>
    <col min="10758" max="10758" width="18.5546875" style="55" customWidth="1"/>
    <col min="10759" max="10759" width="20.33203125" style="55" customWidth="1"/>
    <col min="10760" max="10760" width="17.6640625" style="55" customWidth="1"/>
    <col min="10761" max="10761" width="18.33203125" style="55" customWidth="1"/>
    <col min="10762" max="11010" width="11.5546875" style="55"/>
    <col min="11011" max="11011" width="22.33203125" style="55" customWidth="1"/>
    <col min="11012" max="11012" width="17.33203125" style="55" customWidth="1"/>
    <col min="11013" max="11013" width="16.44140625" style="55" customWidth="1"/>
    <col min="11014" max="11014" width="18.5546875" style="55" customWidth="1"/>
    <col min="11015" max="11015" width="20.33203125" style="55" customWidth="1"/>
    <col min="11016" max="11016" width="17.6640625" style="55" customWidth="1"/>
    <col min="11017" max="11017" width="18.33203125" style="55" customWidth="1"/>
    <col min="11018" max="11266" width="11.5546875" style="55"/>
    <col min="11267" max="11267" width="22.33203125" style="55" customWidth="1"/>
    <col min="11268" max="11268" width="17.33203125" style="55" customWidth="1"/>
    <col min="11269" max="11269" width="16.44140625" style="55" customWidth="1"/>
    <col min="11270" max="11270" width="18.5546875" style="55" customWidth="1"/>
    <col min="11271" max="11271" width="20.33203125" style="55" customWidth="1"/>
    <col min="11272" max="11272" width="17.6640625" style="55" customWidth="1"/>
    <col min="11273" max="11273" width="18.33203125" style="55" customWidth="1"/>
    <col min="11274" max="11522" width="11.5546875" style="55"/>
    <col min="11523" max="11523" width="22.33203125" style="55" customWidth="1"/>
    <col min="11524" max="11524" width="17.33203125" style="55" customWidth="1"/>
    <col min="11525" max="11525" width="16.44140625" style="55" customWidth="1"/>
    <col min="11526" max="11526" width="18.5546875" style="55" customWidth="1"/>
    <col min="11527" max="11527" width="20.33203125" style="55" customWidth="1"/>
    <col min="11528" max="11528" width="17.6640625" style="55" customWidth="1"/>
    <col min="11529" max="11529" width="18.33203125" style="55" customWidth="1"/>
    <col min="11530" max="11778" width="11.5546875" style="55"/>
    <col min="11779" max="11779" width="22.33203125" style="55" customWidth="1"/>
    <col min="11780" max="11780" width="17.33203125" style="55" customWidth="1"/>
    <col min="11781" max="11781" width="16.44140625" style="55" customWidth="1"/>
    <col min="11782" max="11782" width="18.5546875" style="55" customWidth="1"/>
    <col min="11783" max="11783" width="20.33203125" style="55" customWidth="1"/>
    <col min="11784" max="11784" width="17.6640625" style="55" customWidth="1"/>
    <col min="11785" max="11785" width="18.33203125" style="55" customWidth="1"/>
    <col min="11786" max="12034" width="11.5546875" style="55"/>
    <col min="12035" max="12035" width="22.33203125" style="55" customWidth="1"/>
    <col min="12036" max="12036" width="17.33203125" style="55" customWidth="1"/>
    <col min="12037" max="12037" width="16.44140625" style="55" customWidth="1"/>
    <col min="12038" max="12038" width="18.5546875" style="55" customWidth="1"/>
    <col min="12039" max="12039" width="20.33203125" style="55" customWidth="1"/>
    <col min="12040" max="12040" width="17.6640625" style="55" customWidth="1"/>
    <col min="12041" max="12041" width="18.33203125" style="55" customWidth="1"/>
    <col min="12042" max="12290" width="11.5546875" style="55"/>
    <col min="12291" max="12291" width="22.33203125" style="55" customWidth="1"/>
    <col min="12292" max="12292" width="17.33203125" style="55" customWidth="1"/>
    <col min="12293" max="12293" width="16.44140625" style="55" customWidth="1"/>
    <col min="12294" max="12294" width="18.5546875" style="55" customWidth="1"/>
    <col min="12295" max="12295" width="20.33203125" style="55" customWidth="1"/>
    <col min="12296" max="12296" width="17.6640625" style="55" customWidth="1"/>
    <col min="12297" max="12297" width="18.33203125" style="55" customWidth="1"/>
    <col min="12298" max="12546" width="11.5546875" style="55"/>
    <col min="12547" max="12547" width="22.33203125" style="55" customWidth="1"/>
    <col min="12548" max="12548" width="17.33203125" style="55" customWidth="1"/>
    <col min="12549" max="12549" width="16.44140625" style="55" customWidth="1"/>
    <col min="12550" max="12550" width="18.5546875" style="55" customWidth="1"/>
    <col min="12551" max="12551" width="20.33203125" style="55" customWidth="1"/>
    <col min="12552" max="12552" width="17.6640625" style="55" customWidth="1"/>
    <col min="12553" max="12553" width="18.33203125" style="55" customWidth="1"/>
    <col min="12554" max="12802" width="11.5546875" style="55"/>
    <col min="12803" max="12803" width="22.33203125" style="55" customWidth="1"/>
    <col min="12804" max="12804" width="17.33203125" style="55" customWidth="1"/>
    <col min="12805" max="12805" width="16.44140625" style="55" customWidth="1"/>
    <col min="12806" max="12806" width="18.5546875" style="55" customWidth="1"/>
    <col min="12807" max="12807" width="20.33203125" style="55" customWidth="1"/>
    <col min="12808" max="12808" width="17.6640625" style="55" customWidth="1"/>
    <col min="12809" max="12809" width="18.33203125" style="55" customWidth="1"/>
    <col min="12810" max="13058" width="11.5546875" style="55"/>
    <col min="13059" max="13059" width="22.33203125" style="55" customWidth="1"/>
    <col min="13060" max="13060" width="17.33203125" style="55" customWidth="1"/>
    <col min="13061" max="13061" width="16.44140625" style="55" customWidth="1"/>
    <col min="13062" max="13062" width="18.5546875" style="55" customWidth="1"/>
    <col min="13063" max="13063" width="20.33203125" style="55" customWidth="1"/>
    <col min="13064" max="13064" width="17.6640625" style="55" customWidth="1"/>
    <col min="13065" max="13065" width="18.33203125" style="55" customWidth="1"/>
    <col min="13066" max="13314" width="11.5546875" style="55"/>
    <col min="13315" max="13315" width="22.33203125" style="55" customWidth="1"/>
    <col min="13316" max="13316" width="17.33203125" style="55" customWidth="1"/>
    <col min="13317" max="13317" width="16.44140625" style="55" customWidth="1"/>
    <col min="13318" max="13318" width="18.5546875" style="55" customWidth="1"/>
    <col min="13319" max="13319" width="20.33203125" style="55" customWidth="1"/>
    <col min="13320" max="13320" width="17.6640625" style="55" customWidth="1"/>
    <col min="13321" max="13321" width="18.33203125" style="55" customWidth="1"/>
    <col min="13322" max="13570" width="11.5546875" style="55"/>
    <col min="13571" max="13571" width="22.33203125" style="55" customWidth="1"/>
    <col min="13572" max="13572" width="17.33203125" style="55" customWidth="1"/>
    <col min="13573" max="13573" width="16.44140625" style="55" customWidth="1"/>
    <col min="13574" max="13574" width="18.5546875" style="55" customWidth="1"/>
    <col min="13575" max="13575" width="20.33203125" style="55" customWidth="1"/>
    <col min="13576" max="13576" width="17.6640625" style="55" customWidth="1"/>
    <col min="13577" max="13577" width="18.33203125" style="55" customWidth="1"/>
    <col min="13578" max="13826" width="11.5546875" style="55"/>
    <col min="13827" max="13827" width="22.33203125" style="55" customWidth="1"/>
    <col min="13828" max="13828" width="17.33203125" style="55" customWidth="1"/>
    <col min="13829" max="13829" width="16.44140625" style="55" customWidth="1"/>
    <col min="13830" max="13830" width="18.5546875" style="55" customWidth="1"/>
    <col min="13831" max="13831" width="20.33203125" style="55" customWidth="1"/>
    <col min="13832" max="13832" width="17.6640625" style="55" customWidth="1"/>
    <col min="13833" max="13833" width="18.33203125" style="55" customWidth="1"/>
    <col min="13834" max="14082" width="11.5546875" style="55"/>
    <col min="14083" max="14083" width="22.33203125" style="55" customWidth="1"/>
    <col min="14084" max="14084" width="17.33203125" style="55" customWidth="1"/>
    <col min="14085" max="14085" width="16.44140625" style="55" customWidth="1"/>
    <col min="14086" max="14086" width="18.5546875" style="55" customWidth="1"/>
    <col min="14087" max="14087" width="20.33203125" style="55" customWidth="1"/>
    <col min="14088" max="14088" width="17.6640625" style="55" customWidth="1"/>
    <col min="14089" max="14089" width="18.33203125" style="55" customWidth="1"/>
    <col min="14090" max="14338" width="11.5546875" style="55"/>
    <col min="14339" max="14339" width="22.33203125" style="55" customWidth="1"/>
    <col min="14340" max="14340" width="17.33203125" style="55" customWidth="1"/>
    <col min="14341" max="14341" width="16.44140625" style="55" customWidth="1"/>
    <col min="14342" max="14342" width="18.5546875" style="55" customWidth="1"/>
    <col min="14343" max="14343" width="20.33203125" style="55" customWidth="1"/>
    <col min="14344" max="14344" width="17.6640625" style="55" customWidth="1"/>
    <col min="14345" max="14345" width="18.33203125" style="55" customWidth="1"/>
    <col min="14346" max="14594" width="11.5546875" style="55"/>
    <col min="14595" max="14595" width="22.33203125" style="55" customWidth="1"/>
    <col min="14596" max="14596" width="17.33203125" style="55" customWidth="1"/>
    <col min="14597" max="14597" width="16.44140625" style="55" customWidth="1"/>
    <col min="14598" max="14598" width="18.5546875" style="55" customWidth="1"/>
    <col min="14599" max="14599" width="20.33203125" style="55" customWidth="1"/>
    <col min="14600" max="14600" width="17.6640625" style="55" customWidth="1"/>
    <col min="14601" max="14601" width="18.33203125" style="55" customWidth="1"/>
    <col min="14602" max="14850" width="11.5546875" style="55"/>
    <col min="14851" max="14851" width="22.33203125" style="55" customWidth="1"/>
    <col min="14852" max="14852" width="17.33203125" style="55" customWidth="1"/>
    <col min="14853" max="14853" width="16.44140625" style="55" customWidth="1"/>
    <col min="14854" max="14854" width="18.5546875" style="55" customWidth="1"/>
    <col min="14855" max="14855" width="20.33203125" style="55" customWidth="1"/>
    <col min="14856" max="14856" width="17.6640625" style="55" customWidth="1"/>
    <col min="14857" max="14857" width="18.33203125" style="55" customWidth="1"/>
    <col min="14858" max="15106" width="11.5546875" style="55"/>
    <col min="15107" max="15107" width="22.33203125" style="55" customWidth="1"/>
    <col min="15108" max="15108" width="17.33203125" style="55" customWidth="1"/>
    <col min="15109" max="15109" width="16.44140625" style="55" customWidth="1"/>
    <col min="15110" max="15110" width="18.5546875" style="55" customWidth="1"/>
    <col min="15111" max="15111" width="20.33203125" style="55" customWidth="1"/>
    <col min="15112" max="15112" width="17.6640625" style="55" customWidth="1"/>
    <col min="15113" max="15113" width="18.33203125" style="55" customWidth="1"/>
    <col min="15114" max="15362" width="11.5546875" style="55"/>
    <col min="15363" max="15363" width="22.33203125" style="55" customWidth="1"/>
    <col min="15364" max="15364" width="17.33203125" style="55" customWidth="1"/>
    <col min="15365" max="15365" width="16.44140625" style="55" customWidth="1"/>
    <col min="15366" max="15366" width="18.5546875" style="55" customWidth="1"/>
    <col min="15367" max="15367" width="20.33203125" style="55" customWidth="1"/>
    <col min="15368" max="15368" width="17.6640625" style="55" customWidth="1"/>
    <col min="15369" max="15369" width="18.33203125" style="55" customWidth="1"/>
    <col min="15370" max="15618" width="11.5546875" style="55"/>
    <col min="15619" max="15619" width="22.33203125" style="55" customWidth="1"/>
    <col min="15620" max="15620" width="17.33203125" style="55" customWidth="1"/>
    <col min="15621" max="15621" width="16.44140625" style="55" customWidth="1"/>
    <col min="15622" max="15622" width="18.5546875" style="55" customWidth="1"/>
    <col min="15623" max="15623" width="20.33203125" style="55" customWidth="1"/>
    <col min="15624" max="15624" width="17.6640625" style="55" customWidth="1"/>
    <col min="15625" max="15625" width="18.33203125" style="55" customWidth="1"/>
    <col min="15626" max="15874" width="11.5546875" style="55"/>
    <col min="15875" max="15875" width="22.33203125" style="55" customWidth="1"/>
    <col min="15876" max="15876" width="17.33203125" style="55" customWidth="1"/>
    <col min="15877" max="15877" width="16.44140625" style="55" customWidth="1"/>
    <col min="15878" max="15878" width="18.5546875" style="55" customWidth="1"/>
    <col min="15879" max="15879" width="20.33203125" style="55" customWidth="1"/>
    <col min="15880" max="15880" width="17.6640625" style="55" customWidth="1"/>
    <col min="15881" max="15881" width="18.33203125" style="55" customWidth="1"/>
    <col min="15882" max="16130" width="11.5546875" style="55"/>
    <col min="16131" max="16131" width="22.33203125" style="55" customWidth="1"/>
    <col min="16132" max="16132" width="17.33203125" style="55" customWidth="1"/>
    <col min="16133" max="16133" width="16.44140625" style="55" customWidth="1"/>
    <col min="16134" max="16134" width="18.5546875" style="55" customWidth="1"/>
    <col min="16135" max="16135" width="20.33203125" style="55" customWidth="1"/>
    <col min="16136" max="16136" width="17.6640625" style="55" customWidth="1"/>
    <col min="16137" max="16137" width="18.33203125" style="55" customWidth="1"/>
    <col min="16138" max="16384" width="11.5546875" style="55"/>
  </cols>
  <sheetData>
    <row r="1" spans="1:12" ht="15.6" x14ac:dyDescent="0.3">
      <c r="B1" s="189" t="s">
        <v>74</v>
      </c>
      <c r="C1" s="189"/>
      <c r="D1" s="189"/>
      <c r="E1" s="189"/>
      <c r="F1" s="189"/>
      <c r="G1" s="189"/>
      <c r="H1" s="189"/>
      <c r="I1" s="189"/>
      <c r="J1" s="189"/>
      <c r="K1" s="189"/>
      <c r="L1" s="56"/>
    </row>
    <row r="2" spans="1:12" x14ac:dyDescent="0.3">
      <c r="B2" s="190" t="s">
        <v>75</v>
      </c>
      <c r="C2" s="190"/>
      <c r="D2" s="190"/>
      <c r="E2" s="190"/>
      <c r="F2" s="190"/>
      <c r="G2" s="190"/>
      <c r="H2" s="190"/>
      <c r="I2" s="190"/>
      <c r="J2" s="190"/>
      <c r="K2" s="190"/>
      <c r="L2" s="56"/>
    </row>
    <row r="3" spans="1:12" x14ac:dyDescent="0.3">
      <c r="B3" s="191" t="s">
        <v>76</v>
      </c>
      <c r="C3" s="191"/>
      <c r="D3" s="191"/>
      <c r="E3" s="191"/>
      <c r="F3" s="191"/>
      <c r="G3" s="191"/>
      <c r="H3" s="191"/>
      <c r="I3" s="191"/>
      <c r="J3" s="191"/>
      <c r="K3" s="191"/>
      <c r="L3" s="56"/>
    </row>
    <row r="4" spans="1:12" x14ac:dyDescent="0.3">
      <c r="B4" s="192"/>
      <c r="C4" s="192"/>
      <c r="D4" s="192"/>
      <c r="E4" s="192"/>
      <c r="F4" s="192"/>
      <c r="G4" s="192"/>
      <c r="H4" s="192"/>
      <c r="I4" s="192"/>
      <c r="J4" s="192"/>
      <c r="K4" s="192"/>
      <c r="L4" s="56"/>
    </row>
    <row r="5" spans="1:12" x14ac:dyDescent="0.3">
      <c r="B5" s="122" t="str">
        <f>'FDLSUBA-SA-MC-004-2025 1 al 13'!B6</f>
        <v>SELECCIÓN ABREVIADA DE MENOR CUANTÍA 
FDLSUBA-SA-MC-004-2025 (133182)</v>
      </c>
      <c r="C5" s="123"/>
      <c r="D5" s="123"/>
      <c r="E5" s="56"/>
      <c r="F5" s="56"/>
      <c r="G5" s="56"/>
      <c r="H5" s="56"/>
      <c r="I5" s="56"/>
      <c r="J5" s="56"/>
      <c r="K5" s="56"/>
      <c r="L5" s="56"/>
    </row>
    <row r="6" spans="1:12" ht="58.2" customHeight="1" x14ac:dyDescent="0.3">
      <c r="B6" s="193" t="str">
        <f>'FDLSUBA-SA-MC-004-2025 1 al 13'!B7</f>
        <v>OBJETO: "PRESTAR SERVICIOS DE APOYO LOGÍSTICOS PARA LA REALIZACIÓN DE EVENTOS Y ACTIVIDADES QUE PROMUEVAN EL DESARROLLO ECONÓMICO QUE REQUIERA LA ALCALDÍA LOCAL DE SUBA EN EL MARCO DEL  CUMPLIMIENTO DEL PLAN DE DESARROLLO LOCAL"</v>
      </c>
      <c r="C6" s="193"/>
      <c r="D6" s="193"/>
      <c r="E6" s="193"/>
      <c r="F6" s="193"/>
      <c r="G6" s="193"/>
      <c r="H6" s="193"/>
      <c r="I6" s="193"/>
      <c r="J6" s="193"/>
      <c r="K6" s="193"/>
      <c r="L6" s="56"/>
    </row>
    <row r="7" spans="1:12" x14ac:dyDescent="0.3">
      <c r="B7" s="57" t="s">
        <v>77</v>
      </c>
      <c r="C7" s="119">
        <f>'FDLSUBA-SA-MC-004-2025 1 al 13'!W23</f>
        <v>398000000</v>
      </c>
      <c r="D7" s="120"/>
      <c r="E7" s="56"/>
      <c r="F7" s="56"/>
      <c r="G7" s="56"/>
      <c r="H7" s="56"/>
      <c r="I7" s="56"/>
      <c r="J7" s="56"/>
      <c r="K7" s="56"/>
      <c r="L7" s="56"/>
    </row>
    <row r="8" spans="1:12" x14ac:dyDescent="0.3">
      <c r="B8" s="65" t="s">
        <v>78</v>
      </c>
      <c r="C8" s="63">
        <v>45657</v>
      </c>
      <c r="D8" s="121"/>
      <c r="E8" s="121"/>
      <c r="G8" s="56"/>
      <c r="H8" s="56"/>
      <c r="I8" s="56"/>
      <c r="J8" s="56"/>
      <c r="K8" s="56"/>
      <c r="L8" s="56"/>
    </row>
    <row r="9" spans="1:12" x14ac:dyDescent="0.3">
      <c r="B9" s="65" t="s">
        <v>79</v>
      </c>
      <c r="C9" s="63">
        <f>'FDLSUBA-SA-MC-004-2025 1 al 13'!B48</f>
        <v>45848</v>
      </c>
      <c r="D9" s="56"/>
      <c r="E9" s="56"/>
      <c r="G9" s="56"/>
      <c r="H9" s="56"/>
      <c r="I9" s="56"/>
      <c r="J9" s="56"/>
      <c r="K9" s="56"/>
      <c r="L9" s="56"/>
    </row>
    <row r="10" spans="1:12" x14ac:dyDescent="0.3">
      <c r="B10" s="184" t="s">
        <v>80</v>
      </c>
      <c r="C10" s="185"/>
      <c r="D10" s="185"/>
      <c r="E10" s="185"/>
      <c r="F10" s="185"/>
      <c r="G10" s="185"/>
      <c r="H10" s="186"/>
      <c r="I10" s="58" t="s">
        <v>81</v>
      </c>
      <c r="J10" s="187" t="s">
        <v>82</v>
      </c>
      <c r="K10" s="188" t="s">
        <v>83</v>
      </c>
      <c r="L10" s="56"/>
    </row>
    <row r="11" spans="1:12" ht="39.6" x14ac:dyDescent="0.3">
      <c r="B11" s="59" t="s">
        <v>84</v>
      </c>
      <c r="C11" s="59" t="s">
        <v>85</v>
      </c>
      <c r="D11" s="59" t="s">
        <v>86</v>
      </c>
      <c r="E11" s="59" t="s">
        <v>87</v>
      </c>
      <c r="F11" s="59" t="s">
        <v>88</v>
      </c>
      <c r="G11" s="59" t="s">
        <v>89</v>
      </c>
      <c r="H11" s="59" t="s">
        <v>90</v>
      </c>
      <c r="I11" s="64" t="s">
        <v>91</v>
      </c>
      <c r="J11" s="187"/>
      <c r="K11" s="188"/>
      <c r="L11" s="56"/>
    </row>
    <row r="12" spans="1:12" ht="40.200000000000003" customHeight="1" x14ac:dyDescent="0.3">
      <c r="A12" s="60">
        <v>1</v>
      </c>
      <c r="B12" s="59" t="str">
        <f>'FDLSUBA-SA-MC-004-2025 1 al 13'!C8</f>
        <v xml:space="preserve"> 4 CUARTOS SAS
 NIT: 830105695 1</v>
      </c>
      <c r="C12" s="61" t="s">
        <v>92</v>
      </c>
      <c r="D12" s="61" t="s">
        <v>92</v>
      </c>
      <c r="E12" s="61" t="s">
        <v>92</v>
      </c>
      <c r="F12" s="61" t="s">
        <v>92</v>
      </c>
      <c r="G12" s="61" t="s">
        <v>92</v>
      </c>
      <c r="H12" s="61" t="s">
        <v>92</v>
      </c>
      <c r="I12" s="61" t="s">
        <v>92</v>
      </c>
      <c r="J12" s="69" t="s">
        <v>93</v>
      </c>
      <c r="K12" s="66"/>
      <c r="L12" s="56"/>
    </row>
    <row r="13" spans="1:12" ht="40.200000000000003" customHeight="1" x14ac:dyDescent="0.3">
      <c r="A13" s="60">
        <v>2</v>
      </c>
      <c r="B13" s="59" t="str">
        <f>'FDLSUBA-SA-MC-004-2025 1 al 13'!F8</f>
        <v>UT IPRO SWAT EVENTS</v>
      </c>
      <c r="C13" s="61" t="s">
        <v>92</v>
      </c>
      <c r="D13" s="61" t="s">
        <v>92</v>
      </c>
      <c r="E13" s="61" t="s">
        <v>92</v>
      </c>
      <c r="F13" s="61" t="s">
        <v>92</v>
      </c>
      <c r="G13" s="61" t="s">
        <v>92</v>
      </c>
      <c r="H13" s="61" t="s">
        <v>92</v>
      </c>
      <c r="I13" s="61" t="s">
        <v>92</v>
      </c>
      <c r="J13" s="69" t="s">
        <v>93</v>
      </c>
      <c r="K13" s="66"/>
      <c r="L13" s="56"/>
    </row>
    <row r="14" spans="1:12" ht="40.200000000000003" customHeight="1" x14ac:dyDescent="0.3">
      <c r="A14" s="60">
        <v>3</v>
      </c>
      <c r="B14" s="59" t="str">
        <f>'FDLSUBA-SA-MC-004-2025 1 al 13'!G8</f>
        <v>INVERSIONES C F S S A S
 NIT: 900508201 0</v>
      </c>
      <c r="C14" s="61" t="s">
        <v>92</v>
      </c>
      <c r="D14" s="61" t="s">
        <v>92</v>
      </c>
      <c r="E14" s="61" t="s">
        <v>92</v>
      </c>
      <c r="F14" s="61" t="s">
        <v>92</v>
      </c>
      <c r="G14" s="61" t="s">
        <v>92</v>
      </c>
      <c r="H14" s="61" t="s">
        <v>92</v>
      </c>
      <c r="I14" s="61" t="s">
        <v>92</v>
      </c>
      <c r="J14" s="69" t="s">
        <v>93</v>
      </c>
      <c r="K14" s="66"/>
      <c r="L14" s="56"/>
    </row>
    <row r="15" spans="1:12" ht="72.599999999999994" customHeight="1" x14ac:dyDescent="0.3">
      <c r="A15" s="60">
        <v>4</v>
      </c>
      <c r="B15" s="59" t="str">
        <f>'FDLSUBA-SA-MC-004-2025 1 al 13'!H8</f>
        <v>CONSULTORES Y ASESORES TIC SAS
 NIT: 901360556 5</v>
      </c>
      <c r="C15" s="61" t="s">
        <v>92</v>
      </c>
      <c r="D15" s="61" t="s">
        <v>92</v>
      </c>
      <c r="E15" s="61" t="s">
        <v>92</v>
      </c>
      <c r="F15" s="61" t="s">
        <v>92</v>
      </c>
      <c r="G15" s="61" t="s">
        <v>92</v>
      </c>
      <c r="H15" s="61" t="s">
        <v>92</v>
      </c>
      <c r="I15" s="61" t="s">
        <v>92</v>
      </c>
      <c r="J15" s="69" t="s">
        <v>93</v>
      </c>
      <c r="K15" s="66"/>
      <c r="L15" s="56"/>
    </row>
    <row r="16" spans="1:12" ht="72.599999999999994" customHeight="1" x14ac:dyDescent="0.3">
      <c r="A16" s="60">
        <v>5</v>
      </c>
      <c r="B16" s="59" t="str">
        <f>'FDLSUBA-SA-MC-004-2025 1 al 13'!K8</f>
        <v>UT SANIG SUBA 2025</v>
      </c>
      <c r="C16" s="61" t="s">
        <v>92</v>
      </c>
      <c r="D16" s="61" t="s">
        <v>92</v>
      </c>
      <c r="E16" s="61" t="s">
        <v>92</v>
      </c>
      <c r="F16" s="61" t="s">
        <v>92</v>
      </c>
      <c r="G16" s="61" t="s">
        <v>92</v>
      </c>
      <c r="H16" s="61" t="s">
        <v>92</v>
      </c>
      <c r="I16" s="61" t="s">
        <v>92</v>
      </c>
      <c r="J16" s="69" t="s">
        <v>93</v>
      </c>
      <c r="K16" s="66"/>
      <c r="L16" s="56"/>
    </row>
    <row r="17" spans="1:12" ht="72.599999999999994" customHeight="1" x14ac:dyDescent="0.3">
      <c r="A17" s="60">
        <v>6</v>
      </c>
      <c r="B17" s="59" t="str">
        <f>'FDLSUBA-SA-MC-004-2025 1 al 13'!N8</f>
        <v xml:space="preserve"> CONSORCIO INTEGRAL G3 SINERGY</v>
      </c>
      <c r="C17" s="61" t="s">
        <v>92</v>
      </c>
      <c r="D17" s="61" t="s">
        <v>92</v>
      </c>
      <c r="E17" s="61" t="s">
        <v>92</v>
      </c>
      <c r="F17" s="61" t="s">
        <v>92</v>
      </c>
      <c r="G17" s="61" t="s">
        <v>92</v>
      </c>
      <c r="H17" s="61" t="s">
        <v>92</v>
      </c>
      <c r="I17" s="61" t="s">
        <v>92</v>
      </c>
      <c r="J17" s="69" t="s">
        <v>93</v>
      </c>
      <c r="K17" s="66"/>
      <c r="L17" s="56"/>
    </row>
    <row r="18" spans="1:12" ht="72.599999999999994" customHeight="1" x14ac:dyDescent="0.3">
      <c r="A18" s="60">
        <v>7</v>
      </c>
      <c r="B18" s="59" t="str">
        <f>'FDLSUBA-SA-MC-004-2025 1 al 13'!O8</f>
        <v>SOA PROJECTS AND EVENTS SAS
 NIT: 901827332 9</v>
      </c>
      <c r="C18" s="61" t="s">
        <v>92</v>
      </c>
      <c r="D18" s="61" t="s">
        <v>92</v>
      </c>
      <c r="E18" s="61" t="s">
        <v>92</v>
      </c>
      <c r="F18" s="61" t="s">
        <v>92</v>
      </c>
      <c r="G18" s="61" t="s">
        <v>92</v>
      </c>
      <c r="H18" s="61" t="s">
        <v>92</v>
      </c>
      <c r="I18" s="61" t="s">
        <v>92</v>
      </c>
      <c r="J18" s="69" t="s">
        <v>93</v>
      </c>
      <c r="K18" s="66"/>
      <c r="L18" s="56"/>
    </row>
    <row r="19" spans="1:12" ht="72.599999999999994" customHeight="1" x14ac:dyDescent="0.3">
      <c r="A19" s="60">
        <v>8</v>
      </c>
      <c r="B19" s="59" t="str">
        <f>'FDLSUBA-SA-MC-004-2025 1 al 13'!P8</f>
        <v>DSV COMPANY SAS
 NIT: 900456900 6</v>
      </c>
      <c r="C19" s="61" t="s">
        <v>92</v>
      </c>
      <c r="D19" s="61" t="s">
        <v>92</v>
      </c>
      <c r="E19" s="61" t="s">
        <v>92</v>
      </c>
      <c r="F19" s="61" t="s">
        <v>92</v>
      </c>
      <c r="G19" s="61" t="s">
        <v>92</v>
      </c>
      <c r="H19" s="61" t="s">
        <v>92</v>
      </c>
      <c r="I19" s="61" t="s">
        <v>92</v>
      </c>
      <c r="J19" s="69" t="s">
        <v>93</v>
      </c>
      <c r="K19" s="66"/>
      <c r="L19" s="56"/>
    </row>
    <row r="20" spans="1:12" ht="72.599999999999994" customHeight="1" x14ac:dyDescent="0.3">
      <c r="A20" s="60">
        <v>9</v>
      </c>
      <c r="B20" s="59" t="str">
        <f>'FDLSUBA-SA-MC-004-2025 1 al 13'!Q8</f>
        <v xml:space="preserve"> FUNXI
 NIT: 830123782 0</v>
      </c>
      <c r="C20" s="61" t="s">
        <v>92</v>
      </c>
      <c r="D20" s="61" t="s">
        <v>92</v>
      </c>
      <c r="E20" s="61" t="s">
        <v>92</v>
      </c>
      <c r="F20" s="61" t="s">
        <v>92</v>
      </c>
      <c r="G20" s="61" t="s">
        <v>92</v>
      </c>
      <c r="H20" s="61" t="s">
        <v>92</v>
      </c>
      <c r="I20" s="61" t="s">
        <v>92</v>
      </c>
      <c r="J20" s="69" t="s">
        <v>93</v>
      </c>
      <c r="K20" s="66"/>
      <c r="L20" s="56"/>
    </row>
    <row r="21" spans="1:12" ht="72.599999999999994" customHeight="1" x14ac:dyDescent="0.3">
      <c r="A21" s="60">
        <v>10</v>
      </c>
      <c r="B21" s="59" t="str">
        <f>'FDLSUBA-SA-MC-004-2025 1 al 13'!R8</f>
        <v>FUNDESCO
 NIT: 830133329 1</v>
      </c>
      <c r="C21" s="61" t="s">
        <v>92</v>
      </c>
      <c r="D21" s="61" t="s">
        <v>92</v>
      </c>
      <c r="E21" s="61" t="s">
        <v>92</v>
      </c>
      <c r="F21" s="61" t="s">
        <v>92</v>
      </c>
      <c r="G21" s="61" t="s">
        <v>92</v>
      </c>
      <c r="H21" s="61" t="s">
        <v>92</v>
      </c>
      <c r="I21" s="61" t="s">
        <v>92</v>
      </c>
      <c r="J21" s="69" t="s">
        <v>93</v>
      </c>
      <c r="K21" s="66"/>
      <c r="L21" s="56"/>
    </row>
    <row r="22" spans="1:12" ht="72.599999999999994" customHeight="1" x14ac:dyDescent="0.3">
      <c r="A22" s="60">
        <v>11</v>
      </c>
      <c r="B22" s="59" t="str">
        <f>'FDLSUBA-SA-MC-004-2025 1 al 13'!S8</f>
        <v>PEOPLE SECURITY SAS
 NIT: 900810120 6</v>
      </c>
      <c r="C22" s="61" t="s">
        <v>92</v>
      </c>
      <c r="D22" s="61" t="s">
        <v>92</v>
      </c>
      <c r="E22" s="61" t="s">
        <v>92</v>
      </c>
      <c r="F22" s="61" t="s">
        <v>92</v>
      </c>
      <c r="G22" s="61" t="s">
        <v>92</v>
      </c>
      <c r="H22" s="61" t="s">
        <v>92</v>
      </c>
      <c r="I22" s="61" t="s">
        <v>92</v>
      </c>
      <c r="J22" s="69" t="s">
        <v>93</v>
      </c>
      <c r="K22" s="66"/>
      <c r="L22" s="56"/>
    </row>
    <row r="23" spans="1:12" ht="72.599999999999994" customHeight="1" x14ac:dyDescent="0.3">
      <c r="A23" s="60">
        <v>12</v>
      </c>
      <c r="B23" s="59" t="str">
        <f>'FDLSUBA-SA-MC-004-2025 1 al 13'!T8</f>
        <v>MERCADEO EFECTIVO
S A S
 NIT: 830135377 2</v>
      </c>
      <c r="C23" s="61" t="s">
        <v>92</v>
      </c>
      <c r="D23" s="61" t="s">
        <v>92</v>
      </c>
      <c r="E23" s="61" t="s">
        <v>92</v>
      </c>
      <c r="F23" s="61" t="s">
        <v>92</v>
      </c>
      <c r="G23" s="61" t="s">
        <v>92</v>
      </c>
      <c r="H23" s="61" t="s">
        <v>92</v>
      </c>
      <c r="I23" s="61" t="s">
        <v>92</v>
      </c>
      <c r="J23" s="69" t="s">
        <v>93</v>
      </c>
      <c r="K23" s="66"/>
      <c r="L23" s="56"/>
    </row>
    <row r="24" spans="1:12" ht="72.599999999999994" customHeight="1" x14ac:dyDescent="0.3">
      <c r="A24" s="60">
        <v>13</v>
      </c>
      <c r="B24" s="59" t="str">
        <f>'FDLSUBA-SA-MC-004-2025 1 al 13'!U8</f>
        <v>ALVAREZ FUENTES ANA LUCIA
 NIT:50891527-3</v>
      </c>
      <c r="C24" s="61" t="s">
        <v>92</v>
      </c>
      <c r="D24" s="61" t="s">
        <v>92</v>
      </c>
      <c r="E24" s="61" t="s">
        <v>92</v>
      </c>
      <c r="F24" s="61" t="s">
        <v>92</v>
      </c>
      <c r="G24" s="61" t="s">
        <v>92</v>
      </c>
      <c r="H24" s="61" t="s">
        <v>92</v>
      </c>
      <c r="I24" s="61" t="s">
        <v>92</v>
      </c>
      <c r="J24" s="69" t="s">
        <v>93</v>
      </c>
      <c r="K24" s="66"/>
      <c r="L24" s="56"/>
    </row>
    <row r="26" spans="1:12" x14ac:dyDescent="0.3">
      <c r="A26" s="55" t="s">
        <v>94</v>
      </c>
    </row>
    <row r="28" spans="1:12" x14ac:dyDescent="0.3">
      <c r="B28" s="153" t="e">
        <f>#REF!</f>
        <v>#REF!</v>
      </c>
    </row>
    <row r="31" spans="1:12" ht="15.6" x14ac:dyDescent="0.3">
      <c r="E31" s="49" t="s">
        <v>57</v>
      </c>
    </row>
    <row r="32" spans="1:12" ht="15.6" x14ac:dyDescent="0.3">
      <c r="A32" s="62"/>
      <c r="B32" s="62"/>
      <c r="C32" s="62"/>
      <c r="D32" s="62"/>
      <c r="E32" s="50" t="s">
        <v>58</v>
      </c>
      <c r="F32" s="62"/>
    </row>
    <row r="33" spans="1:6" ht="15.6" x14ac:dyDescent="0.3">
      <c r="A33" s="62"/>
      <c r="B33" s="62"/>
      <c r="C33" s="62"/>
      <c r="D33" s="62"/>
      <c r="E33" s="50" t="s">
        <v>59</v>
      </c>
      <c r="F33" s="62"/>
    </row>
  </sheetData>
  <mergeCells count="8">
    <mergeCell ref="B10:H10"/>
    <mergeCell ref="J10:J11"/>
    <mergeCell ref="K10:K11"/>
    <mergeCell ref="B1:K1"/>
    <mergeCell ref="B2:K2"/>
    <mergeCell ref="B3:K3"/>
    <mergeCell ref="B4:K4"/>
    <mergeCell ref="B6:K6"/>
  </mergeCells>
  <pageMargins left="0.7" right="0.7" top="0.75" bottom="0.75" header="0.3" footer="0.3"/>
  <pageSetup scale="34" orientation="portrait" r:id="rId1"/>
  <colBreaks count="1" manualBreakCount="1">
    <brk id="11"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34B60-388A-47FB-8EFA-5F435260145F}">
  <sheetPr>
    <pageSetUpPr fitToPage="1"/>
  </sheetPr>
  <dimension ref="A1:R91"/>
  <sheetViews>
    <sheetView showGridLines="0" topLeftCell="A45" zoomScale="70" zoomScaleNormal="70" zoomScalePageLayoutView="90" workbookViewId="0">
      <selection activeCell="B55" sqref="B55"/>
    </sheetView>
  </sheetViews>
  <sheetFormatPr baseColWidth="10" defaultColWidth="18.6640625" defaultRowHeight="14.4" x14ac:dyDescent="0.3"/>
  <cols>
    <col min="1" max="1" width="1.44140625" style="1" customWidth="1"/>
    <col min="2" max="2" width="57.33203125" style="1" customWidth="1"/>
    <col min="3" max="9" width="29.6640625" style="1" customWidth="1"/>
    <col min="10" max="10" width="28.109375" style="1" customWidth="1"/>
    <col min="11" max="15" width="29.6640625" style="1" customWidth="1"/>
    <col min="16" max="16" width="30.6640625" style="1" customWidth="1"/>
    <col min="17" max="17" width="21.5546875" style="1" customWidth="1"/>
    <col min="18" max="18" width="18.6640625" style="1" customWidth="1"/>
    <col min="19" max="16384" width="18.6640625" style="1"/>
  </cols>
  <sheetData>
    <row r="1" spans="1:18" ht="13.95" customHeight="1" x14ac:dyDescent="0.3">
      <c r="B1" s="158"/>
      <c r="C1" s="160" t="s">
        <v>0</v>
      </c>
      <c r="D1" s="161"/>
      <c r="E1" s="161"/>
      <c r="F1" s="161"/>
      <c r="G1" s="161"/>
      <c r="H1" s="161"/>
      <c r="I1" s="161"/>
      <c r="J1" s="161"/>
      <c r="K1" s="161"/>
      <c r="L1" s="161"/>
      <c r="M1" s="161"/>
      <c r="N1" s="161"/>
      <c r="O1" s="161"/>
      <c r="P1" s="166" t="s">
        <v>1</v>
      </c>
    </row>
    <row r="2" spans="1:18" ht="13.95" customHeight="1" x14ac:dyDescent="0.3">
      <c r="B2" s="159"/>
      <c r="C2" s="162"/>
      <c r="D2" s="163"/>
      <c r="E2" s="163"/>
      <c r="F2" s="163"/>
      <c r="G2" s="163"/>
      <c r="H2" s="163"/>
      <c r="I2" s="163"/>
      <c r="J2" s="163"/>
      <c r="K2" s="163"/>
      <c r="L2" s="163"/>
      <c r="M2" s="163"/>
      <c r="N2" s="163"/>
      <c r="O2" s="163"/>
      <c r="P2" s="167"/>
    </row>
    <row r="3" spans="1:18" ht="25.95" customHeight="1" x14ac:dyDescent="0.3">
      <c r="B3" s="159"/>
      <c r="C3" s="162"/>
      <c r="D3" s="163"/>
      <c r="E3" s="163"/>
      <c r="F3" s="163"/>
      <c r="G3" s="163"/>
      <c r="H3" s="163"/>
      <c r="I3" s="163"/>
      <c r="J3" s="163"/>
      <c r="K3" s="163"/>
      <c r="L3" s="163"/>
      <c r="M3" s="163"/>
      <c r="N3" s="163"/>
      <c r="O3" s="163"/>
      <c r="P3" s="167"/>
    </row>
    <row r="4" spans="1:18" ht="13.95" customHeight="1" x14ac:dyDescent="0.3">
      <c r="B4" s="159"/>
      <c r="C4" s="162"/>
      <c r="D4" s="163"/>
      <c r="E4" s="163"/>
      <c r="F4" s="163"/>
      <c r="G4" s="163"/>
      <c r="H4" s="163"/>
      <c r="I4" s="163"/>
      <c r="J4" s="163"/>
      <c r="K4" s="163"/>
      <c r="L4" s="163"/>
      <c r="M4" s="163"/>
      <c r="N4" s="163"/>
      <c r="O4" s="163"/>
      <c r="P4" s="167"/>
    </row>
    <row r="5" spans="1:18" ht="13.95" customHeight="1" x14ac:dyDescent="0.3">
      <c r="B5" s="159"/>
      <c r="C5" s="164"/>
      <c r="D5" s="165"/>
      <c r="E5" s="165"/>
      <c r="F5" s="165"/>
      <c r="G5" s="165"/>
      <c r="H5" s="165"/>
      <c r="I5" s="165"/>
      <c r="J5" s="165"/>
      <c r="K5" s="165"/>
      <c r="L5" s="165"/>
      <c r="M5" s="165"/>
      <c r="N5" s="165"/>
      <c r="O5" s="165"/>
      <c r="P5" s="167"/>
    </row>
    <row r="6" spans="1:18" ht="54" customHeight="1" x14ac:dyDescent="0.3">
      <c r="B6" s="27" t="s">
        <v>2</v>
      </c>
      <c r="C6" s="25"/>
      <c r="D6" s="25"/>
      <c r="E6" s="25"/>
      <c r="F6" s="25"/>
      <c r="G6" s="25"/>
      <c r="H6" s="25"/>
      <c r="I6" s="25"/>
      <c r="J6" s="25"/>
      <c r="K6" s="25"/>
      <c r="L6" s="25"/>
      <c r="M6" s="25"/>
      <c r="N6" s="25"/>
      <c r="O6" s="25"/>
      <c r="P6" s="26"/>
      <c r="R6" s="54"/>
    </row>
    <row r="7" spans="1:18" ht="54" customHeight="1" x14ac:dyDescent="0.3">
      <c r="B7" s="27" t="s">
        <v>3</v>
      </c>
      <c r="C7" s="28"/>
      <c r="D7" s="28"/>
      <c r="E7" s="28"/>
      <c r="F7" s="28"/>
      <c r="G7" s="28"/>
      <c r="H7" s="28"/>
      <c r="I7" s="28"/>
      <c r="J7" s="28"/>
      <c r="K7" s="28"/>
      <c r="L7" s="28"/>
      <c r="M7" s="28"/>
      <c r="N7" s="28"/>
      <c r="O7" s="28"/>
      <c r="P7" s="29"/>
    </row>
    <row r="8" spans="1:18" ht="93.6" x14ac:dyDescent="0.3">
      <c r="B8" s="23" t="s">
        <v>4</v>
      </c>
      <c r="C8" s="84" t="s">
        <v>95</v>
      </c>
      <c r="D8" s="84" t="s">
        <v>96</v>
      </c>
      <c r="E8" s="84" t="s">
        <v>97</v>
      </c>
      <c r="F8" s="135" t="s">
        <v>98</v>
      </c>
      <c r="G8" s="135" t="s">
        <v>99</v>
      </c>
      <c r="H8" s="84" t="s">
        <v>100</v>
      </c>
      <c r="I8" s="84" t="s">
        <v>101</v>
      </c>
      <c r="J8" s="84" t="s">
        <v>102</v>
      </c>
      <c r="K8" s="84" t="s">
        <v>103</v>
      </c>
      <c r="L8" s="84" t="s">
        <v>104</v>
      </c>
      <c r="M8" s="84" t="s">
        <v>105</v>
      </c>
      <c r="N8" s="84" t="s">
        <v>106</v>
      </c>
      <c r="O8" s="84" t="s">
        <v>107</v>
      </c>
      <c r="P8" s="85" t="s">
        <v>108</v>
      </c>
      <c r="R8" s="114" t="s">
        <v>24</v>
      </c>
    </row>
    <row r="9" spans="1:18" s="3" customFormat="1" ht="15.6" x14ac:dyDescent="0.25">
      <c r="A9" s="2"/>
      <c r="B9" s="22"/>
      <c r="C9" s="7">
        <v>14</v>
      </c>
      <c r="D9" s="7">
        <f>+C9+1</f>
        <v>15</v>
      </c>
      <c r="E9" s="7">
        <f t="shared" ref="E9:L9" si="0">+D9+1</f>
        <v>16</v>
      </c>
      <c r="F9" s="136" t="s">
        <v>25</v>
      </c>
      <c r="G9" s="136" t="s">
        <v>26</v>
      </c>
      <c r="H9" s="7">
        <f>+E9+1</f>
        <v>17</v>
      </c>
      <c r="I9" s="7">
        <f>+H9+1</f>
        <v>18</v>
      </c>
      <c r="J9" s="7">
        <f t="shared" si="0"/>
        <v>19</v>
      </c>
      <c r="K9" s="7">
        <f t="shared" si="0"/>
        <v>20</v>
      </c>
      <c r="L9" s="7">
        <f t="shared" si="0"/>
        <v>21</v>
      </c>
      <c r="M9" s="7">
        <f t="shared" ref="M9:N9" si="1">+L9+1</f>
        <v>22</v>
      </c>
      <c r="N9" s="7">
        <f t="shared" si="1"/>
        <v>23</v>
      </c>
      <c r="O9" s="7">
        <f>+N9+1</f>
        <v>24</v>
      </c>
      <c r="P9" s="70">
        <f>+O9+1</f>
        <v>25</v>
      </c>
    </row>
    <row r="10" spans="1:18" s="3" customFormat="1" ht="31.2" x14ac:dyDescent="0.25">
      <c r="B10" s="35" t="s">
        <v>27</v>
      </c>
      <c r="C10" s="39" t="s">
        <v>28</v>
      </c>
      <c r="D10" s="39" t="s">
        <v>28</v>
      </c>
      <c r="E10" s="39" t="s">
        <v>28</v>
      </c>
      <c r="F10" s="137" t="s">
        <v>28</v>
      </c>
      <c r="G10" s="137" t="s">
        <v>28</v>
      </c>
      <c r="H10" s="39"/>
      <c r="I10" s="39" t="s">
        <v>28</v>
      </c>
      <c r="J10" s="39" t="s">
        <v>28</v>
      </c>
      <c r="K10" s="39" t="s">
        <v>28</v>
      </c>
      <c r="L10" s="39" t="s">
        <v>28</v>
      </c>
      <c r="M10" s="39" t="s">
        <v>28</v>
      </c>
      <c r="N10" s="39" t="s">
        <v>28</v>
      </c>
      <c r="O10" s="39" t="s">
        <v>28</v>
      </c>
      <c r="P10" s="71" t="s">
        <v>28</v>
      </c>
    </row>
    <row r="11" spans="1:18" s="3" customFormat="1" ht="15.6" x14ac:dyDescent="0.25">
      <c r="B11" s="22" t="s">
        <v>29</v>
      </c>
      <c r="C11" s="24" t="str">
        <f t="shared" ref="C11:P11" si="2">IF(C73&lt;=$B$74,"VIGENTE","NO VIGENTE")</f>
        <v>VIGENTE</v>
      </c>
      <c r="D11" s="24" t="str">
        <f t="shared" si="2"/>
        <v>VIGENTE</v>
      </c>
      <c r="E11" s="24" t="str">
        <f t="shared" si="2"/>
        <v>VIGENTE</v>
      </c>
      <c r="F11" s="136" t="str">
        <f t="shared" si="2"/>
        <v>VIGENTE</v>
      </c>
      <c r="G11" s="136" t="str">
        <f t="shared" si="2"/>
        <v>VIGENTE</v>
      </c>
      <c r="H11" s="24"/>
      <c r="I11" s="24" t="str">
        <f t="shared" si="2"/>
        <v>VIGENTE</v>
      </c>
      <c r="J11" s="24" t="str">
        <f t="shared" si="2"/>
        <v>VIGENTE</v>
      </c>
      <c r="K11" s="24" t="str">
        <f t="shared" si="2"/>
        <v>VIGENTE</v>
      </c>
      <c r="L11" s="24" t="str">
        <f t="shared" si="2"/>
        <v>VIGENTE</v>
      </c>
      <c r="M11" s="24" t="str">
        <f t="shared" ref="M11:N11" si="3">IF(M73&lt;=$B$74,"VIGENTE","NO VIGENTE")</f>
        <v>VIGENTE</v>
      </c>
      <c r="N11" s="24" t="str">
        <f t="shared" si="3"/>
        <v>VIGENTE</v>
      </c>
      <c r="O11" s="24" t="str">
        <f t="shared" si="2"/>
        <v>VIGENTE</v>
      </c>
      <c r="P11" s="72" t="str">
        <f t="shared" si="2"/>
        <v>VIGENTE</v>
      </c>
    </row>
    <row r="12" spans="1:18" s="3" customFormat="1" ht="15.6" x14ac:dyDescent="0.25">
      <c r="B12" s="22" t="s">
        <v>30</v>
      </c>
      <c r="C12" s="9">
        <v>1</v>
      </c>
      <c r="D12" s="9">
        <v>1</v>
      </c>
      <c r="E12" s="9">
        <v>1</v>
      </c>
      <c r="F12" s="150">
        <v>0.5</v>
      </c>
      <c r="G12" s="151">
        <v>0.5</v>
      </c>
      <c r="H12" s="9">
        <f>SUM(F12:G12)</f>
        <v>1</v>
      </c>
      <c r="I12" s="9">
        <v>1</v>
      </c>
      <c r="J12" s="9">
        <v>1</v>
      </c>
      <c r="K12" s="9">
        <v>1</v>
      </c>
      <c r="L12" s="9">
        <v>1</v>
      </c>
      <c r="M12" s="9">
        <v>1</v>
      </c>
      <c r="N12" s="9">
        <v>1</v>
      </c>
      <c r="O12" s="9">
        <v>1</v>
      </c>
      <c r="P12" s="86">
        <v>1</v>
      </c>
    </row>
    <row r="13" spans="1:18" s="3" customFormat="1" ht="15.6" x14ac:dyDescent="0.25">
      <c r="B13" s="22" t="s">
        <v>31</v>
      </c>
      <c r="C13" s="30">
        <v>334707475</v>
      </c>
      <c r="D13" s="30">
        <v>3509192028</v>
      </c>
      <c r="E13" s="30">
        <v>4145881333</v>
      </c>
      <c r="F13" s="140">
        <v>5041258435</v>
      </c>
      <c r="G13" s="140">
        <v>2103538765</v>
      </c>
      <c r="H13" s="30">
        <f>SUM((F13*F$12),(G13*G$12))</f>
        <v>3572398600</v>
      </c>
      <c r="I13" s="30">
        <v>2450205610</v>
      </c>
      <c r="J13" s="30">
        <v>17991802509</v>
      </c>
      <c r="K13" s="30">
        <v>892254060</v>
      </c>
      <c r="L13" s="30">
        <v>542947000</v>
      </c>
      <c r="M13" s="30">
        <v>290893001</v>
      </c>
      <c r="N13" s="30">
        <v>3714699387</v>
      </c>
      <c r="O13" s="30">
        <v>1753220778</v>
      </c>
      <c r="P13" s="87">
        <v>14845568080</v>
      </c>
    </row>
    <row r="14" spans="1:18" s="3" customFormat="1" ht="15.6" x14ac:dyDescent="0.25">
      <c r="B14" s="22" t="s">
        <v>32</v>
      </c>
      <c r="C14" s="30">
        <v>21048192</v>
      </c>
      <c r="D14" s="30">
        <v>236895263</v>
      </c>
      <c r="E14" s="30">
        <v>281406238</v>
      </c>
      <c r="F14" s="140">
        <v>124675982</v>
      </c>
      <c r="G14" s="140">
        <v>61485758</v>
      </c>
      <c r="H14" s="30">
        <f>SUM((F14*F$12),(G14*G$12))</f>
        <v>93080870</v>
      </c>
      <c r="I14" s="30">
        <v>1093465922</v>
      </c>
      <c r="J14" s="30">
        <v>2040972760</v>
      </c>
      <c r="K14" s="30">
        <v>80151901</v>
      </c>
      <c r="L14" s="30">
        <v>22568002</v>
      </c>
      <c r="M14" s="30">
        <v>16939197</v>
      </c>
      <c r="N14" s="30">
        <v>725859611</v>
      </c>
      <c r="O14" s="30">
        <v>160000000</v>
      </c>
      <c r="P14" s="87">
        <v>1458791048</v>
      </c>
    </row>
    <row r="15" spans="1:18" s="3" customFormat="1" ht="15.6" x14ac:dyDescent="0.25">
      <c r="B15" s="22" t="s">
        <v>33</v>
      </c>
      <c r="C15" s="30">
        <v>336968730</v>
      </c>
      <c r="D15" s="30">
        <v>5764315862</v>
      </c>
      <c r="E15" s="30">
        <v>4320448490</v>
      </c>
      <c r="F15" s="140">
        <v>16795077145</v>
      </c>
      <c r="G15" s="140">
        <v>12680542748</v>
      </c>
      <c r="H15" s="30">
        <f>SUM((F15*F$12),(G15*G$12))</f>
        <v>14737809946.5</v>
      </c>
      <c r="I15" s="30">
        <v>2533005610</v>
      </c>
      <c r="J15" s="30">
        <v>18134929622</v>
      </c>
      <c r="K15" s="30">
        <v>1399137556</v>
      </c>
      <c r="L15" s="30">
        <v>1298502921</v>
      </c>
      <c r="M15" s="30">
        <v>292170197</v>
      </c>
      <c r="N15" s="30">
        <v>4901522377</v>
      </c>
      <c r="O15" s="30">
        <v>2900000000</v>
      </c>
      <c r="P15" s="87">
        <v>17368197305</v>
      </c>
    </row>
    <row r="16" spans="1:18" s="3" customFormat="1" ht="15.6" x14ac:dyDescent="0.25">
      <c r="B16" s="22" t="s">
        <v>34</v>
      </c>
      <c r="C16" s="30">
        <v>21048192</v>
      </c>
      <c r="D16" s="30">
        <v>2135660763</v>
      </c>
      <c r="E16" s="30">
        <v>385442736</v>
      </c>
      <c r="F16" s="140">
        <v>480937947</v>
      </c>
      <c r="G16" s="140">
        <v>5490934074</v>
      </c>
      <c r="H16" s="30">
        <f>SUM((F16*F$12),(G16*G$12))</f>
        <v>2985936010.5</v>
      </c>
      <c r="I16" s="30">
        <v>1093465922</v>
      </c>
      <c r="J16" s="30">
        <v>2040972760</v>
      </c>
      <c r="K16" s="30">
        <v>180846663</v>
      </c>
      <c r="L16" s="30">
        <v>22568002</v>
      </c>
      <c r="M16" s="30">
        <v>16939197</v>
      </c>
      <c r="N16" s="30">
        <v>736340184</v>
      </c>
      <c r="O16" s="30">
        <v>223000000</v>
      </c>
      <c r="P16" s="87">
        <v>3845755790</v>
      </c>
    </row>
    <row r="17" spans="2:18" s="3" customFormat="1" ht="15.6" x14ac:dyDescent="0.25">
      <c r="B17" s="22" t="s">
        <v>35</v>
      </c>
      <c r="C17" s="30">
        <v>315920538</v>
      </c>
      <c r="D17" s="30">
        <v>3628655099</v>
      </c>
      <c r="E17" s="30">
        <v>3935005754</v>
      </c>
      <c r="F17" s="140">
        <v>16314139198</v>
      </c>
      <c r="G17" s="140">
        <v>7189608674</v>
      </c>
      <c r="H17" s="30">
        <f>SUM((F17*F$12),(G17*G$12))</f>
        <v>11751873936</v>
      </c>
      <c r="I17" s="30">
        <v>1439539688</v>
      </c>
      <c r="J17" s="30">
        <v>16093956862</v>
      </c>
      <c r="K17" s="30">
        <v>1218290893</v>
      </c>
      <c r="L17" s="30">
        <v>1275934919</v>
      </c>
      <c r="M17" s="30">
        <v>275231000</v>
      </c>
      <c r="N17" s="30">
        <v>4165182193</v>
      </c>
      <c r="O17" s="30">
        <v>2677000000</v>
      </c>
      <c r="P17" s="87">
        <v>13522441515</v>
      </c>
    </row>
    <row r="18" spans="2:18" s="3" customFormat="1" ht="15.6" x14ac:dyDescent="0.25">
      <c r="B18" s="22" t="s">
        <v>36</v>
      </c>
      <c r="C18" s="30">
        <f t="shared" ref="C18:P18" si="4">+C15-C16-C17</f>
        <v>0</v>
      </c>
      <c r="D18" s="30">
        <f t="shared" si="4"/>
        <v>0</v>
      </c>
      <c r="E18" s="30">
        <f t="shared" si="4"/>
        <v>0</v>
      </c>
      <c r="F18" s="140">
        <f t="shared" si="4"/>
        <v>0</v>
      </c>
      <c r="G18" s="140">
        <f t="shared" si="4"/>
        <v>0</v>
      </c>
      <c r="H18" s="30">
        <f>+H15-H16-H17</f>
        <v>0</v>
      </c>
      <c r="I18" s="30">
        <f t="shared" si="4"/>
        <v>0</v>
      </c>
      <c r="J18" s="30">
        <f t="shared" si="4"/>
        <v>0</v>
      </c>
      <c r="K18" s="30">
        <f t="shared" si="4"/>
        <v>0</v>
      </c>
      <c r="L18" s="30">
        <f t="shared" si="4"/>
        <v>0</v>
      </c>
      <c r="M18" s="30">
        <f t="shared" ref="M18:N18" si="5">+M15-M16-M17</f>
        <v>0</v>
      </c>
      <c r="N18" s="30">
        <f t="shared" si="5"/>
        <v>0</v>
      </c>
      <c r="O18" s="30">
        <f t="shared" si="4"/>
        <v>0</v>
      </c>
      <c r="P18" s="87">
        <f t="shared" si="4"/>
        <v>0</v>
      </c>
    </row>
    <row r="19" spans="2:18" s="3" customFormat="1" ht="15.6" x14ac:dyDescent="0.25">
      <c r="B19" s="22" t="s">
        <v>37</v>
      </c>
      <c r="C19" s="30">
        <v>74552688</v>
      </c>
      <c r="D19" s="30">
        <v>1172729283</v>
      </c>
      <c r="E19" s="30">
        <v>6729101088</v>
      </c>
      <c r="F19" s="140">
        <v>2172507664</v>
      </c>
      <c r="G19" s="140">
        <v>176682528</v>
      </c>
      <c r="H19" s="30">
        <f>SUM((F19*F$12),(G19*G$12))</f>
        <v>1174595096</v>
      </c>
      <c r="I19" s="30">
        <v>365362658</v>
      </c>
      <c r="J19" s="30">
        <v>10873931285</v>
      </c>
      <c r="K19" s="30">
        <v>348783899</v>
      </c>
      <c r="L19" s="30">
        <v>1075975550</v>
      </c>
      <c r="M19" s="30">
        <v>42791166</v>
      </c>
      <c r="N19" s="30">
        <v>2069461498</v>
      </c>
      <c r="O19" s="30">
        <v>1199818607</v>
      </c>
      <c r="P19" s="87">
        <v>3314564374</v>
      </c>
    </row>
    <row r="20" spans="2:18" s="3" customFormat="1" ht="15.6" x14ac:dyDescent="0.25">
      <c r="B20" s="22" t="s">
        <v>38</v>
      </c>
      <c r="C20" s="30">
        <v>5670872</v>
      </c>
      <c r="D20" s="30">
        <v>27456000</v>
      </c>
      <c r="E20" s="30">
        <v>72355926</v>
      </c>
      <c r="F20" s="140">
        <v>22966320</v>
      </c>
      <c r="G20" s="140">
        <v>16645002</v>
      </c>
      <c r="H20" s="30">
        <f>SUM((F20*F$12),(G20*G$12))</f>
        <v>19805661</v>
      </c>
      <c r="I20" s="30">
        <v>0</v>
      </c>
      <c r="J20" s="30">
        <v>0</v>
      </c>
      <c r="K20" s="30">
        <v>0</v>
      </c>
      <c r="L20" s="30">
        <v>0</v>
      </c>
      <c r="M20" s="30">
        <v>0</v>
      </c>
      <c r="N20" s="30">
        <v>6295549</v>
      </c>
      <c r="O20" s="30">
        <v>0</v>
      </c>
      <c r="P20" s="87">
        <v>88503994</v>
      </c>
    </row>
    <row r="21" spans="2:18" s="3" customFormat="1" ht="31.2" x14ac:dyDescent="0.25">
      <c r="B21" s="22" t="s">
        <v>39</v>
      </c>
      <c r="C21" s="31">
        <f t="shared" ref="C21:P21" si="6">+C19/C17</f>
        <v>0.23598556925729217</v>
      </c>
      <c r="D21" s="31">
        <f t="shared" si="6"/>
        <v>0.32318565722137266</v>
      </c>
      <c r="E21" s="31">
        <f t="shared" si="6"/>
        <v>1.7100613083372889</v>
      </c>
      <c r="F21" s="141">
        <f>+F19/F17</f>
        <v>0.13316716485208943</v>
      </c>
      <c r="G21" s="141">
        <f>+G19/G17</f>
        <v>2.4574707193583761E-2</v>
      </c>
      <c r="H21" s="31">
        <f>+H19/H17</f>
        <v>9.994959973164913E-2</v>
      </c>
      <c r="I21" s="31">
        <f t="shared" si="6"/>
        <v>0.25380519970769988</v>
      </c>
      <c r="J21" s="31">
        <f t="shared" si="6"/>
        <v>0.67565306519957291</v>
      </c>
      <c r="K21" s="31">
        <f t="shared" si="6"/>
        <v>0.2862895068854463</v>
      </c>
      <c r="L21" s="31">
        <f t="shared" si="6"/>
        <v>0.84328403743608182</v>
      </c>
      <c r="M21" s="31">
        <f t="shared" ref="M21:N21" si="7">+M19/M17</f>
        <v>0.15547364214060189</v>
      </c>
      <c r="N21" s="31">
        <f t="shared" si="7"/>
        <v>0.49684777330459501</v>
      </c>
      <c r="O21" s="31">
        <f t="shared" si="6"/>
        <v>0.44819522114307059</v>
      </c>
      <c r="P21" s="73">
        <f t="shared" si="6"/>
        <v>0.24511582248836222</v>
      </c>
    </row>
    <row r="22" spans="2:18" s="3" customFormat="1" ht="31.2" x14ac:dyDescent="0.25">
      <c r="B22" s="22" t="s">
        <v>40</v>
      </c>
      <c r="C22" s="31">
        <f t="shared" ref="C22:O22" si="8">+C19/C16</f>
        <v>3.5419996168792074</v>
      </c>
      <c r="D22" s="31">
        <f t="shared" si="8"/>
        <v>0.54911777343918922</v>
      </c>
      <c r="E22" s="31">
        <f t="shared" si="8"/>
        <v>17.458108454273738</v>
      </c>
      <c r="F22" s="141">
        <f>+F19/F15</f>
        <v>0.12935383655839708</v>
      </c>
      <c r="G22" s="141">
        <f>+G19/G15</f>
        <v>1.3933356916277635E-2</v>
      </c>
      <c r="H22" s="31">
        <f>+H19/H15</f>
        <v>7.9699432973007495E-2</v>
      </c>
      <c r="I22" s="31">
        <f t="shared" si="8"/>
        <v>0.33413264249857438</v>
      </c>
      <c r="J22" s="31">
        <f t="shared" si="8"/>
        <v>5.3278179396181651</v>
      </c>
      <c r="K22" s="31">
        <f t="shared" si="8"/>
        <v>1.9286167254299849</v>
      </c>
      <c r="L22" s="31">
        <f t="shared" si="8"/>
        <v>47.677040705685862</v>
      </c>
      <c r="M22" s="31">
        <f t="shared" ref="M22:N22" si="9">+M19/M16</f>
        <v>2.5261626038117391</v>
      </c>
      <c r="N22" s="31">
        <f t="shared" si="9"/>
        <v>2.8104693224239408</v>
      </c>
      <c r="O22" s="31">
        <f t="shared" si="8"/>
        <v>5.3803524977578476</v>
      </c>
      <c r="P22" s="73">
        <f t="shared" ref="P22" si="10">+P19/P15</f>
        <v>0.19084101336445522</v>
      </c>
      <c r="R22" s="67" t="s">
        <v>41</v>
      </c>
    </row>
    <row r="23" spans="2:18" s="3" customFormat="1" ht="15.6" x14ac:dyDescent="0.25">
      <c r="B23" s="10" t="s">
        <v>42</v>
      </c>
      <c r="C23" s="38">
        <f>IF(C12=1,$R$23,"")</f>
        <v>398000000</v>
      </c>
      <c r="D23" s="38">
        <f>IF(D12=1,$R$23,"")</f>
        <v>398000000</v>
      </c>
      <c r="E23" s="38">
        <f>IF(E12=1,$R$23,"")</f>
        <v>398000000</v>
      </c>
      <c r="F23" s="142" t="str">
        <f>IF(F12=1,$P$23,"")</f>
        <v/>
      </c>
      <c r="G23" s="142" t="str">
        <f>IF(G12=1,$P$23,"")</f>
        <v/>
      </c>
      <c r="H23" s="38">
        <f>IF(H12=1,$I$23,"")</f>
        <v>398000000</v>
      </c>
      <c r="I23" s="38">
        <f t="shared" ref="I23:P23" si="11">IF(I12=1,$R$23,"")</f>
        <v>398000000</v>
      </c>
      <c r="J23" s="38">
        <f t="shared" si="11"/>
        <v>398000000</v>
      </c>
      <c r="K23" s="38">
        <f t="shared" si="11"/>
        <v>398000000</v>
      </c>
      <c r="L23" s="38">
        <f t="shared" si="11"/>
        <v>398000000</v>
      </c>
      <c r="M23" s="38">
        <f t="shared" si="11"/>
        <v>398000000</v>
      </c>
      <c r="N23" s="38">
        <f t="shared" si="11"/>
        <v>398000000</v>
      </c>
      <c r="O23" s="38">
        <f t="shared" si="11"/>
        <v>398000000</v>
      </c>
      <c r="P23" s="74">
        <f t="shared" si="11"/>
        <v>398000000</v>
      </c>
      <c r="R23" s="42">
        <v>398000000</v>
      </c>
    </row>
    <row r="24" spans="2:18" s="3" customFormat="1" ht="15.6" x14ac:dyDescent="0.25">
      <c r="B24" s="32" t="s">
        <v>43</v>
      </c>
      <c r="C24" s="33"/>
      <c r="D24" s="33"/>
      <c r="E24" s="33"/>
      <c r="F24" s="33"/>
      <c r="G24" s="33"/>
      <c r="H24" s="33"/>
      <c r="I24" s="33"/>
      <c r="J24" s="33"/>
      <c r="K24" s="33"/>
      <c r="L24" s="33"/>
      <c r="M24" s="33"/>
      <c r="N24" s="33"/>
      <c r="O24" s="33"/>
      <c r="P24" s="34"/>
    </row>
    <row r="25" spans="2:18" s="3" customFormat="1" ht="15.6" x14ac:dyDescent="0.25">
      <c r="B25" s="11" t="s">
        <v>44</v>
      </c>
      <c r="C25" s="12"/>
      <c r="D25" s="12"/>
      <c r="E25" s="12"/>
      <c r="F25" s="12"/>
      <c r="G25" s="12"/>
      <c r="H25" s="12"/>
      <c r="I25" s="12"/>
      <c r="J25" s="12"/>
      <c r="K25" s="12"/>
      <c r="L25" s="12"/>
      <c r="M25" s="12"/>
      <c r="N25" s="12"/>
      <c r="O25" s="12"/>
      <c r="P25" s="75"/>
    </row>
    <row r="26" spans="2:18" s="3" customFormat="1" ht="15.6" x14ac:dyDescent="0.25">
      <c r="B26" s="52" t="s">
        <v>45</v>
      </c>
      <c r="C26" s="47"/>
      <c r="D26" s="47"/>
      <c r="E26" s="47"/>
      <c r="F26" s="47"/>
      <c r="G26" s="47"/>
      <c r="H26" s="47"/>
      <c r="I26" s="47"/>
      <c r="J26" s="47"/>
      <c r="K26" s="47"/>
      <c r="L26" s="47"/>
      <c r="M26" s="47"/>
      <c r="N26" s="47"/>
      <c r="O26" s="47"/>
      <c r="P26" s="48"/>
    </row>
    <row r="27" spans="2:18" s="3" customFormat="1" ht="15.6" x14ac:dyDescent="0.25">
      <c r="B27" s="32" t="s">
        <v>43</v>
      </c>
      <c r="C27" s="33"/>
      <c r="D27" s="33"/>
      <c r="E27" s="33"/>
      <c r="F27" s="33"/>
      <c r="G27" s="33"/>
      <c r="H27" s="33"/>
      <c r="I27" s="33"/>
      <c r="J27" s="33"/>
      <c r="K27" s="33"/>
      <c r="L27" s="33"/>
      <c r="M27" s="33"/>
      <c r="N27" s="33"/>
      <c r="O27" s="33"/>
      <c r="P27" s="34"/>
    </row>
    <row r="28" spans="2:18" s="3" customFormat="1" ht="22.5" customHeight="1" x14ac:dyDescent="0.25">
      <c r="B28" s="35" t="str">
        <f>CONCATENATE("Índice de Liquidez: Mayor o Igual a ",R28)</f>
        <v>Índice de Liquidez: Mayor o Igual a 1,4</v>
      </c>
      <c r="C28" s="13" t="str">
        <f>IF(C75="MiPyME",IF(C29&gt;=$R$28,$B$25,$B$26))</f>
        <v>HÁBIL</v>
      </c>
      <c r="D28" s="13" t="str">
        <f>IF(D75="MiPyME",IF(D29&gt;=$R$28,$B$25,$B$26))</f>
        <v>HÁBIL</v>
      </c>
      <c r="E28" s="13" t="str">
        <f>IF(E75="MiPyME",IF(E29&gt;=$R$28,$B$25,$B$26))</f>
        <v>HÁBIL</v>
      </c>
      <c r="F28" s="143"/>
      <c r="G28" s="143"/>
      <c r="H28" s="13" t="str">
        <f>IF(H75="MiPyME",IF(H29&gt;=$R$28,$B$25,$B$26))</f>
        <v>HÁBIL</v>
      </c>
      <c r="I28" s="13" t="str">
        <f>IF(I75="MiPyME",IF(I29&gt;=$R$28,$B$25,$B$26))</f>
        <v>HÁBIL</v>
      </c>
      <c r="J28" s="13" t="str">
        <f>IF(J29&gt;=$R$28,$B$25,$B$26)</f>
        <v>HÁBIL</v>
      </c>
      <c r="K28" s="13" t="str">
        <f t="shared" ref="K28:P28" si="12">IF(K75="MiPyME",IF(K29&gt;=$R$28,$B$25,$B$26))</f>
        <v>HÁBIL</v>
      </c>
      <c r="L28" s="13" t="str">
        <f t="shared" si="12"/>
        <v>HÁBIL</v>
      </c>
      <c r="M28" s="13" t="str">
        <f t="shared" si="12"/>
        <v>HÁBIL</v>
      </c>
      <c r="N28" s="13" t="str">
        <f t="shared" si="12"/>
        <v>HÁBIL</v>
      </c>
      <c r="O28" s="13" t="str">
        <f t="shared" si="12"/>
        <v>HÁBIL</v>
      </c>
      <c r="P28" s="76" t="str">
        <f t="shared" si="12"/>
        <v>HÁBIL</v>
      </c>
      <c r="R28" s="40">
        <v>1.4</v>
      </c>
    </row>
    <row r="29" spans="2:18" s="3" customFormat="1" ht="22.5" customHeight="1" x14ac:dyDescent="0.25">
      <c r="B29" s="21" t="s">
        <v>46</v>
      </c>
      <c r="C29" s="14">
        <f>C13/C14</f>
        <v>15.901958467501627</v>
      </c>
      <c r="D29" s="14">
        <f>D13/D14</f>
        <v>14.813263817774187</v>
      </c>
      <c r="E29" s="14">
        <f>E13/E14</f>
        <v>14.732727186381704</v>
      </c>
      <c r="F29" s="144"/>
      <c r="G29" s="144"/>
      <c r="H29" s="14">
        <f t="shared" ref="H29" si="13">H13/H14</f>
        <v>38.379514501744559</v>
      </c>
      <c r="I29" s="14">
        <f t="shared" ref="I29:P29" si="14">I13/I14</f>
        <v>2.240769978014916</v>
      </c>
      <c r="J29" s="14">
        <f t="shared" ref="J29" si="15">J13/J14</f>
        <v>8.8153075149322433</v>
      </c>
      <c r="K29" s="14">
        <f t="shared" si="14"/>
        <v>11.132038652458162</v>
      </c>
      <c r="L29" s="14">
        <f t="shared" si="14"/>
        <v>24.058266212489702</v>
      </c>
      <c r="M29" s="14">
        <f t="shared" ref="M29:N29" si="16">M13/M14</f>
        <v>17.172773951445279</v>
      </c>
      <c r="N29" s="14">
        <f t="shared" si="16"/>
        <v>5.1176554401233929</v>
      </c>
      <c r="O29" s="14">
        <f t="shared" si="14"/>
        <v>10.957629862499999</v>
      </c>
      <c r="P29" s="88">
        <f t="shared" si="14"/>
        <v>10.176624061652454</v>
      </c>
    </row>
    <row r="30" spans="2:18" s="3" customFormat="1" ht="22.5" customHeight="1" x14ac:dyDescent="0.25">
      <c r="B30" s="35" t="str">
        <f>CONCATENATE("Endeudamiento total: Menor o Igual a ",R30)</f>
        <v>Endeudamiento total: Menor o Igual a 0,6</v>
      </c>
      <c r="C30" s="15" t="str">
        <f>IF(C75="MiPyME",IF(C31&lt;=$R$30,$B$25,$B$26))</f>
        <v>HÁBIL</v>
      </c>
      <c r="D30" s="15" t="str">
        <f>IF(D75="MiPyME",IF(D31&lt;=$R$30,$B$25,$B$26))</f>
        <v>HÁBIL</v>
      </c>
      <c r="E30" s="15" t="str">
        <f>IF(E75="MiPyME",IF(E31&lt;=$R$30,$B$25,$B$26))</f>
        <v>HÁBIL</v>
      </c>
      <c r="F30" s="145"/>
      <c r="G30" s="145"/>
      <c r="H30" s="15" t="str">
        <f>IF(H75="MiPyME",IF(H31&lt;=$R$30,$B$25,$B$26))</f>
        <v>HÁBIL</v>
      </c>
      <c r="I30" s="15" t="str">
        <f>IF(I75="MiPyME",IF(I31&lt;=$R$30,$B$25,$B$26))</f>
        <v>HÁBIL</v>
      </c>
      <c r="J30" s="15" t="str">
        <f>IF(J31&lt;=$R$30,$B$25,$B$26)</f>
        <v>HÁBIL</v>
      </c>
      <c r="K30" s="15" t="str">
        <f t="shared" ref="K30:P30" si="17">IF(K75="MiPyME",IF(K31&lt;=$R$30,$B$25,$B$26))</f>
        <v>HÁBIL</v>
      </c>
      <c r="L30" s="15" t="str">
        <f t="shared" si="17"/>
        <v>HÁBIL</v>
      </c>
      <c r="M30" s="15" t="str">
        <f t="shared" si="17"/>
        <v>HÁBIL</v>
      </c>
      <c r="N30" s="15" t="str">
        <f t="shared" si="17"/>
        <v>HÁBIL</v>
      </c>
      <c r="O30" s="15" t="str">
        <f t="shared" si="17"/>
        <v>HÁBIL</v>
      </c>
      <c r="P30" s="77" t="str">
        <f t="shared" si="17"/>
        <v>HÁBIL</v>
      </c>
      <c r="R30" s="41">
        <v>0.6</v>
      </c>
    </row>
    <row r="31" spans="2:18" s="3" customFormat="1" ht="22.5" customHeight="1" x14ac:dyDescent="0.25">
      <c r="B31" s="21" t="s">
        <v>47</v>
      </c>
      <c r="C31" s="16">
        <f>C16/C15</f>
        <v>6.2463338957297311E-2</v>
      </c>
      <c r="D31" s="16">
        <f>D16/D15</f>
        <v>0.37049683156311397</v>
      </c>
      <c r="E31" s="16">
        <f>E16/E15</f>
        <v>8.9213593656338214E-2</v>
      </c>
      <c r="F31" s="146"/>
      <c r="G31" s="146"/>
      <c r="H31" s="16">
        <f>H16/H15</f>
        <v>0.20260378043544477</v>
      </c>
      <c r="I31" s="16">
        <f t="shared" ref="I31:P31" si="18">I16/I15</f>
        <v>0.43168712997836589</v>
      </c>
      <c r="J31" s="16">
        <f t="shared" ref="J31" si="19">J16/J15</f>
        <v>0.11254373755738416</v>
      </c>
      <c r="K31" s="16">
        <f t="shared" si="18"/>
        <v>0.12925581350058479</v>
      </c>
      <c r="L31" s="16">
        <f t="shared" si="18"/>
        <v>1.7380016351923169E-2</v>
      </c>
      <c r="M31" s="16">
        <f t="shared" ref="M31:N31" si="20">M16/M15</f>
        <v>5.797715569189283E-2</v>
      </c>
      <c r="N31" s="16">
        <f t="shared" si="20"/>
        <v>0.15022683308663798</v>
      </c>
      <c r="O31" s="16">
        <f t="shared" si="18"/>
        <v>7.6896551724137938E-2</v>
      </c>
      <c r="P31" s="89">
        <f t="shared" si="18"/>
        <v>0.22142515555675282</v>
      </c>
    </row>
    <row r="32" spans="2:18" s="3" customFormat="1" ht="31.2" x14ac:dyDescent="0.25">
      <c r="B32" s="35" t="str">
        <f>CONCATENATE("Razón de Cobertura de Intereses Mayor o Igual a ",R32," o Indeterminado")</f>
        <v>Razón de Cobertura de Intereses Mayor o Igual a 1,7 o Indeterminado</v>
      </c>
      <c r="C32" s="15" t="str">
        <f>IF(C75="MiPyME",IF(AND(C33="Indeterminado",C19&lt;=0),$B$26,IF(C33&gt;=$R$32,$B$25,$B$26)))</f>
        <v>HÁBIL</v>
      </c>
      <c r="D32" s="15" t="str">
        <f>IF(D75="MiPyME",IF(AND(D33="Indeterminado",D19&lt;=0),$B$26,IF(D33&gt;=$R$32,$B$25,$B$26)))</f>
        <v>HÁBIL</v>
      </c>
      <c r="E32" s="15" t="str">
        <f>IF(E75="MiPyME",IF(AND(E33="Indeterminado",E19&lt;=0),$B$26,IF(E33&gt;=$R$32,$B$25,$B$26)))</f>
        <v>HÁBIL</v>
      </c>
      <c r="F32" s="145"/>
      <c r="G32" s="145"/>
      <c r="H32" s="15" t="str">
        <f>IF(H75="MiPyME",IF(AND(H33="Indeterminado",H19&lt;=0),$B$26,IF(H33&gt;=$R$32,$B$25,$B$26)))</f>
        <v>HÁBIL</v>
      </c>
      <c r="I32" s="15" t="str">
        <f>IF(I75="MiPyME",IF(AND(I33="Indeterminado",I19&lt;=0),$B$26,IF(I33&gt;=$R$32,$B$25,$B$26)))</f>
        <v>HÁBIL</v>
      </c>
      <c r="J32" s="15" t="str">
        <f>IF(AND(J33="Indeterminado",J19&lt;=0),$B$26,IF(J33&gt;=$R$32,$B$25,$B$26))</f>
        <v>HÁBIL</v>
      </c>
      <c r="K32" s="15" t="str">
        <f t="shared" ref="K32:P32" si="21">IF(K75="MiPyME",IF(AND(K33="Indeterminado",K19&lt;=0),$B$26,IF(K33&gt;=$R$32,$B$25,$B$26)))</f>
        <v>HÁBIL</v>
      </c>
      <c r="L32" s="15" t="str">
        <f t="shared" si="21"/>
        <v>HÁBIL</v>
      </c>
      <c r="M32" s="15" t="str">
        <f t="shared" si="21"/>
        <v>HÁBIL</v>
      </c>
      <c r="N32" s="15" t="str">
        <f t="shared" si="21"/>
        <v>HÁBIL</v>
      </c>
      <c r="O32" s="15" t="str">
        <f t="shared" si="21"/>
        <v>HÁBIL</v>
      </c>
      <c r="P32" s="77" t="str">
        <f t="shared" si="21"/>
        <v>HÁBIL</v>
      </c>
      <c r="R32" s="134">
        <v>1.7</v>
      </c>
    </row>
    <row r="33" spans="2:18" s="3" customFormat="1" ht="21.6" customHeight="1" x14ac:dyDescent="0.25">
      <c r="B33" s="21" t="s">
        <v>48</v>
      </c>
      <c r="C33" s="37">
        <f>IFERROR(C19/C20,"Indeterminado")</f>
        <v>13.146600381740233</v>
      </c>
      <c r="D33" s="37">
        <f>IFERROR(D19/D20,"Indeterminado")</f>
        <v>42.71304206730769</v>
      </c>
      <c r="E33" s="37">
        <f>IFERROR(E19/E20,"Indeterminado")</f>
        <v>92.999999585382952</v>
      </c>
      <c r="F33" s="147"/>
      <c r="G33" s="147"/>
      <c r="H33" s="37">
        <f t="shared" ref="H33" si="22">IFERROR(H19/H20,"Indeterminado")</f>
        <v>59.306028513766847</v>
      </c>
      <c r="I33" s="37" t="str">
        <f t="shared" ref="I33:P33" si="23">IFERROR(I19/I20,"Indeterminado")</f>
        <v>Indeterminado</v>
      </c>
      <c r="J33" s="37" t="str">
        <f t="shared" ref="J33" si="24">IFERROR(J19/J20,"Indeterminado")</f>
        <v>Indeterminado</v>
      </c>
      <c r="K33" s="37" t="str">
        <f t="shared" si="23"/>
        <v>Indeterminado</v>
      </c>
      <c r="L33" s="37" t="str">
        <f t="shared" si="23"/>
        <v>Indeterminado</v>
      </c>
      <c r="M33" s="37" t="str">
        <f t="shared" ref="M33:N33" si="25">IFERROR(M19/M20,"Indeterminado")</f>
        <v>Indeterminado</v>
      </c>
      <c r="N33" s="37">
        <f t="shared" si="25"/>
        <v>328.71819407648167</v>
      </c>
      <c r="O33" s="37" t="str">
        <f t="shared" si="23"/>
        <v>Indeterminado</v>
      </c>
      <c r="P33" s="90">
        <f t="shared" si="23"/>
        <v>37.451014628786133</v>
      </c>
    </row>
    <row r="34" spans="2:18" s="3" customFormat="1" ht="21.6" customHeight="1" x14ac:dyDescent="0.25">
      <c r="B34" s="22" t="str">
        <f>CONCATENATE("CAPITAL DE TRABAJO ≥  A ",TEXT(W34,"50%")," DEL PPTO OFICIAL")</f>
        <v>CAPITAL DE TRABAJO ≥  A 50% DEL PPTO OFICIAL</v>
      </c>
      <c r="C34" s="15" t="str">
        <f xml:space="preserve"> IF(C35&gt;(C23*$R$35),$B$25,$B$26)</f>
        <v>HÁBIL</v>
      </c>
      <c r="D34" s="15" t="str">
        <f xml:space="preserve"> IF(D35&gt;(D23*$R$35),$B$25,$B$26)</f>
        <v>HÁBIL</v>
      </c>
      <c r="E34" s="15" t="str">
        <f xml:space="preserve"> IF(E35&gt;(E23*$R$35),$B$25,$B$26)</f>
        <v>HÁBIL</v>
      </c>
      <c r="F34" s="145"/>
      <c r="G34" s="145"/>
      <c r="H34" s="15" t="str">
        <f t="shared" ref="H34:P34" si="26" xml:space="preserve"> IF(H35&gt;(H23*$R$35),$B$25,$B$26)</f>
        <v>HÁBIL</v>
      </c>
      <c r="I34" s="15" t="str">
        <f t="shared" si="26"/>
        <v>HÁBIL</v>
      </c>
      <c r="J34" s="15" t="str">
        <f t="shared" si="26"/>
        <v>HÁBIL</v>
      </c>
      <c r="K34" s="15" t="str">
        <f t="shared" si="26"/>
        <v>HÁBIL</v>
      </c>
      <c r="L34" s="15" t="str">
        <f t="shared" si="26"/>
        <v>HÁBIL</v>
      </c>
      <c r="M34" s="15" t="str">
        <f t="shared" si="26"/>
        <v>HÁBIL</v>
      </c>
      <c r="N34" s="15" t="str">
        <f t="shared" si="26"/>
        <v>HÁBIL</v>
      </c>
      <c r="O34" s="15" t="str">
        <f t="shared" si="26"/>
        <v>HÁBIL</v>
      </c>
      <c r="P34" s="77" t="str">
        <f t="shared" si="26"/>
        <v>HÁBIL</v>
      </c>
      <c r="Q34" s="117" t="s">
        <v>49</v>
      </c>
      <c r="R34" s="118">
        <v>12</v>
      </c>
    </row>
    <row r="35" spans="2:18" s="3" customFormat="1" ht="21.6" customHeight="1" x14ac:dyDescent="0.25">
      <c r="B35" s="116" t="str">
        <f>CONCATENATE("CT = Activo Corriente - Pasivo Corriente ≥ ",TEXT((R23*R35),"$###.###.###.###"))</f>
        <v>CT = Activo Corriente - Pasivo Corriente ≥ $199.000.000</v>
      </c>
      <c r="C35" s="126">
        <f>+C13-C14</f>
        <v>313659283</v>
      </c>
      <c r="D35" s="126">
        <f>+D13-D14</f>
        <v>3272296765</v>
      </c>
      <c r="E35" s="126">
        <f>+E13-E14</f>
        <v>3864475095</v>
      </c>
      <c r="F35" s="148"/>
      <c r="G35" s="148"/>
      <c r="H35" s="126">
        <f>(F13+G13)-(F14+G14)</f>
        <v>6958635460</v>
      </c>
      <c r="I35" s="126">
        <f t="shared" ref="I35:P35" si="27">+I13-I14</f>
        <v>1356739688</v>
      </c>
      <c r="J35" s="126">
        <f t="shared" ref="J35" si="28">+J13-J14</f>
        <v>15950829749</v>
      </c>
      <c r="K35" s="126">
        <f t="shared" si="27"/>
        <v>812102159</v>
      </c>
      <c r="L35" s="126">
        <f t="shared" si="27"/>
        <v>520378998</v>
      </c>
      <c r="M35" s="126">
        <f t="shared" ref="M35:N35" si="29">+M13-M14</f>
        <v>273953804</v>
      </c>
      <c r="N35" s="126">
        <f t="shared" si="29"/>
        <v>2988839776</v>
      </c>
      <c r="O35" s="126">
        <f t="shared" si="27"/>
        <v>1593220778</v>
      </c>
      <c r="P35" s="131">
        <f t="shared" si="27"/>
        <v>13386777032</v>
      </c>
      <c r="Q35" s="68" t="s">
        <v>50</v>
      </c>
      <c r="R35" s="115">
        <v>0.5</v>
      </c>
    </row>
    <row r="36" spans="2:18" s="3" customFormat="1" ht="15.6" x14ac:dyDescent="0.25">
      <c r="B36" s="36" t="s">
        <v>51</v>
      </c>
      <c r="C36" s="33"/>
      <c r="D36" s="33"/>
      <c r="E36" s="33"/>
      <c r="F36" s="33"/>
      <c r="G36" s="33"/>
      <c r="H36" s="33"/>
      <c r="I36" s="33"/>
      <c r="J36" s="33"/>
      <c r="K36" s="33"/>
      <c r="L36" s="33"/>
      <c r="M36" s="33"/>
      <c r="N36" s="33"/>
      <c r="O36" s="33"/>
      <c r="P36" s="78"/>
    </row>
    <row r="37" spans="2:18" s="3" customFormat="1" ht="15.6" x14ac:dyDescent="0.25">
      <c r="B37" s="17"/>
      <c r="C37" s="8"/>
      <c r="D37" s="8"/>
      <c r="E37" s="8"/>
      <c r="F37" s="8"/>
      <c r="G37" s="8"/>
      <c r="H37" s="8"/>
      <c r="I37" s="8"/>
      <c r="J37" s="8"/>
      <c r="K37" s="8"/>
      <c r="L37" s="8"/>
      <c r="M37" s="8"/>
      <c r="N37" s="8"/>
      <c r="O37" s="8"/>
      <c r="P37" s="79"/>
    </row>
    <row r="38" spans="2:18" s="3" customFormat="1" ht="31.2" x14ac:dyDescent="0.25">
      <c r="B38" s="35" t="str">
        <f>CONCATENATE("Indicador  Rentabilidad del Patrimonio",CHAR(10),"Mayor o Igual a ",R38)</f>
        <v>Indicador  Rentabilidad del Patrimonio
Mayor o Igual a 0,05</v>
      </c>
      <c r="C38" s="15" t="str">
        <f>IF(C75="MiPyME",IF(C39&gt;=$R$38,$B$25,$B$26))</f>
        <v>HÁBIL</v>
      </c>
      <c r="D38" s="15" t="str">
        <f>IF(D75="MiPyME",IF(D39&gt;=$R$38,$B$25,$B$26))</f>
        <v>HÁBIL</v>
      </c>
      <c r="E38" s="15" t="str">
        <f>IF(E75="MiPyME",IF(E39&gt;=$R$38,$B$25,$B$26))</f>
        <v>HÁBIL</v>
      </c>
      <c r="F38" s="140"/>
      <c r="G38" s="140"/>
      <c r="H38" s="13" t="str">
        <f>IF(H75="MiPyME",IF(H39&gt;=$R$38,$B$25,$B$26))</f>
        <v>HÁBIL</v>
      </c>
      <c r="I38" s="15" t="str">
        <f>IF(I75="MiPyME",IF(I39&gt;=$R$38,$B$25,$B$26))</f>
        <v>HÁBIL</v>
      </c>
      <c r="J38" s="15" t="str">
        <f>IF(J39&gt;=$Y$38,$B$25,$B$26)</f>
        <v>HÁBIL</v>
      </c>
      <c r="K38" s="15" t="str">
        <f t="shared" ref="K38:P38" si="30">IF(K75="MiPyME",IF(K39&gt;=$R$38,$B$25,$B$26))</f>
        <v>HÁBIL</v>
      </c>
      <c r="L38" s="15" t="str">
        <f t="shared" si="30"/>
        <v>HÁBIL</v>
      </c>
      <c r="M38" s="15" t="str">
        <f t="shared" si="30"/>
        <v>HÁBIL</v>
      </c>
      <c r="N38" s="15" t="str">
        <f t="shared" si="30"/>
        <v>HÁBIL</v>
      </c>
      <c r="O38" s="15" t="str">
        <f t="shared" si="30"/>
        <v>HÁBIL</v>
      </c>
      <c r="P38" s="77" t="str">
        <f t="shared" si="30"/>
        <v>HÁBIL</v>
      </c>
      <c r="R38" s="41">
        <v>0.05</v>
      </c>
    </row>
    <row r="39" spans="2:18" s="3" customFormat="1" ht="22.5" customHeight="1" x14ac:dyDescent="0.25">
      <c r="B39" s="21" t="s">
        <v>52</v>
      </c>
      <c r="C39" s="18">
        <f>C19/C17</f>
        <v>0.23598556925729217</v>
      </c>
      <c r="D39" s="18">
        <f>D19/D17</f>
        <v>0.32318565722137266</v>
      </c>
      <c r="E39" s="18">
        <f>E19/E17</f>
        <v>1.7100613083372889</v>
      </c>
      <c r="F39" s="140"/>
      <c r="G39" s="140"/>
      <c r="H39" s="18">
        <f t="shared" ref="H39" si="31">H19/H17</f>
        <v>9.994959973164913E-2</v>
      </c>
      <c r="I39" s="18">
        <f t="shared" ref="I39:P39" si="32">I19/I17</f>
        <v>0.25380519970769988</v>
      </c>
      <c r="J39" s="18">
        <f t="shared" si="32"/>
        <v>0.67565306519957291</v>
      </c>
      <c r="K39" s="18">
        <f t="shared" si="32"/>
        <v>0.2862895068854463</v>
      </c>
      <c r="L39" s="18">
        <f t="shared" si="32"/>
        <v>0.84328403743608182</v>
      </c>
      <c r="M39" s="18">
        <f t="shared" si="32"/>
        <v>0.15547364214060189</v>
      </c>
      <c r="N39" s="18">
        <f t="shared" si="32"/>
        <v>0.49684777330459501</v>
      </c>
      <c r="O39" s="18">
        <f t="shared" si="32"/>
        <v>0.44819522114307059</v>
      </c>
      <c r="P39" s="80">
        <f t="shared" si="32"/>
        <v>0.24511582248836222</v>
      </c>
    </row>
    <row r="40" spans="2:18" s="3" customFormat="1" ht="31.2" x14ac:dyDescent="0.25">
      <c r="B40" s="35" t="str">
        <f>CONCATENATE("Indicador Rentabilidad del Activo",CHAR(10),"Mayor o Igual a ",R40)</f>
        <v>Indicador Rentabilidad del Activo
Mayor o Igual a 0,02</v>
      </c>
      <c r="C40" s="13" t="str">
        <f>IF(C75="MiPyME",IF(C41&gt;=$R$40,$B$25,$B$26))</f>
        <v>HÁBIL</v>
      </c>
      <c r="D40" s="13" t="str">
        <f>IF(D75="MiPyME",IF(D41&gt;=$R$40,$B$25,$B$26))</f>
        <v>HÁBIL</v>
      </c>
      <c r="E40" s="13" t="str">
        <f>IF(E75="MiPyME",IF(E41&gt;=$R$40,$B$25,$B$26))</f>
        <v>HÁBIL</v>
      </c>
      <c r="F40" s="140"/>
      <c r="G40" s="140"/>
      <c r="H40" s="13" t="str">
        <f>IF(H75="MiPyME",IF(H41&gt;=$R$40,$B$25,$B$26))</f>
        <v>HÁBIL</v>
      </c>
      <c r="I40" s="13" t="str">
        <f>IF(I75="MiPyME",IF(I41&gt;=$R$40,$B$25,$B$26))</f>
        <v>HÁBIL</v>
      </c>
      <c r="J40" s="13" t="str">
        <f>IF(J41&gt;=$Y$40,$B$25,$B$26)</f>
        <v>HÁBIL</v>
      </c>
      <c r="K40" s="13" t="str">
        <f t="shared" ref="K40:P40" si="33">IF(K75="MiPyME",IF(K41&gt;=$R$40,$B$25,$B$26))</f>
        <v>HÁBIL</v>
      </c>
      <c r="L40" s="13" t="str">
        <f t="shared" si="33"/>
        <v>HÁBIL</v>
      </c>
      <c r="M40" s="13" t="str">
        <f t="shared" si="33"/>
        <v>HÁBIL</v>
      </c>
      <c r="N40" s="13" t="str">
        <f t="shared" si="33"/>
        <v>HÁBIL</v>
      </c>
      <c r="O40" s="13" t="str">
        <f t="shared" si="33"/>
        <v>HÁBIL</v>
      </c>
      <c r="P40" s="76" t="str">
        <f t="shared" si="33"/>
        <v>HÁBIL</v>
      </c>
      <c r="R40" s="41">
        <v>0.02</v>
      </c>
    </row>
    <row r="41" spans="2:18" s="3" customFormat="1" ht="22.5" customHeight="1" x14ac:dyDescent="0.25">
      <c r="B41" s="21" t="s">
        <v>53</v>
      </c>
      <c r="C41" s="18">
        <f t="shared" ref="C41" si="34">C19/C15</f>
        <v>0.22124512265574317</v>
      </c>
      <c r="D41" s="18">
        <f t="shared" ref="D41:P41" si="35">D19/D15</f>
        <v>0.20344639521421146</v>
      </c>
      <c r="E41" s="18">
        <f t="shared" si="35"/>
        <v>1.5575005936478599</v>
      </c>
      <c r="F41" s="140"/>
      <c r="G41" s="140"/>
      <c r="H41" s="18">
        <f t="shared" ref="H41" si="36">H19/H15</f>
        <v>7.9699432973007495E-2</v>
      </c>
      <c r="I41" s="18">
        <f t="shared" si="35"/>
        <v>0.14424076147229695</v>
      </c>
      <c r="J41" s="18">
        <f t="shared" si="35"/>
        <v>0.59961254394991004</v>
      </c>
      <c r="K41" s="18">
        <f t="shared" si="35"/>
        <v>0.24928492377628667</v>
      </c>
      <c r="L41" s="18">
        <f t="shared" si="35"/>
        <v>0.82862774707612696</v>
      </c>
      <c r="M41" s="18">
        <f t="shared" ref="M41:N41" si="37">M19/M15</f>
        <v>0.14645972258423059</v>
      </c>
      <c r="N41" s="18">
        <f t="shared" si="37"/>
        <v>0.42220790579489792</v>
      </c>
      <c r="O41" s="18">
        <f t="shared" si="35"/>
        <v>0.41373055413793103</v>
      </c>
      <c r="P41" s="80">
        <f t="shared" si="35"/>
        <v>0.19084101336445522</v>
      </c>
    </row>
    <row r="42" spans="2:18" s="3" customFormat="1" ht="25.95" customHeight="1" thickBot="1" x14ac:dyDescent="0.3">
      <c r="B42" s="95" t="s">
        <v>54</v>
      </c>
      <c r="C42" s="96" t="str">
        <f t="shared" ref="C42" si="38">+IF(COUNTIF(C28:C41,"NO HÁBIL")&gt;=1,"NO HABILITADO","HABILITADO")</f>
        <v>HABILITADO</v>
      </c>
      <c r="D42" s="96" t="str">
        <f t="shared" ref="D42:P42" si="39">+IF(COUNTIF(D28:D41,"NO HÁBIL")&gt;=1,"NO HABILITADO","HABILITADO")</f>
        <v>HABILITADO</v>
      </c>
      <c r="E42" s="96" t="str">
        <f t="shared" si="39"/>
        <v>HABILITADO</v>
      </c>
      <c r="F42" s="149"/>
      <c r="G42" s="149"/>
      <c r="H42" s="96" t="str">
        <f t="shared" ref="H42" si="40">+IF(COUNTIF(H28:H41,"NO HÁBIL")&gt;=1,"NO HABILITADO","HABILITADO")</f>
        <v>HABILITADO</v>
      </c>
      <c r="I42" s="96" t="str">
        <f t="shared" si="39"/>
        <v>HABILITADO</v>
      </c>
      <c r="J42" s="96" t="str">
        <f t="shared" si="39"/>
        <v>HABILITADO</v>
      </c>
      <c r="K42" s="96" t="str">
        <f t="shared" si="39"/>
        <v>HABILITADO</v>
      </c>
      <c r="L42" s="96" t="str">
        <f t="shared" si="39"/>
        <v>HABILITADO</v>
      </c>
      <c r="M42" s="96" t="str">
        <f t="shared" ref="M42:N42" si="41">+IF(COUNTIF(M28:M41,"NO HÁBIL")&gt;=1,"NO HABILITADO","HABILITADO")</f>
        <v>HABILITADO</v>
      </c>
      <c r="N42" s="96" t="str">
        <f t="shared" si="41"/>
        <v>HABILITADO</v>
      </c>
      <c r="O42" s="96" t="str">
        <f t="shared" si="39"/>
        <v>HABILITADO</v>
      </c>
      <c r="P42" s="97" t="str">
        <f t="shared" si="39"/>
        <v>HABILITADO</v>
      </c>
    </row>
    <row r="43" spans="2:18" s="3" customFormat="1" ht="16.2" thickBot="1" x14ac:dyDescent="0.3">
      <c r="B43" s="92"/>
      <c r="C43" s="93"/>
      <c r="D43" s="93"/>
      <c r="E43" s="93"/>
      <c r="F43" s="93"/>
      <c r="G43" s="93"/>
      <c r="H43" s="93"/>
      <c r="I43" s="93"/>
      <c r="J43" s="93"/>
      <c r="K43" s="93"/>
      <c r="L43" s="93"/>
      <c r="M43" s="93"/>
      <c r="N43" s="93"/>
      <c r="O43" s="93"/>
      <c r="P43" s="94"/>
    </row>
    <row r="44" spans="2:18" s="3" customFormat="1" ht="15.6" customHeight="1" x14ac:dyDescent="0.25">
      <c r="B44" s="168" t="s">
        <v>55</v>
      </c>
      <c r="C44" s="169"/>
      <c r="D44" s="169"/>
      <c r="E44" s="169"/>
      <c r="F44" s="169"/>
      <c r="G44" s="169"/>
      <c r="H44" s="169"/>
      <c r="I44" s="169"/>
      <c r="J44" s="169"/>
      <c r="K44" s="169"/>
      <c r="L44" s="169"/>
      <c r="M44" s="169"/>
      <c r="N44" s="169"/>
      <c r="O44" s="169"/>
      <c r="P44" s="170"/>
    </row>
    <row r="45" spans="2:18" s="3" customFormat="1" ht="21.6" customHeight="1" x14ac:dyDescent="0.25">
      <c r="B45" s="171"/>
      <c r="C45" s="172"/>
      <c r="D45" s="172"/>
      <c r="E45" s="172"/>
      <c r="F45" s="172"/>
      <c r="G45" s="172"/>
      <c r="H45" s="172"/>
      <c r="I45" s="172"/>
      <c r="J45" s="172"/>
      <c r="K45" s="172"/>
      <c r="L45" s="172"/>
      <c r="M45" s="172"/>
      <c r="N45" s="172"/>
      <c r="O45" s="172"/>
      <c r="P45" s="173"/>
    </row>
    <row r="46" spans="2:18" s="3" customFormat="1" ht="15.6" x14ac:dyDescent="0.25">
      <c r="B46" s="19"/>
      <c r="C46" s="132"/>
      <c r="D46" s="132"/>
      <c r="E46" s="132"/>
      <c r="F46" s="132"/>
      <c r="G46" s="132"/>
      <c r="H46" s="132"/>
      <c r="I46" s="132"/>
      <c r="J46" s="132"/>
      <c r="K46" s="132"/>
      <c r="L46" s="132"/>
      <c r="M46" s="132"/>
      <c r="N46" s="132"/>
      <c r="O46" s="132"/>
      <c r="P46" s="20"/>
    </row>
    <row r="47" spans="2:18" s="3" customFormat="1" ht="15.6" x14ac:dyDescent="0.25">
      <c r="B47" s="43" t="str">
        <f>B72</f>
        <v>Fecha de cierre del proceso:</v>
      </c>
      <c r="C47" s="132"/>
      <c r="D47" s="132"/>
      <c r="E47" s="132"/>
      <c r="F47" s="132"/>
      <c r="G47" s="132"/>
      <c r="H47" s="132"/>
      <c r="I47" s="132"/>
      <c r="J47" s="132"/>
      <c r="K47" s="132"/>
      <c r="L47" s="132"/>
      <c r="M47" s="132"/>
      <c r="N47" s="132"/>
      <c r="O47" s="132"/>
      <c r="P47" s="20"/>
    </row>
    <row r="48" spans="2:18" s="3" customFormat="1" ht="15.6" x14ac:dyDescent="0.25">
      <c r="B48" s="46">
        <v>45848</v>
      </c>
      <c r="C48" s="132"/>
      <c r="D48" s="132"/>
      <c r="E48" s="132"/>
      <c r="F48" s="132"/>
      <c r="G48" s="132"/>
      <c r="H48" s="132"/>
      <c r="I48" s="132"/>
      <c r="J48" s="132"/>
      <c r="K48" s="132"/>
      <c r="L48" s="132"/>
      <c r="M48" s="132"/>
      <c r="N48" s="132"/>
      <c r="O48" s="132"/>
      <c r="P48" s="20"/>
    </row>
    <row r="49" spans="1:16" s="3" customFormat="1" ht="15.6" x14ac:dyDescent="0.25">
      <c r="B49" s="44"/>
      <c r="E49" s="154" t="s">
        <v>110</v>
      </c>
      <c r="P49" s="81"/>
    </row>
    <row r="50" spans="1:16" s="3" customFormat="1" ht="15.6" x14ac:dyDescent="0.25">
      <c r="B50" s="53" t="s">
        <v>56</v>
      </c>
      <c r="C50" s="49"/>
      <c r="D50" s="49"/>
      <c r="E50" s="49" t="s">
        <v>57</v>
      </c>
      <c r="F50" s="49"/>
      <c r="G50" s="49"/>
      <c r="H50" s="49"/>
      <c r="I50" s="49"/>
      <c r="J50" s="49"/>
      <c r="K50" s="49"/>
      <c r="L50" s="49"/>
      <c r="M50" s="49"/>
      <c r="N50" s="49"/>
      <c r="O50" s="49"/>
      <c r="P50" s="81"/>
    </row>
    <row r="51" spans="1:16" s="3" customFormat="1" ht="15.6" x14ac:dyDescent="0.25">
      <c r="A51" s="4"/>
      <c r="B51" s="45">
        <v>45849</v>
      </c>
      <c r="D51" s="50"/>
      <c r="E51" s="50" t="s">
        <v>58</v>
      </c>
      <c r="F51" s="50"/>
      <c r="G51" s="50"/>
      <c r="H51" s="50"/>
      <c r="I51" s="50"/>
      <c r="J51" s="50"/>
      <c r="K51" s="50"/>
      <c r="L51" s="50"/>
      <c r="M51" s="50"/>
      <c r="N51" s="50"/>
      <c r="O51" s="50"/>
      <c r="P51" s="81"/>
    </row>
    <row r="52" spans="1:16" s="3" customFormat="1" ht="15.6" x14ac:dyDescent="0.25">
      <c r="A52" s="4"/>
      <c r="B52" s="45"/>
      <c r="D52" s="50"/>
      <c r="E52" s="50" t="s">
        <v>59</v>
      </c>
      <c r="F52" s="50"/>
      <c r="G52" s="50"/>
      <c r="H52" s="50"/>
      <c r="I52" s="50"/>
      <c r="J52" s="50"/>
      <c r="K52" s="50"/>
      <c r="L52" s="50"/>
      <c r="M52" s="50"/>
      <c r="N52" s="50"/>
      <c r="P52" s="82"/>
    </row>
    <row r="53" spans="1:16" ht="15.6" x14ac:dyDescent="0.3">
      <c r="A53" s="5"/>
      <c r="B53" s="53" t="s">
        <v>60</v>
      </c>
      <c r="P53" s="83"/>
    </row>
    <row r="54" spans="1:16" ht="15.6" x14ac:dyDescent="0.3">
      <c r="A54" s="5"/>
      <c r="B54" s="45">
        <v>45869</v>
      </c>
      <c r="P54" s="83"/>
    </row>
    <row r="55" spans="1:16" ht="15.6" x14ac:dyDescent="0.3">
      <c r="A55" s="5"/>
      <c r="B55" s="45"/>
      <c r="C55" s="133"/>
      <c r="D55" s="133"/>
      <c r="E55" s="133"/>
      <c r="F55" s="133"/>
      <c r="G55" s="133"/>
      <c r="H55" s="133"/>
      <c r="I55" s="133"/>
      <c r="J55" s="133"/>
      <c r="K55" s="133"/>
      <c r="L55" s="133"/>
      <c r="M55" s="133"/>
      <c r="N55" s="133"/>
      <c r="O55" s="133"/>
      <c r="P55" s="51"/>
    </row>
    <row r="56" spans="1:16" ht="15.6" customHeight="1" x14ac:dyDescent="0.3">
      <c r="A56" s="5"/>
      <c r="B56" s="174" t="s">
        <v>61</v>
      </c>
      <c r="C56" s="175"/>
      <c r="D56" s="175"/>
      <c r="E56" s="175"/>
      <c r="F56" s="175"/>
      <c r="G56" s="175"/>
      <c r="H56" s="175"/>
      <c r="I56" s="175"/>
      <c r="J56" s="175"/>
      <c r="K56" s="175"/>
      <c r="L56" s="175"/>
      <c r="M56" s="175"/>
      <c r="N56" s="175"/>
      <c r="O56" s="175"/>
      <c r="P56" s="176"/>
    </row>
    <row r="57" spans="1:16" ht="56.4" customHeight="1" x14ac:dyDescent="0.3">
      <c r="A57" s="5"/>
      <c r="B57" s="177"/>
      <c r="C57" s="178"/>
      <c r="D57" s="178"/>
      <c r="E57" s="178"/>
      <c r="F57" s="178"/>
      <c r="G57" s="178"/>
      <c r="H57" s="178"/>
      <c r="I57" s="178"/>
      <c r="J57" s="178"/>
      <c r="K57" s="178"/>
      <c r="L57" s="178"/>
      <c r="M57" s="178"/>
      <c r="N57" s="178"/>
      <c r="O57" s="178"/>
      <c r="P57" s="179"/>
    </row>
    <row r="58" spans="1:16" ht="15" thickBot="1" x14ac:dyDescent="0.35">
      <c r="B58" s="180"/>
      <c r="C58" s="181"/>
      <c r="D58" s="181"/>
      <c r="E58" s="181"/>
      <c r="F58" s="181"/>
      <c r="G58" s="181"/>
      <c r="H58" s="181"/>
      <c r="I58" s="181"/>
      <c r="J58" s="181"/>
      <c r="K58" s="181"/>
      <c r="L58" s="181"/>
      <c r="M58" s="181"/>
      <c r="N58" s="181"/>
      <c r="O58" s="181"/>
      <c r="P58" s="182"/>
    </row>
    <row r="60" spans="1:16" x14ac:dyDescent="0.3">
      <c r="B60" s="6"/>
      <c r="C60" s="6"/>
      <c r="D60" s="6"/>
      <c r="E60" s="6"/>
      <c r="F60" s="6"/>
      <c r="G60" s="6"/>
      <c r="H60" s="6"/>
      <c r="I60" s="6"/>
      <c r="J60" s="6"/>
      <c r="K60" s="6"/>
      <c r="L60" s="6"/>
      <c r="M60" s="6"/>
      <c r="N60" s="6"/>
      <c r="O60" s="6"/>
      <c r="P60" s="6"/>
    </row>
    <row r="63" spans="1:16" ht="15" thickBot="1" x14ac:dyDescent="0.35"/>
    <row r="64" spans="1:16" x14ac:dyDescent="0.3">
      <c r="B64" s="98" t="s">
        <v>62</v>
      </c>
      <c r="C64" s="99"/>
      <c r="D64" s="99"/>
      <c r="E64" s="99"/>
      <c r="F64" s="99"/>
      <c r="G64" s="99"/>
      <c r="H64" s="99"/>
      <c r="I64" s="99"/>
      <c r="J64" s="99"/>
      <c r="K64" s="99"/>
      <c r="L64" s="99"/>
      <c r="M64" s="99"/>
      <c r="N64" s="99"/>
      <c r="O64" s="99"/>
      <c r="P64" s="100"/>
    </row>
    <row r="65" spans="2:16" x14ac:dyDescent="0.3">
      <c r="B65" s="101"/>
      <c r="P65" s="102"/>
    </row>
    <row r="66" spans="2:16" x14ac:dyDescent="0.3">
      <c r="B66" s="101" t="s">
        <v>63</v>
      </c>
      <c r="C66" s="127">
        <f t="shared" ref="C66:P66" si="42">$B$51</f>
        <v>45849</v>
      </c>
      <c r="D66" s="127">
        <f t="shared" si="42"/>
        <v>45849</v>
      </c>
      <c r="E66" s="127">
        <f t="shared" si="42"/>
        <v>45849</v>
      </c>
      <c r="F66" s="127">
        <f t="shared" si="42"/>
        <v>45849</v>
      </c>
      <c r="G66" s="127">
        <f t="shared" si="42"/>
        <v>45849</v>
      </c>
      <c r="H66" s="127">
        <f t="shared" si="42"/>
        <v>45849</v>
      </c>
      <c r="I66" s="127">
        <f t="shared" si="42"/>
        <v>45849</v>
      </c>
      <c r="J66" s="127">
        <f t="shared" si="42"/>
        <v>45849</v>
      </c>
      <c r="K66" s="127">
        <f t="shared" si="42"/>
        <v>45849</v>
      </c>
      <c r="L66" s="127">
        <f t="shared" si="42"/>
        <v>45849</v>
      </c>
      <c r="M66" s="127">
        <f t="shared" si="42"/>
        <v>45849</v>
      </c>
      <c r="N66" s="127">
        <f t="shared" si="42"/>
        <v>45849</v>
      </c>
      <c r="O66" s="127">
        <f t="shared" si="42"/>
        <v>45849</v>
      </c>
      <c r="P66" s="103">
        <f t="shared" si="42"/>
        <v>45849</v>
      </c>
    </row>
    <row r="67" spans="2:16" x14ac:dyDescent="0.3">
      <c r="B67" s="101"/>
      <c r="P67" s="102"/>
    </row>
    <row r="68" spans="2:16" x14ac:dyDescent="0.3">
      <c r="B68" s="104"/>
      <c r="C68" s="128">
        <f t="shared" ref="C68:O68" si="43">C9</f>
        <v>14</v>
      </c>
      <c r="D68" s="128">
        <f t="shared" si="43"/>
        <v>15</v>
      </c>
      <c r="E68" s="128">
        <f t="shared" si="43"/>
        <v>16</v>
      </c>
      <c r="F68" s="128" t="str">
        <f t="shared" si="43"/>
        <v>A</v>
      </c>
      <c r="G68" s="128" t="str">
        <f t="shared" si="43"/>
        <v>B</v>
      </c>
      <c r="H68" s="128">
        <f t="shared" si="43"/>
        <v>17</v>
      </c>
      <c r="I68" s="128">
        <f t="shared" si="43"/>
        <v>18</v>
      </c>
      <c r="J68" s="128">
        <f t="shared" si="43"/>
        <v>19</v>
      </c>
      <c r="K68" s="128">
        <f t="shared" si="43"/>
        <v>20</v>
      </c>
      <c r="L68" s="128">
        <f t="shared" si="43"/>
        <v>21</v>
      </c>
      <c r="M68" s="128">
        <f t="shared" ref="M68:N68" si="44">M9</f>
        <v>22</v>
      </c>
      <c r="N68" s="128">
        <f t="shared" si="44"/>
        <v>23</v>
      </c>
      <c r="O68" s="128">
        <f t="shared" si="43"/>
        <v>24</v>
      </c>
      <c r="P68" s="105">
        <f>P9</f>
        <v>25</v>
      </c>
    </row>
    <row r="69" spans="2:16" x14ac:dyDescent="0.3">
      <c r="B69" s="106" t="s">
        <v>64</v>
      </c>
      <c r="C69" s="129">
        <v>45847</v>
      </c>
      <c r="D69" s="129">
        <v>45841</v>
      </c>
      <c r="E69" s="129">
        <v>45836</v>
      </c>
      <c r="F69" s="129">
        <v>45832</v>
      </c>
      <c r="G69" s="129">
        <v>45835</v>
      </c>
      <c r="H69" s="129"/>
      <c r="I69" s="129">
        <v>45833</v>
      </c>
      <c r="J69" s="129">
        <v>45839</v>
      </c>
      <c r="K69" s="129">
        <v>45842</v>
      </c>
      <c r="L69" s="129">
        <v>45847</v>
      </c>
      <c r="M69" s="129">
        <v>45847</v>
      </c>
      <c r="N69" s="129">
        <v>45842</v>
      </c>
      <c r="O69" s="129">
        <v>45847</v>
      </c>
      <c r="P69" s="107">
        <v>45839</v>
      </c>
    </row>
    <row r="70" spans="2:16" x14ac:dyDescent="0.3">
      <c r="B70" s="183" t="s">
        <v>65</v>
      </c>
      <c r="C70" s="156">
        <v>45728</v>
      </c>
      <c r="D70" s="156">
        <v>45763</v>
      </c>
      <c r="E70" s="156">
        <v>45792</v>
      </c>
      <c r="F70" s="156">
        <v>45772</v>
      </c>
      <c r="G70" s="156">
        <v>45785</v>
      </c>
      <c r="H70" s="156"/>
      <c r="I70" s="156">
        <v>45776</v>
      </c>
      <c r="J70" s="156">
        <v>45776</v>
      </c>
      <c r="K70" s="156">
        <v>45777</v>
      </c>
      <c r="L70" s="156">
        <v>45775</v>
      </c>
      <c r="M70" s="156">
        <v>45779</v>
      </c>
      <c r="N70" s="156">
        <v>45750</v>
      </c>
      <c r="O70" s="156">
        <v>45737</v>
      </c>
      <c r="P70" s="157">
        <v>45755</v>
      </c>
    </row>
    <row r="71" spans="2:16" ht="12" customHeight="1" x14ac:dyDescent="0.3">
      <c r="B71" s="183"/>
      <c r="C71" s="156"/>
      <c r="D71" s="156"/>
      <c r="E71" s="156"/>
      <c r="F71" s="156"/>
      <c r="G71" s="156"/>
      <c r="H71" s="156"/>
      <c r="I71" s="156"/>
      <c r="J71" s="156"/>
      <c r="K71" s="156"/>
      <c r="L71" s="156"/>
      <c r="M71" s="156"/>
      <c r="N71" s="156"/>
      <c r="O71" s="156"/>
      <c r="P71" s="157"/>
    </row>
    <row r="72" spans="2:16" ht="22.95" customHeight="1" x14ac:dyDescent="0.3">
      <c r="B72" s="101" t="s">
        <v>66</v>
      </c>
      <c r="C72" s="127">
        <f t="shared" ref="C72:P72" si="45">$B$48</f>
        <v>45848</v>
      </c>
      <c r="D72" s="127">
        <f t="shared" si="45"/>
        <v>45848</v>
      </c>
      <c r="E72" s="127">
        <f t="shared" si="45"/>
        <v>45848</v>
      </c>
      <c r="F72" s="127">
        <f t="shared" si="45"/>
        <v>45848</v>
      </c>
      <c r="G72" s="127">
        <f t="shared" si="45"/>
        <v>45848</v>
      </c>
      <c r="H72" s="127">
        <f t="shared" si="45"/>
        <v>45848</v>
      </c>
      <c r="I72" s="127">
        <f t="shared" si="45"/>
        <v>45848</v>
      </c>
      <c r="J72" s="127">
        <f t="shared" si="45"/>
        <v>45848</v>
      </c>
      <c r="K72" s="127">
        <f t="shared" si="45"/>
        <v>45848</v>
      </c>
      <c r="L72" s="127">
        <f t="shared" si="45"/>
        <v>45848</v>
      </c>
      <c r="M72" s="127">
        <f t="shared" si="45"/>
        <v>45848</v>
      </c>
      <c r="N72" s="127">
        <f t="shared" si="45"/>
        <v>45848</v>
      </c>
      <c r="O72" s="127">
        <f t="shared" si="45"/>
        <v>45848</v>
      </c>
      <c r="P72" s="103">
        <f t="shared" si="45"/>
        <v>45848</v>
      </c>
    </row>
    <row r="73" spans="2:16" x14ac:dyDescent="0.3">
      <c r="B73" s="106" t="s">
        <v>67</v>
      </c>
      <c r="C73" s="130">
        <f t="shared" ref="C73:O73" si="46">C72-C69</f>
        <v>1</v>
      </c>
      <c r="D73" s="130">
        <f t="shared" si="46"/>
        <v>7</v>
      </c>
      <c r="E73" s="130">
        <f t="shared" si="46"/>
        <v>12</v>
      </c>
      <c r="F73" s="130">
        <f t="shared" si="46"/>
        <v>16</v>
      </c>
      <c r="G73" s="130">
        <f t="shared" si="46"/>
        <v>13</v>
      </c>
      <c r="H73" s="130"/>
      <c r="I73" s="130">
        <f t="shared" si="46"/>
        <v>15</v>
      </c>
      <c r="J73" s="130">
        <f t="shared" si="46"/>
        <v>9</v>
      </c>
      <c r="K73" s="130">
        <f t="shared" si="46"/>
        <v>6</v>
      </c>
      <c r="L73" s="130">
        <f t="shared" si="46"/>
        <v>1</v>
      </c>
      <c r="M73" s="130">
        <f t="shared" ref="M73:N73" si="47">M72-M69</f>
        <v>1</v>
      </c>
      <c r="N73" s="130">
        <f t="shared" si="47"/>
        <v>6</v>
      </c>
      <c r="O73" s="130">
        <f t="shared" si="46"/>
        <v>1</v>
      </c>
      <c r="P73" s="108">
        <v>15</v>
      </c>
    </row>
    <row r="74" spans="2:16" x14ac:dyDescent="0.3">
      <c r="B74" s="124">
        <v>30</v>
      </c>
      <c r="C74" s="130"/>
      <c r="D74" s="130"/>
      <c r="E74" s="130"/>
      <c r="F74" s="130"/>
      <c r="G74" s="130"/>
      <c r="H74" s="130"/>
      <c r="I74" s="130"/>
      <c r="J74" s="130"/>
      <c r="K74" s="130"/>
      <c r="L74" s="130"/>
      <c r="M74" s="130"/>
      <c r="N74" s="130"/>
      <c r="O74" s="130"/>
      <c r="P74" s="108"/>
    </row>
    <row r="75" spans="2:16" x14ac:dyDescent="0.3">
      <c r="B75" s="106"/>
      <c r="C75" s="91" t="s">
        <v>41</v>
      </c>
      <c r="D75" s="91" t="s">
        <v>41</v>
      </c>
      <c r="E75" s="91" t="s">
        <v>41</v>
      </c>
      <c r="F75" s="91" t="s">
        <v>41</v>
      </c>
      <c r="G75" s="91" t="s">
        <v>41</v>
      </c>
      <c r="H75" s="91" t="s">
        <v>41</v>
      </c>
      <c r="I75" s="91" t="s">
        <v>41</v>
      </c>
      <c r="J75" s="91"/>
      <c r="K75" s="91" t="s">
        <v>41</v>
      </c>
      <c r="L75" s="91" t="s">
        <v>41</v>
      </c>
      <c r="M75" s="91" t="s">
        <v>41</v>
      </c>
      <c r="N75" s="91" t="s">
        <v>41</v>
      </c>
      <c r="O75" s="91" t="s">
        <v>41</v>
      </c>
      <c r="P75" s="110" t="s">
        <v>41</v>
      </c>
    </row>
    <row r="76" spans="2:16" ht="87" thickBot="1" x14ac:dyDescent="0.35">
      <c r="B76" s="125"/>
      <c r="C76" s="112" t="s">
        <v>68</v>
      </c>
      <c r="D76" s="112" t="s">
        <v>69</v>
      </c>
      <c r="E76" s="112" t="s">
        <v>70</v>
      </c>
      <c r="F76" s="112" t="s">
        <v>70</v>
      </c>
      <c r="G76" s="112" t="s">
        <v>68</v>
      </c>
      <c r="H76" s="112"/>
      <c r="I76" s="112" t="s">
        <v>69</v>
      </c>
      <c r="J76" s="112" t="s">
        <v>109</v>
      </c>
      <c r="K76" s="112" t="s">
        <v>68</v>
      </c>
      <c r="L76" s="112" t="s">
        <v>69</v>
      </c>
      <c r="M76" s="112" t="s">
        <v>68</v>
      </c>
      <c r="N76" s="112" t="s">
        <v>70</v>
      </c>
      <c r="O76" s="112" t="s">
        <v>69</v>
      </c>
      <c r="P76" s="113" t="s">
        <v>70</v>
      </c>
    </row>
    <row r="77" spans="2:16" hidden="1" x14ac:dyDescent="0.3">
      <c r="B77" s="109" t="s">
        <v>72</v>
      </c>
      <c r="C77" s="91" t="s">
        <v>41</v>
      </c>
      <c r="D77" s="91"/>
      <c r="E77" s="91"/>
      <c r="F77" s="91"/>
      <c r="G77" s="91"/>
      <c r="H77" s="91"/>
      <c r="I77" s="91"/>
      <c r="J77" s="91"/>
      <c r="K77" s="91"/>
      <c r="L77" s="91"/>
      <c r="M77" s="91"/>
      <c r="N77" s="91"/>
      <c r="O77" s="91" t="s">
        <v>41</v>
      </c>
      <c r="P77" s="110" t="s">
        <v>41</v>
      </c>
    </row>
    <row r="78" spans="2:16" ht="87" hidden="1" thickBot="1" x14ac:dyDescent="0.35">
      <c r="B78" s="111"/>
      <c r="C78" s="112" t="s">
        <v>73</v>
      </c>
      <c r="D78" s="112"/>
      <c r="E78" s="112"/>
      <c r="F78" s="112"/>
      <c r="G78" s="112"/>
      <c r="H78" s="112"/>
      <c r="I78" s="112"/>
      <c r="J78" s="112"/>
      <c r="K78" s="112"/>
      <c r="L78" s="112"/>
      <c r="M78" s="112"/>
      <c r="N78" s="112"/>
      <c r="O78" s="112" t="s">
        <v>70</v>
      </c>
      <c r="P78" s="113" t="s">
        <v>73</v>
      </c>
    </row>
    <row r="79" spans="2:16" x14ac:dyDescent="0.3">
      <c r="B79"/>
      <c r="C79"/>
      <c r="D79"/>
      <c r="E79"/>
      <c r="F79"/>
      <c r="G79"/>
      <c r="H79"/>
      <c r="I79"/>
      <c r="J79"/>
      <c r="K79"/>
      <c r="L79"/>
      <c r="M79"/>
      <c r="N79"/>
      <c r="O79"/>
      <c r="P79"/>
    </row>
    <row r="80" spans="2:16" x14ac:dyDescent="0.3">
      <c r="B80"/>
      <c r="C80"/>
      <c r="D80"/>
      <c r="E80"/>
      <c r="F80"/>
      <c r="G80"/>
      <c r="H80"/>
      <c r="I80"/>
      <c r="J80"/>
      <c r="K80"/>
      <c r="L80"/>
      <c r="M80"/>
      <c r="N80"/>
      <c r="O80"/>
      <c r="P80"/>
    </row>
    <row r="81" spans="2:16" x14ac:dyDescent="0.3">
      <c r="B81"/>
      <c r="C81"/>
      <c r="D81"/>
      <c r="E81"/>
      <c r="F81"/>
      <c r="G81"/>
      <c r="H81"/>
      <c r="I81"/>
      <c r="J81"/>
      <c r="K81"/>
      <c r="L81"/>
      <c r="M81"/>
      <c r="N81"/>
      <c r="O81"/>
      <c r="P81"/>
    </row>
    <row r="82" spans="2:16" x14ac:dyDescent="0.3">
      <c r="B82"/>
      <c r="C82"/>
      <c r="D82"/>
      <c r="E82"/>
      <c r="F82"/>
      <c r="G82"/>
      <c r="H82"/>
      <c r="I82"/>
      <c r="J82"/>
      <c r="K82"/>
      <c r="L82"/>
      <c r="M82"/>
      <c r="N82"/>
      <c r="O82"/>
      <c r="P82"/>
    </row>
    <row r="83" spans="2:16" x14ac:dyDescent="0.3">
      <c r="B83"/>
      <c r="C83"/>
      <c r="D83"/>
      <c r="E83"/>
      <c r="F83"/>
      <c r="G83"/>
      <c r="H83"/>
      <c r="I83"/>
      <c r="J83"/>
      <c r="K83"/>
      <c r="L83"/>
      <c r="M83"/>
      <c r="N83"/>
      <c r="O83"/>
      <c r="P83"/>
    </row>
    <row r="84" spans="2:16" x14ac:dyDescent="0.3">
      <c r="B84"/>
      <c r="C84"/>
      <c r="D84"/>
      <c r="E84"/>
      <c r="F84"/>
      <c r="G84"/>
      <c r="H84"/>
      <c r="I84"/>
      <c r="J84"/>
      <c r="K84"/>
      <c r="L84"/>
      <c r="M84"/>
      <c r="N84"/>
      <c r="O84"/>
      <c r="P84"/>
    </row>
    <row r="85" spans="2:16" x14ac:dyDescent="0.3">
      <c r="B85"/>
      <c r="C85"/>
      <c r="D85"/>
      <c r="E85"/>
      <c r="F85"/>
      <c r="G85"/>
      <c r="H85"/>
      <c r="I85"/>
      <c r="J85"/>
      <c r="K85"/>
      <c r="L85"/>
      <c r="M85"/>
      <c r="N85"/>
      <c r="O85"/>
      <c r="P85"/>
    </row>
    <row r="86" spans="2:16" x14ac:dyDescent="0.3">
      <c r="B86"/>
      <c r="C86"/>
      <c r="D86"/>
      <c r="E86"/>
      <c r="F86"/>
      <c r="G86"/>
      <c r="H86"/>
      <c r="I86"/>
      <c r="J86"/>
      <c r="K86"/>
      <c r="L86"/>
      <c r="M86"/>
      <c r="N86"/>
      <c r="O86"/>
      <c r="P86"/>
    </row>
    <row r="87" spans="2:16" x14ac:dyDescent="0.3">
      <c r="B87"/>
      <c r="C87"/>
      <c r="D87"/>
      <c r="E87"/>
      <c r="F87"/>
      <c r="G87"/>
      <c r="H87"/>
      <c r="I87"/>
      <c r="J87"/>
      <c r="K87"/>
      <c r="L87"/>
      <c r="M87"/>
      <c r="N87"/>
      <c r="O87"/>
      <c r="P87"/>
    </row>
    <row r="88" spans="2:16" x14ac:dyDescent="0.3">
      <c r="B88"/>
      <c r="C88"/>
      <c r="D88"/>
      <c r="E88"/>
      <c r="F88"/>
      <c r="G88"/>
      <c r="H88"/>
      <c r="I88"/>
      <c r="J88"/>
      <c r="K88"/>
      <c r="L88"/>
      <c r="M88"/>
      <c r="N88"/>
      <c r="O88"/>
      <c r="P88"/>
    </row>
    <row r="89" spans="2:16" x14ac:dyDescent="0.3">
      <c r="B89"/>
      <c r="C89"/>
      <c r="D89"/>
      <c r="E89"/>
      <c r="F89"/>
      <c r="G89"/>
      <c r="H89"/>
      <c r="I89"/>
      <c r="J89"/>
      <c r="K89"/>
      <c r="L89"/>
      <c r="M89"/>
      <c r="N89"/>
      <c r="O89"/>
      <c r="P89"/>
    </row>
    <row r="90" spans="2:16" x14ac:dyDescent="0.3">
      <c r="B90"/>
      <c r="C90"/>
      <c r="D90"/>
      <c r="E90"/>
      <c r="F90"/>
      <c r="G90"/>
      <c r="H90"/>
      <c r="I90"/>
      <c r="J90"/>
      <c r="K90"/>
      <c r="L90"/>
      <c r="M90"/>
      <c r="N90"/>
      <c r="O90"/>
      <c r="P90"/>
    </row>
    <row r="91" spans="2:16" x14ac:dyDescent="0.3">
      <c r="B91"/>
      <c r="C91"/>
      <c r="D91"/>
      <c r="E91"/>
      <c r="F91"/>
      <c r="G91"/>
      <c r="H91"/>
      <c r="I91"/>
      <c r="J91"/>
      <c r="K91"/>
      <c r="L91"/>
      <c r="M91"/>
      <c r="N91"/>
      <c r="O91"/>
      <c r="P91"/>
    </row>
  </sheetData>
  <mergeCells count="20">
    <mergeCell ref="B70:B71"/>
    <mergeCell ref="P70:P71"/>
    <mergeCell ref="O70:O71"/>
    <mergeCell ref="C70:C71"/>
    <mergeCell ref="D70:D71"/>
    <mergeCell ref="K70:K71"/>
    <mergeCell ref="L70:L71"/>
    <mergeCell ref="M70:M71"/>
    <mergeCell ref="N70:N71"/>
    <mergeCell ref="E70:E71"/>
    <mergeCell ref="F70:F71"/>
    <mergeCell ref="G70:G71"/>
    <mergeCell ref="H70:H71"/>
    <mergeCell ref="I70:I71"/>
    <mergeCell ref="J70:J71"/>
    <mergeCell ref="B1:B5"/>
    <mergeCell ref="C1:O5"/>
    <mergeCell ref="P1:P5"/>
    <mergeCell ref="B44:P45"/>
    <mergeCell ref="B56:P58"/>
  </mergeCells>
  <conditionalFormatting sqref="B74">
    <cfRule type="cellIs" dxfId="5" priority="9" operator="greaterThan">
      <formula>60</formula>
    </cfRule>
  </conditionalFormatting>
  <conditionalFormatting sqref="C42:E42">
    <cfRule type="cellIs" dxfId="4" priority="7" operator="equal">
      <formula>"NO HABILITADO"</formula>
    </cfRule>
  </conditionalFormatting>
  <conditionalFormatting sqref="C11:P11">
    <cfRule type="cellIs" dxfId="3" priority="3" operator="equal">
      <formula>"NO VIGENTE"</formula>
    </cfRule>
  </conditionalFormatting>
  <conditionalFormatting sqref="C70:P70">
    <cfRule type="expression" dxfId="2" priority="8">
      <formula>YEAR(C70)=2022</formula>
    </cfRule>
  </conditionalFormatting>
  <conditionalFormatting sqref="C73:P74">
    <cfRule type="cellIs" dxfId="1" priority="10" operator="greaterThan">
      <formula>$B$74</formula>
    </cfRule>
  </conditionalFormatting>
  <conditionalFormatting sqref="H42:P42">
    <cfRule type="cellIs" dxfId="0" priority="1" operator="equal">
      <formula>"NO HABILITADO"</formula>
    </cfRule>
  </conditionalFormatting>
  <dataValidations count="2">
    <dataValidation type="list" allowBlank="1" showInputMessage="1" showErrorMessage="1" sqref="C75:P75" xr:uid="{FFC4AF16-596F-4FFD-AC1E-93AEFC705070}">
      <formula1>#REF!</formula1>
    </dataValidation>
    <dataValidation type="list" allowBlank="1" showInputMessage="1" showErrorMessage="1" sqref="C77:P77" xr:uid="{C845F67F-0F4C-4096-953E-DF6230DCFD33}">
      <formula1>$R$22:$R$22</formula1>
    </dataValidation>
  </dataValidations>
  <printOptions horizontalCentered="1" verticalCentered="1"/>
  <pageMargins left="0.19685039370078741" right="0.19685039370078741" top="0.15748031496062992" bottom="0.15748031496062992" header="0.31496062992125984" footer="0.31496062992125984"/>
  <pageSetup paperSize="256" scale="27" orientation="landscape" r:id="rId1"/>
  <ignoredErrors>
    <ignoredError sqref="H12" formulaRange="1"/>
    <ignoredError sqref="H18 H23 J28:J40" formula="1"/>
    <ignoredError sqref="N41"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8DF44-E957-4B3B-90CC-2BB198D6EA58}">
  <dimension ref="A1:L32"/>
  <sheetViews>
    <sheetView showGridLines="0" tabSelected="1" view="pageBreakPreview" topLeftCell="A20" zoomScaleNormal="50" zoomScaleSheetLayoutView="100" workbookViewId="0">
      <selection activeCell="G27" sqref="G27"/>
    </sheetView>
  </sheetViews>
  <sheetFormatPr baseColWidth="10" defaultColWidth="11.44140625" defaultRowHeight="14.4" x14ac:dyDescent="0.3"/>
  <cols>
    <col min="1" max="1" width="7" style="55" customWidth="1"/>
    <col min="2" max="2" width="39.33203125" style="55" customWidth="1"/>
    <col min="3" max="3" width="17.33203125" style="55" customWidth="1"/>
    <col min="4" max="4" width="16.44140625" style="55" customWidth="1"/>
    <col min="5" max="6" width="18.5546875" style="55" customWidth="1"/>
    <col min="7" max="7" width="17.6640625" style="55" customWidth="1"/>
    <col min="8" max="9" width="18.33203125" style="55" customWidth="1"/>
    <col min="10" max="10" width="21" style="55" customWidth="1"/>
    <col min="11" max="11" width="75.6640625" style="55" customWidth="1"/>
    <col min="12" max="258" width="11.5546875" style="55"/>
    <col min="259" max="259" width="22.33203125" style="55" customWidth="1"/>
    <col min="260" max="260" width="17.33203125" style="55" customWidth="1"/>
    <col min="261" max="261" width="16.44140625" style="55" customWidth="1"/>
    <col min="262" max="262" width="18.5546875" style="55" customWidth="1"/>
    <col min="263" max="263" width="20.33203125" style="55" customWidth="1"/>
    <col min="264" max="264" width="17.6640625" style="55" customWidth="1"/>
    <col min="265" max="265" width="18.33203125" style="55" customWidth="1"/>
    <col min="266" max="514" width="11.5546875" style="55"/>
    <col min="515" max="515" width="22.33203125" style="55" customWidth="1"/>
    <col min="516" max="516" width="17.33203125" style="55" customWidth="1"/>
    <col min="517" max="517" width="16.44140625" style="55" customWidth="1"/>
    <col min="518" max="518" width="18.5546875" style="55" customWidth="1"/>
    <col min="519" max="519" width="20.33203125" style="55" customWidth="1"/>
    <col min="520" max="520" width="17.6640625" style="55" customWidth="1"/>
    <col min="521" max="521" width="18.33203125" style="55" customWidth="1"/>
    <col min="522" max="770" width="11.5546875" style="55"/>
    <col min="771" max="771" width="22.33203125" style="55" customWidth="1"/>
    <col min="772" max="772" width="17.33203125" style="55" customWidth="1"/>
    <col min="773" max="773" width="16.44140625" style="55" customWidth="1"/>
    <col min="774" max="774" width="18.5546875" style="55" customWidth="1"/>
    <col min="775" max="775" width="20.33203125" style="55" customWidth="1"/>
    <col min="776" max="776" width="17.6640625" style="55" customWidth="1"/>
    <col min="777" max="777" width="18.33203125" style="55" customWidth="1"/>
    <col min="778" max="1026" width="11.5546875" style="55"/>
    <col min="1027" max="1027" width="22.33203125" style="55" customWidth="1"/>
    <col min="1028" max="1028" width="17.33203125" style="55" customWidth="1"/>
    <col min="1029" max="1029" width="16.44140625" style="55" customWidth="1"/>
    <col min="1030" max="1030" width="18.5546875" style="55" customWidth="1"/>
    <col min="1031" max="1031" width="20.33203125" style="55" customWidth="1"/>
    <col min="1032" max="1032" width="17.6640625" style="55" customWidth="1"/>
    <col min="1033" max="1033" width="18.33203125" style="55" customWidth="1"/>
    <col min="1034" max="1282" width="11.5546875" style="55"/>
    <col min="1283" max="1283" width="22.33203125" style="55" customWidth="1"/>
    <col min="1284" max="1284" width="17.33203125" style="55" customWidth="1"/>
    <col min="1285" max="1285" width="16.44140625" style="55" customWidth="1"/>
    <col min="1286" max="1286" width="18.5546875" style="55" customWidth="1"/>
    <col min="1287" max="1287" width="20.33203125" style="55" customWidth="1"/>
    <col min="1288" max="1288" width="17.6640625" style="55" customWidth="1"/>
    <col min="1289" max="1289" width="18.33203125" style="55" customWidth="1"/>
    <col min="1290" max="1538" width="11.5546875" style="55"/>
    <col min="1539" max="1539" width="22.33203125" style="55" customWidth="1"/>
    <col min="1540" max="1540" width="17.33203125" style="55" customWidth="1"/>
    <col min="1541" max="1541" width="16.44140625" style="55" customWidth="1"/>
    <col min="1542" max="1542" width="18.5546875" style="55" customWidth="1"/>
    <col min="1543" max="1543" width="20.33203125" style="55" customWidth="1"/>
    <col min="1544" max="1544" width="17.6640625" style="55" customWidth="1"/>
    <col min="1545" max="1545" width="18.33203125" style="55" customWidth="1"/>
    <col min="1546" max="1794" width="11.5546875" style="55"/>
    <col min="1795" max="1795" width="22.33203125" style="55" customWidth="1"/>
    <col min="1796" max="1796" width="17.33203125" style="55" customWidth="1"/>
    <col min="1797" max="1797" width="16.44140625" style="55" customWidth="1"/>
    <col min="1798" max="1798" width="18.5546875" style="55" customWidth="1"/>
    <col min="1799" max="1799" width="20.33203125" style="55" customWidth="1"/>
    <col min="1800" max="1800" width="17.6640625" style="55" customWidth="1"/>
    <col min="1801" max="1801" width="18.33203125" style="55" customWidth="1"/>
    <col min="1802" max="2050" width="11.5546875" style="55"/>
    <col min="2051" max="2051" width="22.33203125" style="55" customWidth="1"/>
    <col min="2052" max="2052" width="17.33203125" style="55" customWidth="1"/>
    <col min="2053" max="2053" width="16.44140625" style="55" customWidth="1"/>
    <col min="2054" max="2054" width="18.5546875" style="55" customWidth="1"/>
    <col min="2055" max="2055" width="20.33203125" style="55" customWidth="1"/>
    <col min="2056" max="2056" width="17.6640625" style="55" customWidth="1"/>
    <col min="2057" max="2057" width="18.33203125" style="55" customWidth="1"/>
    <col min="2058" max="2306" width="11.5546875" style="55"/>
    <col min="2307" max="2307" width="22.33203125" style="55" customWidth="1"/>
    <col min="2308" max="2308" width="17.33203125" style="55" customWidth="1"/>
    <col min="2309" max="2309" width="16.44140625" style="55" customWidth="1"/>
    <col min="2310" max="2310" width="18.5546875" style="55" customWidth="1"/>
    <col min="2311" max="2311" width="20.33203125" style="55" customWidth="1"/>
    <col min="2312" max="2312" width="17.6640625" style="55" customWidth="1"/>
    <col min="2313" max="2313" width="18.33203125" style="55" customWidth="1"/>
    <col min="2314" max="2562" width="11.5546875" style="55"/>
    <col min="2563" max="2563" width="22.33203125" style="55" customWidth="1"/>
    <col min="2564" max="2564" width="17.33203125" style="55" customWidth="1"/>
    <col min="2565" max="2565" width="16.44140625" style="55" customWidth="1"/>
    <col min="2566" max="2566" width="18.5546875" style="55" customWidth="1"/>
    <col min="2567" max="2567" width="20.33203125" style="55" customWidth="1"/>
    <col min="2568" max="2568" width="17.6640625" style="55" customWidth="1"/>
    <col min="2569" max="2569" width="18.33203125" style="55" customWidth="1"/>
    <col min="2570" max="2818" width="11.5546875" style="55"/>
    <col min="2819" max="2819" width="22.33203125" style="55" customWidth="1"/>
    <col min="2820" max="2820" width="17.33203125" style="55" customWidth="1"/>
    <col min="2821" max="2821" width="16.44140625" style="55" customWidth="1"/>
    <col min="2822" max="2822" width="18.5546875" style="55" customWidth="1"/>
    <col min="2823" max="2823" width="20.33203125" style="55" customWidth="1"/>
    <col min="2824" max="2824" width="17.6640625" style="55" customWidth="1"/>
    <col min="2825" max="2825" width="18.33203125" style="55" customWidth="1"/>
    <col min="2826" max="3074" width="11.5546875" style="55"/>
    <col min="3075" max="3075" width="22.33203125" style="55" customWidth="1"/>
    <col min="3076" max="3076" width="17.33203125" style="55" customWidth="1"/>
    <col min="3077" max="3077" width="16.44140625" style="55" customWidth="1"/>
    <col min="3078" max="3078" width="18.5546875" style="55" customWidth="1"/>
    <col min="3079" max="3079" width="20.33203125" style="55" customWidth="1"/>
    <col min="3080" max="3080" width="17.6640625" style="55" customWidth="1"/>
    <col min="3081" max="3081" width="18.33203125" style="55" customWidth="1"/>
    <col min="3082" max="3330" width="11.5546875" style="55"/>
    <col min="3331" max="3331" width="22.33203125" style="55" customWidth="1"/>
    <col min="3332" max="3332" width="17.33203125" style="55" customWidth="1"/>
    <col min="3333" max="3333" width="16.44140625" style="55" customWidth="1"/>
    <col min="3334" max="3334" width="18.5546875" style="55" customWidth="1"/>
    <col min="3335" max="3335" width="20.33203125" style="55" customWidth="1"/>
    <col min="3336" max="3336" width="17.6640625" style="55" customWidth="1"/>
    <col min="3337" max="3337" width="18.33203125" style="55" customWidth="1"/>
    <col min="3338" max="3586" width="11.5546875" style="55"/>
    <col min="3587" max="3587" width="22.33203125" style="55" customWidth="1"/>
    <col min="3588" max="3588" width="17.33203125" style="55" customWidth="1"/>
    <col min="3589" max="3589" width="16.44140625" style="55" customWidth="1"/>
    <col min="3590" max="3590" width="18.5546875" style="55" customWidth="1"/>
    <col min="3591" max="3591" width="20.33203125" style="55" customWidth="1"/>
    <col min="3592" max="3592" width="17.6640625" style="55" customWidth="1"/>
    <col min="3593" max="3593" width="18.33203125" style="55" customWidth="1"/>
    <col min="3594" max="3842" width="11.5546875" style="55"/>
    <col min="3843" max="3843" width="22.33203125" style="55" customWidth="1"/>
    <col min="3844" max="3844" width="17.33203125" style="55" customWidth="1"/>
    <col min="3845" max="3845" width="16.44140625" style="55" customWidth="1"/>
    <col min="3846" max="3846" width="18.5546875" style="55" customWidth="1"/>
    <col min="3847" max="3847" width="20.33203125" style="55" customWidth="1"/>
    <col min="3848" max="3848" width="17.6640625" style="55" customWidth="1"/>
    <col min="3849" max="3849" width="18.33203125" style="55" customWidth="1"/>
    <col min="3850" max="4098" width="11.5546875" style="55"/>
    <col min="4099" max="4099" width="22.33203125" style="55" customWidth="1"/>
    <col min="4100" max="4100" width="17.33203125" style="55" customWidth="1"/>
    <col min="4101" max="4101" width="16.44140625" style="55" customWidth="1"/>
    <col min="4102" max="4102" width="18.5546875" style="55" customWidth="1"/>
    <col min="4103" max="4103" width="20.33203125" style="55" customWidth="1"/>
    <col min="4104" max="4104" width="17.6640625" style="55" customWidth="1"/>
    <col min="4105" max="4105" width="18.33203125" style="55" customWidth="1"/>
    <col min="4106" max="4354" width="11.5546875" style="55"/>
    <col min="4355" max="4355" width="22.33203125" style="55" customWidth="1"/>
    <col min="4356" max="4356" width="17.33203125" style="55" customWidth="1"/>
    <col min="4357" max="4357" width="16.44140625" style="55" customWidth="1"/>
    <col min="4358" max="4358" width="18.5546875" style="55" customWidth="1"/>
    <col min="4359" max="4359" width="20.33203125" style="55" customWidth="1"/>
    <col min="4360" max="4360" width="17.6640625" style="55" customWidth="1"/>
    <col min="4361" max="4361" width="18.33203125" style="55" customWidth="1"/>
    <col min="4362" max="4610" width="11.5546875" style="55"/>
    <col min="4611" max="4611" width="22.33203125" style="55" customWidth="1"/>
    <col min="4612" max="4612" width="17.33203125" style="55" customWidth="1"/>
    <col min="4613" max="4613" width="16.44140625" style="55" customWidth="1"/>
    <col min="4614" max="4614" width="18.5546875" style="55" customWidth="1"/>
    <col min="4615" max="4615" width="20.33203125" style="55" customWidth="1"/>
    <col min="4616" max="4616" width="17.6640625" style="55" customWidth="1"/>
    <col min="4617" max="4617" width="18.33203125" style="55" customWidth="1"/>
    <col min="4618" max="4866" width="11.5546875" style="55"/>
    <col min="4867" max="4867" width="22.33203125" style="55" customWidth="1"/>
    <col min="4868" max="4868" width="17.33203125" style="55" customWidth="1"/>
    <col min="4869" max="4869" width="16.44140625" style="55" customWidth="1"/>
    <col min="4870" max="4870" width="18.5546875" style="55" customWidth="1"/>
    <col min="4871" max="4871" width="20.33203125" style="55" customWidth="1"/>
    <col min="4872" max="4872" width="17.6640625" style="55" customWidth="1"/>
    <col min="4873" max="4873" width="18.33203125" style="55" customWidth="1"/>
    <col min="4874" max="5122" width="11.5546875" style="55"/>
    <col min="5123" max="5123" width="22.33203125" style="55" customWidth="1"/>
    <col min="5124" max="5124" width="17.33203125" style="55" customWidth="1"/>
    <col min="5125" max="5125" width="16.44140625" style="55" customWidth="1"/>
    <col min="5126" max="5126" width="18.5546875" style="55" customWidth="1"/>
    <col min="5127" max="5127" width="20.33203125" style="55" customWidth="1"/>
    <col min="5128" max="5128" width="17.6640625" style="55" customWidth="1"/>
    <col min="5129" max="5129" width="18.33203125" style="55" customWidth="1"/>
    <col min="5130" max="5378" width="11.5546875" style="55"/>
    <col min="5379" max="5379" width="22.33203125" style="55" customWidth="1"/>
    <col min="5380" max="5380" width="17.33203125" style="55" customWidth="1"/>
    <col min="5381" max="5381" width="16.44140625" style="55" customWidth="1"/>
    <col min="5382" max="5382" width="18.5546875" style="55" customWidth="1"/>
    <col min="5383" max="5383" width="20.33203125" style="55" customWidth="1"/>
    <col min="5384" max="5384" width="17.6640625" style="55" customWidth="1"/>
    <col min="5385" max="5385" width="18.33203125" style="55" customWidth="1"/>
    <col min="5386" max="5634" width="11.5546875" style="55"/>
    <col min="5635" max="5635" width="22.33203125" style="55" customWidth="1"/>
    <col min="5636" max="5636" width="17.33203125" style="55" customWidth="1"/>
    <col min="5637" max="5637" width="16.44140625" style="55" customWidth="1"/>
    <col min="5638" max="5638" width="18.5546875" style="55" customWidth="1"/>
    <col min="5639" max="5639" width="20.33203125" style="55" customWidth="1"/>
    <col min="5640" max="5640" width="17.6640625" style="55" customWidth="1"/>
    <col min="5641" max="5641" width="18.33203125" style="55" customWidth="1"/>
    <col min="5642" max="5890" width="11.5546875" style="55"/>
    <col min="5891" max="5891" width="22.33203125" style="55" customWidth="1"/>
    <col min="5892" max="5892" width="17.33203125" style="55" customWidth="1"/>
    <col min="5893" max="5893" width="16.44140625" style="55" customWidth="1"/>
    <col min="5894" max="5894" width="18.5546875" style="55" customWidth="1"/>
    <col min="5895" max="5895" width="20.33203125" style="55" customWidth="1"/>
    <col min="5896" max="5896" width="17.6640625" style="55" customWidth="1"/>
    <col min="5897" max="5897" width="18.33203125" style="55" customWidth="1"/>
    <col min="5898" max="6146" width="11.5546875" style="55"/>
    <col min="6147" max="6147" width="22.33203125" style="55" customWidth="1"/>
    <col min="6148" max="6148" width="17.33203125" style="55" customWidth="1"/>
    <col min="6149" max="6149" width="16.44140625" style="55" customWidth="1"/>
    <col min="6150" max="6150" width="18.5546875" style="55" customWidth="1"/>
    <col min="6151" max="6151" width="20.33203125" style="55" customWidth="1"/>
    <col min="6152" max="6152" width="17.6640625" style="55" customWidth="1"/>
    <col min="6153" max="6153" width="18.33203125" style="55" customWidth="1"/>
    <col min="6154" max="6402" width="11.5546875" style="55"/>
    <col min="6403" max="6403" width="22.33203125" style="55" customWidth="1"/>
    <col min="6404" max="6404" width="17.33203125" style="55" customWidth="1"/>
    <col min="6405" max="6405" width="16.44140625" style="55" customWidth="1"/>
    <col min="6406" max="6406" width="18.5546875" style="55" customWidth="1"/>
    <col min="6407" max="6407" width="20.33203125" style="55" customWidth="1"/>
    <col min="6408" max="6408" width="17.6640625" style="55" customWidth="1"/>
    <col min="6409" max="6409" width="18.33203125" style="55" customWidth="1"/>
    <col min="6410" max="6658" width="11.5546875" style="55"/>
    <col min="6659" max="6659" width="22.33203125" style="55" customWidth="1"/>
    <col min="6660" max="6660" width="17.33203125" style="55" customWidth="1"/>
    <col min="6661" max="6661" width="16.44140625" style="55" customWidth="1"/>
    <col min="6662" max="6662" width="18.5546875" style="55" customWidth="1"/>
    <col min="6663" max="6663" width="20.33203125" style="55" customWidth="1"/>
    <col min="6664" max="6664" width="17.6640625" style="55" customWidth="1"/>
    <col min="6665" max="6665" width="18.33203125" style="55" customWidth="1"/>
    <col min="6666" max="6914" width="11.5546875" style="55"/>
    <col min="6915" max="6915" width="22.33203125" style="55" customWidth="1"/>
    <col min="6916" max="6916" width="17.33203125" style="55" customWidth="1"/>
    <col min="6917" max="6917" width="16.44140625" style="55" customWidth="1"/>
    <col min="6918" max="6918" width="18.5546875" style="55" customWidth="1"/>
    <col min="6919" max="6919" width="20.33203125" style="55" customWidth="1"/>
    <col min="6920" max="6920" width="17.6640625" style="55" customWidth="1"/>
    <col min="6921" max="6921" width="18.33203125" style="55" customWidth="1"/>
    <col min="6922" max="7170" width="11.5546875" style="55"/>
    <col min="7171" max="7171" width="22.33203125" style="55" customWidth="1"/>
    <col min="7172" max="7172" width="17.33203125" style="55" customWidth="1"/>
    <col min="7173" max="7173" width="16.44140625" style="55" customWidth="1"/>
    <col min="7174" max="7174" width="18.5546875" style="55" customWidth="1"/>
    <col min="7175" max="7175" width="20.33203125" style="55" customWidth="1"/>
    <col min="7176" max="7176" width="17.6640625" style="55" customWidth="1"/>
    <col min="7177" max="7177" width="18.33203125" style="55" customWidth="1"/>
    <col min="7178" max="7426" width="11.5546875" style="55"/>
    <col min="7427" max="7427" width="22.33203125" style="55" customWidth="1"/>
    <col min="7428" max="7428" width="17.33203125" style="55" customWidth="1"/>
    <col min="7429" max="7429" width="16.44140625" style="55" customWidth="1"/>
    <col min="7430" max="7430" width="18.5546875" style="55" customWidth="1"/>
    <col min="7431" max="7431" width="20.33203125" style="55" customWidth="1"/>
    <col min="7432" max="7432" width="17.6640625" style="55" customWidth="1"/>
    <col min="7433" max="7433" width="18.33203125" style="55" customWidth="1"/>
    <col min="7434" max="7682" width="11.5546875" style="55"/>
    <col min="7683" max="7683" width="22.33203125" style="55" customWidth="1"/>
    <col min="7684" max="7684" width="17.33203125" style="55" customWidth="1"/>
    <col min="7685" max="7685" width="16.44140625" style="55" customWidth="1"/>
    <col min="7686" max="7686" width="18.5546875" style="55" customWidth="1"/>
    <col min="7687" max="7687" width="20.33203125" style="55" customWidth="1"/>
    <col min="7688" max="7688" width="17.6640625" style="55" customWidth="1"/>
    <col min="7689" max="7689" width="18.33203125" style="55" customWidth="1"/>
    <col min="7690" max="7938" width="11.5546875" style="55"/>
    <col min="7939" max="7939" width="22.33203125" style="55" customWidth="1"/>
    <col min="7940" max="7940" width="17.33203125" style="55" customWidth="1"/>
    <col min="7941" max="7941" width="16.44140625" style="55" customWidth="1"/>
    <col min="7942" max="7942" width="18.5546875" style="55" customWidth="1"/>
    <col min="7943" max="7943" width="20.33203125" style="55" customWidth="1"/>
    <col min="7944" max="7944" width="17.6640625" style="55" customWidth="1"/>
    <col min="7945" max="7945" width="18.33203125" style="55" customWidth="1"/>
    <col min="7946" max="8194" width="11.5546875" style="55"/>
    <col min="8195" max="8195" width="22.33203125" style="55" customWidth="1"/>
    <col min="8196" max="8196" width="17.33203125" style="55" customWidth="1"/>
    <col min="8197" max="8197" width="16.44140625" style="55" customWidth="1"/>
    <col min="8198" max="8198" width="18.5546875" style="55" customWidth="1"/>
    <col min="8199" max="8199" width="20.33203125" style="55" customWidth="1"/>
    <col min="8200" max="8200" width="17.6640625" style="55" customWidth="1"/>
    <col min="8201" max="8201" width="18.33203125" style="55" customWidth="1"/>
    <col min="8202" max="8450" width="11.5546875" style="55"/>
    <col min="8451" max="8451" width="22.33203125" style="55" customWidth="1"/>
    <col min="8452" max="8452" width="17.33203125" style="55" customWidth="1"/>
    <col min="8453" max="8453" width="16.44140625" style="55" customWidth="1"/>
    <col min="8454" max="8454" width="18.5546875" style="55" customWidth="1"/>
    <col min="8455" max="8455" width="20.33203125" style="55" customWidth="1"/>
    <col min="8456" max="8456" width="17.6640625" style="55" customWidth="1"/>
    <col min="8457" max="8457" width="18.33203125" style="55" customWidth="1"/>
    <col min="8458" max="8706" width="11.5546875" style="55"/>
    <col min="8707" max="8707" width="22.33203125" style="55" customWidth="1"/>
    <col min="8708" max="8708" width="17.33203125" style="55" customWidth="1"/>
    <col min="8709" max="8709" width="16.44140625" style="55" customWidth="1"/>
    <col min="8710" max="8710" width="18.5546875" style="55" customWidth="1"/>
    <col min="8711" max="8711" width="20.33203125" style="55" customWidth="1"/>
    <col min="8712" max="8712" width="17.6640625" style="55" customWidth="1"/>
    <col min="8713" max="8713" width="18.33203125" style="55" customWidth="1"/>
    <col min="8714" max="8962" width="11.5546875" style="55"/>
    <col min="8963" max="8963" width="22.33203125" style="55" customWidth="1"/>
    <col min="8964" max="8964" width="17.33203125" style="55" customWidth="1"/>
    <col min="8965" max="8965" width="16.44140625" style="55" customWidth="1"/>
    <col min="8966" max="8966" width="18.5546875" style="55" customWidth="1"/>
    <col min="8967" max="8967" width="20.33203125" style="55" customWidth="1"/>
    <col min="8968" max="8968" width="17.6640625" style="55" customWidth="1"/>
    <col min="8969" max="8969" width="18.33203125" style="55" customWidth="1"/>
    <col min="8970" max="9218" width="11.5546875" style="55"/>
    <col min="9219" max="9219" width="22.33203125" style="55" customWidth="1"/>
    <col min="9220" max="9220" width="17.33203125" style="55" customWidth="1"/>
    <col min="9221" max="9221" width="16.44140625" style="55" customWidth="1"/>
    <col min="9222" max="9222" width="18.5546875" style="55" customWidth="1"/>
    <col min="9223" max="9223" width="20.33203125" style="55" customWidth="1"/>
    <col min="9224" max="9224" width="17.6640625" style="55" customWidth="1"/>
    <col min="9225" max="9225" width="18.33203125" style="55" customWidth="1"/>
    <col min="9226" max="9474" width="11.5546875" style="55"/>
    <col min="9475" max="9475" width="22.33203125" style="55" customWidth="1"/>
    <col min="9476" max="9476" width="17.33203125" style="55" customWidth="1"/>
    <col min="9477" max="9477" width="16.44140625" style="55" customWidth="1"/>
    <col min="9478" max="9478" width="18.5546875" style="55" customWidth="1"/>
    <col min="9479" max="9479" width="20.33203125" style="55" customWidth="1"/>
    <col min="9480" max="9480" width="17.6640625" style="55" customWidth="1"/>
    <col min="9481" max="9481" width="18.33203125" style="55" customWidth="1"/>
    <col min="9482" max="9730" width="11.5546875" style="55"/>
    <col min="9731" max="9731" width="22.33203125" style="55" customWidth="1"/>
    <col min="9732" max="9732" width="17.33203125" style="55" customWidth="1"/>
    <col min="9733" max="9733" width="16.44140625" style="55" customWidth="1"/>
    <col min="9734" max="9734" width="18.5546875" style="55" customWidth="1"/>
    <col min="9735" max="9735" width="20.33203125" style="55" customWidth="1"/>
    <col min="9736" max="9736" width="17.6640625" style="55" customWidth="1"/>
    <col min="9737" max="9737" width="18.33203125" style="55" customWidth="1"/>
    <col min="9738" max="9986" width="11.5546875" style="55"/>
    <col min="9987" max="9987" width="22.33203125" style="55" customWidth="1"/>
    <col min="9988" max="9988" width="17.33203125" style="55" customWidth="1"/>
    <col min="9989" max="9989" width="16.44140625" style="55" customWidth="1"/>
    <col min="9990" max="9990" width="18.5546875" style="55" customWidth="1"/>
    <col min="9991" max="9991" width="20.33203125" style="55" customWidth="1"/>
    <col min="9992" max="9992" width="17.6640625" style="55" customWidth="1"/>
    <col min="9993" max="9993" width="18.33203125" style="55" customWidth="1"/>
    <col min="9994" max="10242" width="11.5546875" style="55"/>
    <col min="10243" max="10243" width="22.33203125" style="55" customWidth="1"/>
    <col min="10244" max="10244" width="17.33203125" style="55" customWidth="1"/>
    <col min="10245" max="10245" width="16.44140625" style="55" customWidth="1"/>
    <col min="10246" max="10246" width="18.5546875" style="55" customWidth="1"/>
    <col min="10247" max="10247" width="20.33203125" style="55" customWidth="1"/>
    <col min="10248" max="10248" width="17.6640625" style="55" customWidth="1"/>
    <col min="10249" max="10249" width="18.33203125" style="55" customWidth="1"/>
    <col min="10250" max="10498" width="11.5546875" style="55"/>
    <col min="10499" max="10499" width="22.33203125" style="55" customWidth="1"/>
    <col min="10500" max="10500" width="17.33203125" style="55" customWidth="1"/>
    <col min="10501" max="10501" width="16.44140625" style="55" customWidth="1"/>
    <col min="10502" max="10502" width="18.5546875" style="55" customWidth="1"/>
    <col min="10503" max="10503" width="20.33203125" style="55" customWidth="1"/>
    <col min="10504" max="10504" width="17.6640625" style="55" customWidth="1"/>
    <col min="10505" max="10505" width="18.33203125" style="55" customWidth="1"/>
    <col min="10506" max="10754" width="11.5546875" style="55"/>
    <col min="10755" max="10755" width="22.33203125" style="55" customWidth="1"/>
    <col min="10756" max="10756" width="17.33203125" style="55" customWidth="1"/>
    <col min="10757" max="10757" width="16.44140625" style="55" customWidth="1"/>
    <col min="10758" max="10758" width="18.5546875" style="55" customWidth="1"/>
    <col min="10759" max="10759" width="20.33203125" style="55" customWidth="1"/>
    <col min="10760" max="10760" width="17.6640625" style="55" customWidth="1"/>
    <col min="10761" max="10761" width="18.33203125" style="55" customWidth="1"/>
    <col min="10762" max="11010" width="11.5546875" style="55"/>
    <col min="11011" max="11011" width="22.33203125" style="55" customWidth="1"/>
    <col min="11012" max="11012" width="17.33203125" style="55" customWidth="1"/>
    <col min="11013" max="11013" width="16.44140625" style="55" customWidth="1"/>
    <col min="11014" max="11014" width="18.5546875" style="55" customWidth="1"/>
    <col min="11015" max="11015" width="20.33203125" style="55" customWidth="1"/>
    <col min="11016" max="11016" width="17.6640625" style="55" customWidth="1"/>
    <col min="11017" max="11017" width="18.33203125" style="55" customWidth="1"/>
    <col min="11018" max="11266" width="11.5546875" style="55"/>
    <col min="11267" max="11267" width="22.33203125" style="55" customWidth="1"/>
    <col min="11268" max="11268" width="17.33203125" style="55" customWidth="1"/>
    <col min="11269" max="11269" width="16.44140625" style="55" customWidth="1"/>
    <col min="11270" max="11270" width="18.5546875" style="55" customWidth="1"/>
    <col min="11271" max="11271" width="20.33203125" style="55" customWidth="1"/>
    <col min="11272" max="11272" width="17.6640625" style="55" customWidth="1"/>
    <col min="11273" max="11273" width="18.33203125" style="55" customWidth="1"/>
    <col min="11274" max="11522" width="11.5546875" style="55"/>
    <col min="11523" max="11523" width="22.33203125" style="55" customWidth="1"/>
    <col min="11524" max="11524" width="17.33203125" style="55" customWidth="1"/>
    <col min="11525" max="11525" width="16.44140625" style="55" customWidth="1"/>
    <col min="11526" max="11526" width="18.5546875" style="55" customWidth="1"/>
    <col min="11527" max="11527" width="20.33203125" style="55" customWidth="1"/>
    <col min="11528" max="11528" width="17.6640625" style="55" customWidth="1"/>
    <col min="11529" max="11529" width="18.33203125" style="55" customWidth="1"/>
    <col min="11530" max="11778" width="11.5546875" style="55"/>
    <col min="11779" max="11779" width="22.33203125" style="55" customWidth="1"/>
    <col min="11780" max="11780" width="17.33203125" style="55" customWidth="1"/>
    <col min="11781" max="11781" width="16.44140625" style="55" customWidth="1"/>
    <col min="11782" max="11782" width="18.5546875" style="55" customWidth="1"/>
    <col min="11783" max="11783" width="20.33203125" style="55" customWidth="1"/>
    <col min="11784" max="11784" width="17.6640625" style="55" customWidth="1"/>
    <col min="11785" max="11785" width="18.33203125" style="55" customWidth="1"/>
    <col min="11786" max="12034" width="11.5546875" style="55"/>
    <col min="12035" max="12035" width="22.33203125" style="55" customWidth="1"/>
    <col min="12036" max="12036" width="17.33203125" style="55" customWidth="1"/>
    <col min="12037" max="12037" width="16.44140625" style="55" customWidth="1"/>
    <col min="12038" max="12038" width="18.5546875" style="55" customWidth="1"/>
    <col min="12039" max="12039" width="20.33203125" style="55" customWidth="1"/>
    <col min="12040" max="12040" width="17.6640625" style="55" customWidth="1"/>
    <col min="12041" max="12041" width="18.33203125" style="55" customWidth="1"/>
    <col min="12042" max="12290" width="11.5546875" style="55"/>
    <col min="12291" max="12291" width="22.33203125" style="55" customWidth="1"/>
    <col min="12292" max="12292" width="17.33203125" style="55" customWidth="1"/>
    <col min="12293" max="12293" width="16.44140625" style="55" customWidth="1"/>
    <col min="12294" max="12294" width="18.5546875" style="55" customWidth="1"/>
    <col min="12295" max="12295" width="20.33203125" style="55" customWidth="1"/>
    <col min="12296" max="12296" width="17.6640625" style="55" customWidth="1"/>
    <col min="12297" max="12297" width="18.33203125" style="55" customWidth="1"/>
    <col min="12298" max="12546" width="11.5546875" style="55"/>
    <col min="12547" max="12547" width="22.33203125" style="55" customWidth="1"/>
    <col min="12548" max="12548" width="17.33203125" style="55" customWidth="1"/>
    <col min="12549" max="12549" width="16.44140625" style="55" customWidth="1"/>
    <col min="12550" max="12550" width="18.5546875" style="55" customWidth="1"/>
    <col min="12551" max="12551" width="20.33203125" style="55" customWidth="1"/>
    <col min="12552" max="12552" width="17.6640625" style="55" customWidth="1"/>
    <col min="12553" max="12553" width="18.33203125" style="55" customWidth="1"/>
    <col min="12554" max="12802" width="11.5546875" style="55"/>
    <col min="12803" max="12803" width="22.33203125" style="55" customWidth="1"/>
    <col min="12804" max="12804" width="17.33203125" style="55" customWidth="1"/>
    <col min="12805" max="12805" width="16.44140625" style="55" customWidth="1"/>
    <col min="12806" max="12806" width="18.5546875" style="55" customWidth="1"/>
    <col min="12807" max="12807" width="20.33203125" style="55" customWidth="1"/>
    <col min="12808" max="12808" width="17.6640625" style="55" customWidth="1"/>
    <col min="12809" max="12809" width="18.33203125" style="55" customWidth="1"/>
    <col min="12810" max="13058" width="11.5546875" style="55"/>
    <col min="13059" max="13059" width="22.33203125" style="55" customWidth="1"/>
    <col min="13060" max="13060" width="17.33203125" style="55" customWidth="1"/>
    <col min="13061" max="13061" width="16.44140625" style="55" customWidth="1"/>
    <col min="13062" max="13062" width="18.5546875" style="55" customWidth="1"/>
    <col min="13063" max="13063" width="20.33203125" style="55" customWidth="1"/>
    <col min="13064" max="13064" width="17.6640625" style="55" customWidth="1"/>
    <col min="13065" max="13065" width="18.33203125" style="55" customWidth="1"/>
    <col min="13066" max="13314" width="11.5546875" style="55"/>
    <col min="13315" max="13315" width="22.33203125" style="55" customWidth="1"/>
    <col min="13316" max="13316" width="17.33203125" style="55" customWidth="1"/>
    <col min="13317" max="13317" width="16.44140625" style="55" customWidth="1"/>
    <col min="13318" max="13318" width="18.5546875" style="55" customWidth="1"/>
    <col min="13319" max="13319" width="20.33203125" style="55" customWidth="1"/>
    <col min="13320" max="13320" width="17.6640625" style="55" customWidth="1"/>
    <col min="13321" max="13321" width="18.33203125" style="55" customWidth="1"/>
    <col min="13322" max="13570" width="11.5546875" style="55"/>
    <col min="13571" max="13571" width="22.33203125" style="55" customWidth="1"/>
    <col min="13572" max="13572" width="17.33203125" style="55" customWidth="1"/>
    <col min="13573" max="13573" width="16.44140625" style="55" customWidth="1"/>
    <col min="13574" max="13574" width="18.5546875" style="55" customWidth="1"/>
    <col min="13575" max="13575" width="20.33203125" style="55" customWidth="1"/>
    <col min="13576" max="13576" width="17.6640625" style="55" customWidth="1"/>
    <col min="13577" max="13577" width="18.33203125" style="55" customWidth="1"/>
    <col min="13578" max="13826" width="11.5546875" style="55"/>
    <col min="13827" max="13827" width="22.33203125" style="55" customWidth="1"/>
    <col min="13828" max="13828" width="17.33203125" style="55" customWidth="1"/>
    <col min="13829" max="13829" width="16.44140625" style="55" customWidth="1"/>
    <col min="13830" max="13830" width="18.5546875" style="55" customWidth="1"/>
    <col min="13831" max="13831" width="20.33203125" style="55" customWidth="1"/>
    <col min="13832" max="13832" width="17.6640625" style="55" customWidth="1"/>
    <col min="13833" max="13833" width="18.33203125" style="55" customWidth="1"/>
    <col min="13834" max="14082" width="11.5546875" style="55"/>
    <col min="14083" max="14083" width="22.33203125" style="55" customWidth="1"/>
    <col min="14084" max="14084" width="17.33203125" style="55" customWidth="1"/>
    <col min="14085" max="14085" width="16.44140625" style="55" customWidth="1"/>
    <col min="14086" max="14086" width="18.5546875" style="55" customWidth="1"/>
    <col min="14087" max="14087" width="20.33203125" style="55" customWidth="1"/>
    <col min="14088" max="14088" width="17.6640625" style="55" customWidth="1"/>
    <col min="14089" max="14089" width="18.33203125" style="55" customWidth="1"/>
    <col min="14090" max="14338" width="11.5546875" style="55"/>
    <col min="14339" max="14339" width="22.33203125" style="55" customWidth="1"/>
    <col min="14340" max="14340" width="17.33203125" style="55" customWidth="1"/>
    <col min="14341" max="14341" width="16.44140625" style="55" customWidth="1"/>
    <col min="14342" max="14342" width="18.5546875" style="55" customWidth="1"/>
    <col min="14343" max="14343" width="20.33203125" style="55" customWidth="1"/>
    <col min="14344" max="14344" width="17.6640625" style="55" customWidth="1"/>
    <col min="14345" max="14345" width="18.33203125" style="55" customWidth="1"/>
    <col min="14346" max="14594" width="11.5546875" style="55"/>
    <col min="14595" max="14595" width="22.33203125" style="55" customWidth="1"/>
    <col min="14596" max="14596" width="17.33203125" style="55" customWidth="1"/>
    <col min="14597" max="14597" width="16.44140625" style="55" customWidth="1"/>
    <col min="14598" max="14598" width="18.5546875" style="55" customWidth="1"/>
    <col min="14599" max="14599" width="20.33203125" style="55" customWidth="1"/>
    <col min="14600" max="14600" width="17.6640625" style="55" customWidth="1"/>
    <col min="14601" max="14601" width="18.33203125" style="55" customWidth="1"/>
    <col min="14602" max="14850" width="11.5546875" style="55"/>
    <col min="14851" max="14851" width="22.33203125" style="55" customWidth="1"/>
    <col min="14852" max="14852" width="17.33203125" style="55" customWidth="1"/>
    <col min="14853" max="14853" width="16.44140625" style="55" customWidth="1"/>
    <col min="14854" max="14854" width="18.5546875" style="55" customWidth="1"/>
    <col min="14855" max="14855" width="20.33203125" style="55" customWidth="1"/>
    <col min="14856" max="14856" width="17.6640625" style="55" customWidth="1"/>
    <col min="14857" max="14857" width="18.33203125" style="55" customWidth="1"/>
    <col min="14858" max="15106" width="11.5546875" style="55"/>
    <col min="15107" max="15107" width="22.33203125" style="55" customWidth="1"/>
    <col min="15108" max="15108" width="17.33203125" style="55" customWidth="1"/>
    <col min="15109" max="15109" width="16.44140625" style="55" customWidth="1"/>
    <col min="15110" max="15110" width="18.5546875" style="55" customWidth="1"/>
    <col min="15111" max="15111" width="20.33203125" style="55" customWidth="1"/>
    <col min="15112" max="15112" width="17.6640625" style="55" customWidth="1"/>
    <col min="15113" max="15113" width="18.33203125" style="55" customWidth="1"/>
    <col min="15114" max="15362" width="11.5546875" style="55"/>
    <col min="15363" max="15363" width="22.33203125" style="55" customWidth="1"/>
    <col min="15364" max="15364" width="17.33203125" style="55" customWidth="1"/>
    <col min="15365" max="15365" width="16.44140625" style="55" customWidth="1"/>
    <col min="15366" max="15366" width="18.5546875" style="55" customWidth="1"/>
    <col min="15367" max="15367" width="20.33203125" style="55" customWidth="1"/>
    <col min="15368" max="15368" width="17.6640625" style="55" customWidth="1"/>
    <col min="15369" max="15369" width="18.33203125" style="55" customWidth="1"/>
    <col min="15370" max="15618" width="11.5546875" style="55"/>
    <col min="15619" max="15619" width="22.33203125" style="55" customWidth="1"/>
    <col min="15620" max="15620" width="17.33203125" style="55" customWidth="1"/>
    <col min="15621" max="15621" width="16.44140625" style="55" customWidth="1"/>
    <col min="15622" max="15622" width="18.5546875" style="55" customWidth="1"/>
    <col min="15623" max="15623" width="20.33203125" style="55" customWidth="1"/>
    <col min="15624" max="15624" width="17.6640625" style="55" customWidth="1"/>
    <col min="15625" max="15625" width="18.33203125" style="55" customWidth="1"/>
    <col min="15626" max="15874" width="11.5546875" style="55"/>
    <col min="15875" max="15875" width="22.33203125" style="55" customWidth="1"/>
    <col min="15876" max="15876" width="17.33203125" style="55" customWidth="1"/>
    <col min="15877" max="15877" width="16.44140625" style="55" customWidth="1"/>
    <col min="15878" max="15878" width="18.5546875" style="55" customWidth="1"/>
    <col min="15879" max="15879" width="20.33203125" style="55" customWidth="1"/>
    <col min="15880" max="15880" width="17.6640625" style="55" customWidth="1"/>
    <col min="15881" max="15881" width="18.33203125" style="55" customWidth="1"/>
    <col min="15882" max="16130" width="11.5546875" style="55"/>
    <col min="16131" max="16131" width="22.33203125" style="55" customWidth="1"/>
    <col min="16132" max="16132" width="17.33203125" style="55" customWidth="1"/>
    <col min="16133" max="16133" width="16.44140625" style="55" customWidth="1"/>
    <col min="16134" max="16134" width="18.5546875" style="55" customWidth="1"/>
    <col min="16135" max="16135" width="20.33203125" style="55" customWidth="1"/>
    <col min="16136" max="16136" width="17.6640625" style="55" customWidth="1"/>
    <col min="16137" max="16137" width="18.33203125" style="55" customWidth="1"/>
    <col min="16138" max="16384" width="11.5546875" style="55"/>
  </cols>
  <sheetData>
    <row r="1" spans="1:12" ht="15.6" x14ac:dyDescent="0.3">
      <c r="B1" s="189" t="s">
        <v>74</v>
      </c>
      <c r="C1" s="189"/>
      <c r="D1" s="189"/>
      <c r="E1" s="189"/>
      <c r="F1" s="189"/>
      <c r="G1" s="189"/>
      <c r="H1" s="189"/>
      <c r="I1" s="189"/>
      <c r="J1" s="189"/>
      <c r="K1" s="189"/>
      <c r="L1" s="56"/>
    </row>
    <row r="2" spans="1:12" x14ac:dyDescent="0.3">
      <c r="B2" s="190" t="s">
        <v>75</v>
      </c>
      <c r="C2" s="190"/>
      <c r="D2" s="190"/>
      <c r="E2" s="190"/>
      <c r="F2" s="190"/>
      <c r="G2" s="190"/>
      <c r="H2" s="190"/>
      <c r="I2" s="190"/>
      <c r="J2" s="190"/>
      <c r="K2" s="190"/>
      <c r="L2" s="56"/>
    </row>
    <row r="3" spans="1:12" x14ac:dyDescent="0.3">
      <c r="B3" s="191" t="s">
        <v>76</v>
      </c>
      <c r="C3" s="191"/>
      <c r="D3" s="191"/>
      <c r="E3" s="191"/>
      <c r="F3" s="191"/>
      <c r="G3" s="191"/>
      <c r="H3" s="191"/>
      <c r="I3" s="191"/>
      <c r="J3" s="191"/>
      <c r="K3" s="191"/>
      <c r="L3" s="56"/>
    </row>
    <row r="4" spans="1:12" x14ac:dyDescent="0.3">
      <c r="B4" s="192"/>
      <c r="C4" s="192"/>
      <c r="D4" s="192"/>
      <c r="E4" s="192"/>
      <c r="F4" s="192"/>
      <c r="G4" s="192"/>
      <c r="H4" s="192"/>
      <c r="I4" s="192"/>
      <c r="J4" s="192"/>
      <c r="K4" s="192"/>
      <c r="L4" s="56"/>
    </row>
    <row r="5" spans="1:12" x14ac:dyDescent="0.3">
      <c r="B5" s="122" t="str">
        <f>'FDLSUBA-SA-MC-004-2025 14 al 25'!B6</f>
        <v>SELECCIÓN ABREVIADA DE MENOR CUANTÍA 
FDLSUBA-SA-MC-004-2025 (133182)</v>
      </c>
      <c r="C5" s="123"/>
      <c r="D5" s="123"/>
      <c r="E5" s="56"/>
      <c r="F5" s="56"/>
      <c r="G5" s="56"/>
      <c r="H5" s="56"/>
      <c r="I5" s="56"/>
      <c r="J5" s="56"/>
      <c r="K5" s="56"/>
      <c r="L5" s="56"/>
    </row>
    <row r="6" spans="1:12" ht="58.2" customHeight="1" x14ac:dyDescent="0.3">
      <c r="B6" s="193" t="str">
        <f>'FDLSUBA-SA-MC-004-2025 14 al 25'!B7</f>
        <v>OBJETO: "PRESTAR SERVICIOS DE APOYO LOGÍSTICOS PARA LA REALIZACIÓN DE EVENTOS Y ACTIVIDADES QUE PROMUEVAN EL DESARROLLO ECONÓMICO QUE REQUIERA LA ALCALDÍA LOCAL DE SUBA EN EL MARCO DEL  CUMPLIMIENTO DEL PLAN DE DESARROLLO LOCAL"</v>
      </c>
      <c r="C6" s="193"/>
      <c r="D6" s="193"/>
      <c r="E6" s="193"/>
      <c r="F6" s="193"/>
      <c r="G6" s="193"/>
      <c r="H6" s="193"/>
      <c r="I6" s="193"/>
      <c r="J6" s="193"/>
      <c r="K6" s="193"/>
      <c r="L6" s="56"/>
    </row>
    <row r="7" spans="1:12" x14ac:dyDescent="0.3">
      <c r="B7" s="57" t="s">
        <v>77</v>
      </c>
      <c r="C7" s="119">
        <f>'FDLSUBA-SA-MC-004-2025 14 al 25'!R23</f>
        <v>398000000</v>
      </c>
      <c r="D7" s="120"/>
      <c r="E7" s="56"/>
      <c r="F7" s="56"/>
      <c r="G7" s="56"/>
      <c r="H7" s="56"/>
      <c r="I7" s="56"/>
      <c r="J7" s="56"/>
      <c r="K7" s="56"/>
      <c r="L7" s="56"/>
    </row>
    <row r="8" spans="1:12" x14ac:dyDescent="0.3">
      <c r="B8" s="65" t="s">
        <v>78</v>
      </c>
      <c r="C8" s="63">
        <v>45657</v>
      </c>
      <c r="D8" s="121"/>
      <c r="E8" s="121"/>
      <c r="G8" s="56"/>
      <c r="H8" s="56"/>
      <c r="I8" s="56"/>
      <c r="J8" s="56"/>
      <c r="K8" s="56"/>
      <c r="L8" s="56"/>
    </row>
    <row r="9" spans="1:12" x14ac:dyDescent="0.3">
      <c r="B9" s="65" t="s">
        <v>79</v>
      </c>
      <c r="C9" s="63">
        <f>'FDLSUBA-SA-MC-004-2025 14 al 25'!B48</f>
        <v>45848</v>
      </c>
      <c r="D9" s="56"/>
      <c r="E9" s="56"/>
      <c r="G9" s="56"/>
      <c r="H9" s="56"/>
      <c r="I9" s="56"/>
      <c r="J9" s="56"/>
      <c r="K9" s="56"/>
      <c r="L9" s="56"/>
    </row>
    <row r="10" spans="1:12" x14ac:dyDescent="0.3">
      <c r="B10" s="184" t="s">
        <v>80</v>
      </c>
      <c r="C10" s="185"/>
      <c r="D10" s="185"/>
      <c r="E10" s="185"/>
      <c r="F10" s="185"/>
      <c r="G10" s="185"/>
      <c r="H10" s="186"/>
      <c r="I10" s="58" t="s">
        <v>81</v>
      </c>
      <c r="J10" s="187" t="s">
        <v>82</v>
      </c>
      <c r="K10" s="188" t="s">
        <v>83</v>
      </c>
      <c r="L10" s="56"/>
    </row>
    <row r="11" spans="1:12" ht="39.6" x14ac:dyDescent="0.3">
      <c r="B11" s="59" t="s">
        <v>84</v>
      </c>
      <c r="C11" s="59" t="s">
        <v>85</v>
      </c>
      <c r="D11" s="59" t="s">
        <v>86</v>
      </c>
      <c r="E11" s="59" t="s">
        <v>87</v>
      </c>
      <c r="F11" s="59" t="s">
        <v>88</v>
      </c>
      <c r="G11" s="59" t="s">
        <v>89</v>
      </c>
      <c r="H11" s="59" t="s">
        <v>90</v>
      </c>
      <c r="I11" s="64" t="s">
        <v>91</v>
      </c>
      <c r="J11" s="187"/>
      <c r="K11" s="188"/>
      <c r="L11" s="56"/>
    </row>
    <row r="12" spans="1:12" ht="40.200000000000003" customHeight="1" x14ac:dyDescent="0.3">
      <c r="A12" s="60">
        <v>14</v>
      </c>
      <c r="B12" s="59" t="str">
        <f>'FDLSUBA-SA-MC-004-2025 14 al 25'!C8</f>
        <v>GEMGAL S.A.S
 NIT: 901517484-1</v>
      </c>
      <c r="C12" s="61" t="s">
        <v>92</v>
      </c>
      <c r="D12" s="61" t="s">
        <v>92</v>
      </c>
      <c r="E12" s="61" t="s">
        <v>92</v>
      </c>
      <c r="F12" s="61" t="s">
        <v>92</v>
      </c>
      <c r="G12" s="61" t="s">
        <v>92</v>
      </c>
      <c r="H12" s="61" t="s">
        <v>92</v>
      </c>
      <c r="I12" s="61" t="s">
        <v>92</v>
      </c>
      <c r="J12" s="69" t="s">
        <v>93</v>
      </c>
      <c r="K12" s="66"/>
      <c r="L12" s="56"/>
    </row>
    <row r="13" spans="1:12" ht="40.200000000000003" customHeight="1" x14ac:dyDescent="0.3">
      <c r="A13" s="60">
        <v>15</v>
      </c>
      <c r="B13" s="59" t="str">
        <f>'FDLSUBA-SA-MC-004-2025 14 al 25'!D8</f>
        <v>COLOMBIANA DE SERVICIOS COMEDORES &amp; SUMINISTROS S.A.S
 NIT: 900782536-5</v>
      </c>
      <c r="C13" s="61" t="s">
        <v>92</v>
      </c>
      <c r="D13" s="61" t="s">
        <v>92</v>
      </c>
      <c r="E13" s="61" t="s">
        <v>92</v>
      </c>
      <c r="F13" s="61" t="s">
        <v>92</v>
      </c>
      <c r="G13" s="61" t="s">
        <v>92</v>
      </c>
      <c r="H13" s="61" t="s">
        <v>92</v>
      </c>
      <c r="I13" s="61" t="s">
        <v>92</v>
      </c>
      <c r="J13" s="69" t="s">
        <v>93</v>
      </c>
      <c r="K13" s="66"/>
      <c r="L13" s="56"/>
    </row>
    <row r="14" spans="1:12" ht="40.200000000000003" customHeight="1" x14ac:dyDescent="0.3">
      <c r="A14" s="60">
        <v>16</v>
      </c>
      <c r="B14" s="59" t="str">
        <f>'FDLSUBA-SA-MC-004-2025 14 al 25'!E8</f>
        <v>CREIGHTIVE S.A.S.
  NIT:900894796-4</v>
      </c>
      <c r="C14" s="61" t="s">
        <v>92</v>
      </c>
      <c r="D14" s="61" t="s">
        <v>92</v>
      </c>
      <c r="E14" s="61" t="s">
        <v>92</v>
      </c>
      <c r="F14" s="61" t="s">
        <v>92</v>
      </c>
      <c r="G14" s="61" t="s">
        <v>92</v>
      </c>
      <c r="H14" s="61" t="s">
        <v>92</v>
      </c>
      <c r="I14" s="61" t="s">
        <v>92</v>
      </c>
      <c r="J14" s="69" t="s">
        <v>93</v>
      </c>
      <c r="K14" s="66"/>
      <c r="L14" s="56"/>
    </row>
    <row r="15" spans="1:12" ht="72.599999999999994" customHeight="1" x14ac:dyDescent="0.3">
      <c r="A15" s="60">
        <v>17</v>
      </c>
      <c r="B15" s="59" t="str">
        <f>'FDLSUBA-SA-MC-004-2025 14 al 25'!H8</f>
        <v>UNIÓN TEMPORAL UT LOGÍSTICA IP</v>
      </c>
      <c r="C15" s="61" t="s">
        <v>92</v>
      </c>
      <c r="D15" s="61" t="s">
        <v>92</v>
      </c>
      <c r="E15" s="61" t="s">
        <v>92</v>
      </c>
      <c r="F15" s="61" t="s">
        <v>92</v>
      </c>
      <c r="G15" s="61" t="s">
        <v>92</v>
      </c>
      <c r="H15" s="61" t="s">
        <v>92</v>
      </c>
      <c r="I15" s="61" t="s">
        <v>92</v>
      </c>
      <c r="J15" s="69" t="s">
        <v>93</v>
      </c>
      <c r="K15" s="66"/>
      <c r="L15" s="56"/>
    </row>
    <row r="16" spans="1:12" ht="72.599999999999994" customHeight="1" x14ac:dyDescent="0.3">
      <c r="A16" s="60">
        <v>18</v>
      </c>
      <c r="B16" s="59" t="str">
        <f>'FDLSUBA-SA-MC-004-2025 14 al 25'!I8</f>
        <v>GRUPO SOCIEDAD CAPITAL SAS
 NIT: 900565133 0</v>
      </c>
      <c r="C16" s="61" t="s">
        <v>92</v>
      </c>
      <c r="D16" s="61" t="s">
        <v>92</v>
      </c>
      <c r="E16" s="61" t="s">
        <v>92</v>
      </c>
      <c r="F16" s="61" t="s">
        <v>92</v>
      </c>
      <c r="G16" s="61" t="s">
        <v>92</v>
      </c>
      <c r="H16" s="61" t="s">
        <v>92</v>
      </c>
      <c r="I16" s="61" t="s">
        <v>92</v>
      </c>
      <c r="J16" s="69" t="s">
        <v>93</v>
      </c>
      <c r="K16" s="66"/>
      <c r="L16" s="56"/>
    </row>
    <row r="17" spans="1:12" ht="72.599999999999994" customHeight="1" x14ac:dyDescent="0.3">
      <c r="A17" s="60">
        <v>19</v>
      </c>
      <c r="B17" s="59" t="str">
        <f>'FDLSUBA-SA-MC-004-2025 14 al 25'!J8</f>
        <v>LOGISTICA Y GESTION DE NEGOCIOS SAS 
NIT: 900582854 4</v>
      </c>
      <c r="C17" s="61" t="s">
        <v>92</v>
      </c>
      <c r="D17" s="61" t="s">
        <v>92</v>
      </c>
      <c r="E17" s="61" t="s">
        <v>92</v>
      </c>
      <c r="F17" s="61" t="s">
        <v>92</v>
      </c>
      <c r="G17" s="61" t="s">
        <v>92</v>
      </c>
      <c r="H17" s="61" t="s">
        <v>92</v>
      </c>
      <c r="I17" s="61" t="s">
        <v>92</v>
      </c>
      <c r="J17" s="69" t="s">
        <v>93</v>
      </c>
      <c r="K17" s="66"/>
      <c r="L17" s="56"/>
    </row>
    <row r="18" spans="1:12" ht="72.599999999999994" customHeight="1" x14ac:dyDescent="0.3">
      <c r="A18" s="60">
        <v>20</v>
      </c>
      <c r="B18" s="59" t="str">
        <f>'FDLSUBA-SA-MC-004-2025 14 al 25'!K8</f>
        <v>LILLY HAIDY BALAGUERA RODRIGUEZ
 NIT: 52822142 4</v>
      </c>
      <c r="C18" s="61" t="s">
        <v>92</v>
      </c>
      <c r="D18" s="61" t="s">
        <v>92</v>
      </c>
      <c r="E18" s="61" t="s">
        <v>92</v>
      </c>
      <c r="F18" s="61" t="s">
        <v>92</v>
      </c>
      <c r="G18" s="61" t="s">
        <v>92</v>
      </c>
      <c r="H18" s="61" t="s">
        <v>92</v>
      </c>
      <c r="I18" s="61" t="s">
        <v>92</v>
      </c>
      <c r="J18" s="69" t="s">
        <v>93</v>
      </c>
      <c r="K18" s="66"/>
      <c r="L18" s="56"/>
    </row>
    <row r="19" spans="1:12" ht="72.599999999999994" customHeight="1" x14ac:dyDescent="0.3">
      <c r="A19" s="60">
        <v>21</v>
      </c>
      <c r="B19" s="59" t="str">
        <f>'FDLSUBA-SA-MC-004-2025 14 al 25'!L8</f>
        <v>ORGANIZACION TOTALL PRO S.A.S
 NIT: 900305935 6</v>
      </c>
      <c r="C19" s="61" t="s">
        <v>92</v>
      </c>
      <c r="D19" s="61" t="s">
        <v>92</v>
      </c>
      <c r="E19" s="61" t="s">
        <v>92</v>
      </c>
      <c r="F19" s="61" t="s">
        <v>92</v>
      </c>
      <c r="G19" s="61" t="s">
        <v>92</v>
      </c>
      <c r="H19" s="61" t="s">
        <v>92</v>
      </c>
      <c r="I19" s="61" t="s">
        <v>92</v>
      </c>
      <c r="J19" s="69" t="s">
        <v>93</v>
      </c>
      <c r="K19" s="66"/>
      <c r="L19" s="56"/>
    </row>
    <row r="20" spans="1:12" ht="72.599999999999994" customHeight="1" x14ac:dyDescent="0.3">
      <c r="A20" s="60">
        <v>22</v>
      </c>
      <c r="B20" s="59" t="str">
        <f>'FDLSUBA-SA-MC-004-2025 14 al 25'!M8</f>
        <v>INNOVA NOUS SAS
 NIT: 900864269 6</v>
      </c>
      <c r="C20" s="61" t="s">
        <v>92</v>
      </c>
      <c r="D20" s="61" t="s">
        <v>92</v>
      </c>
      <c r="E20" s="61" t="s">
        <v>92</v>
      </c>
      <c r="F20" s="61" t="s">
        <v>92</v>
      </c>
      <c r="G20" s="61" t="s">
        <v>92</v>
      </c>
      <c r="H20" s="61" t="s">
        <v>92</v>
      </c>
      <c r="I20" s="61" t="s">
        <v>92</v>
      </c>
      <c r="J20" s="69" t="s">
        <v>93</v>
      </c>
      <c r="K20" s="66"/>
      <c r="L20" s="56"/>
    </row>
    <row r="21" spans="1:12" ht="72.599999999999994" customHeight="1" x14ac:dyDescent="0.3">
      <c r="A21" s="60">
        <v>23</v>
      </c>
      <c r="B21" s="59" t="str">
        <f>'FDLSUBA-SA-MC-004-2025 14 al 25'!N8</f>
        <v xml:space="preserve"> CARLOS ALBERTO PINZON MOLINA
 NIT: 79867234 5</v>
      </c>
      <c r="C21" s="61" t="s">
        <v>92</v>
      </c>
      <c r="D21" s="61" t="s">
        <v>92</v>
      </c>
      <c r="E21" s="61" t="s">
        <v>92</v>
      </c>
      <c r="F21" s="61" t="s">
        <v>92</v>
      </c>
      <c r="G21" s="61" t="s">
        <v>92</v>
      </c>
      <c r="H21" s="61" t="s">
        <v>92</v>
      </c>
      <c r="I21" s="61" t="s">
        <v>92</v>
      </c>
      <c r="J21" s="69" t="s">
        <v>93</v>
      </c>
      <c r="K21" s="66"/>
      <c r="L21" s="56"/>
    </row>
    <row r="22" spans="1:12" ht="72.599999999999994" customHeight="1" x14ac:dyDescent="0.3">
      <c r="A22" s="60">
        <v>24</v>
      </c>
      <c r="B22" s="59" t="str">
        <f>'FDLSUBA-SA-MC-004-2025 14 al 25'!O8</f>
        <v>FUNDACION NINOS ACORDEONEROS Y CANTORES DEL VALLENATO ANDRES TURCO GIL
 NIT:824003749-0</v>
      </c>
      <c r="C22" s="61" t="s">
        <v>92</v>
      </c>
      <c r="D22" s="61" t="s">
        <v>92</v>
      </c>
      <c r="E22" s="61" t="s">
        <v>92</v>
      </c>
      <c r="F22" s="61" t="s">
        <v>92</v>
      </c>
      <c r="G22" s="61" t="s">
        <v>92</v>
      </c>
      <c r="H22" s="61" t="s">
        <v>92</v>
      </c>
      <c r="I22" s="61" t="s">
        <v>92</v>
      </c>
      <c r="J22" s="69" t="s">
        <v>93</v>
      </c>
      <c r="K22" s="66"/>
      <c r="L22" s="56"/>
    </row>
    <row r="23" spans="1:12" ht="72.599999999999994" customHeight="1" x14ac:dyDescent="0.3">
      <c r="A23" s="60">
        <v>25</v>
      </c>
      <c r="B23" s="59" t="str">
        <f>'FDLSUBA-SA-MC-004-2025 14 al 25'!P8</f>
        <v>URBANO EXPRESS LOGISTICA Y MERCADEO S.A.S
 NIT: 900046728 6</v>
      </c>
      <c r="C23" s="61" t="s">
        <v>92</v>
      </c>
      <c r="D23" s="61" t="s">
        <v>92</v>
      </c>
      <c r="E23" s="61" t="s">
        <v>92</v>
      </c>
      <c r="F23" s="61" t="s">
        <v>92</v>
      </c>
      <c r="G23" s="61" t="s">
        <v>92</v>
      </c>
      <c r="H23" s="61" t="s">
        <v>92</v>
      </c>
      <c r="I23" s="61" t="s">
        <v>92</v>
      </c>
      <c r="J23" s="69" t="s">
        <v>93</v>
      </c>
      <c r="K23" s="66"/>
      <c r="L23" s="56"/>
    </row>
    <row r="25" spans="1:12" x14ac:dyDescent="0.3">
      <c r="A25" s="55" t="s">
        <v>94</v>
      </c>
    </row>
    <row r="27" spans="1:12" x14ac:dyDescent="0.3">
      <c r="B27" s="153" t="e">
        <f>#REF!</f>
        <v>#REF!</v>
      </c>
    </row>
    <row r="29" spans="1:12" x14ac:dyDescent="0.3">
      <c r="E29" s="155" t="s">
        <v>110</v>
      </c>
    </row>
    <row r="30" spans="1:12" ht="15.6" x14ac:dyDescent="0.3">
      <c r="E30" s="49" t="s">
        <v>57</v>
      </c>
    </row>
    <row r="31" spans="1:12" ht="15.6" x14ac:dyDescent="0.3">
      <c r="A31" s="62"/>
      <c r="B31" s="62"/>
      <c r="C31" s="62"/>
      <c r="D31" s="62"/>
      <c r="E31" s="50" t="s">
        <v>58</v>
      </c>
      <c r="F31" s="62"/>
    </row>
    <row r="32" spans="1:12" ht="15.6" x14ac:dyDescent="0.3">
      <c r="A32" s="62"/>
      <c r="B32" s="62"/>
      <c r="C32" s="62"/>
      <c r="D32" s="62"/>
      <c r="E32" s="50" t="s">
        <v>59</v>
      </c>
      <c r="F32" s="62"/>
    </row>
  </sheetData>
  <mergeCells count="8">
    <mergeCell ref="B10:H10"/>
    <mergeCell ref="J10:J11"/>
    <mergeCell ref="K10:K11"/>
    <mergeCell ref="B1:K1"/>
    <mergeCell ref="B2:K2"/>
    <mergeCell ref="B3:K3"/>
    <mergeCell ref="B4:K4"/>
    <mergeCell ref="B6:K6"/>
  </mergeCells>
  <pageMargins left="0.7" right="0.7" top="0.75" bottom="0.75" header="0.3" footer="0.3"/>
  <pageSetup scale="34" orientation="portrait" r:id="rId1"/>
  <colBreaks count="1" manualBreakCount="1">
    <brk id="11"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1BFFB4411CFC54CA6A3FA228255AE4E" ma:contentTypeVersion="14" ma:contentTypeDescription="Crear nuevo documento." ma:contentTypeScope="" ma:versionID="9adc6aef112ce374d4d3a5f2145baaab">
  <xsd:schema xmlns:xsd="http://www.w3.org/2001/XMLSchema" xmlns:xs="http://www.w3.org/2001/XMLSchema" xmlns:p="http://schemas.microsoft.com/office/2006/metadata/properties" xmlns:ns2="4d1d2e24-7be0-47eb-a1db-99cc6d75caff" xmlns:ns3="d6eaa91c-3afb-4015-aba1-5ff992c1a5ca" targetNamespace="http://schemas.microsoft.com/office/2006/metadata/properties" ma:root="true" ma:fieldsID="726275b6cf75e4812a1477c958f750fd" ns2:_="" ns3:_="">
    <xsd:import namespace="4d1d2e24-7be0-47eb-a1db-99cc6d75caff"/>
    <xsd:import namespace="d6eaa91c-3afb-4015-aba1-5ff992c1a5c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OCR" minOccurs="0"/>
                <xsd:element ref="ns2:MediaServiceGenerationTime" minOccurs="0"/>
                <xsd:element ref="ns2:MediaServiceEventHashCode" minOccurs="0"/>
                <xsd:element ref="ns2:_Flow_SignoffStatus" minOccurs="0"/>
                <xsd:element ref="ns2:MediaServiceAutoKeyPoints" minOccurs="0"/>
                <xsd:element ref="ns2:MediaServiceKeyPoint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d1d2e24-7be0-47eb-a1db-99cc6d75ca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_Flow_SignoffStatus" ma:index="18" nillable="true" ma:displayName="Estado de aprobación" ma:internalName="Estado_x0020_de_x0020_aprobaci_x00f3_n">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6eaa91c-3afb-4015-aba1-5ff992c1a5ca"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4d1d2e24-7be0-47eb-a1db-99cc6d75caf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0E4FE81-6603-41B9-8DEB-A69993A120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d1d2e24-7be0-47eb-a1db-99cc6d75caff"/>
    <ds:schemaRef ds:uri="d6eaa91c-3afb-4015-aba1-5ff992c1a5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53C6EE6-E5B2-4CE8-B523-4B2ED91D23E4}">
  <ds:schemaRefs>
    <ds:schemaRef ds:uri="http://schemas.microsoft.com/office/2006/metadata/properties"/>
    <ds:schemaRef ds:uri="http://schemas.microsoft.com/office/infopath/2007/PartnerControls"/>
    <ds:schemaRef ds:uri="4d1d2e24-7be0-47eb-a1db-99cc6d75caff"/>
  </ds:schemaRefs>
</ds:datastoreItem>
</file>

<file path=customXml/itemProps3.xml><?xml version="1.0" encoding="utf-8"?>
<ds:datastoreItem xmlns:ds="http://schemas.openxmlformats.org/officeDocument/2006/customXml" ds:itemID="{1730A1E2-9171-48CF-A208-2C83E8E942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FDLSUBA-SA-MC-004-2025 1 al 13</vt:lpstr>
      <vt:lpstr>Consolidado 1 al 13</vt:lpstr>
      <vt:lpstr>FDLSUBA-SA-MC-004-2025 14 al 25</vt:lpstr>
      <vt:lpstr>Consolidado 14 al 25</vt:lpstr>
      <vt:lpstr>'Consolidado 1 al 13'!Área_de_impresión</vt:lpstr>
      <vt:lpstr>'Consolidado 14 al 25'!Área_de_impresión</vt:lpstr>
      <vt:lpstr>'FDLSUBA-SA-MC-004-2025 1 al 13'!Área_de_impresión</vt:lpstr>
      <vt:lpstr>'FDLSUBA-SA-MC-004-2025 14 al 25'!Área_de_impresión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Edison Guiovanni Clavijo Martinez</dc:creator>
  <cp:keywords/>
  <dc:description/>
  <cp:lastModifiedBy>Paola Fernanda Ortegon Puentes</cp:lastModifiedBy>
  <cp:revision/>
  <dcterms:created xsi:type="dcterms:W3CDTF">2018-04-20T15:23:46Z</dcterms:created>
  <dcterms:modified xsi:type="dcterms:W3CDTF">2025-07-31T15:25:09Z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0x01010041BFFB4411CFC54CA6A3FA228255AE4E</vt:lpwstr>
  </property>
</Properties>
</file>