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l\Desktop\CONTRATOS 2025\INSTITUTO COLLOMBIANO AGROPECUARIO\SELECCIÓN ABREVIADA\OBRA PUBLICA\CRAVO NORTE\ANEXOS PARA PUBLICAR\"/>
    </mc:Choice>
  </mc:AlternateContent>
  <xr:revisionPtr revIDLastSave="0" documentId="13_ncr:1_{2AB1CBD6-1AE7-452F-89E8-02FCD5BC9BCB}" xr6:coauthVersionLast="47" xr6:coauthVersionMax="47" xr10:uidLastSave="{00000000-0000-0000-0000-000000000000}"/>
  <bookViews>
    <workbookView xWindow="5805" yWindow="255" windowWidth="13755" windowHeight="10515" tabRatio="654" firstSheet="1" activeTab="1" xr2:uid="{00000000-000D-0000-FFFF-FFFF00000000}"/>
  </bookViews>
  <sheets>
    <sheet name="OF LOCAL CRAVO NORTE" sheetId="4" state="hidden" r:id="rId1"/>
    <sheet name="PRESUPUESTO" sheetId="5" r:id="rId2"/>
    <sheet name="APU´s" sheetId="35" r:id="rId3"/>
    <sheet name="AIU" sheetId="57" r:id="rId4"/>
    <sheet name="BIENES RELEVANTES" sheetId="62" r:id="rId5"/>
    <sheet name="1,1" sheetId="6" r:id="rId6"/>
    <sheet name="1,2" sheetId="7" r:id="rId7"/>
    <sheet name="1,3" sheetId="8" r:id="rId8"/>
    <sheet name="1,4" sheetId="9" r:id="rId9"/>
    <sheet name="1,5" sheetId="10" r:id="rId10"/>
    <sheet name="1,5 A" sheetId="36" r:id="rId11"/>
    <sheet name="1,5 B" sheetId="37" r:id="rId12"/>
    <sheet name="1,6" sheetId="11" r:id="rId13"/>
    <sheet name="1,7" sheetId="12" r:id="rId14"/>
    <sheet name="1,8" sheetId="13" r:id="rId15"/>
    <sheet name="1,9" sheetId="15" r:id="rId16"/>
    <sheet name="1,10" sheetId="16" r:id="rId17"/>
    <sheet name="1,11" sheetId="21" r:id="rId18"/>
    <sheet name="1,12" sheetId="17" r:id="rId19"/>
    <sheet name="1,13" sheetId="18" r:id="rId20"/>
    <sheet name="1,14" sheetId="19" r:id="rId21"/>
    <sheet name="1,15" sheetId="20" r:id="rId22"/>
    <sheet name="1,16" sheetId="22" r:id="rId23"/>
    <sheet name="1,17" sheetId="23" r:id="rId24"/>
    <sheet name="1,18" sheetId="24" r:id="rId25"/>
    <sheet name="1,19" sheetId="25" r:id="rId26"/>
    <sheet name="1,20" sheetId="26" r:id="rId27"/>
    <sheet name="1,21" sheetId="27" r:id="rId28"/>
    <sheet name="1,22" sheetId="28" r:id="rId29"/>
    <sheet name="1,23" sheetId="29" r:id="rId30"/>
    <sheet name="1,24" sheetId="30" r:id="rId31"/>
    <sheet name="1,25" sheetId="31" r:id="rId32"/>
    <sheet name="1,26" sheetId="32" r:id="rId33"/>
    <sheet name="1,27" sheetId="33" r:id="rId34"/>
    <sheet name="1,27 A" sheetId="39" r:id="rId35"/>
    <sheet name="1,28" sheetId="34" r:id="rId36"/>
    <sheet name="1,29" sheetId="40" r:id="rId37"/>
    <sheet name="2,1" sheetId="38" r:id="rId38"/>
    <sheet name="2,2" sheetId="41" r:id="rId39"/>
    <sheet name="2,3" sheetId="42" r:id="rId40"/>
    <sheet name="2,4" sheetId="43" r:id="rId41"/>
    <sheet name="2,5" sheetId="55" r:id="rId42"/>
    <sheet name="3,1 " sheetId="54" r:id="rId43"/>
    <sheet name="3,2" sheetId="48" r:id="rId44"/>
    <sheet name="3,3" sheetId="51" r:id="rId45"/>
    <sheet name="3,4" sheetId="49" r:id="rId46"/>
    <sheet name="3,5" sheetId="50" r:id="rId47"/>
    <sheet name="3,6" sheetId="52" r:id="rId48"/>
    <sheet name="3,7" sheetId="53" r:id="rId49"/>
    <sheet name="3,8" sheetId="56" r:id="rId50"/>
    <sheet name="6,1" sheetId="59" r:id="rId51"/>
    <sheet name="EST METAL" sheetId="58" r:id="rId52"/>
  </sheets>
  <externalReferences>
    <externalReference r:id="rId53"/>
    <externalReference r:id="rId54"/>
  </externalReferences>
  <definedNames>
    <definedName name="_xlnm.Print_Area" localSheetId="0">'OF LOCAL CRAVO NORTE'!$A$1:$I$56</definedName>
    <definedName name="_xlnm.Print_Titles" localSheetId="0">'OF LOCAL CRAVO NORTE'!$1:$7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5" i="5" l="1"/>
  <c r="G85" i="5" s="1"/>
  <c r="G86" i="5" s="1"/>
  <c r="G87" i="5" s="1"/>
  <c r="G88" i="5" s="1"/>
  <c r="H54" i="35"/>
  <c r="M54" i="35"/>
  <c r="N54" i="35"/>
  <c r="H68" i="35"/>
  <c r="M68" i="35"/>
  <c r="N68" i="35"/>
  <c r="H69" i="35"/>
  <c r="M69" i="35"/>
  <c r="N69" i="35"/>
  <c r="H70" i="35"/>
  <c r="M70" i="35"/>
  <c r="N70" i="35"/>
  <c r="H71" i="35"/>
  <c r="M71" i="35"/>
  <c r="N71" i="35"/>
  <c r="H85" i="35"/>
  <c r="M85" i="35"/>
  <c r="N85" i="35"/>
  <c r="H86" i="35"/>
  <c r="M86" i="35"/>
  <c r="N86" i="35"/>
  <c r="H87" i="35"/>
  <c r="M87" i="35"/>
  <c r="N87" i="35"/>
  <c r="H88" i="35"/>
  <c r="M88" i="35"/>
  <c r="N88" i="35"/>
  <c r="H102" i="35"/>
  <c r="M102" i="35"/>
  <c r="N102" i="35"/>
  <c r="H103" i="35"/>
  <c r="M103" i="35"/>
  <c r="N103" i="35"/>
  <c r="H117" i="35"/>
  <c r="M117" i="35"/>
  <c r="N117" i="35"/>
  <c r="H118" i="35"/>
  <c r="M118" i="35"/>
  <c r="N118" i="35"/>
  <c r="H119" i="35"/>
  <c r="M119" i="35"/>
  <c r="N119" i="35"/>
  <c r="H120" i="35"/>
  <c r="M120" i="35"/>
  <c r="N120" i="35"/>
  <c r="H121" i="35"/>
  <c r="M121" i="35"/>
  <c r="N121" i="35"/>
  <c r="H122" i="35"/>
  <c r="M122" i="35"/>
  <c r="N122" i="35"/>
  <c r="H123" i="35"/>
  <c r="M123" i="35"/>
  <c r="N123" i="35"/>
  <c r="H137" i="35"/>
  <c r="M137" i="35"/>
  <c r="N137" i="35"/>
  <c r="H138" i="35"/>
  <c r="M138" i="35"/>
  <c r="N138" i="35"/>
  <c r="H139" i="35"/>
  <c r="M139" i="35"/>
  <c r="N139" i="35"/>
  <c r="H140" i="35"/>
  <c r="M140" i="35"/>
  <c r="N140" i="35"/>
  <c r="H141" i="35"/>
  <c r="M141" i="35"/>
  <c r="N141" i="35"/>
  <c r="H142" i="35"/>
  <c r="M142" i="35"/>
  <c r="N142" i="35"/>
  <c r="H156" i="35"/>
  <c r="M156" i="35"/>
  <c r="N156" i="35"/>
  <c r="H157" i="35"/>
  <c r="M157" i="35"/>
  <c r="N157" i="35"/>
  <c r="H158" i="35"/>
  <c r="M158" i="35"/>
  <c r="N158" i="35"/>
  <c r="H159" i="35"/>
  <c r="M159" i="35"/>
  <c r="N159" i="35"/>
  <c r="H160" i="35"/>
  <c r="M160" i="35"/>
  <c r="N160" i="35"/>
  <c r="H161" i="35"/>
  <c r="M161" i="35"/>
  <c r="N161" i="35"/>
  <c r="H162" i="35"/>
  <c r="M162" i="35"/>
  <c r="N162" i="35"/>
  <c r="H175" i="35"/>
  <c r="M175" i="35"/>
  <c r="N175" i="35"/>
  <c r="H176" i="35"/>
  <c r="M176" i="35"/>
  <c r="N176" i="35"/>
  <c r="H177" i="35"/>
  <c r="M177" i="35"/>
  <c r="N177" i="35"/>
  <c r="H178" i="35"/>
  <c r="M178" i="35"/>
  <c r="N178" i="35"/>
  <c r="H179" i="35"/>
  <c r="M179" i="35"/>
  <c r="N179" i="35"/>
  <c r="H180" i="35"/>
  <c r="M180" i="35"/>
  <c r="N180" i="35"/>
  <c r="H181" i="35"/>
  <c r="M181" i="35"/>
  <c r="N181" i="35"/>
  <c r="H195" i="35"/>
  <c r="M195" i="35"/>
  <c r="N195" i="35"/>
  <c r="H196" i="35"/>
  <c r="M196" i="35"/>
  <c r="N196" i="35"/>
  <c r="H197" i="35"/>
  <c r="M197" i="35"/>
  <c r="N197" i="35"/>
  <c r="H223" i="35"/>
  <c r="M223" i="35"/>
  <c r="N223" i="35"/>
  <c r="H224" i="35"/>
  <c r="M224" i="35"/>
  <c r="N224" i="35"/>
  <c r="H225" i="35"/>
  <c r="M225" i="35"/>
  <c r="N225" i="35"/>
  <c r="H226" i="35"/>
  <c r="M226" i="35"/>
  <c r="N226" i="35"/>
  <c r="H227" i="35"/>
  <c r="M227" i="35"/>
  <c r="N227" i="35"/>
  <c r="H228" i="35"/>
  <c r="M228" i="35"/>
  <c r="N228" i="35"/>
  <c r="H229" i="35"/>
  <c r="M229" i="35"/>
  <c r="N229" i="35"/>
  <c r="H230" i="35"/>
  <c r="M230" i="35"/>
  <c r="N230" i="35"/>
  <c r="H231" i="35"/>
  <c r="M231" i="35"/>
  <c r="N231" i="35"/>
  <c r="H248" i="35"/>
  <c r="M248" i="35"/>
  <c r="N248" i="35"/>
  <c r="H249" i="35"/>
  <c r="M249" i="35"/>
  <c r="N249" i="35"/>
  <c r="H250" i="35"/>
  <c r="M250" i="35"/>
  <c r="N250" i="35"/>
  <c r="H251" i="35"/>
  <c r="M251" i="35"/>
  <c r="N251" i="35"/>
  <c r="H264" i="35"/>
  <c r="M264" i="35"/>
  <c r="N264" i="35"/>
  <c r="H265" i="35"/>
  <c r="M265" i="35"/>
  <c r="N265" i="35"/>
  <c r="H279" i="35"/>
  <c r="M279" i="35"/>
  <c r="N279" i="35"/>
  <c r="H280" i="35"/>
  <c r="M280" i="35"/>
  <c r="N280" i="35"/>
  <c r="H281" i="35"/>
  <c r="M281" i="35"/>
  <c r="N281" i="35"/>
  <c r="H282" i="35"/>
  <c r="M282" i="35"/>
  <c r="N282" i="35"/>
  <c r="H283" i="35"/>
  <c r="M283" i="35"/>
  <c r="N283" i="35"/>
  <c r="H294" i="35"/>
  <c r="M294" i="35"/>
  <c r="N294" i="35"/>
  <c r="H295" i="35"/>
  <c r="M295" i="35"/>
  <c r="N295" i="35"/>
  <c r="H296" i="35"/>
  <c r="M296" i="35"/>
  <c r="N296" i="35"/>
  <c r="H297" i="35"/>
  <c r="M297" i="35"/>
  <c r="N297" i="35"/>
  <c r="H298" i="35"/>
  <c r="M298" i="35"/>
  <c r="N298" i="35"/>
  <c r="H323" i="35"/>
  <c r="M323" i="35"/>
  <c r="N323" i="35"/>
  <c r="H324" i="35"/>
  <c r="M324" i="35"/>
  <c r="N324" i="35"/>
  <c r="H325" i="35"/>
  <c r="M325" i="35"/>
  <c r="N325" i="35"/>
  <c r="H326" i="35"/>
  <c r="M326" i="35"/>
  <c r="N326" i="35"/>
  <c r="H327" i="35"/>
  <c r="M327" i="35"/>
  <c r="N327" i="35"/>
  <c r="H338" i="35"/>
  <c r="M338" i="35"/>
  <c r="N338" i="35"/>
  <c r="H339" i="35"/>
  <c r="M339" i="35"/>
  <c r="N339" i="35"/>
  <c r="H340" i="35"/>
  <c r="M340" i="35"/>
  <c r="N340" i="35"/>
  <c r="H341" i="35"/>
  <c r="M341" i="35"/>
  <c r="N341" i="35"/>
  <c r="H367" i="35"/>
  <c r="M367" i="35"/>
  <c r="N367" i="35"/>
  <c r="H368" i="35"/>
  <c r="M368" i="35"/>
  <c r="N368" i="35"/>
  <c r="H369" i="35"/>
  <c r="M369" i="35"/>
  <c r="N369" i="35"/>
  <c r="H370" i="35"/>
  <c r="M370" i="35"/>
  <c r="N370" i="35"/>
  <c r="H371" i="35"/>
  <c r="M371" i="35"/>
  <c r="N371" i="35"/>
  <c r="H382" i="35"/>
  <c r="M382" i="35"/>
  <c r="N382" i="35"/>
  <c r="H383" i="35"/>
  <c r="M383" i="35"/>
  <c r="N383" i="35"/>
  <c r="H384" i="35"/>
  <c r="M384" i="35"/>
  <c r="N384" i="35"/>
  <c r="H385" i="35"/>
  <c r="M385" i="35"/>
  <c r="N385" i="35"/>
  <c r="H396" i="35"/>
  <c r="M396" i="35"/>
  <c r="N396" i="35"/>
  <c r="H397" i="35"/>
  <c r="M397" i="35"/>
  <c r="N397" i="35"/>
  <c r="H398" i="35"/>
  <c r="M398" i="35"/>
  <c r="N398" i="35"/>
  <c r="H399" i="35"/>
  <c r="M399" i="35"/>
  <c r="N399" i="35"/>
  <c r="H415" i="35"/>
  <c r="M415" i="35"/>
  <c r="N415" i="35"/>
  <c r="H428" i="35"/>
  <c r="M428" i="35"/>
  <c r="N428" i="35"/>
  <c r="H439" i="35"/>
  <c r="M439" i="35"/>
  <c r="N439" i="35"/>
  <c r="H451" i="35"/>
  <c r="M451" i="35"/>
  <c r="N451" i="35"/>
  <c r="H462" i="35"/>
  <c r="M462" i="35"/>
  <c r="N462" i="35"/>
  <c r="H463" i="35"/>
  <c r="M463" i="35"/>
  <c r="N463" i="35"/>
  <c r="H464" i="35"/>
  <c r="M464" i="35"/>
  <c r="N464" i="35"/>
  <c r="H478" i="35"/>
  <c r="M478" i="35"/>
  <c r="N478" i="35"/>
  <c r="H479" i="35"/>
  <c r="M479" i="35"/>
  <c r="N479" i="35"/>
  <c r="H480" i="35"/>
  <c r="M480" i="35"/>
  <c r="N480" i="35"/>
  <c r="H481" i="35"/>
  <c r="M481" i="35"/>
  <c r="N481" i="35"/>
  <c r="H482" i="35"/>
  <c r="M482" i="35"/>
  <c r="N482" i="35"/>
  <c r="H499" i="35"/>
  <c r="M499" i="35"/>
  <c r="N499" i="35"/>
  <c r="H500" i="35"/>
  <c r="M500" i="35"/>
  <c r="N500" i="35"/>
  <c r="H501" i="35"/>
  <c r="M501" i="35"/>
  <c r="N501" i="35"/>
  <c r="H502" i="35"/>
  <c r="M502" i="35"/>
  <c r="N502" i="35"/>
  <c r="H503" i="35"/>
  <c r="M503" i="35"/>
  <c r="N503" i="35"/>
  <c r="H504" i="35"/>
  <c r="M504" i="35"/>
  <c r="N504" i="35"/>
  <c r="H505" i="35"/>
  <c r="M505" i="35"/>
  <c r="N505" i="35"/>
  <c r="H506" i="35"/>
  <c r="M506" i="35"/>
  <c r="N506" i="35"/>
  <c r="H525" i="35"/>
  <c r="M525" i="35"/>
  <c r="N525" i="35"/>
  <c r="H526" i="35"/>
  <c r="M526" i="35"/>
  <c r="N526" i="35"/>
  <c r="H527" i="35"/>
  <c r="M527" i="35"/>
  <c r="N527" i="35"/>
  <c r="H543" i="35"/>
  <c r="M543" i="35"/>
  <c r="N543" i="35"/>
  <c r="H544" i="35"/>
  <c r="M544" i="35"/>
  <c r="N544" i="35"/>
  <c r="H545" i="35"/>
  <c r="M545" i="35"/>
  <c r="N545" i="35"/>
  <c r="H561" i="35"/>
  <c r="M561" i="35"/>
  <c r="N561" i="35"/>
  <c r="H562" i="35"/>
  <c r="M562" i="35"/>
  <c r="N562" i="35"/>
  <c r="H577" i="35"/>
  <c r="M577" i="35"/>
  <c r="N577" i="35"/>
  <c r="H578" i="35"/>
  <c r="M578" i="35"/>
  <c r="N578" i="35"/>
  <c r="H579" i="35"/>
  <c r="M579" i="35"/>
  <c r="N579" i="35"/>
  <c r="H580" i="35"/>
  <c r="M580" i="35"/>
  <c r="N580" i="35"/>
  <c r="H581" i="35"/>
  <c r="M581" i="35"/>
  <c r="N581" i="35"/>
  <c r="H582" i="35"/>
  <c r="M582" i="35"/>
  <c r="N582" i="35"/>
  <c r="H583" i="35"/>
  <c r="M583" i="35"/>
  <c r="N583" i="35"/>
  <c r="H584" i="35"/>
  <c r="M584" i="35"/>
  <c r="N584" i="35"/>
  <c r="H603" i="35"/>
  <c r="M603" i="35"/>
  <c r="N603" i="35"/>
  <c r="H604" i="35"/>
  <c r="M604" i="35"/>
  <c r="N604" i="35"/>
  <c r="H605" i="35"/>
  <c r="M605" i="35"/>
  <c r="N605" i="35"/>
  <c r="H606" i="35"/>
  <c r="M606" i="35"/>
  <c r="N606" i="35"/>
  <c r="H607" i="35"/>
  <c r="M607" i="35"/>
  <c r="N607" i="35"/>
  <c r="H620" i="35"/>
  <c r="M620" i="35"/>
  <c r="N620" i="35"/>
  <c r="H621" i="35"/>
  <c r="M621" i="35"/>
  <c r="N621" i="35"/>
  <c r="H647" i="35"/>
  <c r="M647" i="35"/>
  <c r="N647" i="35"/>
  <c r="H648" i="35"/>
  <c r="M648" i="35"/>
  <c r="N648" i="35"/>
  <c r="H649" i="35"/>
  <c r="M649" i="35"/>
  <c r="N649" i="35"/>
  <c r="H661" i="35"/>
  <c r="M661" i="35"/>
  <c r="N661" i="35"/>
  <c r="H662" i="35"/>
  <c r="M662" i="35"/>
  <c r="N662" i="35"/>
  <c r="H663" i="35"/>
  <c r="M663" i="35"/>
  <c r="N663" i="35"/>
  <c r="H682" i="35"/>
  <c r="M682" i="35"/>
  <c r="N682" i="35"/>
  <c r="H683" i="35"/>
  <c r="M683" i="35"/>
  <c r="N683" i="35"/>
  <c r="H698" i="35"/>
  <c r="M698" i="35"/>
  <c r="N698" i="35"/>
  <c r="H699" i="35"/>
  <c r="M699" i="35"/>
  <c r="N699" i="35"/>
  <c r="H700" i="35"/>
  <c r="M700" i="35"/>
  <c r="N700" i="35"/>
  <c r="H701" i="35"/>
  <c r="M701" i="35"/>
  <c r="N701" i="35"/>
  <c r="H702" i="35"/>
  <c r="M702" i="35"/>
  <c r="N702" i="35"/>
  <c r="H703" i="35"/>
  <c r="M703" i="35"/>
  <c r="N703" i="35"/>
  <c r="H722" i="35"/>
  <c r="M722" i="35"/>
  <c r="N722" i="35"/>
  <c r="H723" i="35"/>
  <c r="M723" i="35"/>
  <c r="N723" i="35"/>
  <c r="H724" i="35"/>
  <c r="M724" i="35"/>
  <c r="N724" i="35"/>
  <c r="H725" i="35"/>
  <c r="M725" i="35"/>
  <c r="N725" i="35"/>
  <c r="H726" i="35"/>
  <c r="M726" i="35"/>
  <c r="N726" i="35"/>
  <c r="H727" i="35"/>
  <c r="M727" i="35"/>
  <c r="N727" i="35"/>
  <c r="H728" i="35"/>
  <c r="M728" i="35"/>
  <c r="N728" i="35"/>
  <c r="H747" i="35"/>
  <c r="M747" i="35"/>
  <c r="N747" i="35"/>
  <c r="H748" i="35"/>
  <c r="M748" i="35"/>
  <c r="N748" i="35"/>
  <c r="H749" i="35"/>
  <c r="M749" i="35"/>
  <c r="N749" i="35"/>
  <c r="H769" i="35"/>
  <c r="M769" i="35"/>
  <c r="N769" i="35"/>
  <c r="H770" i="35"/>
  <c r="M770" i="35"/>
  <c r="N770" i="35"/>
  <c r="H771" i="35"/>
  <c r="M771" i="35"/>
  <c r="N771" i="35"/>
  <c r="H772" i="35"/>
  <c r="M772" i="35"/>
  <c r="N772" i="35"/>
  <c r="H773" i="35"/>
  <c r="M773" i="35"/>
  <c r="N773" i="35"/>
  <c r="H774" i="35"/>
  <c r="M774" i="35"/>
  <c r="N774" i="35"/>
  <c r="H775" i="35"/>
  <c r="M775" i="35"/>
  <c r="N775" i="35"/>
  <c r="H776" i="35"/>
  <c r="M776" i="35"/>
  <c r="N776" i="35"/>
  <c r="H796" i="35"/>
  <c r="M796" i="35"/>
  <c r="N796" i="35"/>
  <c r="H797" i="35"/>
  <c r="M797" i="35"/>
  <c r="N797" i="35"/>
  <c r="H798" i="35"/>
  <c r="M798" i="35"/>
  <c r="N798" i="35"/>
  <c r="H799" i="35"/>
  <c r="M799" i="35"/>
  <c r="N799" i="35"/>
  <c r="H800" i="35"/>
  <c r="M800" i="35"/>
  <c r="N800" i="35"/>
  <c r="H801" i="35"/>
  <c r="M801" i="35"/>
  <c r="N801" i="35"/>
  <c r="H802" i="35"/>
  <c r="M802" i="35"/>
  <c r="N802" i="35"/>
  <c r="H824" i="35"/>
  <c r="M824" i="35"/>
  <c r="N824" i="35"/>
  <c r="H825" i="35"/>
  <c r="M825" i="35"/>
  <c r="N825" i="35"/>
  <c r="H826" i="35"/>
  <c r="M826" i="35"/>
  <c r="N826" i="35"/>
  <c r="H827" i="35"/>
  <c r="M827" i="35"/>
  <c r="N827" i="35"/>
  <c r="H828" i="35"/>
  <c r="M828" i="35"/>
  <c r="N828" i="35"/>
  <c r="H829" i="35"/>
  <c r="M829" i="35"/>
  <c r="N829" i="35"/>
  <c r="H830" i="35"/>
  <c r="M830" i="35"/>
  <c r="N830" i="35"/>
  <c r="H831" i="35"/>
  <c r="M831" i="35"/>
  <c r="N831" i="35"/>
  <c r="H852" i="35"/>
  <c r="M852" i="35"/>
  <c r="N852" i="35"/>
  <c r="H853" i="35"/>
  <c r="M853" i="35"/>
  <c r="N853" i="35"/>
  <c r="H854" i="35"/>
  <c r="M854" i="35"/>
  <c r="N854" i="35"/>
  <c r="H855" i="35"/>
  <c r="M855" i="35"/>
  <c r="N855" i="35"/>
  <c r="H856" i="35"/>
  <c r="M856" i="35"/>
  <c r="N856" i="35"/>
  <c r="H857" i="35"/>
  <c r="M857" i="35"/>
  <c r="N857" i="35"/>
  <c r="H858" i="35"/>
  <c r="M858" i="35"/>
  <c r="N858" i="35"/>
  <c r="H876" i="35"/>
  <c r="M876" i="35"/>
  <c r="N876" i="35"/>
  <c r="H877" i="35"/>
  <c r="M877" i="35"/>
  <c r="N877" i="35"/>
  <c r="H878" i="35"/>
  <c r="M878" i="35"/>
  <c r="N878" i="35"/>
  <c r="H879" i="35"/>
  <c r="M879" i="35"/>
  <c r="N879" i="35"/>
  <c r="H880" i="35"/>
  <c r="M880" i="35"/>
  <c r="N880" i="35"/>
  <c r="H881" i="35"/>
  <c r="M881" i="35"/>
  <c r="N881" i="35"/>
  <c r="H882" i="35"/>
  <c r="M882" i="35"/>
  <c r="N882" i="35"/>
  <c r="H904" i="35"/>
  <c r="M904" i="35"/>
  <c r="N904" i="35"/>
  <c r="H905" i="35"/>
  <c r="M905" i="35"/>
  <c r="N905" i="35"/>
  <c r="H924" i="35"/>
  <c r="M924" i="35"/>
  <c r="N924" i="35"/>
  <c r="H925" i="35"/>
  <c r="M925" i="35"/>
  <c r="N925" i="35"/>
  <c r="H926" i="35"/>
  <c r="M926" i="35"/>
  <c r="N926" i="35"/>
  <c r="H927" i="35"/>
  <c r="M927" i="35"/>
  <c r="N927" i="35"/>
  <c r="H928" i="35"/>
  <c r="M928" i="35"/>
  <c r="N928" i="35"/>
  <c r="H951" i="35"/>
  <c r="M951" i="35"/>
  <c r="N951" i="35"/>
  <c r="H976" i="35"/>
  <c r="M976" i="35"/>
  <c r="N976" i="35"/>
  <c r="H977" i="35"/>
  <c r="M977" i="35"/>
  <c r="N977" i="35"/>
  <c r="H998" i="35"/>
  <c r="M998" i="35"/>
  <c r="N998" i="35"/>
  <c r="H999" i="35"/>
  <c r="M999" i="35"/>
  <c r="N999" i="35"/>
  <c r="H1000" i="35"/>
  <c r="M1000" i="35"/>
  <c r="N1000" i="35"/>
  <c r="H1001" i="35"/>
  <c r="M1001" i="35"/>
  <c r="N1001" i="35"/>
  <c r="H1002" i="35"/>
  <c r="M1002" i="35"/>
  <c r="N1002" i="35"/>
  <c r="H1003" i="35"/>
  <c r="M1003" i="35"/>
  <c r="N1003" i="35"/>
  <c r="H1004" i="35"/>
  <c r="M1004" i="35"/>
  <c r="N1004" i="35"/>
  <c r="H1005" i="35"/>
  <c r="M1005" i="35"/>
  <c r="N1005" i="35"/>
  <c r="H1006" i="35"/>
  <c r="M1006" i="35"/>
  <c r="N1006" i="35"/>
  <c r="H1042" i="35"/>
  <c r="M1042" i="35"/>
  <c r="N1042" i="35"/>
  <c r="H1043" i="35"/>
  <c r="M1043" i="35"/>
  <c r="N1043" i="35"/>
  <c r="H1044" i="35"/>
  <c r="M1044" i="35"/>
  <c r="N1044" i="35"/>
  <c r="H1045" i="35"/>
  <c r="M1045" i="35"/>
  <c r="N1045" i="35"/>
  <c r="H1046" i="35"/>
  <c r="M1046" i="35"/>
  <c r="N1046" i="35"/>
  <c r="H1047" i="35"/>
  <c r="M1047" i="35"/>
  <c r="N1047" i="35"/>
  <c r="H1048" i="35"/>
  <c r="M1048" i="35"/>
  <c r="N1048" i="35"/>
  <c r="H1049" i="35"/>
  <c r="M1049" i="35"/>
  <c r="N1049" i="35"/>
  <c r="H1068" i="35"/>
  <c r="M1068" i="35"/>
  <c r="N1068" i="35"/>
  <c r="H1088" i="35"/>
  <c r="M1088" i="35"/>
  <c r="N1088" i="35"/>
  <c r="H1089" i="35"/>
  <c r="M1089" i="35"/>
  <c r="N1089" i="35"/>
  <c r="H1090" i="35"/>
  <c r="M1090" i="35"/>
  <c r="N1090" i="35"/>
  <c r="H1091" i="35"/>
  <c r="M1091" i="35"/>
  <c r="N1091" i="35"/>
  <c r="H1092" i="35"/>
  <c r="M1092" i="35"/>
  <c r="N1092" i="35"/>
  <c r="H1093" i="35"/>
  <c r="M1093" i="35"/>
  <c r="N1093" i="35"/>
  <c r="H1094" i="35"/>
  <c r="M1094" i="35"/>
  <c r="N1094" i="35"/>
  <c r="H1095" i="35"/>
  <c r="M1095" i="35"/>
  <c r="N1095" i="35"/>
  <c r="H1114" i="35"/>
  <c r="M1114" i="35"/>
  <c r="N1114" i="35"/>
  <c r="H1115" i="35"/>
  <c r="M1115" i="35"/>
  <c r="N1115" i="35"/>
  <c r="H1116" i="35"/>
  <c r="M1116" i="35"/>
  <c r="N1116" i="35"/>
  <c r="H1117" i="35"/>
  <c r="M1117" i="35"/>
  <c r="N1117" i="35"/>
  <c r="H1118" i="35"/>
  <c r="M1118" i="35"/>
  <c r="N1118" i="35"/>
  <c r="H1119" i="35"/>
  <c r="M1119" i="35"/>
  <c r="N1119" i="35"/>
  <c r="H1120" i="35"/>
  <c r="M1120" i="35"/>
  <c r="N1120" i="35"/>
  <c r="H1121" i="35"/>
  <c r="M1121" i="35"/>
  <c r="N1121" i="35"/>
  <c r="H1140" i="35"/>
  <c r="M1140" i="35"/>
  <c r="N1140" i="35"/>
  <c r="H1141" i="35"/>
  <c r="M1141" i="35"/>
  <c r="N1141" i="35"/>
  <c r="H1157" i="35"/>
  <c r="M1157" i="35"/>
  <c r="N1157" i="35"/>
  <c r="H1158" i="35"/>
  <c r="M1158" i="35"/>
  <c r="N1158" i="35"/>
  <c r="H1159" i="35"/>
  <c r="M1159" i="35"/>
  <c r="N1159" i="35"/>
  <c r="H1160" i="35"/>
  <c r="M1160" i="35"/>
  <c r="N1160" i="35"/>
  <c r="N13" i="35"/>
  <c r="M13" i="35"/>
  <c r="H13" i="35"/>
  <c r="G54" i="5"/>
  <c r="G57" i="5"/>
  <c r="G26" i="5"/>
  <c r="G35" i="5"/>
  <c r="E56" i="5"/>
  <c r="J56" i="5" s="1"/>
  <c r="E49" i="5"/>
  <c r="J49" i="5" s="1"/>
  <c r="E48" i="5"/>
  <c r="J48" i="5" s="1"/>
  <c r="E47" i="5"/>
  <c r="J47" i="5" s="1"/>
  <c r="E46" i="5"/>
  <c r="J46" i="5" s="1"/>
  <c r="E43" i="5"/>
  <c r="J43" i="5" s="1"/>
  <c r="E39" i="5"/>
  <c r="J39" i="5" s="1"/>
  <c r="E34" i="5"/>
  <c r="J34" i="5" s="1"/>
  <c r="E33" i="5"/>
  <c r="J33" i="5" s="1"/>
  <c r="E31" i="5"/>
  <c r="E29" i="5"/>
  <c r="J29" i="5" s="1"/>
  <c r="E28" i="5"/>
  <c r="J28" i="5" s="1"/>
  <c r="E27" i="5"/>
  <c r="J27" i="5" s="1"/>
  <c r="E25" i="5"/>
  <c r="J25" i="5" s="1"/>
  <c r="E24" i="5"/>
  <c r="J24" i="5" s="1"/>
  <c r="E23" i="5"/>
  <c r="J23" i="5" s="1"/>
  <c r="E22" i="5"/>
  <c r="J22" i="5" s="1"/>
  <c r="E21" i="5"/>
  <c r="J21" i="5" s="1"/>
  <c r="E20" i="5"/>
  <c r="J20" i="5" s="1"/>
  <c r="E18" i="5"/>
  <c r="J18" i="5" s="1"/>
  <c r="E17" i="5"/>
  <c r="J17" i="5" s="1"/>
  <c r="E15" i="5"/>
  <c r="J15" i="5" s="1"/>
  <c r="E14" i="5"/>
  <c r="J14" i="5" s="1"/>
  <c r="J26" i="5"/>
  <c r="K26" i="5"/>
  <c r="J35" i="5"/>
  <c r="K35" i="5"/>
  <c r="K38" i="5"/>
  <c r="J45" i="5"/>
  <c r="K45" i="5"/>
  <c r="J51" i="5"/>
  <c r="K51" i="5"/>
  <c r="J54" i="5"/>
  <c r="K54" i="5"/>
  <c r="J57" i="5"/>
  <c r="K57" i="5"/>
  <c r="J60" i="5"/>
  <c r="K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K75" i="5"/>
  <c r="D2" i="62"/>
  <c r="E202" i="62"/>
  <c r="E112" i="62"/>
  <c r="E111" i="62"/>
  <c r="E109" i="62"/>
  <c r="E108" i="62"/>
  <c r="E85" i="62"/>
  <c r="E32" i="62"/>
  <c r="E31" i="62"/>
  <c r="E17" i="62"/>
  <c r="E16" i="62"/>
  <c r="E15" i="62"/>
  <c r="E12" i="62"/>
  <c r="E11" i="62"/>
  <c r="E4" i="62"/>
  <c r="J31" i="5" l="1"/>
  <c r="K16" i="59"/>
  <c r="F1160" i="35"/>
  <c r="F1161" i="35"/>
  <c r="F1171" i="35" s="1"/>
  <c r="F1162" i="35"/>
  <c r="F1163" i="35"/>
  <c r="F1164" i="35"/>
  <c r="F1165" i="35"/>
  <c r="F1159" i="35"/>
  <c r="F1166" i="35"/>
  <c r="F1154" i="35"/>
  <c r="B1154" i="35"/>
  <c r="A1154" i="35"/>
  <c r="F1170" i="35"/>
  <c r="F1168" i="35"/>
  <c r="F1158" i="35"/>
  <c r="F1157" i="35"/>
  <c r="K14" i="59"/>
  <c r="K15" i="59"/>
  <c r="K13" i="59"/>
  <c r="K23" i="59"/>
  <c r="K22" i="59"/>
  <c r="M9" i="59"/>
  <c r="B5" i="59"/>
  <c r="E76" i="5"/>
  <c r="F1152" i="35"/>
  <c r="F1150" i="35"/>
  <c r="F1149" i="35"/>
  <c r="F1147" i="35"/>
  <c r="F1146" i="35"/>
  <c r="F1145" i="35"/>
  <c r="F1144" i="35"/>
  <c r="F1143" i="35"/>
  <c r="F1141" i="35"/>
  <c r="F1140" i="35"/>
  <c r="B1137" i="35"/>
  <c r="A1137" i="35"/>
  <c r="F1137" i="35"/>
  <c r="J76" i="5" l="1"/>
  <c r="K36" i="59"/>
  <c r="F1153" i="35"/>
  <c r="F76" i="5" s="1"/>
  <c r="K76" i="5" s="1"/>
  <c r="G76" i="5" l="1"/>
  <c r="H51" i="57"/>
  <c r="H39" i="57" l="1"/>
  <c r="H38" i="57"/>
  <c r="H37" i="57"/>
  <c r="H36" i="57"/>
  <c r="G35" i="57"/>
  <c r="H34" i="57"/>
  <c r="H33" i="57"/>
  <c r="H32" i="57"/>
  <c r="H31" i="57"/>
  <c r="H30" i="57"/>
  <c r="G29" i="57"/>
  <c r="H25" i="57"/>
  <c r="H24" i="57"/>
  <c r="H23" i="57"/>
  <c r="H26" i="57" s="1"/>
  <c r="H43" i="57" s="1"/>
  <c r="C19" i="57"/>
  <c r="F19" i="57" s="1"/>
  <c r="H19" i="57" s="1"/>
  <c r="F18" i="57"/>
  <c r="H18" i="57" s="1"/>
  <c r="F17" i="57"/>
  <c r="H17" i="57" s="1"/>
  <c r="H40" i="57" l="1"/>
  <c r="H44" i="57" s="1"/>
  <c r="H20" i="57"/>
  <c r="H42" i="57" s="1"/>
  <c r="H45" i="57" l="1"/>
  <c r="F598" i="35" l="1"/>
  <c r="F597" i="35"/>
  <c r="F595" i="35"/>
  <c r="F593" i="35"/>
  <c r="F592" i="35"/>
  <c r="F591" i="35"/>
  <c r="F590" i="35"/>
  <c r="F589" i="35"/>
  <c r="F588" i="35"/>
  <c r="F587" i="35"/>
  <c r="F586" i="35"/>
  <c r="F584" i="35"/>
  <c r="F583" i="35"/>
  <c r="F582" i="35"/>
  <c r="F581" i="35"/>
  <c r="F580" i="35"/>
  <c r="F579" i="35"/>
  <c r="F578" i="35"/>
  <c r="F577" i="35"/>
  <c r="F675" i="35"/>
  <c r="F676" i="35"/>
  <c r="X20" i="50"/>
  <c r="X21" i="50"/>
  <c r="K21" i="50"/>
  <c r="C21" i="50"/>
  <c r="K20" i="50"/>
  <c r="K14" i="50"/>
  <c r="K15" i="50"/>
  <c r="K16" i="50"/>
  <c r="K17" i="50"/>
  <c r="L14" i="50" s="1"/>
  <c r="X17" i="50" s="1"/>
  <c r="K18" i="50"/>
  <c r="K19" i="50"/>
  <c r="K13" i="50"/>
  <c r="K36" i="50" s="1"/>
  <c r="F648" i="35"/>
  <c r="F599" i="35" l="1"/>
  <c r="K14" i="48" l="1"/>
  <c r="K15" i="48"/>
  <c r="K16" i="48"/>
  <c r="K17" i="48"/>
  <c r="K18" i="48"/>
  <c r="K19" i="48"/>
  <c r="K13" i="48"/>
  <c r="F556" i="35"/>
  <c r="F554" i="35"/>
  <c r="F552" i="35"/>
  <c r="F551" i="35"/>
  <c r="F550" i="35"/>
  <c r="F549" i="35"/>
  <c r="F548" i="35"/>
  <c r="F547" i="35"/>
  <c r="F545" i="35"/>
  <c r="E544" i="35"/>
  <c r="F544" i="35" s="1"/>
  <c r="E543" i="35"/>
  <c r="F543" i="35" s="1"/>
  <c r="B558" i="35"/>
  <c r="F558" i="35"/>
  <c r="K14" i="41"/>
  <c r="C16" i="38"/>
  <c r="K22" i="33"/>
  <c r="F557" i="35" l="1"/>
  <c r="F48" i="5" s="1"/>
  <c r="K22" i="30"/>
  <c r="K23" i="30"/>
  <c r="K24" i="30"/>
  <c r="K25" i="30"/>
  <c r="K26" i="30"/>
  <c r="K27" i="30"/>
  <c r="K28" i="30"/>
  <c r="F398" i="35"/>
  <c r="F399" i="35"/>
  <c r="K48" i="5" l="1"/>
  <c r="G48" i="5"/>
  <c r="F333" i="35"/>
  <c r="F331" i="35"/>
  <c r="F329" i="35"/>
  <c r="F327" i="35"/>
  <c r="F326" i="35"/>
  <c r="F325" i="35"/>
  <c r="F324" i="35"/>
  <c r="F323" i="35"/>
  <c r="F304" i="35"/>
  <c r="F302" i="35"/>
  <c r="F300" i="35"/>
  <c r="F298" i="35"/>
  <c r="F297" i="35"/>
  <c r="F296" i="35"/>
  <c r="F295" i="35"/>
  <c r="F294" i="35"/>
  <c r="F224" i="35"/>
  <c r="F305" i="35" l="1"/>
  <c r="F334" i="35"/>
  <c r="F33" i="5" s="1"/>
  <c r="AF21" i="21"/>
  <c r="AF20" i="21"/>
  <c r="AF19" i="21"/>
  <c r="AF18" i="21"/>
  <c r="AF17" i="21"/>
  <c r="AF16" i="21"/>
  <c r="AF15" i="21"/>
  <c r="AF14" i="21"/>
  <c r="X13" i="21"/>
  <c r="AF13" i="21" s="1"/>
  <c r="F197" i="35"/>
  <c r="K33" i="5" l="1"/>
  <c r="G33" i="5"/>
  <c r="K24" i="36"/>
  <c r="K23" i="36"/>
  <c r="C14" i="12"/>
  <c r="C13" i="12"/>
  <c r="F91" i="35"/>
  <c r="F88" i="35"/>
  <c r="K14" i="10"/>
  <c r="K15" i="10"/>
  <c r="K16" i="10"/>
  <c r="K17" i="10"/>
  <c r="K18" i="10"/>
  <c r="K19" i="10"/>
  <c r="K20" i="10"/>
  <c r="K21" i="10"/>
  <c r="F73" i="35"/>
  <c r="F41" i="35"/>
  <c r="F16" i="35"/>
  <c r="F17" i="35"/>
  <c r="F70" i="35"/>
  <c r="F71" i="35"/>
  <c r="AF27" i="7" l="1"/>
  <c r="AF26" i="7"/>
  <c r="AF25" i="7"/>
  <c r="AF24" i="7"/>
  <c r="AF23" i="7"/>
  <c r="AF22" i="7"/>
  <c r="AF21" i="7"/>
  <c r="AF20" i="7"/>
  <c r="AF19" i="7"/>
  <c r="AF18" i="7"/>
  <c r="AF17" i="7"/>
  <c r="AF16" i="7"/>
  <c r="AF15" i="7"/>
  <c r="AF14" i="7"/>
  <c r="AF13" i="7"/>
  <c r="K23" i="6" l="1"/>
  <c r="K22" i="6"/>
  <c r="AE21" i="6"/>
  <c r="AE20" i="6"/>
  <c r="AE19" i="6"/>
  <c r="AE18" i="6"/>
  <c r="AE17" i="6"/>
  <c r="AE16" i="6"/>
  <c r="AE15" i="6"/>
  <c r="AE14" i="6"/>
  <c r="AE13" i="6"/>
  <c r="W13" i="6"/>
  <c r="F661" i="35" l="1"/>
  <c r="E642" i="35"/>
  <c r="F18" i="52" l="1"/>
  <c r="K18" i="52" s="1"/>
  <c r="F17" i="52"/>
  <c r="K17" i="52" s="1"/>
  <c r="F16" i="52"/>
  <c r="K16" i="52" s="1"/>
  <c r="F15" i="52"/>
  <c r="K15" i="52" s="1"/>
  <c r="K33" i="52"/>
  <c r="K32" i="52"/>
  <c r="K31" i="52"/>
  <c r="K30" i="52"/>
  <c r="K28" i="52"/>
  <c r="K27" i="52"/>
  <c r="K26" i="52"/>
  <c r="K25" i="52"/>
  <c r="F23" i="52"/>
  <c r="K23" i="52" s="1"/>
  <c r="F22" i="52"/>
  <c r="K22" i="52" s="1"/>
  <c r="F21" i="52"/>
  <c r="K21" i="52" s="1"/>
  <c r="F20" i="52"/>
  <c r="K20" i="52" s="1"/>
  <c r="AH26" i="52"/>
  <c r="AH27" i="52"/>
  <c r="AH28" i="52"/>
  <c r="AH30" i="52"/>
  <c r="AH31" i="52"/>
  <c r="AH32" i="52"/>
  <c r="AH33" i="52"/>
  <c r="AH25" i="52"/>
  <c r="AH23" i="52"/>
  <c r="AC23" i="52"/>
  <c r="AC22" i="52"/>
  <c r="AH22" i="52" s="1"/>
  <c r="AC21" i="52"/>
  <c r="AH21" i="52" s="1"/>
  <c r="AC20" i="52"/>
  <c r="AH20" i="52" s="1"/>
  <c r="AC18" i="52"/>
  <c r="AH18" i="52" s="1"/>
  <c r="AC17" i="52"/>
  <c r="AH17" i="52" s="1"/>
  <c r="AC16" i="52"/>
  <c r="AH16" i="52" s="1"/>
  <c r="AH15" i="52"/>
  <c r="AC15" i="52"/>
  <c r="AH36" i="52" l="1"/>
  <c r="F722" i="35" l="1"/>
  <c r="F1111" i="35"/>
  <c r="B1111" i="35"/>
  <c r="A1111" i="35"/>
  <c r="B1085" i="35"/>
  <c r="A1085" i="35"/>
  <c r="F1065" i="35"/>
  <c r="B1065" i="35"/>
  <c r="A1065" i="35"/>
  <c r="F1039" i="35"/>
  <c r="B1039" i="35"/>
  <c r="A1039" i="35"/>
  <c r="F1022" i="35"/>
  <c r="B1022" i="35"/>
  <c r="A1022" i="35"/>
  <c r="F995" i="35"/>
  <c r="B995" i="35"/>
  <c r="A995" i="35"/>
  <c r="F973" i="35"/>
  <c r="B973" i="35"/>
  <c r="A973" i="35"/>
  <c r="F948" i="35"/>
  <c r="B948" i="35"/>
  <c r="A948" i="35"/>
  <c r="F921" i="35"/>
  <c r="B921" i="35"/>
  <c r="A921" i="35"/>
  <c r="F1133" i="35"/>
  <c r="F1134" i="35" s="1"/>
  <c r="F1129" i="35"/>
  <c r="F1131" i="35" s="1"/>
  <c r="F1125" i="35"/>
  <c r="F1126" i="35" s="1"/>
  <c r="F1121" i="35"/>
  <c r="F1120" i="35"/>
  <c r="F1119" i="35"/>
  <c r="F1118" i="35"/>
  <c r="F1117" i="35"/>
  <c r="F1116" i="35"/>
  <c r="F1115" i="35"/>
  <c r="F1114" i="35"/>
  <c r="F1107" i="35"/>
  <c r="F1108" i="35" s="1"/>
  <c r="F1103" i="35"/>
  <c r="F1105" i="35" s="1"/>
  <c r="F1099" i="35"/>
  <c r="F1100" i="35" s="1"/>
  <c r="F1095" i="35"/>
  <c r="F1094" i="35"/>
  <c r="F1093" i="35"/>
  <c r="F1092" i="35"/>
  <c r="F1091" i="35"/>
  <c r="F1090" i="35"/>
  <c r="F1089" i="35"/>
  <c r="F1088" i="35"/>
  <c r="F1081" i="35"/>
  <c r="F1082" i="35" s="1"/>
  <c r="F1077" i="35"/>
  <c r="F1079" i="35" s="1"/>
  <c r="F1073" i="35"/>
  <c r="F1074" i="35" s="1"/>
  <c r="F1070" i="35"/>
  <c r="F1069" i="35"/>
  <c r="F1068" i="35"/>
  <c r="F1061" i="35"/>
  <c r="F1062" i="35" s="1"/>
  <c r="F1057" i="35"/>
  <c r="F1059" i="35" s="1"/>
  <c r="F1053" i="35"/>
  <c r="F1054" i="35" s="1"/>
  <c r="F1049" i="35"/>
  <c r="F1048" i="35"/>
  <c r="F1047" i="35"/>
  <c r="E1046" i="35"/>
  <c r="F1046" i="35" s="1"/>
  <c r="F1045" i="35"/>
  <c r="F1044" i="35"/>
  <c r="F1043" i="35"/>
  <c r="F1042" i="35"/>
  <c r="F1034" i="35"/>
  <c r="F1035" i="35" s="1"/>
  <c r="F1030" i="35"/>
  <c r="F1026" i="35"/>
  <c r="F1027" i="35" s="1"/>
  <c r="F1018" i="35"/>
  <c r="F1019" i="35" s="1"/>
  <c r="F1014" i="35"/>
  <c r="F1015" i="35" s="1"/>
  <c r="F1010" i="35"/>
  <c r="F1011" i="35" s="1"/>
  <c r="F1006" i="35"/>
  <c r="F1005" i="35"/>
  <c r="F1004" i="35"/>
  <c r="F1003" i="35"/>
  <c r="E1002" i="35"/>
  <c r="F1002" i="35" s="1"/>
  <c r="F1001" i="35"/>
  <c r="F1000" i="35"/>
  <c r="F999" i="35"/>
  <c r="F998" i="35"/>
  <c r="F990" i="35"/>
  <c r="F991" i="35" s="1"/>
  <c r="F986" i="35"/>
  <c r="F987" i="35" s="1"/>
  <c r="F982" i="35"/>
  <c r="F983" i="35" s="1"/>
  <c r="F977" i="35"/>
  <c r="F976" i="35"/>
  <c r="F969" i="35"/>
  <c r="F970" i="35" s="1"/>
  <c r="F965" i="35"/>
  <c r="F966" i="35" s="1"/>
  <c r="F961" i="35"/>
  <c r="F962" i="35" s="1"/>
  <c r="F957" i="35"/>
  <c r="F956" i="35"/>
  <c r="F955" i="35"/>
  <c r="F954" i="35"/>
  <c r="F953" i="35"/>
  <c r="F952" i="35"/>
  <c r="F951" i="35"/>
  <c r="F943" i="35"/>
  <c r="F944" i="35" s="1"/>
  <c r="F939" i="35"/>
  <c r="F940" i="35" s="1"/>
  <c r="F935" i="35"/>
  <c r="F936" i="35" s="1"/>
  <c r="F931" i="35"/>
  <c r="F930" i="35"/>
  <c r="F929" i="35"/>
  <c r="F928" i="35"/>
  <c r="F927" i="35"/>
  <c r="F926" i="35"/>
  <c r="F925" i="35"/>
  <c r="F924" i="35"/>
  <c r="F917" i="35"/>
  <c r="F918" i="35" s="1"/>
  <c r="F913" i="35"/>
  <c r="F914" i="35" s="1"/>
  <c r="F909" i="35"/>
  <c r="F910" i="35" s="1"/>
  <c r="F905" i="35"/>
  <c r="F904" i="35"/>
  <c r="F873" i="35"/>
  <c r="B873" i="35"/>
  <c r="A873" i="35"/>
  <c r="F896" i="35"/>
  <c r="F897" i="35" s="1"/>
  <c r="F892" i="35"/>
  <c r="F893" i="35" s="1"/>
  <c r="F888" i="35"/>
  <c r="F889" i="35" s="1"/>
  <c r="F883" i="35"/>
  <c r="F882" i="35"/>
  <c r="F881" i="35"/>
  <c r="F880" i="35"/>
  <c r="F879" i="35"/>
  <c r="F878" i="35"/>
  <c r="F877" i="35"/>
  <c r="F876" i="35"/>
  <c r="A901" i="35"/>
  <c r="B901" i="35"/>
  <c r="F901" i="35"/>
  <c r="F849" i="35"/>
  <c r="B849" i="35"/>
  <c r="A849" i="35"/>
  <c r="F821" i="35"/>
  <c r="B821" i="35"/>
  <c r="A821" i="35"/>
  <c r="F793" i="35"/>
  <c r="B793" i="35"/>
  <c r="A793" i="35"/>
  <c r="F766" i="35"/>
  <c r="B766" i="35"/>
  <c r="A766" i="35"/>
  <c r="F744" i="35"/>
  <c r="B744" i="35"/>
  <c r="A744" i="35"/>
  <c r="F869" i="35"/>
  <c r="F870" i="35" s="1"/>
  <c r="F865" i="35"/>
  <c r="F866" i="35" s="1"/>
  <c r="F861" i="35"/>
  <c r="F862" i="35" s="1"/>
  <c r="F858" i="35"/>
  <c r="F857" i="35"/>
  <c r="F856" i="35"/>
  <c r="F855" i="35"/>
  <c r="F854" i="35"/>
  <c r="F853" i="35"/>
  <c r="F852" i="35"/>
  <c r="F844" i="35"/>
  <c r="F845" i="35" s="1"/>
  <c r="F840" i="35"/>
  <c r="F841" i="35" s="1"/>
  <c r="F836" i="35"/>
  <c r="F837" i="35" s="1"/>
  <c r="F832" i="35"/>
  <c r="F831" i="35"/>
  <c r="F830" i="35"/>
  <c r="F829" i="35"/>
  <c r="F828" i="35"/>
  <c r="F827" i="35"/>
  <c r="F826" i="35"/>
  <c r="F825" i="35"/>
  <c r="F824" i="35"/>
  <c r="F816" i="35"/>
  <c r="F817" i="35" s="1"/>
  <c r="F812" i="35"/>
  <c r="F813" i="35" s="1"/>
  <c r="F808" i="35"/>
  <c r="F809" i="35" s="1"/>
  <c r="F804" i="35"/>
  <c r="F803" i="35"/>
  <c r="F802" i="35"/>
  <c r="F801" i="35"/>
  <c r="F800" i="35"/>
  <c r="F799" i="35"/>
  <c r="F798" i="35"/>
  <c r="F797" i="35"/>
  <c r="F796" i="35"/>
  <c r="F788" i="35"/>
  <c r="F789" i="35" s="1"/>
  <c r="F784" i="35"/>
  <c r="F786" i="35" s="1"/>
  <c r="F780" i="35"/>
  <c r="F781" i="35" s="1"/>
  <c r="F776" i="35"/>
  <c r="F775" i="35"/>
  <c r="F774" i="35"/>
  <c r="F773" i="35"/>
  <c r="F772" i="35"/>
  <c r="F771" i="35"/>
  <c r="F770" i="35"/>
  <c r="F769" i="35"/>
  <c r="F761" i="35"/>
  <c r="F762" i="35" s="1"/>
  <c r="F757" i="35"/>
  <c r="F758" i="35" s="1"/>
  <c r="F753" i="35"/>
  <c r="F754" i="35" s="1"/>
  <c r="F749" i="35"/>
  <c r="F748" i="35"/>
  <c r="F747" i="35"/>
  <c r="F978" i="35" l="1"/>
  <c r="F993" i="35" s="1"/>
  <c r="F958" i="35"/>
  <c r="F972" i="35" s="1"/>
  <c r="F69" i="5" s="1"/>
  <c r="F1007" i="35"/>
  <c r="F1021" i="35" s="1"/>
  <c r="F906" i="35"/>
  <c r="F920" i="35" s="1"/>
  <c r="F67" i="5" s="1"/>
  <c r="F932" i="35"/>
  <c r="F946" i="35" s="1"/>
  <c r="F68" i="5" s="1"/>
  <c r="F1051" i="35"/>
  <c r="F1064" i="35" s="1"/>
  <c r="F71" i="5" s="1"/>
  <c r="F1071" i="35"/>
  <c r="F1084" i="35" s="1"/>
  <c r="F72" i="5" s="1"/>
  <c r="F1097" i="35"/>
  <c r="F1110" i="35" s="1"/>
  <c r="F73" i="5" s="1"/>
  <c r="F1123" i="35"/>
  <c r="F1136" i="35" s="1"/>
  <c r="F74" i="5" s="1"/>
  <c r="F1031" i="35"/>
  <c r="F1037" i="35" s="1"/>
  <c r="F70" i="5" s="1"/>
  <c r="F805" i="35"/>
  <c r="F819" i="35" s="1"/>
  <c r="F63" i="5" s="1"/>
  <c r="F833" i="35"/>
  <c r="F847" i="35" s="1"/>
  <c r="F64" i="5" s="1"/>
  <c r="F885" i="35"/>
  <c r="F899" i="35" s="1"/>
  <c r="F66" i="5" s="1"/>
  <c r="F750" i="35"/>
  <c r="F764" i="35" s="1"/>
  <c r="F61" i="5" s="1"/>
  <c r="F778" i="35"/>
  <c r="F791" i="35" s="1"/>
  <c r="F62" i="5" s="1"/>
  <c r="F859" i="35"/>
  <c r="F872" i="35" s="1"/>
  <c r="F65" i="5" s="1"/>
  <c r="G62" i="5" l="1"/>
  <c r="K62" i="5"/>
  <c r="K70" i="5"/>
  <c r="G70" i="5"/>
  <c r="K69" i="5"/>
  <c r="G69" i="5"/>
  <c r="K65" i="5"/>
  <c r="G65" i="5"/>
  <c r="G68" i="5"/>
  <c r="K68" i="5"/>
  <c r="G63" i="5"/>
  <c r="K63" i="5"/>
  <c r="K74" i="5"/>
  <c r="G74" i="5"/>
  <c r="K73" i="5"/>
  <c r="G73" i="5"/>
  <c r="K72" i="5"/>
  <c r="G72" i="5"/>
  <c r="G61" i="5"/>
  <c r="K61" i="5"/>
  <c r="G71" i="5"/>
  <c r="K71" i="5"/>
  <c r="K66" i="5"/>
  <c r="G66" i="5"/>
  <c r="G64" i="5"/>
  <c r="K64" i="5"/>
  <c r="G67" i="5"/>
  <c r="K67" i="5"/>
  <c r="K21" i="33"/>
  <c r="F181" i="35" l="1"/>
  <c r="F162" i="35"/>
  <c r="E69" i="35"/>
  <c r="F69" i="35" s="1"/>
  <c r="M9" i="56"/>
  <c r="M9" i="53"/>
  <c r="M9" i="52"/>
  <c r="M9" i="50"/>
  <c r="M9" i="49"/>
  <c r="F728" i="35"/>
  <c r="F719" i="35"/>
  <c r="B719" i="35"/>
  <c r="A719" i="35"/>
  <c r="F742" i="35"/>
  <c r="F741" i="35"/>
  <c r="F739" i="35"/>
  <c r="F737" i="35"/>
  <c r="F736" i="35"/>
  <c r="F735" i="35"/>
  <c r="F734" i="35"/>
  <c r="F733" i="35"/>
  <c r="E732" i="35"/>
  <c r="F732" i="35" s="1"/>
  <c r="E731" i="35"/>
  <c r="F731" i="35" s="1"/>
  <c r="F730" i="35"/>
  <c r="F727" i="35"/>
  <c r="F726" i="35"/>
  <c r="F725" i="35"/>
  <c r="F724" i="35"/>
  <c r="F723" i="35"/>
  <c r="K17" i="56"/>
  <c r="K16" i="56"/>
  <c r="K23" i="56"/>
  <c r="K22" i="56"/>
  <c r="K14" i="56"/>
  <c r="K13" i="56"/>
  <c r="B5" i="56"/>
  <c r="F574" i="35"/>
  <c r="B574" i="35"/>
  <c r="A574" i="35"/>
  <c r="C14" i="55"/>
  <c r="K14" i="55" s="1"/>
  <c r="M9" i="55"/>
  <c r="J36" i="55"/>
  <c r="K22" i="55"/>
  <c r="B5" i="55"/>
  <c r="K16" i="38"/>
  <c r="F615" i="35"/>
  <c r="F613" i="35"/>
  <c r="F611" i="35"/>
  <c r="F610" i="35"/>
  <c r="F609" i="35"/>
  <c r="F607" i="35"/>
  <c r="F606" i="35"/>
  <c r="F605" i="35"/>
  <c r="F604" i="35"/>
  <c r="F603" i="35"/>
  <c r="F600" i="35"/>
  <c r="B600" i="35"/>
  <c r="A600" i="35"/>
  <c r="M9" i="54"/>
  <c r="K15" i="54"/>
  <c r="K16" i="54"/>
  <c r="K13" i="54"/>
  <c r="J36" i="54"/>
  <c r="K22" i="54"/>
  <c r="K21" i="54"/>
  <c r="K20" i="54"/>
  <c r="C14" i="54"/>
  <c r="K14" i="54" s="1"/>
  <c r="B5" i="54"/>
  <c r="K36" i="54" l="1"/>
  <c r="F616" i="35"/>
  <c r="E52" i="5"/>
  <c r="F743" i="35"/>
  <c r="F59" i="5" s="1"/>
  <c r="K59" i="5" s="1"/>
  <c r="K36" i="56"/>
  <c r="E59" i="5" s="1"/>
  <c r="F50" i="5"/>
  <c r="K50" i="5" s="1"/>
  <c r="F52" i="5"/>
  <c r="K52" i="5" s="1"/>
  <c r="K36" i="55"/>
  <c r="E50" i="5" s="1"/>
  <c r="F712" i="35"/>
  <c r="F515" i="35"/>
  <c r="F717" i="35"/>
  <c r="F716" i="35"/>
  <c r="F714" i="35"/>
  <c r="F711" i="35"/>
  <c r="F710" i="35"/>
  <c r="F709" i="35"/>
  <c r="F708" i="35"/>
  <c r="F707" i="35"/>
  <c r="F706" i="35"/>
  <c r="F705" i="35"/>
  <c r="F703" i="35"/>
  <c r="F702" i="35"/>
  <c r="F701" i="35"/>
  <c r="F700" i="35"/>
  <c r="F699" i="35"/>
  <c r="F695" i="35"/>
  <c r="B695" i="35"/>
  <c r="A695" i="35"/>
  <c r="F698" i="35"/>
  <c r="F679" i="35"/>
  <c r="B679" i="35"/>
  <c r="A679" i="35"/>
  <c r="E693" i="35"/>
  <c r="F693" i="35" s="1"/>
  <c r="F692" i="35"/>
  <c r="F691" i="35"/>
  <c r="F690" i="35"/>
  <c r="F689" i="35"/>
  <c r="E688" i="35"/>
  <c r="F688" i="35" s="1"/>
  <c r="E687" i="35"/>
  <c r="F687" i="35" s="1"/>
  <c r="E686" i="35"/>
  <c r="F686" i="35" s="1"/>
  <c r="E685" i="35"/>
  <c r="F684" i="35"/>
  <c r="E683" i="35"/>
  <c r="F683" i="35" s="1"/>
  <c r="E682" i="35"/>
  <c r="F682" i="35" s="1"/>
  <c r="F663" i="35"/>
  <c r="F662" i="35"/>
  <c r="F670" i="35"/>
  <c r="F669" i="35"/>
  <c r="F668" i="35"/>
  <c r="F667" i="35"/>
  <c r="F666" i="35"/>
  <c r="F658" i="35"/>
  <c r="B658" i="35"/>
  <c r="A658" i="35"/>
  <c r="F674" i="35"/>
  <c r="F652" i="35"/>
  <c r="E638" i="35"/>
  <c r="F638" i="35" s="1"/>
  <c r="E637" i="35"/>
  <c r="F637" i="35" s="1"/>
  <c r="E636" i="35"/>
  <c r="F636" i="35" s="1"/>
  <c r="E635" i="35"/>
  <c r="F635" i="35" s="1"/>
  <c r="E634" i="35"/>
  <c r="F634" i="35" s="1"/>
  <c r="E633" i="35"/>
  <c r="F633" i="35" s="1"/>
  <c r="F642" i="35"/>
  <c r="F629" i="35"/>
  <c r="B629" i="35"/>
  <c r="A629" i="35"/>
  <c r="F641" i="35"/>
  <c r="F640" i="35"/>
  <c r="K16" i="53"/>
  <c r="C14" i="51"/>
  <c r="K14" i="51" s="1"/>
  <c r="K17" i="53"/>
  <c r="K18" i="53"/>
  <c r="K15" i="53"/>
  <c r="F16" i="53"/>
  <c r="F17" i="53"/>
  <c r="F18" i="53"/>
  <c r="F15" i="53"/>
  <c r="K23" i="53"/>
  <c r="K22" i="53"/>
  <c r="K21" i="53"/>
  <c r="K20" i="53"/>
  <c r="K14" i="53"/>
  <c r="K13" i="53"/>
  <c r="B5" i="53"/>
  <c r="K14" i="52"/>
  <c r="K13" i="52"/>
  <c r="B5" i="52"/>
  <c r="M9" i="51"/>
  <c r="K15" i="51"/>
  <c r="K16" i="51"/>
  <c r="K13" i="51"/>
  <c r="J36" i="51"/>
  <c r="K22" i="51"/>
  <c r="K21" i="51"/>
  <c r="K20" i="51"/>
  <c r="B5" i="51"/>
  <c r="B5" i="50"/>
  <c r="G50" i="5" l="1"/>
  <c r="J50" i="5"/>
  <c r="G59" i="5"/>
  <c r="J59" i="5"/>
  <c r="G52" i="5"/>
  <c r="J52" i="5"/>
  <c r="F678" i="35"/>
  <c r="F718" i="35"/>
  <c r="F58" i="5"/>
  <c r="K58" i="5" s="1"/>
  <c r="F694" i="35"/>
  <c r="F56" i="5"/>
  <c r="F643" i="35"/>
  <c r="K36" i="53"/>
  <c r="E58" i="5" s="1"/>
  <c r="K36" i="52"/>
  <c r="K36" i="51"/>
  <c r="F644" i="35"/>
  <c r="B644" i="35"/>
  <c r="A644" i="35"/>
  <c r="F656" i="35"/>
  <c r="F651" i="35"/>
  <c r="F649" i="35"/>
  <c r="F647" i="35"/>
  <c r="J36" i="49"/>
  <c r="K22" i="49"/>
  <c r="K21" i="49"/>
  <c r="K20" i="49"/>
  <c r="K16" i="49"/>
  <c r="K15" i="49"/>
  <c r="K14" i="49"/>
  <c r="C14" i="49"/>
  <c r="K13" i="49"/>
  <c r="B5" i="49"/>
  <c r="M9" i="48"/>
  <c r="F617" i="35"/>
  <c r="B617" i="35"/>
  <c r="A617" i="35"/>
  <c r="F627" i="35"/>
  <c r="F626" i="35"/>
  <c r="F623" i="35"/>
  <c r="F622" i="35"/>
  <c r="F621" i="35"/>
  <c r="F620" i="35"/>
  <c r="J36" i="48"/>
  <c r="K22" i="48"/>
  <c r="K21" i="48"/>
  <c r="K20" i="48"/>
  <c r="B5" i="48"/>
  <c r="M9" i="43"/>
  <c r="J36" i="43"/>
  <c r="K22" i="43"/>
  <c r="K21" i="43"/>
  <c r="K20" i="43"/>
  <c r="B5" i="43"/>
  <c r="F572" i="35"/>
  <c r="F571" i="35"/>
  <c r="F570" i="35"/>
  <c r="F569" i="35"/>
  <c r="F568" i="35"/>
  <c r="F567" i="35"/>
  <c r="F566" i="35"/>
  <c r="F565" i="35"/>
  <c r="F563" i="35"/>
  <c r="F562" i="35"/>
  <c r="F561" i="35"/>
  <c r="M9" i="42"/>
  <c r="J36" i="42"/>
  <c r="K22" i="42"/>
  <c r="K21" i="42"/>
  <c r="K20" i="42"/>
  <c r="K19" i="42"/>
  <c r="K18" i="42"/>
  <c r="K17" i="42"/>
  <c r="K16" i="42"/>
  <c r="K15" i="42"/>
  <c r="K14" i="42"/>
  <c r="B5" i="42"/>
  <c r="A558" i="35"/>
  <c r="K16" i="41"/>
  <c r="K15" i="41"/>
  <c r="M9" i="41"/>
  <c r="J36" i="41"/>
  <c r="K22" i="41"/>
  <c r="K21" i="41"/>
  <c r="K20" i="41"/>
  <c r="K19" i="41"/>
  <c r="K18" i="41"/>
  <c r="K17" i="41"/>
  <c r="B5" i="41"/>
  <c r="F540" i="35"/>
  <c r="B540" i="35"/>
  <c r="A540" i="35"/>
  <c r="F538" i="35"/>
  <c r="F536" i="35"/>
  <c r="F534" i="35"/>
  <c r="F533" i="35"/>
  <c r="F532" i="35"/>
  <c r="F531" i="35"/>
  <c r="F530" i="35"/>
  <c r="F529" i="35"/>
  <c r="F527" i="35"/>
  <c r="E526" i="35"/>
  <c r="F526" i="35" s="1"/>
  <c r="E525" i="35"/>
  <c r="C15" i="38"/>
  <c r="K15" i="38" s="1"/>
  <c r="C14" i="38"/>
  <c r="K14" i="38" s="1"/>
  <c r="M9" i="38"/>
  <c r="F501" i="35"/>
  <c r="F500" i="35"/>
  <c r="F499" i="35"/>
  <c r="F520" i="35"/>
  <c r="F519" i="35"/>
  <c r="F517" i="35"/>
  <c r="F514" i="35"/>
  <c r="F513" i="35"/>
  <c r="F512" i="35"/>
  <c r="F511" i="35"/>
  <c r="F510" i="35"/>
  <c r="F509" i="35"/>
  <c r="F506" i="35"/>
  <c r="F505" i="35"/>
  <c r="F504" i="35"/>
  <c r="F503" i="35"/>
  <c r="F502" i="35"/>
  <c r="B496" i="35"/>
  <c r="K14" i="40"/>
  <c r="C15" i="40"/>
  <c r="K15" i="40" s="1"/>
  <c r="C14" i="40"/>
  <c r="M9" i="40"/>
  <c r="J36" i="40"/>
  <c r="K22" i="40"/>
  <c r="K21" i="40"/>
  <c r="K20" i="40"/>
  <c r="K19" i="40"/>
  <c r="K18" i="40"/>
  <c r="K17" i="40"/>
  <c r="K16" i="40"/>
  <c r="B5" i="40"/>
  <c r="F483" i="35"/>
  <c r="F491" i="35"/>
  <c r="F493" i="35"/>
  <c r="F494" i="35"/>
  <c r="F492" i="35"/>
  <c r="F490" i="35"/>
  <c r="F489" i="35"/>
  <c r="F488" i="35"/>
  <c r="F487" i="35"/>
  <c r="F486" i="35"/>
  <c r="F485" i="35"/>
  <c r="F484" i="35"/>
  <c r="F482" i="35"/>
  <c r="F481" i="35"/>
  <c r="F480" i="35"/>
  <c r="F479" i="35"/>
  <c r="F464" i="35"/>
  <c r="F463" i="35"/>
  <c r="E455" i="35"/>
  <c r="F455" i="35" s="1"/>
  <c r="E444" i="35"/>
  <c r="F444" i="35" s="1"/>
  <c r="F448" i="35"/>
  <c r="B448" i="35"/>
  <c r="A448" i="35"/>
  <c r="F457" i="35"/>
  <c r="F456" i="35"/>
  <c r="F454" i="35"/>
  <c r="F453" i="35"/>
  <c r="F452" i="35"/>
  <c r="F451" i="35"/>
  <c r="M9" i="39"/>
  <c r="J38" i="39"/>
  <c r="K14" i="39"/>
  <c r="K38" i="39" s="1"/>
  <c r="E42" i="5" s="1"/>
  <c r="B5" i="39"/>
  <c r="F446" i="35"/>
  <c r="F445" i="35"/>
  <c r="F443" i="35"/>
  <c r="F442" i="35"/>
  <c r="F441" i="35"/>
  <c r="F439" i="35"/>
  <c r="F434" i="35"/>
  <c r="F433" i="35"/>
  <c r="F431" i="35"/>
  <c r="F430" i="35"/>
  <c r="F429" i="35"/>
  <c r="F428" i="35"/>
  <c r="J42" i="5" l="1"/>
  <c r="J58" i="5"/>
  <c r="G58" i="5"/>
  <c r="K56" i="5"/>
  <c r="G56" i="5"/>
  <c r="K36" i="40"/>
  <c r="E44" i="5" s="1"/>
  <c r="F435" i="35"/>
  <c r="F40" i="5" s="1"/>
  <c r="K40" i="5" s="1"/>
  <c r="F573" i="35"/>
  <c r="F49" i="5" s="1"/>
  <c r="F657" i="35"/>
  <c r="F55" i="5" s="1"/>
  <c r="K55" i="5" s="1"/>
  <c r="F628" i="35"/>
  <c r="F458" i="35"/>
  <c r="F42" i="5" s="1"/>
  <c r="K42" i="5" s="1"/>
  <c r="F447" i="35"/>
  <c r="F41" i="5" s="1"/>
  <c r="K41" i="5" s="1"/>
  <c r="K36" i="42"/>
  <c r="K36" i="49"/>
  <c r="E55" i="5" s="1"/>
  <c r="K36" i="48"/>
  <c r="E53" i="5" s="1"/>
  <c r="F53" i="5"/>
  <c r="K53" i="5" s="1"/>
  <c r="K36" i="41"/>
  <c r="F423" i="35"/>
  <c r="F419" i="35"/>
  <c r="F422" i="35"/>
  <c r="F420" i="35"/>
  <c r="F418" i="35"/>
  <c r="F417" i="35"/>
  <c r="F416" i="35"/>
  <c r="F415" i="35"/>
  <c r="E397" i="35"/>
  <c r="F397" i="35" s="1"/>
  <c r="E410" i="35"/>
  <c r="E408" i="35"/>
  <c r="F383" i="35"/>
  <c r="F391" i="35"/>
  <c r="F390" i="35"/>
  <c r="F389" i="35"/>
  <c r="F388" i="35"/>
  <c r="F387" i="35"/>
  <c r="F386" i="35"/>
  <c r="F385" i="35"/>
  <c r="F384" i="35"/>
  <c r="F382" i="35"/>
  <c r="F377" i="35"/>
  <c r="F375" i="35"/>
  <c r="F371" i="35"/>
  <c r="F372" i="35"/>
  <c r="F373" i="35"/>
  <c r="F374" i="35"/>
  <c r="F376" i="35"/>
  <c r="F367" i="35"/>
  <c r="F370" i="35"/>
  <c r="F369" i="35"/>
  <c r="F368" i="35"/>
  <c r="D362" i="35"/>
  <c r="F361" i="35"/>
  <c r="E362" i="35"/>
  <c r="E358" i="35"/>
  <c r="F358" i="35" s="1"/>
  <c r="F338" i="35"/>
  <c r="F341" i="35"/>
  <c r="F340" i="35"/>
  <c r="F339" i="35"/>
  <c r="B335" i="35"/>
  <c r="F335" i="35"/>
  <c r="F283" i="35"/>
  <c r="F289" i="35"/>
  <c r="F287" i="35"/>
  <c r="F285" i="35"/>
  <c r="F282" i="35"/>
  <c r="F281" i="35"/>
  <c r="F280" i="35"/>
  <c r="F274" i="35"/>
  <c r="F272" i="35"/>
  <c r="F270" i="35"/>
  <c r="F269" i="35"/>
  <c r="F268" i="35"/>
  <c r="F267" i="35"/>
  <c r="F265" i="35"/>
  <c r="F264" i="35"/>
  <c r="F252" i="35"/>
  <c r="F256" i="35"/>
  <c r="F258" i="35"/>
  <c r="F259" i="35"/>
  <c r="F257" i="35"/>
  <c r="F255" i="35"/>
  <c r="F254" i="35"/>
  <c r="F253" i="35"/>
  <c r="F251" i="35"/>
  <c r="F250" i="35"/>
  <c r="F249" i="35"/>
  <c r="F232" i="35"/>
  <c r="F240" i="35"/>
  <c r="F242" i="35"/>
  <c r="F243" i="35"/>
  <c r="F241" i="35"/>
  <c r="F239" i="35"/>
  <c r="F238" i="35"/>
  <c r="F237" i="35"/>
  <c r="F236" i="35"/>
  <c r="F235" i="35"/>
  <c r="F234" i="35"/>
  <c r="F233" i="35"/>
  <c r="F231" i="35"/>
  <c r="F230" i="35"/>
  <c r="F229" i="35"/>
  <c r="F228" i="35"/>
  <c r="F227" i="35"/>
  <c r="F226" i="35"/>
  <c r="F225" i="35"/>
  <c r="F223" i="35"/>
  <c r="E218" i="35"/>
  <c r="E214" i="35"/>
  <c r="E213" i="35"/>
  <c r="E201" i="35"/>
  <c r="F196" i="35"/>
  <c r="F190" i="35"/>
  <c r="F188" i="35"/>
  <c r="F185" i="35"/>
  <c r="F184" i="35"/>
  <c r="F183" i="35"/>
  <c r="F180" i="35"/>
  <c r="F179" i="35"/>
  <c r="F178" i="35"/>
  <c r="F177" i="35"/>
  <c r="E176" i="35"/>
  <c r="F176" i="35" s="1"/>
  <c r="E175" i="35"/>
  <c r="F175" i="35" s="1"/>
  <c r="F170" i="35"/>
  <c r="F168" i="35"/>
  <c r="F166" i="35"/>
  <c r="F165" i="35"/>
  <c r="F164" i="35"/>
  <c r="F161" i="35"/>
  <c r="F160" i="35"/>
  <c r="F159" i="35"/>
  <c r="F158" i="35"/>
  <c r="F157" i="35"/>
  <c r="F156" i="35"/>
  <c r="F151" i="35"/>
  <c r="F149" i="35"/>
  <c r="F146" i="35"/>
  <c r="F145" i="35"/>
  <c r="F144" i="35"/>
  <c r="F142" i="35"/>
  <c r="F141" i="35"/>
  <c r="F140" i="35"/>
  <c r="F139" i="35"/>
  <c r="F138" i="35"/>
  <c r="F137" i="35"/>
  <c r="F119" i="35"/>
  <c r="F120" i="35"/>
  <c r="E132" i="35"/>
  <c r="E130" i="35"/>
  <c r="E127" i="35"/>
  <c r="E126" i="35"/>
  <c r="E125" i="35"/>
  <c r="E123" i="35"/>
  <c r="F123" i="35" s="1"/>
  <c r="E122" i="35"/>
  <c r="F122" i="35" s="1"/>
  <c r="E121" i="35"/>
  <c r="F121" i="35" s="1"/>
  <c r="E118" i="35"/>
  <c r="F118" i="35" s="1"/>
  <c r="E117" i="35"/>
  <c r="F112" i="35"/>
  <c r="F106" i="35"/>
  <c r="F103" i="35"/>
  <c r="F102" i="35"/>
  <c r="F87" i="35"/>
  <c r="F86" i="35"/>
  <c r="F85" i="35"/>
  <c r="F99" i="35"/>
  <c r="B99" i="35"/>
  <c r="F104" i="35"/>
  <c r="F82" i="35"/>
  <c r="B82" i="35"/>
  <c r="A82" i="35"/>
  <c r="F97" i="35"/>
  <c r="F92" i="35"/>
  <c r="E90" i="35"/>
  <c r="F90" i="35" s="1"/>
  <c r="F49" i="35"/>
  <c r="F44" i="35"/>
  <c r="F43" i="35"/>
  <c r="F42" i="35"/>
  <c r="F15" i="35"/>
  <c r="J55" i="5" l="1"/>
  <c r="G55" i="5"/>
  <c r="J44" i="5"/>
  <c r="J53" i="5"/>
  <c r="G53" i="5"/>
  <c r="K49" i="5"/>
  <c r="G49" i="5"/>
  <c r="G42" i="5"/>
  <c r="F191" i="35"/>
  <c r="F24" i="5" s="1"/>
  <c r="F244" i="35"/>
  <c r="F27" i="5" s="1"/>
  <c r="F424" i="35"/>
  <c r="F39" i="5" s="1"/>
  <c r="F392" i="35"/>
  <c r="F37" i="5" s="1"/>
  <c r="K37" i="5" s="1"/>
  <c r="F152" i="35"/>
  <c r="F22" i="5" s="1"/>
  <c r="F98" i="35"/>
  <c r="F50" i="35"/>
  <c r="F378" i="35"/>
  <c r="F36" i="5" s="1"/>
  <c r="K36" i="5" s="1"/>
  <c r="F31" i="5"/>
  <c r="F275" i="35"/>
  <c r="F29" i="5" s="1"/>
  <c r="F171" i="35"/>
  <c r="F23" i="5" s="1"/>
  <c r="F113" i="35"/>
  <c r="F20" i="5" s="1"/>
  <c r="K29" i="5" l="1"/>
  <c r="G29" i="5"/>
  <c r="K24" i="5"/>
  <c r="G24" i="5"/>
  <c r="K31" i="5"/>
  <c r="G31" i="5"/>
  <c r="K20" i="5"/>
  <c r="G20" i="5"/>
  <c r="K27" i="5"/>
  <c r="G27" i="5"/>
  <c r="K22" i="5"/>
  <c r="G22" i="5"/>
  <c r="K23" i="5"/>
  <c r="G23" i="5"/>
  <c r="K39" i="5"/>
  <c r="G39" i="5"/>
  <c r="J36" i="38"/>
  <c r="K22" i="38"/>
  <c r="K21" i="38"/>
  <c r="K20" i="38"/>
  <c r="K19" i="38"/>
  <c r="K18" i="38"/>
  <c r="K17" i="38"/>
  <c r="B5" i="38"/>
  <c r="K36" i="38" l="1"/>
  <c r="M9" i="37"/>
  <c r="J38" i="37"/>
  <c r="C22" i="37"/>
  <c r="K22" i="37" s="1"/>
  <c r="K38" i="37" s="1"/>
  <c r="B5" i="37"/>
  <c r="M9" i="36"/>
  <c r="J38" i="36"/>
  <c r="C22" i="36"/>
  <c r="B5" i="36"/>
  <c r="C13" i="10"/>
  <c r="K13" i="10" s="1"/>
  <c r="K38" i="10" s="1"/>
  <c r="C22" i="10"/>
  <c r="K22" i="10" s="1"/>
  <c r="K14" i="8"/>
  <c r="F522" i="35"/>
  <c r="B522" i="35"/>
  <c r="A522" i="35"/>
  <c r="F525" i="35"/>
  <c r="F539" i="35" s="1"/>
  <c r="F496" i="35"/>
  <c r="A496" i="35"/>
  <c r="F508" i="35"/>
  <c r="F475" i="35"/>
  <c r="B475" i="35"/>
  <c r="A475" i="35"/>
  <c r="F478" i="35"/>
  <c r="F459" i="35"/>
  <c r="B459" i="35"/>
  <c r="A459" i="35"/>
  <c r="F473" i="35"/>
  <c r="F472" i="35"/>
  <c r="F471" i="35"/>
  <c r="F470" i="35"/>
  <c r="F469" i="35"/>
  <c r="F468" i="35"/>
  <c r="F467" i="35"/>
  <c r="F466" i="35"/>
  <c r="F465" i="35"/>
  <c r="F462" i="35"/>
  <c r="F436" i="35"/>
  <c r="B436" i="35"/>
  <c r="A436" i="35"/>
  <c r="F425" i="35"/>
  <c r="B425" i="35"/>
  <c r="A425" i="35"/>
  <c r="F412" i="35"/>
  <c r="B412" i="35"/>
  <c r="A412" i="35"/>
  <c r="F393" i="35"/>
  <c r="B393" i="35"/>
  <c r="A393" i="35"/>
  <c r="F410" i="35"/>
  <c r="F409" i="35"/>
  <c r="F408" i="35"/>
  <c r="F405" i="35"/>
  <c r="F404" i="35"/>
  <c r="F403" i="35"/>
  <c r="F402" i="35"/>
  <c r="F396" i="35"/>
  <c r="F379" i="35"/>
  <c r="B379" i="35"/>
  <c r="A379" i="35"/>
  <c r="F364" i="35"/>
  <c r="B364" i="35"/>
  <c r="A364" i="35"/>
  <c r="F353" i="35"/>
  <c r="B353" i="35"/>
  <c r="A353" i="35"/>
  <c r="F362" i="35"/>
  <c r="A335" i="35"/>
  <c r="F351" i="35"/>
  <c r="F350" i="35"/>
  <c r="F349" i="35"/>
  <c r="F346" i="35"/>
  <c r="F345" i="35"/>
  <c r="F344" i="35"/>
  <c r="F320" i="35"/>
  <c r="B320" i="35"/>
  <c r="A320" i="35"/>
  <c r="F306" i="35"/>
  <c r="B306" i="35"/>
  <c r="A306" i="35"/>
  <c r="F318" i="35"/>
  <c r="F313" i="35"/>
  <c r="F312" i="35"/>
  <c r="F311" i="35"/>
  <c r="F291" i="35"/>
  <c r="B291" i="35"/>
  <c r="A291" i="35"/>
  <c r="B276" i="35"/>
  <c r="A276" i="35"/>
  <c r="F279" i="35"/>
  <c r="F290" i="35" s="1"/>
  <c r="F276" i="35"/>
  <c r="F261" i="35"/>
  <c r="B261" i="35"/>
  <c r="A261" i="35"/>
  <c r="F245" i="35"/>
  <c r="B245" i="35"/>
  <c r="A245" i="35"/>
  <c r="F248" i="35"/>
  <c r="F220" i="35"/>
  <c r="B220" i="35"/>
  <c r="A220" i="35"/>
  <c r="F208" i="35"/>
  <c r="B208" i="35"/>
  <c r="A208" i="35"/>
  <c r="F218" i="35"/>
  <c r="F217" i="35"/>
  <c r="F216" i="35"/>
  <c r="F215" i="35"/>
  <c r="F214" i="35"/>
  <c r="F213" i="35"/>
  <c r="F212" i="35"/>
  <c r="F211" i="35"/>
  <c r="F192" i="35"/>
  <c r="B192" i="35"/>
  <c r="A192" i="35"/>
  <c r="F206" i="35"/>
  <c r="F204" i="35"/>
  <c r="F202" i="35"/>
  <c r="F201" i="35"/>
  <c r="F200" i="35"/>
  <c r="F199" i="35"/>
  <c r="F195" i="35"/>
  <c r="F172" i="35"/>
  <c r="B172" i="35"/>
  <c r="A172" i="35"/>
  <c r="F153" i="35"/>
  <c r="B153" i="35"/>
  <c r="A153" i="35"/>
  <c r="F134" i="35"/>
  <c r="B134" i="35"/>
  <c r="A134" i="35"/>
  <c r="F114" i="35"/>
  <c r="B114" i="35"/>
  <c r="A114" i="35"/>
  <c r="F132" i="35"/>
  <c r="F130" i="35"/>
  <c r="F127" i="35"/>
  <c r="F126" i="35"/>
  <c r="F125" i="35"/>
  <c r="F117" i="35"/>
  <c r="F65" i="35"/>
  <c r="B65" i="35"/>
  <c r="A65" i="35"/>
  <c r="F80" i="35"/>
  <c r="F75" i="35"/>
  <c r="F74" i="35"/>
  <c r="F72" i="35"/>
  <c r="F68" i="35"/>
  <c r="F51" i="35"/>
  <c r="B51" i="35"/>
  <c r="A51" i="35"/>
  <c r="F63" i="35"/>
  <c r="F62" i="35"/>
  <c r="F61" i="35"/>
  <c r="F60" i="35"/>
  <c r="F58" i="35"/>
  <c r="F57" i="35"/>
  <c r="F56" i="35"/>
  <c r="F55" i="35"/>
  <c r="F54" i="35"/>
  <c r="B36" i="35"/>
  <c r="F36" i="35"/>
  <c r="A36" i="35"/>
  <c r="F23" i="35"/>
  <c r="B23" i="35"/>
  <c r="F34" i="35"/>
  <c r="F33" i="35"/>
  <c r="F31" i="35"/>
  <c r="F30" i="35"/>
  <c r="F29" i="35"/>
  <c r="F28" i="35"/>
  <c r="A23" i="35"/>
  <c r="F10" i="35"/>
  <c r="A10" i="35"/>
  <c r="B10" i="35"/>
  <c r="F21" i="35"/>
  <c r="F22" i="35" s="1"/>
  <c r="E19" i="5" l="1"/>
  <c r="K22" i="36"/>
  <c r="K38" i="36" s="1"/>
  <c r="F352" i="35"/>
  <c r="F34" i="5" s="1"/>
  <c r="F474" i="35"/>
  <c r="F43" i="5" s="1"/>
  <c r="F411" i="35"/>
  <c r="F521" i="35"/>
  <c r="F46" i="5" s="1"/>
  <c r="F81" i="35"/>
  <c r="F18" i="5" s="1"/>
  <c r="F207" i="35"/>
  <c r="F25" i="5" s="1"/>
  <c r="F260" i="35"/>
  <c r="F28" i="5" s="1"/>
  <c r="F35" i="35"/>
  <c r="F15" i="5" s="1"/>
  <c r="F64" i="35"/>
  <c r="F17" i="5" s="1"/>
  <c r="F47" i="5"/>
  <c r="F319" i="35"/>
  <c r="F32" i="5" s="1"/>
  <c r="K32" i="5" s="1"/>
  <c r="F219" i="35"/>
  <c r="F133" i="35"/>
  <c r="F21" i="5" s="1"/>
  <c r="F16" i="5"/>
  <c r="K16" i="5" s="1"/>
  <c r="F30" i="5"/>
  <c r="K30" i="5" s="1"/>
  <c r="F363" i="35"/>
  <c r="F495" i="35"/>
  <c r="F44" i="5" s="1"/>
  <c r="K18" i="5" l="1"/>
  <c r="G18" i="5"/>
  <c r="K34" i="5"/>
  <c r="G34" i="5"/>
  <c r="K21" i="5"/>
  <c r="G21" i="5"/>
  <c r="G46" i="5"/>
  <c r="K46" i="5"/>
  <c r="K43" i="5"/>
  <c r="G43" i="5"/>
  <c r="K44" i="5"/>
  <c r="G44" i="5"/>
  <c r="K17" i="5"/>
  <c r="G17" i="5"/>
  <c r="K15" i="5"/>
  <c r="G15" i="5"/>
  <c r="K25" i="5"/>
  <c r="G25" i="5"/>
  <c r="K47" i="5"/>
  <c r="G47" i="5"/>
  <c r="G28" i="5"/>
  <c r="K28" i="5"/>
  <c r="J19" i="5"/>
  <c r="K22" i="9"/>
  <c r="K21" i="9"/>
  <c r="K15" i="34"/>
  <c r="K14" i="34"/>
  <c r="M9" i="34"/>
  <c r="J36" i="34"/>
  <c r="K22" i="34"/>
  <c r="K21" i="34"/>
  <c r="K20" i="34"/>
  <c r="K19" i="34"/>
  <c r="K18" i="34"/>
  <c r="K17" i="34"/>
  <c r="K16" i="34"/>
  <c r="B5" i="34"/>
  <c r="K16" i="33"/>
  <c r="K17" i="33"/>
  <c r="K15" i="33"/>
  <c r="K18" i="33"/>
  <c r="K19" i="33"/>
  <c r="K20" i="33"/>
  <c r="M9" i="33"/>
  <c r="J38" i="33"/>
  <c r="B5" i="33"/>
  <c r="M9" i="32"/>
  <c r="J37" i="32"/>
  <c r="K23" i="32"/>
  <c r="K22" i="32"/>
  <c r="K21" i="32"/>
  <c r="K20" i="32"/>
  <c r="K19" i="32"/>
  <c r="K18" i="32"/>
  <c r="K17" i="32"/>
  <c r="K16" i="32"/>
  <c r="K15" i="32"/>
  <c r="B5" i="32"/>
  <c r="K15" i="31"/>
  <c r="K16" i="31"/>
  <c r="K14" i="31"/>
  <c r="M9" i="31"/>
  <c r="J36" i="31"/>
  <c r="K19" i="31"/>
  <c r="K18" i="31"/>
  <c r="K17" i="31"/>
  <c r="B5" i="31"/>
  <c r="M9" i="30"/>
  <c r="J37" i="30"/>
  <c r="K20" i="30"/>
  <c r="K19" i="30"/>
  <c r="K18" i="30"/>
  <c r="K17" i="30"/>
  <c r="K16" i="30"/>
  <c r="K15" i="30"/>
  <c r="K14" i="30"/>
  <c r="B5" i="30"/>
  <c r="M9" i="29"/>
  <c r="J36" i="29"/>
  <c r="K22" i="29"/>
  <c r="K21" i="29"/>
  <c r="K20" i="29"/>
  <c r="K19" i="29"/>
  <c r="K18" i="29"/>
  <c r="K17" i="29"/>
  <c r="K16" i="29"/>
  <c r="K15" i="29"/>
  <c r="B5" i="29"/>
  <c r="M9" i="28"/>
  <c r="J36" i="28"/>
  <c r="K22" i="28"/>
  <c r="K21" i="28"/>
  <c r="K20" i="28"/>
  <c r="K19" i="28"/>
  <c r="K18" i="28"/>
  <c r="K17" i="28"/>
  <c r="K16" i="28"/>
  <c r="K15" i="28"/>
  <c r="B5" i="28"/>
  <c r="M9" i="27"/>
  <c r="J35" i="27"/>
  <c r="K21" i="27"/>
  <c r="K20" i="27"/>
  <c r="K19" i="27"/>
  <c r="K18" i="27"/>
  <c r="K17" i="27"/>
  <c r="K16" i="27"/>
  <c r="K15" i="27"/>
  <c r="B5" i="27"/>
  <c r="K16" i="26"/>
  <c r="K17" i="26"/>
  <c r="K18" i="26"/>
  <c r="K19" i="26"/>
  <c r="K20" i="26"/>
  <c r="K21" i="26"/>
  <c r="K22" i="26"/>
  <c r="K23" i="26"/>
  <c r="K15" i="26"/>
  <c r="M9" i="26"/>
  <c r="J37" i="26"/>
  <c r="B5" i="26"/>
  <c r="M9" i="25"/>
  <c r="J37" i="25"/>
  <c r="K20" i="25"/>
  <c r="K19" i="25"/>
  <c r="K18" i="25"/>
  <c r="K17" i="25"/>
  <c r="K16" i="25"/>
  <c r="K15" i="25"/>
  <c r="K14" i="25"/>
  <c r="B5" i="25"/>
  <c r="K27" i="7"/>
  <c r="K26" i="7"/>
  <c r="K25" i="7"/>
  <c r="K24" i="7"/>
  <c r="K23" i="7"/>
  <c r="K22" i="7"/>
  <c r="M9" i="24"/>
  <c r="J37" i="24"/>
  <c r="K20" i="24"/>
  <c r="K19" i="24"/>
  <c r="K18" i="24"/>
  <c r="K17" i="24"/>
  <c r="K16" i="24"/>
  <c r="K15" i="24"/>
  <c r="K14" i="24"/>
  <c r="B5" i="24"/>
  <c r="M9" i="23"/>
  <c r="K14" i="23"/>
  <c r="J37" i="23"/>
  <c r="K20" i="23"/>
  <c r="K19" i="23"/>
  <c r="K18" i="23"/>
  <c r="K17" i="23"/>
  <c r="K16" i="23"/>
  <c r="K15" i="23"/>
  <c r="B5" i="23"/>
  <c r="K15" i="22"/>
  <c r="K16" i="22"/>
  <c r="K17" i="22"/>
  <c r="K18" i="22"/>
  <c r="K19" i="22"/>
  <c r="K20" i="22"/>
  <c r="K14" i="22"/>
  <c r="M9" i="22"/>
  <c r="J37" i="22"/>
  <c r="B5" i="22"/>
  <c r="K15" i="20"/>
  <c r="K16" i="20"/>
  <c r="K17" i="20"/>
  <c r="K18" i="20"/>
  <c r="K19" i="20"/>
  <c r="K14" i="20"/>
  <c r="K20" i="20"/>
  <c r="M9" i="21"/>
  <c r="J38" i="21"/>
  <c r="K21" i="21"/>
  <c r="K20" i="21"/>
  <c r="K19" i="21"/>
  <c r="K18" i="21"/>
  <c r="K17" i="21"/>
  <c r="K16" i="21"/>
  <c r="K15" i="21"/>
  <c r="K14" i="21"/>
  <c r="C13" i="21"/>
  <c r="K13" i="21" s="1"/>
  <c r="B5" i="21"/>
  <c r="M9" i="20"/>
  <c r="J37" i="20"/>
  <c r="B5" i="20"/>
  <c r="K37" i="30" l="1"/>
  <c r="K37" i="23"/>
  <c r="E32" i="5" s="1"/>
  <c r="K37" i="22"/>
  <c r="K38" i="33"/>
  <c r="E41" i="5" s="1"/>
  <c r="K37" i="24"/>
  <c r="K37" i="25"/>
  <c r="K38" i="21"/>
  <c r="K36" i="34"/>
  <c r="K37" i="32"/>
  <c r="E40" i="5" s="1"/>
  <c r="K36" i="31"/>
  <c r="K36" i="29"/>
  <c r="E38" i="5" s="1"/>
  <c r="K36" i="28"/>
  <c r="E37" i="5" s="1"/>
  <c r="K35" i="27"/>
  <c r="E36" i="5" s="1"/>
  <c r="K37" i="26"/>
  <c r="K37" i="20"/>
  <c r="E30" i="5" s="1"/>
  <c r="J24" i="19"/>
  <c r="J23" i="19"/>
  <c r="J22" i="19"/>
  <c r="J21" i="19"/>
  <c r="J20" i="19"/>
  <c r="J19" i="19"/>
  <c r="C18" i="19"/>
  <c r="J14" i="19"/>
  <c r="J15" i="19"/>
  <c r="J16" i="19"/>
  <c r="J17" i="19"/>
  <c r="C13" i="19"/>
  <c r="M9" i="19"/>
  <c r="K21" i="19"/>
  <c r="K20" i="19"/>
  <c r="K19" i="19"/>
  <c r="K17" i="19"/>
  <c r="K16" i="19"/>
  <c r="K15" i="19"/>
  <c r="K14" i="19"/>
  <c r="B5" i="19"/>
  <c r="M9" i="18"/>
  <c r="J38" i="18"/>
  <c r="K21" i="18"/>
  <c r="K20" i="18"/>
  <c r="K19" i="18"/>
  <c r="K18" i="18"/>
  <c r="K17" i="18"/>
  <c r="K16" i="18"/>
  <c r="K15" i="18"/>
  <c r="K14" i="18"/>
  <c r="C13" i="18"/>
  <c r="K13" i="18" s="1"/>
  <c r="B5" i="18"/>
  <c r="M9" i="17"/>
  <c r="J38" i="17"/>
  <c r="K21" i="17"/>
  <c r="K20" i="17"/>
  <c r="K19" i="17"/>
  <c r="K18" i="17"/>
  <c r="K17" i="17"/>
  <c r="K16" i="17"/>
  <c r="K15" i="17"/>
  <c r="K14" i="17"/>
  <c r="C13" i="17"/>
  <c r="K13" i="17" s="1"/>
  <c r="B5" i="17"/>
  <c r="K45" i="16"/>
  <c r="C46" i="16"/>
  <c r="K46" i="16" s="1"/>
  <c r="C45" i="16"/>
  <c r="J44" i="16"/>
  <c r="J43" i="16"/>
  <c r="K42" i="16" s="1"/>
  <c r="K41" i="16"/>
  <c r="J40" i="16"/>
  <c r="K39" i="16" s="1"/>
  <c r="J38" i="16"/>
  <c r="K37" i="16" s="1"/>
  <c r="K36" i="16"/>
  <c r="K35" i="16"/>
  <c r="K34" i="16"/>
  <c r="J33" i="16"/>
  <c r="K32" i="16" s="1"/>
  <c r="K31" i="16"/>
  <c r="J30" i="16"/>
  <c r="K29" i="16" s="1"/>
  <c r="K28" i="16"/>
  <c r="K27" i="16"/>
  <c r="K26" i="16"/>
  <c r="K25" i="16"/>
  <c r="J24" i="16"/>
  <c r="K23" i="16" s="1"/>
  <c r="K22" i="16"/>
  <c r="K21" i="16"/>
  <c r="J20" i="16"/>
  <c r="J19" i="16"/>
  <c r="J18" i="16"/>
  <c r="C17" i="16"/>
  <c r="K16" i="16"/>
  <c r="J15" i="16"/>
  <c r="K14" i="16" s="1"/>
  <c r="M9" i="16"/>
  <c r="L50" i="16"/>
  <c r="K20" i="16"/>
  <c r="K19" i="16"/>
  <c r="K18" i="16"/>
  <c r="K15" i="16"/>
  <c r="B5" i="16"/>
  <c r="K13" i="15"/>
  <c r="J34" i="15"/>
  <c r="K14" i="15"/>
  <c r="M9" i="15"/>
  <c r="B5" i="15"/>
  <c r="M9" i="13"/>
  <c r="L38" i="13"/>
  <c r="J38" i="13"/>
  <c r="K21" i="13"/>
  <c r="K20" i="13"/>
  <c r="K19" i="13"/>
  <c r="K18" i="13"/>
  <c r="K17" i="13"/>
  <c r="K16" i="13"/>
  <c r="K15" i="13"/>
  <c r="K14" i="13"/>
  <c r="K13" i="13"/>
  <c r="B5" i="13"/>
  <c r="M9" i="12"/>
  <c r="K13" i="12"/>
  <c r="J38" i="12"/>
  <c r="K21" i="12"/>
  <c r="K20" i="12"/>
  <c r="K19" i="12"/>
  <c r="K18" i="12"/>
  <c r="K17" i="12"/>
  <c r="K16" i="12"/>
  <c r="K15" i="12"/>
  <c r="K14" i="12"/>
  <c r="B5" i="12"/>
  <c r="M9" i="11"/>
  <c r="J38" i="11"/>
  <c r="K21" i="11"/>
  <c r="K20" i="11"/>
  <c r="K19" i="11"/>
  <c r="K18" i="11"/>
  <c r="K17" i="11"/>
  <c r="K16" i="11"/>
  <c r="K15" i="11"/>
  <c r="K14" i="11"/>
  <c r="C13" i="11"/>
  <c r="K13" i="11" s="1"/>
  <c r="B5" i="11"/>
  <c r="M9" i="10"/>
  <c r="J38" i="10"/>
  <c r="B5" i="10"/>
  <c r="C13" i="9"/>
  <c r="K13" i="9" s="1"/>
  <c r="M9" i="9"/>
  <c r="J38" i="9"/>
  <c r="K20" i="9"/>
  <c r="K19" i="9"/>
  <c r="K18" i="9"/>
  <c r="K17" i="9"/>
  <c r="K16" i="9"/>
  <c r="K15" i="9"/>
  <c r="K14" i="9"/>
  <c r="B5" i="9"/>
  <c r="M9" i="8"/>
  <c r="J30" i="5" l="1"/>
  <c r="G30" i="5"/>
  <c r="J36" i="5"/>
  <c r="G36" i="5"/>
  <c r="G37" i="5"/>
  <c r="J37" i="5"/>
  <c r="G41" i="5"/>
  <c r="J41" i="5"/>
  <c r="J38" i="5"/>
  <c r="G38" i="5"/>
  <c r="J32" i="5"/>
  <c r="G32" i="5"/>
  <c r="J40" i="5"/>
  <c r="G40" i="5"/>
  <c r="K17" i="16"/>
  <c r="K50" i="16" s="1"/>
  <c r="K34" i="15"/>
  <c r="K38" i="12"/>
  <c r="K18" i="19"/>
  <c r="K13" i="19"/>
  <c r="K55" i="19" s="1"/>
  <c r="K38" i="17"/>
  <c r="K38" i="13"/>
  <c r="K38" i="11"/>
  <c r="K38" i="18"/>
  <c r="K38" i="9"/>
  <c r="J55" i="19"/>
  <c r="J50" i="16"/>
  <c r="L38" i="8"/>
  <c r="J38" i="8"/>
  <c r="K21" i="8"/>
  <c r="K20" i="8"/>
  <c r="K19" i="8"/>
  <c r="K18" i="8"/>
  <c r="K17" i="8"/>
  <c r="K16" i="8"/>
  <c r="K15" i="8"/>
  <c r="K13" i="8"/>
  <c r="K38" i="8" s="1"/>
  <c r="B5" i="8"/>
  <c r="M9" i="7"/>
  <c r="L38" i="7"/>
  <c r="J38" i="7"/>
  <c r="K21" i="7"/>
  <c r="K20" i="7"/>
  <c r="K19" i="7"/>
  <c r="K18" i="7"/>
  <c r="K17" i="7"/>
  <c r="K16" i="7"/>
  <c r="K15" i="7"/>
  <c r="K14" i="7"/>
  <c r="K13" i="7"/>
  <c r="B5" i="7"/>
  <c r="K17" i="6"/>
  <c r="K18" i="6"/>
  <c r="K19" i="6"/>
  <c r="K20" i="6"/>
  <c r="K21" i="6"/>
  <c r="M9" i="6"/>
  <c r="K38" i="7" l="1"/>
  <c r="E16" i="5"/>
  <c r="J16" i="5" l="1"/>
  <c r="G16" i="5"/>
  <c r="L38" i="6"/>
  <c r="J38" i="6"/>
  <c r="K16" i="6"/>
  <c r="K15" i="6"/>
  <c r="K14" i="6"/>
  <c r="K13" i="6"/>
  <c r="B5" i="6"/>
  <c r="K38" i="6" l="1"/>
  <c r="F14" i="5" l="1"/>
  <c r="F19" i="5"/>
  <c r="K19" i="5" l="1"/>
  <c r="G19" i="5"/>
  <c r="K14" i="5"/>
  <c r="G14" i="5"/>
  <c r="K36" i="43"/>
  <c r="G77" i="5" l="1"/>
  <c r="H46" i="57" s="1"/>
  <c r="H47" i="57" s="1"/>
  <c r="G80" i="5" l="1"/>
  <c r="G81" i="5" s="1"/>
  <c r="G79" i="5"/>
  <c r="G78" i="5"/>
  <c r="G82" i="5" l="1"/>
  <c r="G90" i="5" s="1"/>
</calcChain>
</file>

<file path=xl/sharedStrings.xml><?xml version="1.0" encoding="utf-8"?>
<sst xmlns="http://schemas.openxmlformats.org/spreadsheetml/2006/main" count="4657" uniqueCount="946">
  <si>
    <t>NOMBRE DE LA EDIFICACION:</t>
  </si>
  <si>
    <t>ID./ PLACA INMUEBLE:</t>
  </si>
  <si>
    <t>UBICACIÓN:</t>
  </si>
  <si>
    <t>TIPO DE USO</t>
  </si>
  <si>
    <t>ADMINSITRATIVO</t>
  </si>
  <si>
    <t>LABORATORIO</t>
  </si>
  <si>
    <t>OTRO</t>
  </si>
  <si>
    <t>CUAL?</t>
  </si>
  <si>
    <t>OCUPACIÓN:</t>
  </si>
  <si>
    <t>PROPIA</t>
  </si>
  <si>
    <t>COMODATO</t>
  </si>
  <si>
    <t>PLANO DE LOCALIZACION</t>
  </si>
  <si>
    <t>PANORAMICA</t>
  </si>
  <si>
    <t xml:space="preserve">DESCRIPCION GENERAL </t>
  </si>
  <si>
    <t>DIAGNOSTICO DE LA INFRAESTRUCTURA</t>
  </si>
  <si>
    <t>ELEMENTO</t>
  </si>
  <si>
    <t>DIAGNOSTICO</t>
  </si>
  <si>
    <t>ACCIONES PREVENTIVAS/CORRECTIVAS</t>
  </si>
  <si>
    <t>REGISTRO FOTOGRAFICO</t>
  </si>
  <si>
    <t>CONCLUSIONES  Y RECOMENDACIONES</t>
  </si>
  <si>
    <t>INFORMACION ADICIONAL Y SOPORTES</t>
  </si>
  <si>
    <t>DOCUMENTO</t>
  </si>
  <si>
    <t>SOPORTE FISICO (SI/NO)</t>
  </si>
  <si>
    <t>OBSERVACIONES</t>
  </si>
  <si>
    <t>ACTAS DE REUNION</t>
  </si>
  <si>
    <t>Si</t>
  </si>
  <si>
    <t>PLANOS RECORD</t>
  </si>
  <si>
    <t>No</t>
  </si>
  <si>
    <t>LEVANTAMIENTO ARQUITECTONICO</t>
  </si>
  <si>
    <t>AREA M2:</t>
  </si>
  <si>
    <t xml:space="preserve">REPLANTEO </t>
  </si>
  <si>
    <t>DIGILTALIZACIÓN</t>
  </si>
  <si>
    <t xml:space="preserve">Fecha de elaboración presente informe: </t>
  </si>
  <si>
    <t xml:space="preserve"> TOMACORRIENTES </t>
  </si>
  <si>
    <t>UPS (REDES REGULADAS)</t>
  </si>
  <si>
    <t xml:space="preserve"> ILUMINACIÓN (INCLUIDAS LUMINARIAS E INTERRUPTORES)</t>
  </si>
  <si>
    <t>ANALISIS INTERIOR Y EXTERIOR</t>
  </si>
  <si>
    <t>Se encuentran toma corrientes en muros que estan deteriodadas por el uso, llenas de hormigas, quemadas. Se encuentra una canalización con canaleta plastica la cual esta a una altura de 1,8m, las tomacorrientes de esta canalización no cumple norma  por que no tienen puesta a tierra, ademas, la altura de las salidas no cumple para los puestos de trabajo. Se encuentran derevaciones para tomas en clavijas que no cumplen norma.</t>
  </si>
  <si>
    <t>Se debe realizar mantenimiento en conexiones y marcacion de fases a las salidas de los muros, cambio de tomacorrientes. Con respecto a las salidas en canaleta plastica estas deben acondicionarse a la altura de los puestos de trabajo, es decir a 0,3m de altura e instalar la puesta a tierra de cada una de ellas, marcar fases y la canaleta identificando la parte electrica y la parte de comunicaciones. Se deben retirar las conexiones que no cumplen norma y reemplazarlas por unas adecuadas. Derivaciones de tomas de muros con canaleta plastica.</t>
  </si>
  <si>
    <t>Se encuentra luminarias rotas, luminarias sin funcionar, interruptores que no accionan, salidas de iluminación sin cumplir norma con cables colgando.</t>
  </si>
  <si>
    <t>Es necesario renovar las luminarias a tecnologia led, los interruptores se necesita cambiar los que no funcionan, verificar y ajustar las salidas de iluminacion que cumplan norma. Se requiere realizar un estudio de iluminación para cumplir con las condiciones de RETILAP en los puestos de trabajo y en las diferentes áreas de la sede.</t>
  </si>
  <si>
    <t>Se debe instalar la iluminación exterior para minimizar los riesgos de seguridad en la noche. Se requiere que los reflectores sean de tecnología led y de carga solar con detector de movimiento para su eficencia energética. Se deberan instalar 2 reflectores.</t>
  </si>
  <si>
    <t>Se requiere el suministro e instalación de una UPS para los equipos de computo de las instalaciones.</t>
  </si>
  <si>
    <t>No se encuentra UPS en las oficinas, por lo tanto no hay redes reguladas.</t>
  </si>
  <si>
    <t>INSTALACIONES ELÉCTRICAS INTERNAS Y EXTERNAS SECCIONAL SOLEDAD</t>
  </si>
  <si>
    <t>PLANTA ELECTRICA</t>
  </si>
  <si>
    <t>No existe planta electrica en la seccional</t>
  </si>
  <si>
    <t>Se debe instalar una planta electrica para que soporte la carga de toda la sede, es decir una de 175 kVA</t>
  </si>
  <si>
    <t>Se identifican los circuitos alimentadores en buen estado.</t>
  </si>
  <si>
    <t>Se debe hacer cambio del circuito para la puerta de entrada en tuberia metaliza IMC</t>
  </si>
  <si>
    <t>Calle 18 No. 50-32 Soledad</t>
  </si>
  <si>
    <t>ICA SOLEDAD - ATLANTICO</t>
  </si>
  <si>
    <t>ILUMINACION EXTERIOR</t>
  </si>
  <si>
    <t>ANALISIS INTERIOR</t>
  </si>
  <si>
    <t>PAREDES Y TECHOS</t>
  </si>
  <si>
    <t>PISOS</t>
  </si>
  <si>
    <t>PUERTAS</t>
  </si>
  <si>
    <t>Se identifica la falta de iluminación exterior la cual es necesaria para la seguridad de la sede.</t>
  </si>
  <si>
    <t>BAÑOS</t>
  </si>
  <si>
    <t>FORESTAL, arreglo de humedad, cambio de ventana,</t>
  </si>
  <si>
    <t>RACK PRINCIPAL, JURIDICA, FINANCIERA, SANIDAD VEGETAL Y ANIMAL, resane de pared</t>
  </si>
  <si>
    <t>SANIDAD ANIMAL – TÉCNICOS, BODEGA INSUMOS PECUARIOS, OFICINA DE GERENCIA, cambio de cielo raso</t>
  </si>
  <si>
    <t>Paredes con desprendimiento de pintura, pañete</t>
  </si>
  <si>
    <t>Presencia de humedad en muros y ventana deteriorada.</t>
  </si>
  <si>
    <t>Cielo raso deteriorado</t>
  </si>
  <si>
    <t>Falta de mantenimiento en Cafeteria, por aires acondicionados con falla en el funcionamiento, sifón deteriorado, enchape levantado, cerradura y cielo raso con daños.</t>
  </si>
  <si>
    <t>Se requiere Mantenimiento en el baño de hombres por filtración, divisiones deterioradas, enchape suelto y cielo raso.</t>
  </si>
  <si>
    <t>CAFETERIA, 2 aires acondicionados, extractor, cambio de sifón, cambio de enchape levantado, cerradura y cielo raso.</t>
  </si>
  <si>
    <t>Las anteriores actividades estan sujetas a verificación legal de su viabilidad y disponibilidad presupuestal.</t>
  </si>
  <si>
    <t>Paredes con desprendimiento de pintura, y areas de desgate de la misma tanto en extriores como en interiores.</t>
  </si>
  <si>
    <t>pintura de muros, mantenimiento de aire acondicionado.</t>
  </si>
  <si>
    <t>PSG</t>
  </si>
  <si>
    <t xml:space="preserve">Falta de mantenimiento de PSG y falta de espacio, pintura en muros </t>
  </si>
  <si>
    <t>Se require desplazar  division  interna para tener mas espacio, asegurar división, mantenimiento de ventanal, cambio de chapa puerta circulación y baño mujeres, instalar puerta, brazo hidráulico para puerta de acceso.</t>
  </si>
  <si>
    <t xml:space="preserve">PINTURA </t>
  </si>
  <si>
    <t>Resane de de divisiones deterioradas, arreglo de 3 orinales, cambio de cielo raso y enchape desprendido.</t>
  </si>
  <si>
    <t>Piuertas metalicas internas deterioradas en su pintura. Puertas del area de Rack, Auditorio, Gerencia , Archivo, Acceso calle 18,, puertas dde bañños de hombres y mujeres.</t>
  </si>
  <si>
    <t>Piso en granito desgastado en toda la seccional</t>
  </si>
  <si>
    <t>Pintura nueva de puertas  metalicas</t>
  </si>
  <si>
    <t xml:space="preserve">"Grupo de Gestión de Infraestructura Física y Mantenimiento
INSTITUTO COLOMBIANO AGROPECUARIO
Anevida Carrera 20 No. 83 - 20 - Edificio Neopoint Piso 7"	</t>
  </si>
  <si>
    <t>Fecha de presentación del presente informe: 17/4/2024</t>
  </si>
  <si>
    <t>FOR-ADM-005</t>
  </si>
  <si>
    <t>PRESUPUESTOS DE OBRA</t>
  </si>
  <si>
    <t>Enero | 2021</t>
  </si>
  <si>
    <t>Versión 000</t>
  </si>
  <si>
    <t>Ciudad</t>
  </si>
  <si>
    <t>fecha</t>
  </si>
  <si>
    <t>Proyecto</t>
  </si>
  <si>
    <t>Contratante</t>
  </si>
  <si>
    <t>Contratista</t>
  </si>
  <si>
    <t>ÍTEM</t>
  </si>
  <si>
    <t>CONDICIONES CONTRACTUALES</t>
  </si>
  <si>
    <t>DESCRIPCIÓN</t>
  </si>
  <si>
    <t>UNIDAD</t>
  </si>
  <si>
    <t>CANTIDAD</t>
  </si>
  <si>
    <t>VALOR UNIDAD</t>
  </si>
  <si>
    <t>VALOR TOTAL</t>
  </si>
  <si>
    <t>COMPONENTE 1. BLOQUE ADMINISTRATIVO GENERAL</t>
  </si>
  <si>
    <t>M2</t>
  </si>
  <si>
    <t>SUMINISTRO Y APLICACIÓN  DE PINTURA  PARA EXTERIOR TIPO KORAZA.NCLUYE LIMPIEZA , RASPADO, RESANES, LIJADO FILOS EN ESCUADRAS DE MUROS DE VENTANA Y PUERTAS</t>
  </si>
  <si>
    <t>COSTO DIRECTO</t>
  </si>
  <si>
    <t>ADMINISTRACION</t>
  </si>
  <si>
    <t>IMPREVISTOS</t>
  </si>
  <si>
    <t>UTILIDAD</t>
  </si>
  <si>
    <t>IVA/Utilidad</t>
  </si>
  <si>
    <t>TOTAL</t>
  </si>
  <si>
    <t>desvastada, Pulida de piso y brillada</t>
  </si>
  <si>
    <t xml:space="preserve">ARREGLO  DE SALIDA Y SUMINISTRO DE AGUA  PARA BAÑOS DEMUJER  Y DE HOMBRE EN PSG PARA LA AMNOS Y   SANITARIOS </t>
  </si>
  <si>
    <t>Se requirerealliazr la  inspeccion y puestaen funcionamiento del suministaro  y  saida  de agus de los  puntos hidrosanitarios en baños de PSG</t>
  </si>
  <si>
    <t>Cambio de  chapas en puertas para  baños de  hombres y mujeres en PSG</t>
  </si>
  <si>
    <t>Las chapas ded los  maños de PSG no sirven</t>
  </si>
  <si>
    <t>CAFETERIA</t>
  </si>
  <si>
    <t xml:space="preserve">No existenn muebles en la parte inferior de mesones </t>
  </si>
  <si>
    <t>Se requiere la fabricaccion e intalacion de puertas de mobiliario para  mesones  bajos ennn cocina</t>
  </si>
  <si>
    <t>Por solicctud del gerente seccional solita  la instalacion de un nuevo baño para  su oficina</t>
  </si>
  <si>
    <t>OFICINA GERENCIA SECCIONAL</t>
  </si>
  <si>
    <t>Intsalacion de un nuevo baño  para  la  oficna ded  la Gerncia Seccional</t>
  </si>
  <si>
    <t>ML</t>
  </si>
  <si>
    <t>CUBIERTA</t>
  </si>
  <si>
    <t xml:space="preserve">la totalidad  de la  ccubierta se enuentra  en mal estado, tejas rotas </t>
  </si>
  <si>
    <t>Se require el cambio en laa totalidad del tendido de cubierta</t>
  </si>
  <si>
    <t>CIELO RAZO</t>
  </si>
  <si>
    <t>MEMORIA DE CANTIDADES</t>
  </si>
  <si>
    <t>ENTIDAD</t>
  </si>
  <si>
    <t>No. Contrato</t>
  </si>
  <si>
    <t>N/A</t>
  </si>
  <si>
    <t>CONTRATISTA</t>
  </si>
  <si>
    <t>Fecha</t>
  </si>
  <si>
    <t>INTERVENTOR O SUPERVISOR</t>
  </si>
  <si>
    <t>Arq. Andres Otero</t>
  </si>
  <si>
    <t>Capitulo</t>
  </si>
  <si>
    <t>LOCALIZACION</t>
  </si>
  <si>
    <t>Dimensiones Elementos</t>
  </si>
  <si>
    <t>Vr. Parcial</t>
  </si>
  <si>
    <t>Dimensiones Vanos</t>
  </si>
  <si>
    <t>Vr. Total</t>
  </si>
  <si>
    <t>Unidad</t>
  </si>
  <si>
    <t>Detalle</t>
  </si>
  <si>
    <t>LARGO
(ml)</t>
  </si>
  <si>
    <t>ALTO
(m2)</t>
  </si>
  <si>
    <t>ANCHO
(m3)</t>
  </si>
  <si>
    <t>m2</t>
  </si>
  <si>
    <t xml:space="preserve">Notas: </t>
  </si>
  <si>
    <t>Firma</t>
  </si>
  <si>
    <t>Interventor / Supervisor</t>
  </si>
  <si>
    <t>M3</t>
  </si>
  <si>
    <t>Municipio de  Cravo Norte Arauca</t>
  </si>
  <si>
    <t>Adecuación oficina local ICA Cravo Norte - Arauca</t>
  </si>
  <si>
    <t xml:space="preserve">UBICACIÓN </t>
  </si>
  <si>
    <t>ATENCION AL USUARIO</t>
  </si>
  <si>
    <t>OFICCNA PRINCIPAL</t>
  </si>
  <si>
    <t>OFICIINA 2</t>
  </si>
  <si>
    <t>HALL BAÑOS</t>
  </si>
  <si>
    <t>BAÑO 1</t>
  </si>
  <si>
    <t>BAÑO 2</t>
  </si>
  <si>
    <t>ALMACEN  1</t>
  </si>
  <si>
    <t>ACCESO ENTRE ALMACEN 1 Y 2</t>
  </si>
  <si>
    <t>ALMACEN PRINCIPAL</t>
  </si>
  <si>
    <t>Item: 1.1</t>
  </si>
  <si>
    <t>OFICINA LOCAL DE CRAVO NORTE</t>
  </si>
  <si>
    <t>Item: 1.2</t>
  </si>
  <si>
    <t>ALMACEN - ATENCION AL USUARIO</t>
  </si>
  <si>
    <t>Item: 1.3</t>
  </si>
  <si>
    <t>Item: 1.4</t>
  </si>
  <si>
    <t>Item: 1.5</t>
  </si>
  <si>
    <t>Item: 1.6</t>
  </si>
  <si>
    <t>Item: 1.7</t>
  </si>
  <si>
    <t>ANDEN FACHADA  PRINCIPAL</t>
  </si>
  <si>
    <t>ANDEN FACHADA POSTERIOR</t>
  </si>
  <si>
    <t>Item: 1.8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</si>
  <si>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</si>
  <si>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</si>
  <si>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</si>
  <si>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</si>
  <si>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</si>
  <si>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</si>
  <si>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</si>
  <si>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</si>
  <si>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</si>
  <si>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</si>
  <si>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</si>
  <si>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M16</t>
  </si>
  <si>
    <t>M17</t>
  </si>
  <si>
    <t>M18</t>
  </si>
  <si>
    <t>M19</t>
  </si>
  <si>
    <t>M20</t>
  </si>
  <si>
    <t>Item: 1.10</t>
  </si>
  <si>
    <t>M1</t>
  </si>
  <si>
    <t>M1 MENOS PUERTA</t>
  </si>
  <si>
    <t>M3 MENOS VENTANA</t>
  </si>
  <si>
    <t>M3 MENOS PUERTA</t>
  </si>
  <si>
    <t>M6 MENOS VENTANA</t>
  </si>
  <si>
    <t>M11 MENOS VENTANA</t>
  </si>
  <si>
    <t>M13 MENOS PUERTA</t>
  </si>
  <si>
    <t>M15 MURO BAÑOS</t>
  </si>
  <si>
    <t>M17 MENOS VENTANA</t>
  </si>
  <si>
    <t>M18 MENOS PUERTA</t>
  </si>
  <si>
    <t>M20 MENOS PUERTA</t>
  </si>
  <si>
    <t>M20 MENOS VENTANA</t>
  </si>
  <si>
    <t>CLOSET 1</t>
  </si>
  <si>
    <t>CCLOSET 2</t>
  </si>
  <si>
    <t>Item: 1.11</t>
  </si>
  <si>
    <t>Item: 1.12</t>
  </si>
  <si>
    <t>Item: 1.13</t>
  </si>
  <si>
    <t>FACHADA PRINCIPAL</t>
  </si>
  <si>
    <t>MENOS VENTANA</t>
  </si>
  <si>
    <t>MENOS PUERTA</t>
  </si>
  <si>
    <t>FACHADA POSTERIOR</t>
  </si>
  <si>
    <t>MENOS PPUERTA</t>
  </si>
  <si>
    <t>FACHADA  LATERAL IZQUIIERDA</t>
  </si>
  <si>
    <t>FACHADA LATERAL DERECHA</t>
  </si>
  <si>
    <t>Item: 1.14</t>
  </si>
  <si>
    <t>PUERTA ACCESO PRINCIPAL</t>
  </si>
  <si>
    <t>PUERTA OFICNA PRINCIPAL</t>
  </si>
  <si>
    <t>PUERTA OFICINA 2</t>
  </si>
  <si>
    <t>PUERTA BAÑO 1</t>
  </si>
  <si>
    <t>PUERTA BAÑO 2</t>
  </si>
  <si>
    <t>DESMONTE DE CIELO FALSO EXISTENTE  DE IMATERIAL DE ICOPOR , DESMONTE DE ESTRCUTURA SOPORTE , INCLUYE RETIRO Y DISPOSICION FINAL DE ESCOMBROS</t>
  </si>
  <si>
    <t>Item: 1.15</t>
  </si>
  <si>
    <t xml:space="preserve">PUERTA INTERNA ALMACEN </t>
  </si>
  <si>
    <t>PUERTA ACCESO POSTERIOR</t>
  </si>
  <si>
    <t>Item: 1.16</t>
  </si>
  <si>
    <t>VENTANA PUNTO DE AATENCION 1</t>
  </si>
  <si>
    <t>VENTANA PUNTO DE AATENCION 2</t>
  </si>
  <si>
    <t>OFICINA 2</t>
  </si>
  <si>
    <t>ALMACEN</t>
  </si>
  <si>
    <t>ALMACEN 2</t>
  </si>
  <si>
    <t xml:space="preserve">OFICINA PRINCIPAL </t>
  </si>
  <si>
    <t xml:space="preserve">DESMONTE  DE TEJAS EXITENTES EN CUBIERTA INCLUYE RETIRO Y DISPOSICION FINAL </t>
  </si>
  <si>
    <t>Item: 1.17</t>
  </si>
  <si>
    <t>Item: 1.18</t>
  </si>
  <si>
    <t>BAÑO ALMACEN</t>
  </si>
  <si>
    <t>Item: 1.19</t>
  </si>
  <si>
    <t>SUINISTRO E  INSTALACCION DE TEJA  DE FIBRO CEMENTO No 8 CON TODOS SUS ACCESORIOS DEE SUJECION</t>
  </si>
  <si>
    <t>Item: 1.20</t>
  </si>
  <si>
    <t>SANITARIO</t>
  </si>
  <si>
    <t>LAVAMANOS</t>
  </si>
  <si>
    <t>BAÑO 3 ALMACEN</t>
  </si>
  <si>
    <t>DUCHA</t>
  </si>
  <si>
    <t>UN</t>
  </si>
  <si>
    <t>Item: 1.21</t>
  </si>
  <si>
    <t>Item: 1.22</t>
  </si>
  <si>
    <t>Item: 1.23</t>
  </si>
  <si>
    <t>Item: 1.24</t>
  </si>
  <si>
    <t>Item: 1.25</t>
  </si>
  <si>
    <t>VENTANA PUNTO DE ATENCION 1</t>
  </si>
  <si>
    <t>Item: 1.26</t>
  </si>
  <si>
    <t>ARREGLO  Y AJUSTE SUMINISTRO DE AGUA  PARA BAÑOS DE MUJER  Y DE HOMBRE PARA LAVAMNOS Y   SANITARIOS  PARA SU CORRECTO FUNCIONAMIENTO</t>
  </si>
  <si>
    <t>Item: 1.27</t>
  </si>
  <si>
    <t>PUERTA OFICINA 1</t>
  </si>
  <si>
    <t>Item: 1.28</t>
  </si>
  <si>
    <t>CUCHILLA DIVISORIA EN BAÑOS</t>
  </si>
  <si>
    <t>CMPLEMETO DE MURO EN BAÑO</t>
  </si>
  <si>
    <t>PERGOLA</t>
  </si>
  <si>
    <t>INSTITUTO COLOMBIANO AGROPECUARIO ICA</t>
  </si>
  <si>
    <t>GRUPO GESTIÓN INFRAESTRUCTURA FISICA Y MANTENIMIENTO</t>
  </si>
  <si>
    <t>PRESUPUESTO DE OBRA 2024</t>
  </si>
  <si>
    <t>ADECUACIÓN OFICINA SECIONAL ATLANTICO</t>
  </si>
  <si>
    <t>ANÁLISIS DE PRECIOS UNITARIOS</t>
  </si>
  <si>
    <t>CANT/ REND</t>
  </si>
  <si>
    <t>VR UNITARIO</t>
  </si>
  <si>
    <t>VR PARCIAL</t>
  </si>
  <si>
    <t>MATERIALES:</t>
  </si>
  <si>
    <t xml:space="preserve">GALON </t>
  </si>
  <si>
    <t>EQUIPO y HERRAMIENTAS:</t>
  </si>
  <si>
    <t>Día</t>
  </si>
  <si>
    <t>TRANSPORTE</t>
  </si>
  <si>
    <t>CAMIONETA</t>
  </si>
  <si>
    <t>Hr</t>
  </si>
  <si>
    <t>MANO de OBRA:</t>
  </si>
  <si>
    <t>CUADRILLA DE PINTURA</t>
  </si>
  <si>
    <t>VR COSTO DIRECTO =</t>
  </si>
  <si>
    <t xml:space="preserve">SUMINISTRO Y APLICACIÓN  DE ANTICORROSIVO Y PINTURA ESMALTE  PARA  PUERTAS METALICAS .NCLUYE LIMPIEZA , LIJADO  RASPADO, RESANES </t>
  </si>
  <si>
    <t>ALMADANA 4 lb</t>
  </si>
  <si>
    <t>CINCEL 3/4" ACERO TEMPLADO</t>
  </si>
  <si>
    <t>BARRA AGRÍCOLA</t>
  </si>
  <si>
    <t>HOMCENTER</t>
  </si>
  <si>
    <t>PLACA EN CONCRETO EXISTENTE</t>
  </si>
  <si>
    <t>ANDEN COSTADO IZQUIERDO</t>
  </si>
  <si>
    <t>1,5 A</t>
  </si>
  <si>
    <t>1,5 B</t>
  </si>
  <si>
    <t>Item: 1.5A</t>
  </si>
  <si>
    <t>Item: 1.5B</t>
  </si>
  <si>
    <t>CORONA</t>
  </si>
  <si>
    <t>HOMCENTER DE CORONA</t>
  </si>
  <si>
    <t>HOMECENTER</t>
  </si>
  <si>
    <t>DESMONTE DE  LAVAMANOS Y SANITARIOS</t>
  </si>
  <si>
    <t>INSTALACIONES ELECTRICAS</t>
  </si>
  <si>
    <t>CUADRILLA  2 AYUDANTES</t>
  </si>
  <si>
    <t>MORTERO 1:4</t>
  </si>
  <si>
    <t>CODAL DE ALUMINIO 3" x 1 1/2" x 3 m</t>
  </si>
  <si>
    <t>BATEA</t>
  </si>
  <si>
    <t>PALUSTRE</t>
  </si>
  <si>
    <t>CUADRILLA 1 OF + 1 AY</t>
  </si>
  <si>
    <t>m3</t>
  </si>
  <si>
    <t>CARRETA BUGGIE, PALA, BALDES</t>
  </si>
  <si>
    <t>HERRAMIENTAS PARA ALBAÑIL</t>
  </si>
  <si>
    <t>DIA</t>
  </si>
  <si>
    <t>1,5B</t>
  </si>
  <si>
    <t>FORMALETA</t>
  </si>
  <si>
    <t>ACPM</t>
  </si>
  <si>
    <t>CONCRETO 20.7 MPa</t>
  </si>
  <si>
    <t>GL</t>
  </si>
  <si>
    <t>CINTA DE SEÑALIZACIÓN a=7 cm</t>
  </si>
  <si>
    <t>POSTE DE SEÑALIZACIÓN EN MADERA PINTADO + MUERTO EN CONCRE</t>
  </si>
  <si>
    <t>CARRETA BUGGIE, PALA, ZAPAPICO</t>
  </si>
  <si>
    <t>MTR</t>
  </si>
  <si>
    <t>CUADRILLA 1 OF + 2 AY</t>
  </si>
  <si>
    <t>PEGACOR GRIS</t>
  </si>
  <si>
    <t>AGUA</t>
  </si>
  <si>
    <t>CRUCETA PLÁSTICA</t>
  </si>
  <si>
    <t>ESTOPA DE LIMPIEZA (Hilaza de Algodón)</t>
  </si>
  <si>
    <t>CORTADORA DE CERÁMICA</t>
  </si>
  <si>
    <t>LLANA METÁLICA DENTADA MANGO MADERA 11" x 5"</t>
  </si>
  <si>
    <t>LB</t>
  </si>
  <si>
    <t>KL</t>
  </si>
  <si>
    <t>LT</t>
  </si>
  <si>
    <t>BLANCO DE ZINC</t>
  </si>
  <si>
    <t xml:space="preserve"> FACHALETA JAEN BLANCO CARAS DIFERENCIADAS 25X41 </t>
  </si>
  <si>
    <t>ANDAMIO TUBULAR CON TIJERA 1.50x1.50 m</t>
  </si>
  <si>
    <t>RUEDA GIRATORIA PARA ANDAMIO</t>
  </si>
  <si>
    <t>CUÑETE PLÁSTICO DE 5 Gal</t>
  </si>
  <si>
    <t>HERRAMIENTAS PARA PINTOR</t>
  </si>
  <si>
    <t>PINTURA TIPO 1</t>
  </si>
  <si>
    <t>CUADRILLA 1 OF + 4 AY</t>
  </si>
  <si>
    <t>PLACA DE YESO 1.22 m x 2.44 m x 1/2"</t>
  </si>
  <si>
    <t>VIGUETA 0.40 mm x 2.44 m</t>
  </si>
  <si>
    <t>OMEGA 0.40 mm x 2.44 m</t>
  </si>
  <si>
    <t>ÁNGULO 2.50 cm x 2.50 cm 0.40 mm x 2.44 m</t>
  </si>
  <si>
    <t>TORNILLO PANEL PUNTA AGUDA 6x1"</t>
  </si>
  <si>
    <t>TORNILLO ESTRUCTURA PUNTA AGUDA CABEZA PLANA 8x1/2"</t>
  </si>
  <si>
    <t>TIRO ANCLAJE ROJO</t>
  </si>
  <si>
    <t>ALAMBRE GALVANIZADO Cal. 14</t>
  </si>
  <si>
    <t>SIERRA CIRCULAR 7 1/4"</t>
  </si>
  <si>
    <t>DISCO SIERRA CIRCULAR 7 1/4"</t>
  </si>
  <si>
    <t>EXTENSIÓN ELÉCTRICA ENCAUCHETADA 3x12 x 10 m</t>
  </si>
  <si>
    <t>ATORNILLADOR ELÉCTRICO</t>
  </si>
  <si>
    <t>PISTOLA DE FIJACIÓN</t>
  </si>
  <si>
    <t>SUMINISTRO E INSTALACION DE TECHO EN DRY WALL YESO DE 1/2"   INCLUYE ESTRUCTURA EN ALUMINIO (OMEGAS ) Y AISLANTE TERMICO FRESCASA FIBRA DE VIDRIO  ECO 2-1/2PG 7.62X1.22   Y DE  TODOS SUS ACCESORIOS PARA SU CORRECTA INSTALACION .</t>
  </si>
  <si>
    <t>SIKADUR PANEL (Adhesivo sellador de juntas rígidas en plac</t>
  </si>
  <si>
    <t>CINTA PAPEL SELLAPANEL</t>
  </si>
  <si>
    <t>MASILLA PANEL-TEC</t>
  </si>
  <si>
    <t>IMPRIMANTE ACRONAL</t>
  </si>
  <si>
    <t>PINTURA KORAZA</t>
  </si>
  <si>
    <t>DESTAPA CUÑETES PLÁSTICO</t>
  </si>
  <si>
    <t>LIJA SECA</t>
  </si>
  <si>
    <t>GUANTES DE VINILO</t>
  </si>
  <si>
    <t>DISOLVENTE</t>
  </si>
  <si>
    <t>PINTURA ESMALTE</t>
  </si>
  <si>
    <t>EQUIPO PARA PINTURA</t>
  </si>
  <si>
    <t>PLIEGO</t>
  </si>
  <si>
    <t>PAR</t>
  </si>
  <si>
    <t>KIT ARNÉS PARA ALTURAS</t>
  </si>
  <si>
    <t>SOGA - MANILA POLIPROPILENO de 3/4"</t>
  </si>
  <si>
    <t>ml</t>
  </si>
  <si>
    <t>PINTURA anticorrosivo</t>
  </si>
  <si>
    <t>AMARRE TAPA METÁLICA Cal. 18</t>
  </si>
  <si>
    <t>IGASOL CUBIERTA (Impermeabilizante asfáltico para cubierta</t>
  </si>
  <si>
    <t>GANCHO PARA TEJA GALVANIZADO</t>
  </si>
  <si>
    <t>ESPÁTULA DE METAL 2"</t>
  </si>
  <si>
    <t>CAMION 350</t>
  </si>
  <si>
    <t>HERRAMIENTAS PARA PLOMERO</t>
  </si>
  <si>
    <t>PLOMERO</t>
  </si>
  <si>
    <t>SANITARIO SMART ALONGADO SINGLE BLANCO</t>
  </si>
  <si>
    <t>CEMENTO BLANCO</t>
  </si>
  <si>
    <t>ACOPLE SANITARIO PLÁSTICO 1/2"</t>
  </si>
  <si>
    <t>CINTA TEFLÓN 1/2" x 10 m</t>
  </si>
  <si>
    <t>KIT GRIFERÍA SANITARIO ONE PIECE</t>
  </si>
  <si>
    <t xml:space="preserve"> MUEBLE ALUVIA ELEVADO 60X45 CM MILAN CON LAVAMANOS CORONA</t>
  </si>
  <si>
    <t>GRIFERÍA LAVAMANOS TEMPORIZADOR DIAGONAL PUSH</t>
  </si>
  <si>
    <t>ACOPLEMANGUERA PLÁSTICO 1/2"</t>
  </si>
  <si>
    <t>PUERTA EN VIDRIO TEMPLADO DE 10 MM</t>
  </si>
  <si>
    <t>TALADRO PERCUTOR 1/2"</t>
  </si>
  <si>
    <t>BROCA PARA CONCRETO 3/16"</t>
  </si>
  <si>
    <t>NIVEL DE BURBUJA</t>
  </si>
  <si>
    <t xml:space="preserve">PELÍCULA DE SAMBLASTING PARA  VIDRIO DE 4 micras </t>
  </si>
  <si>
    <t xml:space="preserve">HERRAMIENTA </t>
  </si>
  <si>
    <t>CERRADURA INCRUSTAR 4 BULONES ROSETA BARI</t>
  </si>
  <si>
    <t>Item: 1.27 A</t>
  </si>
  <si>
    <t>HERRAMIENTAS PARA CRERRAJERO</t>
  </si>
  <si>
    <t>MANOS DE OBRA</t>
  </si>
  <si>
    <t>CAMIÓN 350</t>
  </si>
  <si>
    <t>LÁMINA GALVANIZADA Cal. 26</t>
  </si>
  <si>
    <t xml:space="preserve">SUMINISTRO E  INSTALACION DE FLANCHE CAL 26 EN LAMINA GALVANIZADA SEGÚN DISEÑO INCLUYE CORTE  EN MURO Y SELLO EN SILICONA </t>
  </si>
  <si>
    <t>PUNTILLA 1 1/2" a 3"</t>
  </si>
  <si>
    <t>MORTERO 1:3 (Impermeabilizado)</t>
  </si>
  <si>
    <t>PINTURA ANTICORROSIVA PREMIUM</t>
  </si>
  <si>
    <t>TIJERA CORTA LÁMINA 10"</t>
  </si>
  <si>
    <t>MARTILLO</t>
  </si>
  <si>
    <t>BALDE CONSTRUCCIÓN</t>
  </si>
  <si>
    <t>BROCHA 4"</t>
  </si>
  <si>
    <t>Item: 1.29</t>
  </si>
  <si>
    <t xml:space="preserve">FACHADA PRINCIPAL </t>
  </si>
  <si>
    <t>SOLDADURA ELÉCTRICA</t>
  </si>
  <si>
    <t>GUANTES DE CARNAZA</t>
  </si>
  <si>
    <t xml:space="preserve">PINTURA ANTICORROSIVA </t>
  </si>
  <si>
    <t>EQUIPO DE SOLDADURA</t>
  </si>
  <si>
    <t>PULIDORA ELÉCTRICA, CARETA CON VISOR, EXTENSIÓN ELÉCTRICA</t>
  </si>
  <si>
    <t>DISCO PULIR METAL 9"</t>
  </si>
  <si>
    <t>MALACATE TIRFOR 1,600 Kg CON CABLE DE ACERO</t>
  </si>
  <si>
    <t>LLAVE EXPANSIÓN 12"</t>
  </si>
  <si>
    <t>CUADRILLA SOLDADURA</t>
  </si>
  <si>
    <t>CUADRILLA PINTURA</t>
  </si>
  <si>
    <t>VIGA IPE 200MM X 6M A572/G50</t>
  </si>
  <si>
    <t>TUBO RECTANGULAR 50 X 25 X 1.1MM C18 X 6M</t>
  </si>
  <si>
    <t>LAMINA ALVEOLAR 6 MM 5.90X2.10 M BRONCE</t>
  </si>
  <si>
    <t>Item: 2,1</t>
  </si>
  <si>
    <t>SEPAROL N (Desformaleteante para fácil desencofre de concr</t>
  </si>
  <si>
    <t>CARRETA LLANTA NEUMÁTICA</t>
  </si>
  <si>
    <t>PALA REDONDA CON CABO</t>
  </si>
  <si>
    <t>VIBRADOR ELÉCTRICO PARA CONCRETO</t>
  </si>
  <si>
    <t>OTROS:</t>
  </si>
  <si>
    <t>ENSAYO DE CONCRETO RESISTENCIA A LA COMPRESIÓN</t>
  </si>
  <si>
    <t>ALAMBRE NEGRO #18</t>
  </si>
  <si>
    <t>CIZALLA DE PALANCA CON DADOS</t>
  </si>
  <si>
    <t>TRONZADORA</t>
  </si>
  <si>
    <t>SEGUETA BIMETÁLICA</t>
  </si>
  <si>
    <t>HERRAMIENTAS PARA HERRERO</t>
  </si>
  <si>
    <t>CUADRILLA HERRERÍA</t>
  </si>
  <si>
    <t>PENDIENTE DIBUJO</t>
  </si>
  <si>
    <t>Item: 2,2</t>
  </si>
  <si>
    <t>PERGOLA ACCESO PPAL</t>
  </si>
  <si>
    <t>ACERO Fy= 420 MPa</t>
  </si>
  <si>
    <t>Item: 2,3</t>
  </si>
  <si>
    <t>Item: 2,4</t>
  </si>
  <si>
    <t>PESO 
(KL)</t>
  </si>
  <si>
    <t xml:space="preserve">CANTIDAD </t>
  </si>
  <si>
    <t>Item: 3,1</t>
  </si>
  <si>
    <t>COSTADO NORTE</t>
  </si>
  <si>
    <t xml:space="preserve">COSTADO ORIENTE </t>
  </si>
  <si>
    <t>COSTADO OCCIDENTE</t>
  </si>
  <si>
    <t>Item: 3,2</t>
  </si>
  <si>
    <t>Item: 3,3</t>
  </si>
  <si>
    <t>Item: 3,4</t>
  </si>
  <si>
    <t>COSTADO SUR - MENOS ACCESO PUERTA</t>
  </si>
  <si>
    <t>RECEBO COMÚN</t>
  </si>
  <si>
    <t>GASOLINA</t>
  </si>
  <si>
    <t>COMPACTADOR MANUAL (RANA)</t>
  </si>
  <si>
    <t>ANCHO
(ml)</t>
  </si>
  <si>
    <t xml:space="preserve">BASE EN RECEBO COMPACTADO  DE ESPSOR DE 10 CMS PARA VIGA DE CIEMENTACION </t>
  </si>
  <si>
    <t>ACERO DE REFUERZO VARILLA DE 1/2 Y VARILLA DE  3/8" DE 60.000 PSI Y ALAMBRE NEGRO No 18</t>
  </si>
  <si>
    <t>VARILA DE 1/2 " Y VARILLA DE  3/8"  ACERO DE REFUERZO DE 60.000 Y ALAMBRE NEGRO No 18</t>
  </si>
  <si>
    <t>PESO</t>
  </si>
  <si>
    <t>CANT</t>
  </si>
  <si>
    <t xml:space="preserve"> COSTADO NORTE </t>
  </si>
  <si>
    <t xml:space="preserve">COSTADO OCCIDENTE </t>
  </si>
  <si>
    <t>CANT DE TUBOS DE 3 MTS</t>
  </si>
  <si>
    <t>PUERTA</t>
  </si>
  <si>
    <t>ALMADANA 18 lb</t>
  </si>
  <si>
    <t>CUADRILLA 2 Ay</t>
  </si>
  <si>
    <t>CONO PVC CON CINTA REFLECTIVA</t>
  </si>
  <si>
    <t>GALON</t>
  </si>
  <si>
    <t>TUBERIA CERRAMIENTO GALVANIZADO 3"</t>
  </si>
  <si>
    <t>SUMINISTRO E INSTALACION DE CERRAMIENTO EN TUBERIA REDONDA  3"  GALVANIZADA DE 2,20 MTS DE ALTO , TUBO CAD 15 CMS CON TAPA PUNTA CHAFLAN PINTADA EN WASH PRIMER  Y TERMINACION EN ESMALTE  EN COLOR DESEADO</t>
  </si>
  <si>
    <t>PINTURA ANTICORROSIVA WASH PRIMER</t>
  </si>
  <si>
    <t xml:space="preserve">LOCALIZACION Y REPLANTEO MANUAL </t>
  </si>
  <si>
    <t>LISTÓN 2" x 4"</t>
  </si>
  <si>
    <t>LISTÓN 1" x 2"</t>
  </si>
  <si>
    <t>BROCHA 2"</t>
  </si>
  <si>
    <t>EQUIPO DE TOPOGRAFÍA</t>
  </si>
  <si>
    <t>ERRAMIENTAS PARA ALBAÑIL</t>
  </si>
  <si>
    <t>HR</t>
  </si>
  <si>
    <t>PERGOLA 1</t>
  </si>
  <si>
    <t>PERGOLA 2</t>
  </si>
  <si>
    <t>PERGOLA 3</t>
  </si>
  <si>
    <t>PERGOLA DE ACCESO</t>
  </si>
  <si>
    <t>2.5</t>
  </si>
  <si>
    <t>SUMINISITRO E INSTALACION DE FRONTON  EN ESTRUCTURA  METALICA CONSTRUIDA EN PERFIL VIGA  IP 200 ESTRUCTURA PRINCIPAL   Y HORIZONTALES EN TUBERIA RECTANGULAR  50 MM X 25 MM SEGÚN DISSEÑO PINTADA EN ANTICORROSIVO Y PINTURA ESMALTE ACABADO FINAL COLOR NEGRO.</t>
  </si>
  <si>
    <t>Item: 2,5</t>
  </si>
  <si>
    <t>COSTADO SUR - ACCESO PUERTA PEATONAL</t>
  </si>
  <si>
    <t>COSTADO SUR - ACCESO PUERTA VEHICULAR</t>
  </si>
  <si>
    <t>BISGRAS BUJE  PIVOTADAS</t>
  </si>
  <si>
    <t>Item: 3,5</t>
  </si>
  <si>
    <t>Item: 3,6</t>
  </si>
  <si>
    <t>Item: 3,7</t>
  </si>
  <si>
    <t>Item: 3,8</t>
  </si>
  <si>
    <t>SIKA MORTERO IMPERMEABLE (Recubrimiento para impermeabiliz</t>
  </si>
  <si>
    <t>WIN PLÁSTICO x 2.40 m</t>
  </si>
  <si>
    <t>ARREGLO DE PUERTAS Y VENTANERIA DE EXISTENTE EN ALUMINIO ADECUACION  Y AJUSTE  DE HOJAS  Y MARCOS PARA SU CORRECTO FUNCIONAMMIENTO.</t>
  </si>
  <si>
    <t>VENTANAS</t>
  </si>
  <si>
    <t>PUERTA PUNTO DE AATENCION 1</t>
  </si>
  <si>
    <t>PUERTA PUNTO DE AATENCION 2</t>
  </si>
  <si>
    <t>PUERTA ACCESO POSTERIOR  ALMACEN</t>
  </si>
  <si>
    <t xml:space="preserve"> </t>
  </si>
  <si>
    <t>SUMINISTRO E INSTALACION DE PUERTA  EN TUBERIA REDONDA  3"  GALVANIZADA DE 2,20 MTS DE ALTO , TUBO CAD 15 CMS CON TAPA PUNTA CHAFLAN PINTADA EN WASH SEGÚN DISEÑO.</t>
  </si>
  <si>
    <t>UNIDAD: UN</t>
  </si>
  <si>
    <t xml:space="preserve">Luminaria de emergencia autonomia 90 min </t>
  </si>
  <si>
    <t>Cable encauchetado 3x18 HF FR LS</t>
  </si>
  <si>
    <t>Clavija con polo a tierra</t>
  </si>
  <si>
    <t>Subtotal =</t>
  </si>
  <si>
    <t>EQUIPO Y HERRAMIENTAS:</t>
  </si>
  <si>
    <t>Herramienta para ELECTRICISTA</t>
  </si>
  <si>
    <t>MANO DE OBRA:</t>
  </si>
  <si>
    <t>cuadrilla electrica</t>
  </si>
  <si>
    <t>TRANSPORTE:</t>
  </si>
  <si>
    <t>Camioneta</t>
  </si>
  <si>
    <t>Tubo EMT 3/4"</t>
  </si>
  <si>
    <t xml:space="preserve">Cable CU LIBRE DE HALÓGENOS 12AWG </t>
  </si>
  <si>
    <t>Toma doble con polo a tierra</t>
  </si>
  <si>
    <t xml:space="preserve">Caja 5800 Aluminio findido </t>
  </si>
  <si>
    <t>Terminales EMT 3/4"</t>
  </si>
  <si>
    <t>Uniones EMT 3/4"</t>
  </si>
  <si>
    <t xml:space="preserve">Elementos de fijacion </t>
  </si>
  <si>
    <t xml:space="preserve">CONECT. RESORTE ROJO/AMARILLO 18-12AWG </t>
  </si>
  <si>
    <t>siso</t>
  </si>
  <si>
    <t>Tubo EMT  3/4"</t>
  </si>
  <si>
    <t>Interruptor DOBLE</t>
  </si>
  <si>
    <t>Elementos de fijacion abrasadeta doble ala</t>
  </si>
  <si>
    <t>Toma doble polo a tierra</t>
  </si>
  <si>
    <t>conector de resorte 3m</t>
  </si>
  <si>
    <t>Tablero BIFASICO sin ESPACIO 18 CIRCUITOS</t>
  </si>
  <si>
    <t xml:space="preserve">BREAKER DE 1X20A </t>
  </si>
  <si>
    <t>BREAKER DE 2X40A</t>
  </si>
  <si>
    <t>ELEMENTOS DE SUJESIÓN</t>
  </si>
  <si>
    <t>MARQUILLAS</t>
  </si>
  <si>
    <t>AMARRES PLASTICOS DE 20CM PAQUETE</t>
  </si>
  <si>
    <t xml:space="preserve">CINTA AISLANTE </t>
  </si>
  <si>
    <t>ROLLO</t>
  </si>
  <si>
    <t>Suministro e instalación salida de interruptor SENCILLO en tuberia EMT 3/4", con caja rawelt 2400, interruptor, incluye curvas, y accesorios para fijacion.</t>
  </si>
  <si>
    <t>Interruptor sencillo</t>
  </si>
  <si>
    <t xml:space="preserve">Caja 2400 Aluminio findido </t>
  </si>
  <si>
    <t>Luminaria 60x60 LED 40w 120v</t>
  </si>
  <si>
    <t>varilla de cobre 2,4x5/8"</t>
  </si>
  <si>
    <t>CONECTOR</t>
  </si>
  <si>
    <t>CABLE DE COBRE 6 DESNUDO</t>
  </si>
  <si>
    <t>CAJA 0,3X0,3M PARA INSPECCIÓN PREFABRICADA</t>
  </si>
  <si>
    <t>SUELO ARTIFICIAL 30 KG POR VARILLA</t>
  </si>
  <si>
    <t>BULTO</t>
  </si>
  <si>
    <t>PANEL LED REDONDO 18W SYLVANIA</t>
  </si>
  <si>
    <t>PLANTA ELECTRICA CABINADA 10 KVA VBIFASICA</t>
  </si>
  <si>
    <t>TRANSFERENCIA</t>
  </si>
  <si>
    <t>cuadrilla electrica Mantenimiento</t>
  </si>
  <si>
    <t>Elementos de sujeción</t>
  </si>
  <si>
    <t xml:space="preserve">Cable CU LIBRE DE HALÓGENOS 8 AWG </t>
  </si>
  <si>
    <t>Cable CU 10 AWG  LIBRE DE HALOGENOS</t>
  </si>
  <si>
    <t>Termina de pala No. 8 Y 10</t>
  </si>
  <si>
    <t>TUBO EMT 1"</t>
  </si>
  <si>
    <t>TERMINAL EMT 1"</t>
  </si>
  <si>
    <t xml:space="preserve">Cinta aislante </t>
  </si>
  <si>
    <t>UNION EMT DE 1"</t>
  </si>
  <si>
    <t>MARCACION RETIE</t>
  </si>
  <si>
    <t>DESMONTE DE REDES  ELECTRICAS EXISTENTES</t>
  </si>
  <si>
    <t xml:space="preserve">Cable CU LIBRE DE HALÓGENOS 10AWG </t>
  </si>
  <si>
    <t xml:space="preserve">Tubo EMT de 1" </t>
  </si>
  <si>
    <t>TERMINAL EMT DE 1"</t>
  </si>
  <si>
    <t>Curva EMT de 1"</t>
  </si>
  <si>
    <t>Suministro e instalacion  de  Sensor Odc0S-I1W Infrarrojo Montaje En Techo.</t>
  </si>
  <si>
    <t>Sensor Odc0S-I1W Infrarrojo Montaje En Techo</t>
  </si>
  <si>
    <t>Suministro e instalación salida para sensor infrarrojo en techo, incluye cable, conectores y elementos de fijación.</t>
  </si>
  <si>
    <t>Tubo emte 3/4"</t>
  </si>
  <si>
    <t>Suministro e instalación de salida de tomacorriente doble con polo a tierra GFCI, incluye cana 2400 aluminio fundido, conctores y soportes de tuberia y en si todo lo necesario para su funcionamiento.</t>
  </si>
  <si>
    <t>toma gfci</t>
  </si>
  <si>
    <t>Suministro e instalación de Luminaria de emergencia certificada RETIE  para cuartos tecnicos. Incluye 1 metro de cable encauchetado 3x18 HF FR LS y clavija.</t>
  </si>
  <si>
    <t>Suministro e instalación salida de iluminacion en tuberia EMT 3/4", con caja rawelt 5800, toma corriente, incluye curvas, y accesorios para fijacion.</t>
  </si>
  <si>
    <t>Suministro e instalación salida de interruptor doble en tuberia EMT 3/4", con caja rawelt 2400, interruptor, incluye curvas, y accesorios para fijacion. AUDITORIO</t>
  </si>
  <si>
    <t>Suministro e instalación salida de tomacorriente doble con polo a tierra en muro sobrepuesta en tuberia EMT 3/4", con caja rawelt 5800, toma corriente, incluye curvas, y accesorios para fijación.</t>
  </si>
  <si>
    <t>Suministro e instalación de tablero Bifasico de 18 circuitos  sin espacio totalizador, incluye  protecciones 8 de 1x20A Y 3 DE 2X40A.</t>
  </si>
  <si>
    <t>Suministro e instalación de un sistema de puesta a tierra con UNA varillas cobre-cobre de 2,4m x 5/8", CONECTOR CERTIFICADO y cable 6 cobre desnudo 10ml para el MEDIDOR.</t>
  </si>
  <si>
    <t>Suministro e instalación de luminaria panel LED redodo de 18W 120V. Para cocina, baños cuarto de aseo, pasillos.</t>
  </si>
  <si>
    <t>Suministro e instalación salida PARA AA en tuberia EMT 1",  cable 2X10+12T awg Libre de halogenos, con caja rawelt 5800, toma corriente, incluye curvas, y accesorios para fijacion.</t>
  </si>
  <si>
    <t>Suministro e instalación de luminaria LED 60x60 40W 120V ATENCION AL USUARIO</t>
  </si>
  <si>
    <t>SUMINISTRO EN INSTALACION DE MAMPOSTERIA PARA SELLO DE MUROS EN BAÑOS EN CUCHILLA  EN BLOQUE No 4 MORTERO 1:4</t>
  </si>
  <si>
    <t>I. ADMINISTRACIÓN</t>
  </si>
  <si>
    <t xml:space="preserve">A. PERSONAL 
</t>
  </si>
  <si>
    <t>PERSONAL</t>
  </si>
  <si>
    <t>CANTIDAD DE
PROFESIONALES</t>
  </si>
  <si>
    <t>SALARIO</t>
  </si>
  <si>
    <t xml:space="preserve">DEDIC. </t>
  </si>
  <si>
    <t xml:space="preserve">FACTOR
PREST.  </t>
  </si>
  <si>
    <t xml:space="preserve">MESES  </t>
  </si>
  <si>
    <t>COSTO TOTAL</t>
  </si>
  <si>
    <t>RESIDENTE DE OBRA</t>
  </si>
  <si>
    <t>INSPECTOR SISOMA</t>
  </si>
  <si>
    <t>SUBTOTAL</t>
  </si>
  <si>
    <t xml:space="preserve">B. FUNCIONAMIENTO 
</t>
  </si>
  <si>
    <t>DETALLE</t>
  </si>
  <si>
    <t>VALOR MES</t>
  </si>
  <si>
    <t>Informática</t>
  </si>
  <si>
    <t>Papelería y otros</t>
  </si>
  <si>
    <t xml:space="preserve">C. COSTOS LEGALES 
</t>
  </si>
  <si>
    <t>POLIZAS</t>
  </si>
  <si>
    <t>Garantía de Seriedad</t>
  </si>
  <si>
    <t>Estabilidad de la Obra</t>
  </si>
  <si>
    <t>Salarios, Prestaciones</t>
  </si>
  <si>
    <t>Cumplimiento</t>
  </si>
  <si>
    <t>Responsabilidad Civil</t>
  </si>
  <si>
    <t>IMPUESTOS</t>
  </si>
  <si>
    <t>Pro-Universidad nacional Ley 1697 de 2013</t>
  </si>
  <si>
    <t>Impuesto ley 1106-Contribucion Especial Sobre Contratos De Obra</t>
  </si>
  <si>
    <t>Retención en la fuente</t>
  </si>
  <si>
    <t>Impuesto de Industria y Comercio</t>
  </si>
  <si>
    <t>D. RESUMEN COSTOS DE ADMINISTRACIÓN</t>
  </si>
  <si>
    <t>FUNCIONAMIENTO</t>
  </si>
  <si>
    <t>COSTOS DEL CONTRATO</t>
  </si>
  <si>
    <t>TOTAL, COSTOS ADMINISTRACIÓN</t>
  </si>
  <si>
    <t>TOTAL, COSTOS DIRECTO</t>
  </si>
  <si>
    <t>% COSTOS ADMINISTRACIÓN</t>
  </si>
  <si>
    <t>% DE ADMINISTRACION ASUMIDO</t>
  </si>
  <si>
    <t>II. IMPREVISTOS</t>
  </si>
  <si>
    <t>III. UTILIDADES</t>
  </si>
  <si>
    <t>Oficina</t>
  </si>
  <si>
    <t>VIGA COSTADO NORTE varilla de 1/2 ZAPATA</t>
  </si>
  <si>
    <t>VIGA COSTADO SUR varilla de 1/2 ZAPATA</t>
  </si>
  <si>
    <t>VIGA COSTADO ORIENTE varilla de 1/2 ZAPATA</t>
  </si>
  <si>
    <t>VIGA COSTADO OCCIDENTE varilla de 1/2 ZAPATA</t>
  </si>
  <si>
    <t xml:space="preserve">CERRAMIENTO </t>
  </si>
  <si>
    <t xml:space="preserve">PISO ANKARA CAFE CARAS DIFERENCIADAS 60X60
</t>
  </si>
  <si>
    <t>PISO CERÁMICO BUNES GRIS 60X60CM</t>
  </si>
  <si>
    <t>COSTADO LATERAL DERECHO</t>
  </si>
  <si>
    <t>COSTADO LATERAL IZQUIERDO</t>
  </si>
  <si>
    <t xml:space="preserve">SUMINISTRO Y APLICACIÓN  DE ANTICORROSIVOO Y PINTURA ESMALTE  PARA  REJAS DE VENTANAS  METALICAS .NCLUYE LIMPIEZA , LIJADO  RASPADO, RESANES </t>
  </si>
  <si>
    <t>PEDESTAL  EN CONCRETO DE 3000 PSI INCLUYE EXCAVACION,PARA SOPORTE DE ESTRUCTURA METALICA DE PERGOLA</t>
  </si>
  <si>
    <t>PLATINA DE 1/4  CON HUECO  1/2 "</t>
  </si>
  <si>
    <t xml:space="preserve">TORNILLO DE1/2" </t>
  </si>
  <si>
    <t>SUMINISITRO E INSTALACION DE PERGOLA EN ESTRUCTURA  METALICA CONSTRUIDA EN PERFIL VIGA  IP 200 ESTRUCTURA PRINCIPAL Y BASES EN PLATINA DE 1/4  DE 0.25X0.25    Y HORIZONTALES EN TUBERIA RECTANGULAR  50 MM X 25 MM SEGÚN DISSEÑO PINTADA EN ANTICORROSIVO Y PINTURA ESMALTE ACABADO FINAL  PINTURA EPOXICA COLOR NEGRO.</t>
  </si>
  <si>
    <t>VIGA COSTADO OCCIDENTE fleje de  3/8 VERTEBRA</t>
  </si>
  <si>
    <t xml:space="preserve">VIGA COSTADO OCCIDENTE fleje de 3/8 VERTEBRA </t>
  </si>
  <si>
    <t>VIGA COSTADO OCCIDENTE varilla de 1/2 long  VERTEBRA</t>
  </si>
  <si>
    <t>VIGA COSTADO OCCIDENTE varilla de 1/2 long VERTEBRA</t>
  </si>
  <si>
    <t>VIGA COSTADO OCCIDENTE varilla de 1/2 long  ZAPATA</t>
  </si>
  <si>
    <t>VIGA COSTADO OCCIDENTE varilla de 1/2 long ZAPATA</t>
  </si>
  <si>
    <t>INGENIERO ELECTRICO</t>
  </si>
  <si>
    <t>DESMONTE DE CERRAMIENTO EXISTENTE Y DEMOLICION DE VIGA EN PISO EXISTENTE  ENTRE 0 Y 25  CM DE ANCHO Y 0 A 0.80 MTS DE ALTO APROX. RETIRO Y DISPOSICION FINAL DE ESCOMBRO</t>
  </si>
  <si>
    <t xml:space="preserve">inicial </t>
  </si>
  <si>
    <t>OFICINA PRINCIPAL</t>
  </si>
  <si>
    <t>ALMACEN  ACCESO (anterior baño)</t>
  </si>
  <si>
    <t>ALMACEN (anterior Closet 1)</t>
  </si>
  <si>
    <t>ALMACEN (anterior Closet 2)</t>
  </si>
  <si>
    <t>ALMACEN (antereior acceso a baño desde habitacion)</t>
  </si>
  <si>
    <t>ALMACEN NUEVO (anterior habitacion)</t>
  </si>
  <si>
    <t>DEMOLICION DE DE MURO PARA PUERTA DE ACCESO NUEVO ENTRADA ALMACEN Y PLACA EN CONCRETO EXIISTENTE</t>
  </si>
  <si>
    <t>SUMINSTRO E INSTALACION  DE PAÑETE 1:4 PARA RESANE DE VANO DE PUERTA INCLUYES FILOS  Y DILATACIONES Y COMPLEMENTO EN MUROS COMPARTIDO DE BAÑOS</t>
  </si>
  <si>
    <t>SUMINISTRO E INSTALACION DE MORTERO DE NIIVELACION  DE  5 CMS EN PISO MORTERO 1:4 IMPERMEABILIZADO CON SIKA IMPERMEABILIZANTE INCLUYE MALLA DE REFUERZO ELECTROSOLADAD DE 4 MM HUECO 20X20</t>
  </si>
  <si>
    <t>MALLA ELECTROSOLDADA 4.0 mm 20x20 cm</t>
  </si>
  <si>
    <t xml:space="preserve">ALAMBRE NEGRO Cal. 18 </t>
  </si>
  <si>
    <t>DEMOLICION DE PISO TABLETA EN GRES EXISTENTE INCLUYE RETIRO Y DISPOSICION FINAL DE ESCOMBROS ,DEMOLICION HASTA 15 CENTIIMETROS</t>
  </si>
  <si>
    <t>ALMADENA 4 LB</t>
  </si>
  <si>
    <t xml:space="preserve">ANDAMIO TUBULAR CON TIJERA 1.50x1.50 m </t>
  </si>
  <si>
    <t xml:space="preserve">ALMADANA 4 lb </t>
  </si>
  <si>
    <t xml:space="preserve">CINCEL 3/4" ACERO TEMPLADO </t>
  </si>
  <si>
    <t>CUADRILLA  1 AYUDANTE</t>
  </si>
  <si>
    <t xml:space="preserve">SUMINISTRO E INSTALACION DE CONCRETO DE 3000  PSI  DE  15 CMS INCLUYE MALLA ELECTROSOLDA  No 4 HUECO DE 15 X 15 PARA  ANDEN COSTADO IZQUIERDOO DE LA EDIFICACION </t>
  </si>
  <si>
    <t>EXCAVACION PARA ANDEN EXTERIOR  INCLUYE RETIRO DE MATERIAL DE LA OBRA</t>
  </si>
  <si>
    <t>ENTRADA ACCESO PPAL</t>
  </si>
  <si>
    <t>RELLENO LATERAL  DERECHO PLACA DE ACCESO</t>
  </si>
  <si>
    <t>RELLENO LATERAL IOZQUIERDO  PLACA DE ACCESO</t>
  </si>
  <si>
    <t>PISO PARED ARABIA BEIGE EN FORMATO 30X60,</t>
  </si>
  <si>
    <t>SUMINISTRO E INSTALACION DE ENCHAPE MURO PARA BAÑO  FACHALETA JAEN BLANCO CARAS DIFERENCIADAS 25X41 INCLUYE  Y MATERIAL DE PEGA Y BOQUILLA Y WIN PLASTICOPARA ESQUINAS</t>
  </si>
  <si>
    <t>SUMINISTRO E INSTALCION DE PORCELANATO TRAFICO PESADO ANTIDESLIZANTE PISO CERÁMICO PISO PARED ARABIA BEIGE EN FORMATO 30X60, CORREDORES EXTERIORES</t>
  </si>
  <si>
    <t xml:space="preserve">SUMINISTRO E INSTALCION DE ENCHAPE PISO PARA BAÑOPISO CERÁMICO MARMOL GIOTA VENATO GREY 60X60 CM  INCLUYE MATERIAL DE PEEGA Y BOQUILLA </t>
  </si>
  <si>
    <t xml:space="preserve">PISO CERÁMICO MARMOL GIOTA VENATO GREY 60X60 CM
</t>
  </si>
  <si>
    <t>APLICACIÓN DE PINTURA Y ESTUCO GENERAL PARA  INTERIOR  EN VINILO TIPO 1 EN MUROS. INCLUYE LIMPIEZA , RASPADO, RESANES, LIJADO FILOS EN ESCUADRAS DE MUROS DE VENTANA Y PUERTAS</t>
  </si>
  <si>
    <t>LIJA DE AGUA</t>
  </si>
  <si>
    <t>ESTUCOR ESTUCO PLÁSTICO</t>
  </si>
  <si>
    <t>PINTURA TIPO  1</t>
  </si>
  <si>
    <t xml:space="preserve">FRESCASA 3 1/2" CON FOIL </t>
  </si>
  <si>
    <t>MANTENIMIENTO DE ESTRUCTURA DE CUBIERTA, INCLUYE  LIMPIEZA, APLICACIÓN ANTICORROSIVO Y PIINTURA  ESMALTE, REPARACION  Y AJUSTE QUE SE REQUIERA</t>
  </si>
  <si>
    <t xml:space="preserve">TEJA ONDULADA P7 #8 </t>
  </si>
  <si>
    <t>CHAZO CON TORNILLO 12-14 x 2"</t>
  </si>
  <si>
    <t>SIKAFLEX 1A (Sellador elástico de Poliuretano) x 300 cm³</t>
  </si>
  <si>
    <t>CAFETERIA EXTERNA</t>
  </si>
  <si>
    <t>PUERTA CAFETERIA EXTERNA</t>
  </si>
  <si>
    <t>CERRADURA  DE INCRUSTRAR DE TRES BULONES</t>
  </si>
  <si>
    <t>RETIRO DE MANIJA DE PUERTA EXISTENTE DE ACCESO PRINCIPAL Y SUMINISTRO E INSTALCION DE MANIJA TIPO CERRADURA INCRUSTAR 4 BULONES ROSETA BARI
 EN PUERTA ACCESO PRINCIAPAL</t>
  </si>
  <si>
    <t>BLOQUE No. 5 ESTANDAR 30x20x12 cm</t>
  </si>
  <si>
    <t>CONCRETO 20.7 Mpa (3,000 psi)</t>
  </si>
  <si>
    <t>ZAPATAS EN CONCRETO DE 3000 PSI, CONCRETO E 3000 PSI  PARA SOPORTE DE ESTRUCTURA METALIZA PARA PERGOLA</t>
  </si>
  <si>
    <t>ZAPATAS PERGOLA ACCESO</t>
  </si>
  <si>
    <t>ANCHO</t>
  </si>
  <si>
    <t>ZAPATAS PERGOLA FACHA PPAL</t>
  </si>
  <si>
    <t>ZAPATAS PERGOLA FACHA POSTERIOR</t>
  </si>
  <si>
    <t>ZAPATAS CERRAMIENTO LATERAL IZQ</t>
  </si>
  <si>
    <t>ZAPATAS CERRAMIENTO LATERAL DER</t>
  </si>
  <si>
    <t>ZAPATAS CERRAMIENTO FACHDA POSTERIOR</t>
  </si>
  <si>
    <t>ZAPATAS CERRAMIENTO FACHDA PPAL</t>
  </si>
  <si>
    <t>CERRAMIENTO</t>
  </si>
  <si>
    <r>
      <t xml:space="preserve">Notas: </t>
    </r>
    <r>
      <rPr>
        <b/>
        <sz val="11"/>
        <color theme="1"/>
        <rFont val="Calibri"/>
        <family val="2"/>
        <scheme val="minor"/>
      </rPr>
      <t>VER CARTILLA DE HIERROS</t>
    </r>
  </si>
  <si>
    <t>EXCAVACION DE ZAPATAS  PARA CERRAMIENTO  ENTRE 0,0 Y 1,00  MTS INCLUYE Y RETIRO DE MATERIAL Y DISPOSICION FINAL</t>
  </si>
  <si>
    <t>CUADRILLA 1 OF + 3 AY</t>
  </si>
  <si>
    <t>PEDESTAL</t>
  </si>
  <si>
    <t>VIGA</t>
  </si>
  <si>
    <t>SUMINISTRO E INSTALACION DE CONCRETO   DE 3.000 PSI PARA ZAPATAS PEDESTAL Y VIGA INCLUYE ALFAJIA EN CONCRETO SEGÚN DISEÑO</t>
  </si>
  <si>
    <t>GRUPO GESTION DE INFRAESTRUCUTRA FISICA Y MANTENIMIENTO</t>
  </si>
  <si>
    <t>CALCULO DE AIU</t>
  </si>
  <si>
    <t>Duración obra(meses)</t>
  </si>
  <si>
    <t>SAL. + PREST (mes)</t>
  </si>
  <si>
    <t xml:space="preserve">TOTAL  A. I. U. </t>
  </si>
  <si>
    <t>Americana de cristales</t>
  </si>
  <si>
    <t>SUMINISTRO E INSTALACION DE PUERTA EN VIDRIO DE SEGURIDAD DE 2.00 DE ALTO X 0,0,8 DE 10 mm  CON SANBLASTING INCLUYE BISAGRA DE PISO SPEEDY M60 , MANIJA DE ACERO INOXIDABLE. ESQUINERO SUPERIOR E INFERIOR.</t>
  </si>
  <si>
    <t xml:space="preserve">Instituto Colombiano Agropecuario </t>
  </si>
  <si>
    <t>ASEO GENERAL</t>
  </si>
  <si>
    <t xml:space="preserve">ASEO GENERAL Y LIMPIEZA DE OBRA INTERVENIDA </t>
  </si>
  <si>
    <t>GUANTES MULTIUSOS PARA ASEO</t>
  </si>
  <si>
    <t>FAJA LUMBAR</t>
  </si>
  <si>
    <t>MANGUERA PARA AGUA Ø= 1/2" x 50 m</t>
  </si>
  <si>
    <t>RECOGEDOR DE PISO EN PLÁSTICO</t>
  </si>
  <si>
    <t>ESCOBA</t>
  </si>
  <si>
    <t>VOLQUETA 7 m3</t>
  </si>
  <si>
    <t>SUMINISTROS</t>
  </si>
  <si>
    <t>SALON PRINCIPAL</t>
  </si>
  <si>
    <t>OFICNA 1</t>
  </si>
  <si>
    <t>OFICNA 2</t>
  </si>
  <si>
    <t>AIRE ACONDICIONADO MINI SPLIT INVERTER 12,000 BTU 220V</t>
  </si>
  <si>
    <t>ACCESORIOS %</t>
  </si>
  <si>
    <t>%</t>
  </si>
  <si>
    <t>%MO</t>
  </si>
  <si>
    <t>ANGULOS DE  2" X 1/4</t>
  </si>
  <si>
    <t>CHAZO CON TORNILLO 10 x 3"</t>
  </si>
  <si>
    <t>BROCA 3/16"</t>
  </si>
  <si>
    <t>HERRAMIENTAS PARA CARPINTERO</t>
  </si>
  <si>
    <t>HERRAMIENTA MENOR INSTALADOR AIRE</t>
  </si>
  <si>
    <t>ARCHIVO</t>
  </si>
  <si>
    <t>salarios tomados de CESOF</t>
  </si>
  <si>
    <t>PICADO, RASPADO Y  ALISTADO DE BASE  EN MURO PARA  ENCHAPE DE BAÑOS  INCLUYE RETIRO Y DISPOSICION FINAL DE ESCOMBROS.</t>
  </si>
  <si>
    <t>Bien 1</t>
  </si>
  <si>
    <t>Bien 2</t>
  </si>
  <si>
    <t>Bien 3</t>
  </si>
  <si>
    <t>Bien 4</t>
  </si>
  <si>
    <t>bien 5</t>
  </si>
  <si>
    <t>Bien 6</t>
  </si>
  <si>
    <t>Bien 7</t>
  </si>
  <si>
    <t>Bien 8</t>
  </si>
  <si>
    <t>Bien 9</t>
  </si>
  <si>
    <t>Bien 10</t>
  </si>
  <si>
    <t>Bien 11</t>
  </si>
  <si>
    <t>Bien 12</t>
  </si>
  <si>
    <t>Bien 13</t>
  </si>
  <si>
    <t>Bien 14</t>
  </si>
  <si>
    <t>Bien 15</t>
  </si>
  <si>
    <t>Bien 16</t>
  </si>
  <si>
    <t>Bien 17</t>
  </si>
  <si>
    <t>Bien 18</t>
  </si>
  <si>
    <t>Bien 19</t>
  </si>
  <si>
    <t>Bien 20</t>
  </si>
  <si>
    <t>Bien 21</t>
  </si>
  <si>
    <t>Bien 22</t>
  </si>
  <si>
    <t>Bien 23</t>
  </si>
  <si>
    <t>Bien 24</t>
  </si>
  <si>
    <t>Bien 25</t>
  </si>
  <si>
    <t>Bien 26</t>
  </si>
  <si>
    <t>Bien 27</t>
  </si>
  <si>
    <t>Bien 28</t>
  </si>
  <si>
    <t>Bien 29</t>
  </si>
  <si>
    <t>Bien 30</t>
  </si>
  <si>
    <t>Bien 31</t>
  </si>
  <si>
    <t>Bien 32</t>
  </si>
  <si>
    <t>Bien 33</t>
  </si>
  <si>
    <t>Bien 34</t>
  </si>
  <si>
    <t>Bien 35</t>
  </si>
  <si>
    <t>Bien 36</t>
  </si>
  <si>
    <t>Bien 37</t>
  </si>
  <si>
    <t>Bien 38</t>
  </si>
  <si>
    <t>Bien 39</t>
  </si>
  <si>
    <t>Bien 40</t>
  </si>
  <si>
    <t>Bien 41</t>
  </si>
  <si>
    <t>Bien 42</t>
  </si>
  <si>
    <t>Bien 43</t>
  </si>
  <si>
    <t>Bien 44</t>
  </si>
  <si>
    <t>Bien 45</t>
  </si>
  <si>
    <t>Bien 46</t>
  </si>
  <si>
    <t>Bien 47</t>
  </si>
  <si>
    <t>Bien 48</t>
  </si>
  <si>
    <t>Bien 49</t>
  </si>
  <si>
    <t>Bien 50</t>
  </si>
  <si>
    <t>Bien 51</t>
  </si>
  <si>
    <t>Bien 52</t>
  </si>
  <si>
    <t>Bien 53</t>
  </si>
  <si>
    <t>Bien 54</t>
  </si>
  <si>
    <t>Bien 55</t>
  </si>
  <si>
    <t>Bien 56</t>
  </si>
  <si>
    <t>Bien 57</t>
  </si>
  <si>
    <t>Bien 58</t>
  </si>
  <si>
    <t>Bien 59</t>
  </si>
  <si>
    <t>Bien 60</t>
  </si>
  <si>
    <t>Bien 61</t>
  </si>
  <si>
    <t>Bien 62</t>
  </si>
  <si>
    <t>Bien 63</t>
  </si>
  <si>
    <t>Bien 64</t>
  </si>
  <si>
    <t>Bien 65</t>
  </si>
  <si>
    <t>Bien 66</t>
  </si>
  <si>
    <t>Bien 67</t>
  </si>
  <si>
    <t>Bien 68</t>
  </si>
  <si>
    <t>Bien 69</t>
  </si>
  <si>
    <t>Bien 70</t>
  </si>
  <si>
    <t>Bien 71</t>
  </si>
  <si>
    <t>Bien 72</t>
  </si>
  <si>
    <t>Bien 73</t>
  </si>
  <si>
    <t>Bien 74</t>
  </si>
  <si>
    <t>Bien 75</t>
  </si>
  <si>
    <t>Bien 76</t>
  </si>
  <si>
    <t>Bien 77</t>
  </si>
  <si>
    <t>Bien 78</t>
  </si>
  <si>
    <t>Bien 79</t>
  </si>
  <si>
    <t>Bien 80</t>
  </si>
  <si>
    <t>Bien 81</t>
  </si>
  <si>
    <t>Bien 82</t>
  </si>
  <si>
    <t>Bien 83</t>
  </si>
  <si>
    <t>Bien 84</t>
  </si>
  <si>
    <t>Bien 85</t>
  </si>
  <si>
    <t>Bien 86</t>
  </si>
  <si>
    <t>Bien 87</t>
  </si>
  <si>
    <t>Bien 88</t>
  </si>
  <si>
    <t>Bien 89</t>
  </si>
  <si>
    <t>Bien 90</t>
  </si>
  <si>
    <t>Bien 91</t>
  </si>
  <si>
    <t>Bien 92</t>
  </si>
  <si>
    <t>Bien 93</t>
  </si>
  <si>
    <t>Bien 94</t>
  </si>
  <si>
    <t>Bien 95</t>
  </si>
  <si>
    <t>Bien 96</t>
  </si>
  <si>
    <t>Bien 97</t>
  </si>
  <si>
    <t>Bien 98</t>
  </si>
  <si>
    <t>Bien 99</t>
  </si>
  <si>
    <t>Bien 100</t>
  </si>
  <si>
    <t>Bien 101</t>
  </si>
  <si>
    <t>Bien 102</t>
  </si>
  <si>
    <t>Bien 103</t>
  </si>
  <si>
    <t>Bien 104</t>
  </si>
  <si>
    <t>Bien 105</t>
  </si>
  <si>
    <t>Bien 106</t>
  </si>
  <si>
    <t>Bien 107</t>
  </si>
  <si>
    <t>Bien 108</t>
  </si>
  <si>
    <t>Bien 109</t>
  </si>
  <si>
    <t>Bien 110</t>
  </si>
  <si>
    <t>Bien 111</t>
  </si>
  <si>
    <t>Bien 112</t>
  </si>
  <si>
    <t>Bien 113</t>
  </si>
  <si>
    <t>Bien 114</t>
  </si>
  <si>
    <t>Bien 115</t>
  </si>
  <si>
    <t>Bien 116</t>
  </si>
  <si>
    <t>Bien 117</t>
  </si>
  <si>
    <t>Bien 118</t>
  </si>
  <si>
    <t>Bien 119</t>
  </si>
  <si>
    <t>Bien 120</t>
  </si>
  <si>
    <t>Bien 121</t>
  </si>
  <si>
    <t>Bien 122</t>
  </si>
  <si>
    <t>Bien 123</t>
  </si>
  <si>
    <t>Bien 124</t>
  </si>
  <si>
    <t>Bien 125</t>
  </si>
  <si>
    <t>Bien 126</t>
  </si>
  <si>
    <t>Bien 127</t>
  </si>
  <si>
    <t>Bien 128</t>
  </si>
  <si>
    <t>Bien 129</t>
  </si>
  <si>
    <t>Bien 130</t>
  </si>
  <si>
    <t>Bien 131</t>
  </si>
  <si>
    <t>Bien 132</t>
  </si>
  <si>
    <t>Bien 133</t>
  </si>
  <si>
    <t>Bien 134</t>
  </si>
  <si>
    <t>Bien 135</t>
  </si>
  <si>
    <t>Bien 136</t>
  </si>
  <si>
    <t>Bien 137</t>
  </si>
  <si>
    <t>Bien 138</t>
  </si>
  <si>
    <t>Bien 139</t>
  </si>
  <si>
    <t>Bien 140</t>
  </si>
  <si>
    <t>Bien 141</t>
  </si>
  <si>
    <t>Bien 142</t>
  </si>
  <si>
    <t>Bien 143</t>
  </si>
  <si>
    <t>Bien 144</t>
  </si>
  <si>
    <t>Bien 145</t>
  </si>
  <si>
    <t>Bien 146</t>
  </si>
  <si>
    <t>Bien 147</t>
  </si>
  <si>
    <t>Bien 148</t>
  </si>
  <si>
    <t>Bien 149</t>
  </si>
  <si>
    <t>Bien 150</t>
  </si>
  <si>
    <t>Bien 151</t>
  </si>
  <si>
    <t>Bien 152</t>
  </si>
  <si>
    <t>Bien 153</t>
  </si>
  <si>
    <t>Bien 154</t>
  </si>
  <si>
    <t>Bien 155</t>
  </si>
  <si>
    <t>Bien 156</t>
  </si>
  <si>
    <t>Bien 157</t>
  </si>
  <si>
    <t>Bien 158</t>
  </si>
  <si>
    <t>Bien 159</t>
  </si>
  <si>
    <t>Bien 160</t>
  </si>
  <si>
    <t>Bien 161</t>
  </si>
  <si>
    <t>Bien 162</t>
  </si>
  <si>
    <t>Bien 163</t>
  </si>
  <si>
    <t>Bien 164</t>
  </si>
  <si>
    <t>Bien 165</t>
  </si>
  <si>
    <t>Bien 166</t>
  </si>
  <si>
    <t>Bien 167</t>
  </si>
  <si>
    <t>Bien 168</t>
  </si>
  <si>
    <t>Bien 169</t>
  </si>
  <si>
    <t>Bien 170</t>
  </si>
  <si>
    <t>Bien 171</t>
  </si>
  <si>
    <t>Bien 172</t>
  </si>
  <si>
    <t>Bien 173</t>
  </si>
  <si>
    <t>Bien 174</t>
  </si>
  <si>
    <t>Bien 175</t>
  </si>
  <si>
    <t>Bien 176</t>
  </si>
  <si>
    <t>Bien 177</t>
  </si>
  <si>
    <t>Bien 178</t>
  </si>
  <si>
    <t>Bien 179</t>
  </si>
  <si>
    <t>Bien 180</t>
  </si>
  <si>
    <t>Bien 181</t>
  </si>
  <si>
    <t>Bien 182</t>
  </si>
  <si>
    <t>Bien 183</t>
  </si>
  <si>
    <t>Bien 184</t>
  </si>
  <si>
    <t>Bien 185</t>
  </si>
  <si>
    <t>Bien 186</t>
  </si>
  <si>
    <t>Bien 187</t>
  </si>
  <si>
    <t>Bien 188</t>
  </si>
  <si>
    <t>Bien 189</t>
  </si>
  <si>
    <t>Bien 190</t>
  </si>
  <si>
    <t>Bien 191</t>
  </si>
  <si>
    <t>Bien 192</t>
  </si>
  <si>
    <t>Bien 193</t>
  </si>
  <si>
    <t>Bien 194</t>
  </si>
  <si>
    <t>Bien 195</t>
  </si>
  <si>
    <t>Bien 196</t>
  </si>
  <si>
    <t>Bien 197</t>
  </si>
  <si>
    <t>Bien 198</t>
  </si>
  <si>
    <t>Bien 199</t>
  </si>
  <si>
    <t>Bien 200</t>
  </si>
  <si>
    <t>Bien 201</t>
  </si>
  <si>
    <t>Bien 202</t>
  </si>
  <si>
    <t>Bien 203</t>
  </si>
  <si>
    <t>Bien 204</t>
  </si>
  <si>
    <t>Bien 205</t>
  </si>
  <si>
    <t>Bien 206</t>
  </si>
  <si>
    <t>Bien 207</t>
  </si>
  <si>
    <t>Bien 208</t>
  </si>
  <si>
    <t>Bien 209</t>
  </si>
  <si>
    <t>Bien 210</t>
  </si>
  <si>
    <t>Bien 211</t>
  </si>
  <si>
    <t>Bien 212</t>
  </si>
  <si>
    <t>Bien 213</t>
  </si>
  <si>
    <t>Bien 214</t>
  </si>
  <si>
    <t>Bien 215</t>
  </si>
  <si>
    <t>DESCRIPCION en CVS</t>
  </si>
  <si>
    <t>BIEN RELEVANTE</t>
  </si>
  <si>
    <t>NO HAY PARTIDA ARANCELARIA</t>
  </si>
  <si>
    <t>SI HAY PARTIDA ARANCELARIA</t>
  </si>
  <si>
    <t>COSTO DIRECTO OBRA</t>
  </si>
  <si>
    <t>TOTAL OBRA</t>
  </si>
  <si>
    <t>COSTO DIRECTO SUMINISTRO</t>
  </si>
  <si>
    <t>SUMINISTRO E INSTALACION DE AIRE ACONDICONADO INVERTER DE 12.000 BTU  INCLUYE TODOS SUS ACCEOSRIOS PARA EL CORRECTO FUNCIONAMIENTO CON SOPORTES A MURO PARA CONDENSADORA.</t>
  </si>
  <si>
    <t>1,5A</t>
  </si>
  <si>
    <t>IVA</t>
  </si>
  <si>
    <t>TOTAL SUMINISTRO</t>
  </si>
  <si>
    <t>TOTAL PROYECTO</t>
  </si>
  <si>
    <r>
      <t xml:space="preserve">APLICACIÓN DE PINTURA GENERAL PARA INTERIORES EN VINILO TIPO 1   PARA </t>
    </r>
    <r>
      <rPr>
        <b/>
        <sz val="8"/>
        <color theme="1"/>
        <rFont val="Arial"/>
        <family val="2"/>
      </rPr>
      <t>TECHOS</t>
    </r>
    <r>
      <rPr>
        <sz val="8"/>
        <color theme="1"/>
        <rFont val="Arial"/>
        <family val="2"/>
      </rPr>
      <t xml:space="preserve"> . INCLUYE LIMPIEZA , RASPADO, RESANES, LIJADO FILOS INSTALACION DE SELLO DE JUNTAS</t>
    </r>
  </si>
  <si>
    <t>SUMINISTRO E INSTALACION DE PISO ANKARA CAFE CARAS DIFERENCIADAS 60X60 Y  PISO CERÁMICO BUNES GRIS 60X60CM INSTALACION A DOS TONOS DIFERENCIANDO AREAS DE TRABAJO.  SEGÚN DISEÑO</t>
  </si>
  <si>
    <t>SUMINISTRO E INSTALACION DE SANITARIOS  REFERENCIA SANITARIO SMART ALONGADO SINGLE BLANCO INCLUYE TODOS SU ACCESORIOS CON VALVULA AHORRADORA Y TODOS SUS ACCESORIOS PARA SU CORRECTO FUNCIONAMIENTO</t>
  </si>
  <si>
    <r>
      <t>SUMINISTRO E INSTALACION DE LAVAMANOS CON  MUEBLE ALUVIA ELEVADO 60X45 CM MILAN CON LAVAMANOS CORONA</t>
    </r>
    <r>
      <rPr>
        <b/>
        <sz val="8"/>
        <color rgb="FFFF0000"/>
        <rFont val="Arial"/>
        <family val="2"/>
      </rPr>
      <t xml:space="preserve">
 </t>
    </r>
    <r>
      <rPr>
        <sz val="8"/>
        <rFont val="Arial"/>
        <family val="2"/>
      </rPr>
      <t>CON SISTEMA AHORRADOR DE AGUA INSTITUCIONAL.INCLUYE TODOS SUS ACCESORIOS PARA SU CORRECTO FUNCIONAMIENTO</t>
    </r>
  </si>
  <si>
    <t xml:space="preserve">RETIRO DE MANIJAS DE PUERTA EXISTENTESY SUMINISTRO E INSTALCION DE CERRADURA  DE INCRUSTRAR DE TRES BULONES EN PUERTAS EXISTENTES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</si>
</sst>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.00;[Red]\-&quot;$&quot;#,##0.00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_-* #,##0.00_-;\-* #,##0.00_-;_-* &quot;-&quot;_-;_-@"/>
    <numFmt numFmtId="168" formatCode="_-&quot;$&quot;\ * #,##0.00_-;\-&quot;$&quot;\ * #,##0.00_-;_-&quot;$&quot;\ * &quot;-&quot;_-;_-@"/>
    <numFmt numFmtId="169" formatCode="_-&quot;$&quot;* #,##0.00_-;\-&quot;$&quot;* #,##0.00_-;_-&quot;$&quot;* &quot;-&quot;??_-;_-@"/>
    <numFmt numFmtId="170" formatCode="mmmm\ dd\,\ yyyy"/>
    <numFmt numFmtId="171" formatCode="0.0"/>
    <numFmt numFmtId="172" formatCode="_(&quot;$&quot;* #,##0.00_);_(&quot;$&quot;* \(#,##0.00\);_(&quot;$&quot;* &quot;-&quot;??_);_(@_)"/>
    <numFmt numFmtId="173" formatCode="_-* #,##0.0_-;\-* #,##0.0_-;_-* &quot;-&quot;??_-;_-@_-"/>
    <numFmt numFmtId="174" formatCode="0.0000"/>
    <numFmt numFmtId="175" formatCode="0.000%"/>
    <numFmt numFmtId="176" formatCode="_-&quot;$&quot;\ * #,##0.0_-;\-&quot;$&quot;\ * #,##0.0_-;_-&quot;$&quot;\ * &quot;-&quot;?_-;_-@_-"/>
    <numFmt numFmtId="177" formatCode="_-[$$-409]* #,##0.00_ ;_-[$$-409]* \-#,##0.00\ ;_-[$$-409]* &quot;-&quot;??_ ;_-@_ "/>
    <numFmt numFmtId="178" formatCode="&quot;$&quot;\ #,##0.00"/>
    <numFmt numFmtId="179" formatCode="_-* #,##0.000000000_-;\-* #,##0.000000000_-;_-* &quot;-&quot;_-;_-@"/>
  </numFmts>
  <fonts count="43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22"/>
      <color theme="1"/>
      <name val="Arial Narrow"/>
      <family val="2"/>
    </font>
    <font>
      <b/>
      <sz val="14"/>
      <name val="Arial Narrow"/>
      <family val="2"/>
    </font>
    <font>
      <b/>
      <sz val="14"/>
      <color theme="1"/>
      <name val="Arial Narrow"/>
      <family val="2"/>
    </font>
    <font>
      <b/>
      <sz val="18"/>
      <color theme="1"/>
      <name val="Arial Narrow"/>
      <family val="2"/>
    </font>
    <font>
      <b/>
      <sz val="5"/>
      <color theme="1"/>
      <name val="Montserrat"/>
    </font>
    <font>
      <b/>
      <sz val="9"/>
      <color theme="1"/>
      <name val="Montserrat"/>
    </font>
    <font>
      <sz val="11"/>
      <name val="Calibri"/>
      <family val="2"/>
    </font>
    <font>
      <sz val="10"/>
      <color rgb="FF000000"/>
      <name val="Montserrat"/>
    </font>
    <font>
      <sz val="8"/>
      <color theme="1"/>
      <name val="Montserrat"/>
    </font>
    <font>
      <sz val="9"/>
      <color theme="1"/>
      <name val="Montserrat"/>
    </font>
    <font>
      <sz val="9"/>
      <color rgb="FF000000"/>
      <name val="Montserrat"/>
    </font>
    <font>
      <sz val="10"/>
      <color theme="1"/>
      <name val="Montserrat"/>
    </font>
    <font>
      <sz val="11"/>
      <color theme="1"/>
      <name val="Calibri"/>
      <family val="2"/>
      <scheme val="minor"/>
    </font>
    <font>
      <b/>
      <sz val="16"/>
      <color theme="1"/>
      <name val="Montserrat Light"/>
    </font>
    <font>
      <b/>
      <sz val="11"/>
      <color theme="1"/>
      <name val="Montserrat Light"/>
    </font>
    <font>
      <sz val="10"/>
      <color rgb="FF000000"/>
      <name val="Times New Roman"/>
      <family val="1"/>
    </font>
    <font>
      <b/>
      <sz val="8"/>
      <color theme="1"/>
      <name val="Montserrat Light"/>
    </font>
    <font>
      <sz val="8"/>
      <color theme="1"/>
      <name val="Montserrat Light"/>
      <family val="2"/>
    </font>
    <font>
      <b/>
      <sz val="11"/>
      <color rgb="FFFF0000"/>
      <name val="Montserrat Light"/>
    </font>
    <font>
      <b/>
      <sz val="10"/>
      <color theme="1"/>
      <name val="Montserrat Light"/>
    </font>
    <font>
      <i/>
      <u/>
      <sz val="16"/>
      <color theme="1"/>
      <name val="Montserrat Light"/>
    </font>
    <font>
      <sz val="8"/>
      <color rgb="FFFF0000"/>
      <name val="Montserrat Light"/>
      <family val="2"/>
    </font>
    <font>
      <sz val="8"/>
      <name val="Montserrat Light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rgb="FF0070C0"/>
      <name val="Calibri"/>
      <family val="2"/>
      <scheme val="minor"/>
    </font>
    <font>
      <sz val="12"/>
      <color rgb="FF408080"/>
      <name val="Calibri"/>
      <family val="2"/>
      <scheme val="minor"/>
    </font>
    <font>
      <sz val="9"/>
      <name val="Arial"/>
      <family val="2"/>
    </font>
    <font>
      <b/>
      <sz val="9"/>
      <name val="Montserrat"/>
    </font>
    <font>
      <sz val="11"/>
      <name val="Calibri"/>
      <family val="2"/>
      <scheme val="minor"/>
    </font>
    <font>
      <b/>
      <sz val="11"/>
      <color theme="1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b/>
      <sz val="8"/>
      <color rgb="FFFF000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ABF8F"/>
        <bgColor rgb="FFFABF8F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BFBFBF"/>
        <bgColor rgb="FFBFBFBF"/>
      </patternFill>
    </fill>
    <fill>
      <patternFill patternType="solid">
        <fgColor rgb="FFA5A5A5"/>
        <bgColor rgb="FFA5A5A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2F9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rgb="FFA5A5A5"/>
      </patternFill>
    </fill>
  </fills>
  <borders count="9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/>
      <top style="thin">
        <color rgb="FF808080"/>
      </top>
      <bottom/>
      <diagonal/>
    </border>
    <border>
      <left/>
      <right/>
      <top style="thin">
        <color rgb="FF808080"/>
      </top>
      <bottom/>
      <diagonal/>
    </border>
    <border>
      <left/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/>
      <top/>
      <bottom/>
      <diagonal/>
    </border>
    <border>
      <left/>
      <right style="thin">
        <color rgb="FF808080"/>
      </right>
      <top/>
      <bottom/>
      <diagonal/>
    </border>
    <border>
      <left style="thin">
        <color rgb="FF808080"/>
      </left>
      <right/>
      <top/>
      <bottom style="thin">
        <color rgb="FF808080"/>
      </bottom>
      <diagonal/>
    </border>
    <border>
      <left/>
      <right/>
      <top/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808080"/>
      </left>
      <right/>
      <top style="thin">
        <color rgb="FF000000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808080"/>
      </right>
      <top/>
      <bottom/>
      <diagonal/>
    </border>
    <border>
      <left style="thin">
        <color rgb="FF808080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488">
    <xf numFmtId="0" fontId="0" fillId="0" borderId="0" xfId="0"/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3" borderId="14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14" fontId="2" fillId="0" borderId="13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2" fillId="0" borderId="2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0" fontId="1" fillId="0" borderId="47" xfId="0" applyFont="1" applyBorder="1" applyAlignment="1">
      <alignment vertical="center" wrapText="1"/>
    </xf>
    <xf numFmtId="0" fontId="7" fillId="0" borderId="49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" fillId="0" borderId="48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0" fillId="0" borderId="0" xfId="0" applyAlignment="1">
      <alignment vertical="top"/>
    </xf>
    <xf numFmtId="0" fontId="1" fillId="0" borderId="1" xfId="0" applyFont="1" applyBorder="1" applyAlignment="1">
      <alignment vertical="center" wrapText="1"/>
    </xf>
    <xf numFmtId="0" fontId="0" fillId="2" borderId="6" xfId="0" applyFill="1" applyBorder="1"/>
    <xf numFmtId="0" fontId="0" fillId="2" borderId="7" xfId="0" applyFill="1" applyBorder="1" applyAlignment="1">
      <alignment wrapText="1"/>
    </xf>
    <xf numFmtId="0" fontId="0" fillId="2" borderId="7" xfId="0" applyFill="1" applyBorder="1"/>
    <xf numFmtId="0" fontId="0" fillId="2" borderId="8" xfId="0" applyFill="1" applyBorder="1"/>
    <xf numFmtId="0" fontId="0" fillId="3" borderId="87" xfId="0" applyFill="1" applyBorder="1"/>
    <xf numFmtId="0" fontId="0" fillId="2" borderId="0" xfId="0" applyFill="1"/>
    <xf numFmtId="0" fontId="0" fillId="2" borderId="88" xfId="0" applyFill="1" applyBorder="1"/>
    <xf numFmtId="0" fontId="0" fillId="2" borderId="87" xfId="0" applyFill="1" applyBorder="1"/>
    <xf numFmtId="0" fontId="0" fillId="2" borderId="0" xfId="0" applyFill="1" applyAlignment="1">
      <alignment wrapText="1"/>
    </xf>
    <xf numFmtId="0" fontId="0" fillId="2" borderId="9" xfId="0" applyFill="1" applyBorder="1"/>
    <xf numFmtId="0" fontId="0" fillId="2" borderId="10" xfId="0" applyFill="1" applyBorder="1" applyAlignment="1">
      <alignment wrapText="1"/>
    </xf>
    <xf numFmtId="0" fontId="0" fillId="2" borderId="10" xfId="0" applyFill="1" applyBorder="1"/>
    <xf numFmtId="0" fontId="0" fillId="2" borderId="11" xfId="0" applyFill="1" applyBorder="1"/>
    <xf numFmtId="0" fontId="19" fillId="0" borderId="1" xfId="0" applyFont="1" applyBorder="1" applyAlignment="1">
      <alignment horizontal="center" vertical="center" wrapText="1"/>
    </xf>
    <xf numFmtId="43" fontId="20" fillId="0" borderId="1" xfId="1" applyFont="1" applyBorder="1" applyAlignment="1" applyProtection="1">
      <alignment wrapText="1"/>
      <protection locked="0"/>
    </xf>
    <xf numFmtId="43" fontId="20" fillId="0" borderId="1" xfId="1" applyFont="1" applyBorder="1" applyProtection="1">
      <protection locked="0"/>
    </xf>
    <xf numFmtId="43" fontId="20" fillId="0" borderId="1" xfId="1" applyFont="1" applyBorder="1"/>
    <xf numFmtId="43" fontId="20" fillId="0" borderId="1" xfId="0" applyNumberFormat="1" applyFont="1" applyBorder="1"/>
    <xf numFmtId="0" fontId="20" fillId="0" borderId="1" xfId="0" applyFont="1" applyBorder="1" applyAlignment="1">
      <alignment horizontal="center"/>
    </xf>
    <xf numFmtId="0" fontId="21" fillId="2" borderId="0" xfId="0" applyFont="1" applyFill="1"/>
    <xf numFmtId="43" fontId="22" fillId="2" borderId="0" xfId="0" applyNumberFormat="1" applyFont="1" applyFill="1"/>
    <xf numFmtId="43" fontId="21" fillId="2" borderId="0" xfId="0" applyNumberFormat="1" applyFont="1" applyFill="1"/>
    <xf numFmtId="0" fontId="21" fillId="2" borderId="0" xfId="0" applyFont="1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wrapText="1"/>
    </xf>
    <xf numFmtId="0" fontId="0" fillId="3" borderId="0" xfId="0" applyFill="1" applyAlignment="1">
      <alignment horizontal="right" vertical="top"/>
    </xf>
    <xf numFmtId="43" fontId="20" fillId="0" borderId="1" xfId="1" applyFont="1" applyBorder="1" applyAlignment="1" applyProtection="1">
      <protection locked="0"/>
    </xf>
    <xf numFmtId="43" fontId="24" fillId="0" borderId="1" xfId="1" applyFont="1" applyBorder="1" applyProtection="1">
      <protection locked="0"/>
    </xf>
    <xf numFmtId="43" fontId="24" fillId="0" borderId="1" xfId="1" applyFont="1" applyBorder="1"/>
    <xf numFmtId="43" fontId="24" fillId="0" borderId="1" xfId="1" applyFont="1" applyBorder="1" applyAlignment="1" applyProtection="1">
      <protection locked="0"/>
    </xf>
    <xf numFmtId="43" fontId="25" fillId="0" borderId="1" xfId="1" applyFont="1" applyBorder="1" applyAlignment="1" applyProtection="1">
      <protection locked="0"/>
    </xf>
    <xf numFmtId="43" fontId="20" fillId="0" borderId="1" xfId="1" applyFont="1" applyBorder="1" applyAlignment="1" applyProtection="1">
      <alignment horizontal="center" wrapText="1"/>
      <protection locked="0"/>
    </xf>
    <xf numFmtId="166" fontId="27" fillId="10" borderId="1" xfId="2" applyFont="1" applyFill="1" applyBorder="1" applyAlignment="1">
      <alignment horizontal="center" vertical="center" wrapText="1"/>
    </xf>
    <xf numFmtId="0" fontId="27" fillId="10" borderId="1" xfId="0" applyFont="1" applyFill="1" applyBorder="1" applyAlignment="1">
      <alignment horizontal="center" vertical="center"/>
    </xf>
    <xf numFmtId="166" fontId="27" fillId="10" borderId="1" xfId="2" applyFont="1" applyFill="1" applyBorder="1" applyAlignment="1">
      <alignment vertical="center"/>
    </xf>
    <xf numFmtId="0" fontId="28" fillId="11" borderId="1" xfId="0" applyFont="1" applyFill="1" applyBorder="1" applyAlignment="1">
      <alignment horizontal="left" vertical="center" wrapText="1"/>
    </xf>
    <xf numFmtId="0" fontId="28" fillId="11" borderId="1" xfId="0" applyFont="1" applyFill="1" applyBorder="1" applyAlignment="1">
      <alignment horizontal="center" vertical="center"/>
    </xf>
    <xf numFmtId="166" fontId="28" fillId="11" borderId="1" xfId="2" applyFont="1" applyFill="1" applyBorder="1" applyAlignment="1">
      <alignment horizontal="center" vertical="center"/>
    </xf>
    <xf numFmtId="0" fontId="27" fillId="0" borderId="1" xfId="0" applyFont="1" applyBorder="1" applyAlignment="1">
      <alignment horizontal="left" vertical="center" wrapText="1"/>
    </xf>
    <xf numFmtId="0" fontId="28" fillId="0" borderId="1" xfId="0" applyFont="1" applyBorder="1" applyAlignment="1">
      <alignment horizontal="center" vertical="center"/>
    </xf>
    <xf numFmtId="166" fontId="28" fillId="0" borderId="1" xfId="2" applyFont="1" applyBorder="1" applyAlignment="1">
      <alignment vertical="center"/>
    </xf>
    <xf numFmtId="0" fontId="0" fillId="0" borderId="1" xfId="0" applyBorder="1"/>
    <xf numFmtId="0" fontId="31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left" vertical="center" wrapText="1"/>
    </xf>
    <xf numFmtId="166" fontId="32" fillId="11" borderId="1" xfId="2" applyFont="1" applyFill="1" applyBorder="1" applyAlignment="1">
      <alignment horizontal="center" vertical="center"/>
    </xf>
    <xf numFmtId="172" fontId="28" fillId="0" borderId="1" xfId="2" applyNumberFormat="1" applyFont="1" applyBorder="1" applyAlignment="1">
      <alignment vertical="center"/>
    </xf>
    <xf numFmtId="166" fontId="27" fillId="0" borderId="1" xfId="2" applyFont="1" applyBorder="1" applyAlignment="1">
      <alignment horizontal="right" vertical="center"/>
    </xf>
    <xf numFmtId="166" fontId="27" fillId="12" borderId="1" xfId="2" applyFont="1" applyFill="1" applyBorder="1" applyAlignment="1">
      <alignment vertical="center"/>
    </xf>
    <xf numFmtId="43" fontId="26" fillId="0" borderId="0" xfId="1" applyFont="1" applyAlignment="1">
      <alignment horizontal="center" vertical="center"/>
    </xf>
    <xf numFmtId="173" fontId="26" fillId="10" borderId="1" xfId="1" applyNumberFormat="1" applyFont="1" applyFill="1" applyBorder="1" applyAlignment="1">
      <alignment horizontal="center" vertical="center"/>
    </xf>
    <xf numFmtId="173" fontId="26" fillId="0" borderId="0" xfId="1" applyNumberFormat="1" applyFont="1" applyAlignment="1">
      <alignment horizontal="center" vertical="center"/>
    </xf>
    <xf numFmtId="43" fontId="26" fillId="10" borderId="1" xfId="1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0" fillId="0" borderId="1" xfId="0" applyFont="1" applyBorder="1"/>
    <xf numFmtId="0" fontId="0" fillId="0" borderId="1" xfId="0" applyBorder="1" applyAlignment="1">
      <alignment horizontal="center"/>
    </xf>
    <xf numFmtId="9" fontId="28" fillId="0" borderId="1" xfId="0" applyNumberFormat="1" applyFont="1" applyBorder="1" applyAlignment="1">
      <alignment horizontal="center" vertical="center"/>
    </xf>
    <xf numFmtId="166" fontId="31" fillId="11" borderId="1" xfId="2" applyFont="1" applyFill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173" fontId="26" fillId="13" borderId="1" xfId="1" applyNumberFormat="1" applyFont="1" applyFill="1" applyBorder="1" applyAlignment="1">
      <alignment horizontal="center" vertical="center"/>
    </xf>
    <xf numFmtId="166" fontId="27" fillId="13" borderId="1" xfId="2" applyFont="1" applyFill="1" applyBorder="1" applyAlignment="1">
      <alignment horizontal="center" vertical="center" wrapText="1"/>
    </xf>
    <xf numFmtId="0" fontId="27" fillId="13" borderId="1" xfId="0" applyFont="1" applyFill="1" applyBorder="1" applyAlignment="1">
      <alignment horizontal="center" vertical="center"/>
    </xf>
    <xf numFmtId="166" fontId="27" fillId="13" borderId="1" xfId="2" applyFont="1" applyFill="1" applyBorder="1" applyAlignment="1">
      <alignment vertical="center"/>
    </xf>
    <xf numFmtId="0" fontId="0" fillId="0" borderId="1" xfId="0" applyBorder="1" applyAlignment="1">
      <alignment wrapText="1"/>
    </xf>
    <xf numFmtId="43" fontId="19" fillId="0" borderId="1" xfId="1" applyFont="1" applyBorder="1" applyAlignment="1" applyProtection="1">
      <protection locked="0"/>
    </xf>
    <xf numFmtId="0" fontId="27" fillId="14" borderId="0" xfId="0" applyFont="1" applyFill="1" applyAlignment="1">
      <alignment horizontal="center" vertical="center"/>
    </xf>
    <xf numFmtId="0" fontId="30" fillId="14" borderId="1" xfId="0" applyFont="1" applyFill="1" applyBorder="1" applyAlignment="1">
      <alignment horizontal="left" vertical="center" wrapText="1"/>
    </xf>
    <xf numFmtId="0" fontId="27" fillId="14" borderId="1" xfId="0" applyFont="1" applyFill="1" applyBorder="1" applyAlignment="1">
      <alignment horizontal="center" vertical="center"/>
    </xf>
    <xf numFmtId="166" fontId="27" fillId="14" borderId="1" xfId="2" applyFont="1" applyFill="1" applyBorder="1" applyAlignment="1">
      <alignment vertical="center"/>
    </xf>
    <xf numFmtId="166" fontId="27" fillId="14" borderId="1" xfId="2" applyFont="1" applyFill="1" applyBorder="1" applyAlignment="1">
      <alignment horizontal="center" vertical="center"/>
    </xf>
    <xf numFmtId="0" fontId="28" fillId="0" borderId="0" xfId="0" applyFont="1"/>
    <xf numFmtId="0" fontId="31" fillId="0" borderId="1" xfId="0" applyFont="1" applyBorder="1" applyAlignment="1">
      <alignment horizontal="left" vertical="center" wrapText="1"/>
    </xf>
    <xf numFmtId="166" fontId="31" fillId="0" borderId="1" xfId="2" applyFont="1" applyBorder="1" applyAlignment="1">
      <alignment vertical="center"/>
    </xf>
    <xf numFmtId="166" fontId="33" fillId="0" borderId="1" xfId="2" applyFont="1" applyBorder="1" applyAlignment="1">
      <alignment horizontal="right" vertical="center"/>
    </xf>
    <xf numFmtId="166" fontId="33" fillId="0" borderId="1" xfId="2" applyFont="1" applyBorder="1" applyAlignment="1">
      <alignment vertical="center"/>
    </xf>
    <xf numFmtId="0" fontId="28" fillId="0" borderId="1" xfId="0" applyFont="1" applyBorder="1"/>
    <xf numFmtId="44" fontId="28" fillId="0" borderId="1" xfId="2" applyNumberFormat="1" applyFont="1" applyBorder="1" applyAlignment="1">
      <alignment vertical="center"/>
    </xf>
    <xf numFmtId="0" fontId="28" fillId="0" borderId="0" xfId="0" applyFont="1" applyAlignment="1">
      <alignment horizontal="center" vertical="center"/>
    </xf>
    <xf numFmtId="166" fontId="27" fillId="15" borderId="1" xfId="2" applyFont="1" applyFill="1" applyBorder="1" applyAlignment="1">
      <alignment vertical="center"/>
    </xf>
    <xf numFmtId="0" fontId="28" fillId="0" borderId="1" xfId="0" applyFont="1" applyBorder="1" applyAlignment="1">
      <alignment horizontal="center"/>
    </xf>
    <xf numFmtId="166" fontId="28" fillId="0" borderId="1" xfId="2" applyFont="1" applyBorder="1"/>
    <xf numFmtId="171" fontId="28" fillId="0" borderId="1" xfId="0" applyNumberFormat="1" applyFont="1" applyBorder="1" applyAlignment="1">
      <alignment horizontal="center" vertical="center"/>
    </xf>
    <xf numFmtId="2" fontId="27" fillId="14" borderId="0" xfId="0" applyNumberFormat="1" applyFont="1" applyFill="1" applyAlignment="1">
      <alignment horizontal="center" vertical="center"/>
    </xf>
    <xf numFmtId="166" fontId="27" fillId="0" borderId="1" xfId="2" applyFont="1" applyFill="1" applyBorder="1" applyAlignment="1">
      <alignment vertical="center"/>
    </xf>
    <xf numFmtId="0" fontId="30" fillId="14" borderId="1" xfId="0" applyFont="1" applyFill="1" applyBorder="1" applyAlignment="1">
      <alignment horizontal="center" vertical="center"/>
    </xf>
    <xf numFmtId="166" fontId="30" fillId="14" borderId="1" xfId="2" applyFont="1" applyFill="1" applyBorder="1" applyAlignment="1">
      <alignment vertical="center"/>
    </xf>
    <xf numFmtId="166" fontId="30" fillId="14" borderId="1" xfId="2" applyFont="1" applyFill="1" applyBorder="1" applyAlignment="1">
      <alignment horizontal="center" vertical="center"/>
    </xf>
    <xf numFmtId="1" fontId="28" fillId="0" borderId="1" xfId="0" applyNumberFormat="1" applyFont="1" applyBorder="1" applyAlignment="1">
      <alignment horizontal="center" vertical="center"/>
    </xf>
    <xf numFmtId="171" fontId="27" fillId="14" borderId="0" xfId="0" applyNumberFormat="1" applyFont="1" applyFill="1" applyAlignment="1">
      <alignment horizontal="center" vertical="center"/>
    </xf>
    <xf numFmtId="2" fontId="30" fillId="14" borderId="0" xfId="0" applyNumberFormat="1" applyFont="1" applyFill="1" applyAlignment="1">
      <alignment horizontal="center" vertical="center"/>
    </xf>
    <xf numFmtId="0" fontId="35" fillId="0" borderId="0" xfId="0" applyFont="1" applyAlignment="1">
      <alignment horizontal="left" vertical="center" wrapText="1"/>
    </xf>
    <xf numFmtId="0" fontId="36" fillId="0" borderId="0" xfId="0" applyFont="1"/>
    <xf numFmtId="9" fontId="0" fillId="0" borderId="1" xfId="0" applyNumberFormat="1" applyBorder="1"/>
    <xf numFmtId="164" fontId="0" fillId="0" borderId="1" xfId="0" applyNumberFormat="1" applyBorder="1"/>
    <xf numFmtId="165" fontId="0" fillId="0" borderId="1" xfId="3" applyFont="1" applyBorder="1"/>
    <xf numFmtId="175" fontId="0" fillId="0" borderId="1" xfId="0" applyNumberFormat="1" applyBorder="1"/>
    <xf numFmtId="10" fontId="0" fillId="0" borderId="1" xfId="0" applyNumberFormat="1" applyBorder="1"/>
    <xf numFmtId="10" fontId="0" fillId="0" borderId="1" xfId="4" applyNumberFormat="1" applyFont="1" applyBorder="1"/>
    <xf numFmtId="9" fontId="26" fillId="16" borderId="1" xfId="0" applyNumberFormat="1" applyFont="1" applyFill="1" applyBorder="1"/>
    <xf numFmtId="176" fontId="0" fillId="0" borderId="0" xfId="0" applyNumberFormat="1"/>
    <xf numFmtId="0" fontId="0" fillId="0" borderId="1" xfId="0" applyBorder="1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43" fontId="26" fillId="18" borderId="1" xfId="1" applyFont="1" applyFill="1" applyBorder="1" applyAlignment="1">
      <alignment horizontal="center" vertical="center"/>
    </xf>
    <xf numFmtId="166" fontId="27" fillId="18" borderId="1" xfId="2" applyFont="1" applyFill="1" applyBorder="1" applyAlignment="1">
      <alignment horizontal="center" vertical="center" wrapText="1"/>
    </xf>
    <xf numFmtId="0" fontId="27" fillId="18" borderId="1" xfId="0" applyFont="1" applyFill="1" applyBorder="1" applyAlignment="1">
      <alignment horizontal="center" vertical="center"/>
    </xf>
    <xf numFmtId="166" fontId="27" fillId="18" borderId="1" xfId="2" applyFont="1" applyFill="1" applyBorder="1" applyAlignment="1">
      <alignment vertical="center"/>
    </xf>
    <xf numFmtId="173" fontId="26" fillId="19" borderId="0" xfId="1" applyNumberFormat="1" applyFont="1" applyFill="1" applyAlignment="1">
      <alignment horizontal="center" vertical="center"/>
    </xf>
    <xf numFmtId="0" fontId="28" fillId="19" borderId="1" xfId="0" applyFont="1" applyFill="1" applyBorder="1" applyAlignment="1">
      <alignment horizontal="left" vertical="center" wrapText="1"/>
    </xf>
    <xf numFmtId="0" fontId="28" fillId="19" borderId="1" xfId="0" applyFont="1" applyFill="1" applyBorder="1" applyAlignment="1">
      <alignment horizontal="center" vertical="center"/>
    </xf>
    <xf numFmtId="166" fontId="28" fillId="19" borderId="1" xfId="2" applyFont="1" applyFill="1" applyBorder="1" applyAlignment="1">
      <alignment horizontal="center" vertical="center"/>
    </xf>
    <xf numFmtId="0" fontId="27" fillId="19" borderId="1" xfId="0" applyFont="1" applyFill="1" applyBorder="1" applyAlignment="1">
      <alignment horizontal="left" vertical="center" wrapText="1"/>
    </xf>
    <xf numFmtId="166" fontId="28" fillId="19" borderId="1" xfId="2" applyFont="1" applyFill="1" applyBorder="1" applyAlignment="1">
      <alignment vertical="center"/>
    </xf>
    <xf numFmtId="166" fontId="32" fillId="19" borderId="1" xfId="2" applyFont="1" applyFill="1" applyBorder="1" applyAlignment="1">
      <alignment horizontal="center" vertical="center"/>
    </xf>
    <xf numFmtId="172" fontId="28" fillId="19" borderId="1" xfId="2" applyNumberFormat="1" applyFont="1" applyFill="1" applyBorder="1" applyAlignment="1">
      <alignment vertical="center"/>
    </xf>
    <xf numFmtId="166" fontId="27" fillId="19" borderId="1" xfId="2" applyFont="1" applyFill="1" applyBorder="1" applyAlignment="1">
      <alignment horizontal="right" vertical="center"/>
    </xf>
    <xf numFmtId="166" fontId="27" fillId="19" borderId="1" xfId="2" applyFont="1" applyFill="1" applyBorder="1" applyAlignment="1">
      <alignment vertical="center"/>
    </xf>
    <xf numFmtId="0" fontId="0" fillId="19" borderId="1" xfId="0" applyFill="1" applyBorder="1"/>
    <xf numFmtId="173" fontId="26" fillId="18" borderId="1" xfId="1" applyNumberFormat="1" applyFont="1" applyFill="1" applyBorder="1" applyAlignment="1">
      <alignment horizontal="center" vertical="center"/>
    </xf>
    <xf numFmtId="0" fontId="0" fillId="19" borderId="0" xfId="0" applyFill="1"/>
    <xf numFmtId="174" fontId="28" fillId="19" borderId="1" xfId="0" applyNumberFormat="1" applyFont="1" applyFill="1" applyBorder="1" applyAlignment="1">
      <alignment horizontal="center" vertical="center"/>
    </xf>
    <xf numFmtId="166" fontId="0" fillId="0" borderId="0" xfId="2" applyFont="1"/>
    <xf numFmtId="43" fontId="0" fillId="0" borderId="0" xfId="0" applyNumberFormat="1"/>
    <xf numFmtId="43" fontId="20" fillId="0" borderId="1" xfId="0" applyNumberFormat="1" applyFont="1" applyBorder="1" applyAlignment="1">
      <alignment horizontal="center"/>
    </xf>
    <xf numFmtId="0" fontId="26" fillId="0" borderId="0" xfId="0" applyFont="1"/>
    <xf numFmtId="166" fontId="0" fillId="0" borderId="1" xfId="2" applyFont="1" applyBorder="1"/>
    <xf numFmtId="0" fontId="26" fillId="17" borderId="1" xfId="0" applyFont="1" applyFill="1" applyBorder="1"/>
    <xf numFmtId="164" fontId="26" fillId="17" borderId="1" xfId="0" applyNumberFormat="1" applyFont="1" applyFill="1" applyBorder="1"/>
    <xf numFmtId="175" fontId="26" fillId="0" borderId="1" xfId="0" applyNumberFormat="1" applyFont="1" applyBorder="1"/>
    <xf numFmtId="165" fontId="26" fillId="17" borderId="1" xfId="3" applyFont="1" applyFill="1" applyBorder="1"/>
    <xf numFmtId="166" fontId="34" fillId="0" borderId="86" xfId="2" applyFont="1" applyBorder="1"/>
    <xf numFmtId="0" fontId="28" fillId="11" borderId="5" xfId="0" applyFont="1" applyFill="1" applyBorder="1" applyAlignment="1">
      <alignment horizontal="center" vertical="center"/>
    </xf>
    <xf numFmtId="166" fontId="28" fillId="11" borderId="5" xfId="2" applyFont="1" applyFill="1" applyBorder="1" applyAlignment="1">
      <alignment horizontal="center" vertical="center"/>
    </xf>
    <xf numFmtId="2" fontId="28" fillId="11" borderId="1" xfId="0" applyNumberFormat="1" applyFont="1" applyFill="1" applyBorder="1" applyAlignment="1">
      <alignment horizontal="center" vertical="center"/>
    </xf>
    <xf numFmtId="2" fontId="28" fillId="0" borderId="1" xfId="0" applyNumberFormat="1" applyFont="1" applyBorder="1" applyAlignment="1">
      <alignment horizontal="center" vertical="center"/>
    </xf>
    <xf numFmtId="2" fontId="31" fillId="0" borderId="1" xfId="0" applyNumberFormat="1" applyFont="1" applyBorder="1" applyAlignment="1">
      <alignment horizontal="center" vertical="center"/>
    </xf>
    <xf numFmtId="2" fontId="0" fillId="0" borderId="0" xfId="0" applyNumberFormat="1"/>
    <xf numFmtId="0" fontId="0" fillId="13" borderId="1" xfId="0" applyFill="1" applyBorder="1"/>
    <xf numFmtId="0" fontId="28" fillId="13" borderId="1" xfId="0" applyFont="1" applyFill="1" applyBorder="1" applyAlignment="1">
      <alignment horizontal="center" vertical="center"/>
    </xf>
    <xf numFmtId="2" fontId="28" fillId="13" borderId="1" xfId="0" applyNumberFormat="1" applyFont="1" applyFill="1" applyBorder="1" applyAlignment="1">
      <alignment horizontal="center" vertical="center"/>
    </xf>
    <xf numFmtId="166" fontId="28" fillId="13" borderId="1" xfId="2" applyFont="1" applyFill="1" applyBorder="1" applyAlignment="1">
      <alignment vertical="center"/>
    </xf>
    <xf numFmtId="166" fontId="28" fillId="13" borderId="1" xfId="2" applyFont="1" applyFill="1" applyBorder="1" applyAlignment="1">
      <alignment horizontal="center" vertical="center"/>
    </xf>
    <xf numFmtId="179" fontId="0" fillId="0" borderId="0" xfId="0" applyNumberFormat="1"/>
    <xf numFmtId="166" fontId="0" fillId="0" borderId="0" xfId="0" applyNumberFormat="1"/>
    <xf numFmtId="167" fontId="38" fillId="7" borderId="63" xfId="0" applyNumberFormat="1" applyFont="1" applyFill="1" applyBorder="1" applyAlignment="1">
      <alignment horizontal="left" vertical="center" wrapText="1"/>
    </xf>
    <xf numFmtId="168" fontId="39" fillId="7" borderId="63" xfId="0" applyNumberFormat="1" applyFont="1" applyFill="1" applyBorder="1" applyAlignment="1">
      <alignment horizontal="left" vertical="center" wrapText="1"/>
    </xf>
    <xf numFmtId="167" fontId="38" fillId="0" borderId="1" xfId="0" applyNumberFormat="1" applyFont="1" applyBorder="1" applyAlignment="1">
      <alignment horizontal="right" vertical="center" shrinkToFit="1"/>
    </xf>
    <xf numFmtId="178" fontId="39" fillId="0" borderId="1" xfId="0" applyNumberFormat="1" applyFont="1" applyBorder="1" applyAlignment="1">
      <alignment horizontal="right" vertical="center" shrinkToFit="1"/>
    </xf>
    <xf numFmtId="178" fontId="38" fillId="0" borderId="1" xfId="0" applyNumberFormat="1" applyFont="1" applyBorder="1" applyAlignment="1">
      <alignment horizontal="right" vertical="center" shrinkToFit="1"/>
    </xf>
    <xf numFmtId="167" fontId="38" fillId="16" borderId="1" xfId="0" applyNumberFormat="1" applyFont="1" applyFill="1" applyBorder="1" applyAlignment="1">
      <alignment horizontal="right" vertical="center" shrinkToFit="1"/>
    </xf>
    <xf numFmtId="178" fontId="39" fillId="16" borderId="1" xfId="0" applyNumberFormat="1" applyFont="1" applyFill="1" applyBorder="1" applyAlignment="1">
      <alignment horizontal="right" vertical="center" shrinkToFit="1"/>
    </xf>
    <xf numFmtId="167" fontId="40" fillId="16" borderId="1" xfId="0" applyNumberFormat="1" applyFont="1" applyFill="1" applyBorder="1" applyAlignment="1">
      <alignment horizontal="right" vertical="center" shrinkToFit="1"/>
    </xf>
    <xf numFmtId="178" fontId="41" fillId="16" borderId="1" xfId="0" applyNumberFormat="1" applyFont="1" applyFill="1" applyBorder="1" applyAlignment="1">
      <alignment horizontal="right" vertical="center" shrinkToFit="1"/>
    </xf>
    <xf numFmtId="0" fontId="41" fillId="5" borderId="62" xfId="0" applyFont="1" applyFill="1" applyBorder="1" applyAlignment="1">
      <alignment horizontal="center" vertical="center" wrapText="1"/>
    </xf>
    <xf numFmtId="0" fontId="40" fillId="5" borderId="63" xfId="0" applyFont="1" applyFill="1" applyBorder="1" applyAlignment="1">
      <alignment horizontal="center" vertical="center" wrapText="1"/>
    </xf>
    <xf numFmtId="0" fontId="41" fillId="5" borderId="63" xfId="0" applyFont="1" applyFill="1" applyBorder="1" applyAlignment="1">
      <alignment horizontal="center" vertical="center" wrapText="1"/>
    </xf>
    <xf numFmtId="1" fontId="39" fillId="7" borderId="65" xfId="0" applyNumberFormat="1" applyFont="1" applyFill="1" applyBorder="1" applyAlignment="1">
      <alignment horizontal="center" vertical="center" shrinkToFit="1"/>
    </xf>
    <xf numFmtId="0" fontId="39" fillId="7" borderId="66" xfId="0" applyFont="1" applyFill="1" applyBorder="1" applyAlignment="1">
      <alignment horizontal="left" vertical="center" wrapText="1"/>
    </xf>
    <xf numFmtId="171" fontId="39" fillId="0" borderId="1" xfId="0" applyNumberFormat="1" applyFont="1" applyBorder="1" applyAlignment="1">
      <alignment horizontal="center" vertical="center" shrinkToFit="1"/>
    </xf>
    <xf numFmtId="0" fontId="39" fillId="0" borderId="2" xfId="0" applyFont="1" applyBorder="1" applyAlignment="1">
      <alignment horizontal="center" vertical="center" wrapText="1"/>
    </xf>
    <xf numFmtId="171" fontId="38" fillId="0" borderId="1" xfId="0" applyNumberFormat="1" applyFont="1" applyBorder="1" applyAlignment="1">
      <alignment horizontal="center" vertical="center" shrinkToFit="1"/>
    </xf>
    <xf numFmtId="0" fontId="38" fillId="0" borderId="2" xfId="0" applyFont="1" applyBorder="1" applyAlignment="1">
      <alignment horizontal="center" vertical="center" wrapText="1"/>
    </xf>
    <xf numFmtId="2" fontId="39" fillId="0" borderId="1" xfId="0" applyNumberFormat="1" applyFont="1" applyBorder="1" applyAlignment="1">
      <alignment horizontal="center" vertical="center" shrinkToFit="1"/>
    </xf>
    <xf numFmtId="2" fontId="39" fillId="18" borderId="1" xfId="0" applyNumberFormat="1" applyFont="1" applyFill="1" applyBorder="1" applyAlignment="1">
      <alignment horizontal="center" vertical="center" shrinkToFit="1"/>
    </xf>
    <xf numFmtId="0" fontId="39" fillId="18" borderId="2" xfId="0" applyFont="1" applyFill="1" applyBorder="1" applyAlignment="1">
      <alignment horizontal="center" vertical="center" wrapText="1"/>
    </xf>
    <xf numFmtId="2" fontId="41" fillId="16" borderId="1" xfId="0" applyNumberFormat="1" applyFont="1" applyFill="1" applyBorder="1" applyAlignment="1">
      <alignment horizontal="center" vertical="center" shrinkToFit="1"/>
    </xf>
    <xf numFmtId="0" fontId="39" fillId="16" borderId="2" xfId="0" applyFont="1" applyFill="1" applyBorder="1" applyAlignment="1">
      <alignment horizontal="center" vertical="center" wrapText="1"/>
    </xf>
    <xf numFmtId="171" fontId="39" fillId="18" borderId="1" xfId="0" applyNumberFormat="1" applyFont="1" applyFill="1" applyBorder="1" applyAlignment="1">
      <alignment horizontal="center" vertical="center" shrinkToFit="1"/>
    </xf>
    <xf numFmtId="0" fontId="39" fillId="0" borderId="1" xfId="0" applyFont="1" applyBorder="1" applyAlignment="1">
      <alignment horizontal="center" vertical="center" wrapText="1"/>
    </xf>
    <xf numFmtId="1" fontId="41" fillId="16" borderId="1" xfId="0" applyNumberFormat="1" applyFont="1" applyFill="1" applyBorder="1" applyAlignment="1">
      <alignment horizontal="center" vertical="center" shrinkToFit="1"/>
    </xf>
    <xf numFmtId="0" fontId="41" fillId="16" borderId="2" xfId="0" applyFont="1" applyFill="1" applyBorder="1" applyAlignment="1">
      <alignment horizontal="center" vertical="center" wrapText="1"/>
    </xf>
    <xf numFmtId="9" fontId="39" fillId="0" borderId="73" xfId="0" applyNumberFormat="1" applyFont="1" applyBorder="1" applyAlignment="1">
      <alignment horizontal="center" vertical="center"/>
    </xf>
    <xf numFmtId="9" fontId="39" fillId="0" borderId="79" xfId="0" applyNumberFormat="1" applyFont="1" applyBorder="1" applyAlignment="1">
      <alignment horizontal="center" vertical="center"/>
    </xf>
    <xf numFmtId="9" fontId="39" fillId="2" borderId="95" xfId="0" applyNumberFormat="1" applyFont="1" applyFill="1" applyBorder="1" applyAlignment="1">
      <alignment horizontal="center" vertical="center"/>
    </xf>
    <xf numFmtId="0" fontId="39" fillId="0" borderId="0" xfId="0" applyFont="1" applyAlignment="1">
      <alignment vertical="center"/>
    </xf>
    <xf numFmtId="0" fontId="38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44" xfId="0" applyFont="1" applyFill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0" borderId="8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6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1" xfId="0" applyBorder="1" applyAlignment="1">
      <alignment horizontal="center"/>
    </xf>
    <xf numFmtId="0" fontId="1" fillId="0" borderId="4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46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21" xfId="0" applyBorder="1"/>
    <xf numFmtId="0" fontId="1" fillId="0" borderId="40" xfId="0" applyFont="1" applyBorder="1" applyAlignment="1">
      <alignment horizontal="left" vertical="center"/>
    </xf>
    <xf numFmtId="0" fontId="1" fillId="0" borderId="3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wrapText="1"/>
    </xf>
    <xf numFmtId="0" fontId="1" fillId="0" borderId="24" xfId="0" applyFont="1" applyBorder="1" applyAlignment="1">
      <alignment horizontal="center" wrapText="1"/>
    </xf>
    <xf numFmtId="0" fontId="1" fillId="0" borderId="41" xfId="0" applyFont="1" applyBorder="1" applyAlignment="1">
      <alignment horizontal="center" wrapText="1"/>
    </xf>
    <xf numFmtId="0" fontId="1" fillId="0" borderId="34" xfId="0" applyFont="1" applyBorder="1" applyAlignment="1">
      <alignment horizontal="center" wrapText="1"/>
    </xf>
    <xf numFmtId="0" fontId="1" fillId="0" borderId="35" xfId="0" applyFont="1" applyBorder="1" applyAlignment="1">
      <alignment horizontal="center" wrapText="1"/>
    </xf>
    <xf numFmtId="0" fontId="1" fillId="0" borderId="39" xfId="0" applyFont="1" applyBorder="1" applyAlignment="1">
      <alignment horizont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0" fillId="0" borderId="22" xfId="0" applyBorder="1" applyAlignment="1">
      <alignment horizontal="justify" vertical="center"/>
    </xf>
    <xf numFmtId="0" fontId="0" fillId="0" borderId="7" xfId="0" applyBorder="1" applyAlignment="1">
      <alignment horizontal="justify" vertical="center"/>
    </xf>
    <xf numFmtId="0" fontId="0" fillId="0" borderId="15" xfId="0" applyBorder="1" applyAlignment="1">
      <alignment horizontal="justify" vertical="center"/>
    </xf>
    <xf numFmtId="0" fontId="0" fillId="0" borderId="23" xfId="0" applyBorder="1" applyAlignment="1">
      <alignment horizontal="justify" vertical="center"/>
    </xf>
    <xf numFmtId="0" fontId="0" fillId="0" borderId="0" xfId="0" applyAlignment="1">
      <alignment horizontal="justify" vertical="center"/>
    </xf>
    <xf numFmtId="0" fontId="0" fillId="0" borderId="18" xfId="0" applyBorder="1" applyAlignment="1">
      <alignment horizontal="justify" vertical="center"/>
    </xf>
    <xf numFmtId="0" fontId="0" fillId="0" borderId="45" xfId="0" applyBorder="1" applyAlignment="1">
      <alignment horizontal="justify" vertical="center"/>
    </xf>
    <xf numFmtId="0" fontId="0" fillId="0" borderId="10" xfId="0" applyBorder="1" applyAlignment="1">
      <alignment horizontal="justify" vertical="center"/>
    </xf>
    <xf numFmtId="0" fontId="0" fillId="0" borderId="16" xfId="0" applyBorder="1" applyAlignment="1">
      <alignment horizontal="justify" vertical="center"/>
    </xf>
    <xf numFmtId="0" fontId="5" fillId="3" borderId="38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0" fillId="0" borderId="25" xfId="0" applyBorder="1" applyAlignment="1">
      <alignment horizontal="center" vertical="center"/>
    </xf>
    <xf numFmtId="0" fontId="5" fillId="4" borderId="43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42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38" xfId="0" applyFont="1" applyFill="1" applyBorder="1" applyAlignment="1">
      <alignment horizontal="center" vertical="center" wrapText="1"/>
    </xf>
    <xf numFmtId="0" fontId="1" fillId="3" borderId="37" xfId="0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 wrapText="1"/>
    </xf>
    <xf numFmtId="0" fontId="1" fillId="3" borderId="38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39" fillId="0" borderId="1" xfId="0" applyFont="1" applyBorder="1" applyAlignment="1">
      <alignment horizontal="justify" vertical="center" wrapText="1"/>
    </xf>
    <xf numFmtId="178" fontId="39" fillId="0" borderId="1" xfId="0" applyNumberFormat="1" applyFont="1" applyBorder="1" applyAlignment="1">
      <alignment horizontal="right" vertical="center" shrinkToFit="1"/>
    </xf>
    <xf numFmtId="178" fontId="38" fillId="0" borderId="44" xfId="0" applyNumberFormat="1" applyFont="1" applyBorder="1" applyAlignment="1">
      <alignment horizontal="right" vertical="center"/>
    </xf>
    <xf numFmtId="0" fontId="38" fillId="0" borderId="2" xfId="0" applyFont="1" applyBorder="1" applyAlignment="1">
      <alignment horizontal="justify" vertical="center" wrapText="1"/>
    </xf>
    <xf numFmtId="0" fontId="38" fillId="0" borderId="4" xfId="0" applyFont="1" applyBorder="1" applyAlignment="1">
      <alignment horizontal="justify" vertical="center" wrapText="1"/>
    </xf>
    <xf numFmtId="0" fontId="38" fillId="0" borderId="1" xfId="0" applyFont="1" applyBorder="1" applyAlignment="1">
      <alignment horizontal="justify" vertical="center" wrapText="1"/>
    </xf>
    <xf numFmtId="0" fontId="41" fillId="8" borderId="67" xfId="0" applyFont="1" applyFill="1" applyBorder="1" applyAlignment="1">
      <alignment horizontal="center" vertical="center"/>
    </xf>
    <xf numFmtId="0" fontId="38" fillId="0" borderId="68" xfId="0" applyFont="1" applyBorder="1" applyAlignment="1">
      <alignment vertical="center"/>
    </xf>
    <xf numFmtId="0" fontId="38" fillId="0" borderId="69" xfId="0" applyFont="1" applyBorder="1" applyAlignment="1">
      <alignment vertical="center"/>
    </xf>
    <xf numFmtId="178" fontId="41" fillId="8" borderId="70" xfId="0" applyNumberFormat="1" applyFont="1" applyFill="1" applyBorder="1" applyAlignment="1">
      <alignment horizontal="right" vertical="center"/>
    </xf>
    <xf numFmtId="178" fontId="38" fillId="0" borderId="71" xfId="0" applyNumberFormat="1" applyFont="1" applyBorder="1" applyAlignment="1">
      <alignment horizontal="right" vertical="center"/>
    </xf>
    <xf numFmtId="0" fontId="40" fillId="16" borderId="1" xfId="0" applyFont="1" applyFill="1" applyBorder="1" applyAlignment="1">
      <alignment horizontal="justify" vertical="center" wrapText="1"/>
    </xf>
    <xf numFmtId="178" fontId="41" fillId="16" borderId="1" xfId="0" applyNumberFormat="1" applyFont="1" applyFill="1" applyBorder="1" applyAlignment="1">
      <alignment horizontal="right" vertical="center" shrinkToFit="1"/>
    </xf>
    <xf numFmtId="178" fontId="40" fillId="16" borderId="44" xfId="0" applyNumberFormat="1" applyFont="1" applyFill="1" applyBorder="1" applyAlignment="1">
      <alignment horizontal="right" vertical="center"/>
    </xf>
    <xf numFmtId="0" fontId="39" fillId="0" borderId="76" xfId="0" applyFont="1" applyBorder="1" applyAlignment="1">
      <alignment horizontal="right" vertical="center"/>
    </xf>
    <xf numFmtId="0" fontId="38" fillId="0" borderId="77" xfId="0" applyFont="1" applyBorder="1" applyAlignment="1">
      <alignment horizontal="right" vertical="center"/>
    </xf>
    <xf numFmtId="0" fontId="38" fillId="0" borderId="78" xfId="0" applyFont="1" applyBorder="1" applyAlignment="1">
      <alignment horizontal="right" vertical="center"/>
    </xf>
    <xf numFmtId="178" fontId="39" fillId="0" borderId="80" xfId="0" applyNumberFormat="1" applyFont="1" applyBorder="1" applyAlignment="1">
      <alignment horizontal="right" vertical="center"/>
    </xf>
    <xf numFmtId="178" fontId="38" fillId="0" borderId="81" xfId="0" applyNumberFormat="1" applyFont="1" applyBorder="1" applyAlignment="1">
      <alignment horizontal="right" vertical="center"/>
    </xf>
    <xf numFmtId="0" fontId="41" fillId="8" borderId="82" xfId="0" applyFont="1" applyFill="1" applyBorder="1" applyAlignment="1">
      <alignment horizontal="center" vertical="center"/>
    </xf>
    <xf numFmtId="0" fontId="38" fillId="0" borderId="83" xfId="0" applyFont="1" applyBorder="1" applyAlignment="1">
      <alignment vertical="center"/>
    </xf>
    <xf numFmtId="0" fontId="38" fillId="0" borderId="84" xfId="0" applyFont="1" applyBorder="1" applyAlignment="1">
      <alignment vertical="center"/>
    </xf>
    <xf numFmtId="178" fontId="41" fillId="8" borderId="85" xfId="0" applyNumberFormat="1" applyFont="1" applyFill="1" applyBorder="1" applyAlignment="1">
      <alignment horizontal="right" vertical="center"/>
    </xf>
    <xf numFmtId="178" fontId="38" fillId="0" borderId="86" xfId="0" applyNumberFormat="1" applyFont="1" applyBorder="1" applyAlignment="1">
      <alignment horizontal="right" vertical="center"/>
    </xf>
    <xf numFmtId="0" fontId="39" fillId="0" borderId="72" xfId="0" applyFont="1" applyBorder="1" applyAlignment="1">
      <alignment horizontal="right" vertical="center"/>
    </xf>
    <xf numFmtId="0" fontId="38" fillId="0" borderId="59" xfId="0" applyFont="1" applyBorder="1" applyAlignment="1">
      <alignment horizontal="right" vertical="center"/>
    </xf>
    <xf numFmtId="0" fontId="38" fillId="0" borderId="60" xfId="0" applyFont="1" applyBorder="1" applyAlignment="1">
      <alignment horizontal="right" vertical="center"/>
    </xf>
    <xf numFmtId="178" fontId="39" fillId="0" borderId="74" xfId="0" applyNumberFormat="1" applyFont="1" applyBorder="1" applyAlignment="1">
      <alignment horizontal="right" vertical="center"/>
    </xf>
    <xf numFmtId="178" fontId="38" fillId="0" borderId="75" xfId="0" applyNumberFormat="1" applyFont="1" applyBorder="1" applyAlignment="1">
      <alignment horizontal="right" vertical="center"/>
    </xf>
    <xf numFmtId="178" fontId="39" fillId="16" borderId="1" xfId="0" applyNumberFormat="1" applyFont="1" applyFill="1" applyBorder="1" applyAlignment="1">
      <alignment horizontal="right" vertical="center" shrinkToFit="1"/>
    </xf>
    <xf numFmtId="178" fontId="38" fillId="16" borderId="44" xfId="0" applyNumberFormat="1" applyFont="1" applyFill="1" applyBorder="1" applyAlignment="1">
      <alignment horizontal="right" vertical="center"/>
    </xf>
    <xf numFmtId="0" fontId="39" fillId="0" borderId="2" xfId="0" applyFont="1" applyBorder="1" applyAlignment="1">
      <alignment horizontal="justify" vertical="center" wrapText="1"/>
    </xf>
    <xf numFmtId="0" fontId="39" fillId="0" borderId="4" xfId="0" applyFont="1" applyBorder="1" applyAlignment="1">
      <alignment horizontal="justify" vertical="center" wrapText="1"/>
    </xf>
    <xf numFmtId="0" fontId="41" fillId="5" borderId="59" xfId="0" applyFont="1" applyFill="1" applyBorder="1" applyAlignment="1">
      <alignment horizontal="center" vertical="center" wrapText="1"/>
    </xf>
    <xf numFmtId="0" fontId="38" fillId="0" borderId="59" xfId="0" applyFont="1" applyBorder="1" applyAlignment="1">
      <alignment vertical="center"/>
    </xf>
    <xf numFmtId="0" fontId="38" fillId="0" borderId="60" xfId="0" applyFont="1" applyBorder="1" applyAlignment="1">
      <alignment vertical="center"/>
    </xf>
    <xf numFmtId="0" fontId="41" fillId="5" borderId="0" xfId="0" applyFont="1" applyFill="1" applyAlignment="1">
      <alignment horizontal="center" vertical="center" wrapText="1"/>
    </xf>
    <xf numFmtId="0" fontId="38" fillId="0" borderId="54" xfId="0" applyFont="1" applyBorder="1" applyAlignment="1">
      <alignment vertical="center"/>
    </xf>
    <xf numFmtId="0" fontId="41" fillId="5" borderId="53" xfId="0" applyFont="1" applyFill="1" applyBorder="1" applyAlignment="1">
      <alignment horizontal="center" vertical="center" wrapText="1"/>
    </xf>
    <xf numFmtId="0" fontId="38" fillId="0" borderId="64" xfId="0" applyFont="1" applyBorder="1" applyAlignment="1">
      <alignment vertical="center"/>
    </xf>
    <xf numFmtId="0" fontId="39" fillId="18" borderId="1" xfId="0" applyFont="1" applyFill="1" applyBorder="1" applyAlignment="1">
      <alignment horizontal="justify" vertical="center" wrapText="1"/>
    </xf>
    <xf numFmtId="0" fontId="11" fillId="0" borderId="0" xfId="0" applyFont="1" applyAlignment="1">
      <alignment horizontal="left" vertical="center" wrapText="1"/>
    </xf>
    <xf numFmtId="0" fontId="0" fillId="0" borderId="0" xfId="0"/>
    <xf numFmtId="0" fontId="8" fillId="0" borderId="50" xfId="0" applyFont="1" applyBorder="1" applyAlignment="1">
      <alignment horizontal="center" vertical="center" wrapText="1"/>
    </xf>
    <xf numFmtId="0" fontId="9" fillId="0" borderId="51" xfId="0" applyFont="1" applyBorder="1"/>
    <xf numFmtId="0" fontId="9" fillId="0" borderId="52" xfId="0" applyFont="1" applyBorder="1"/>
    <xf numFmtId="0" fontId="9" fillId="0" borderId="53" xfId="0" applyFont="1" applyBorder="1"/>
    <xf numFmtId="0" fontId="9" fillId="0" borderId="54" xfId="0" applyFont="1" applyBorder="1"/>
    <xf numFmtId="0" fontId="9" fillId="0" borderId="55" xfId="0" applyFont="1" applyBorder="1"/>
    <xf numFmtId="0" fontId="9" fillId="0" borderId="56" xfId="0" applyFont="1" applyBorder="1"/>
    <xf numFmtId="0" fontId="9" fillId="0" borderId="57" xfId="0" applyFont="1" applyBorder="1"/>
    <xf numFmtId="0" fontId="10" fillId="0" borderId="50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15" fontId="13" fillId="0" borderId="0" xfId="0" applyNumberFormat="1" applyFont="1" applyAlignment="1">
      <alignment horizontal="left" vertical="center" shrinkToFit="1"/>
    </xf>
    <xf numFmtId="0" fontId="13" fillId="0" borderId="0" xfId="0" applyFont="1" applyAlignment="1">
      <alignment horizontal="left" vertical="center" wrapText="1"/>
    </xf>
    <xf numFmtId="169" fontId="39" fillId="7" borderId="53" xfId="0" applyNumberFormat="1" applyFont="1" applyFill="1" applyBorder="1" applyAlignment="1">
      <alignment horizontal="left" vertical="center" wrapText="1"/>
    </xf>
    <xf numFmtId="0" fontId="40" fillId="6" borderId="2" xfId="0" applyFont="1" applyFill="1" applyBorder="1" applyAlignment="1">
      <alignment horizontal="left" vertical="center" wrapText="1"/>
    </xf>
    <xf numFmtId="0" fontId="40" fillId="6" borderId="3" xfId="0" applyFont="1" applyFill="1" applyBorder="1" applyAlignment="1">
      <alignment horizontal="left" vertical="center" wrapText="1"/>
    </xf>
    <xf numFmtId="44" fontId="40" fillId="6" borderId="2" xfId="0" applyNumberFormat="1" applyFont="1" applyFill="1" applyBorder="1" applyAlignment="1">
      <alignment horizontal="center" vertical="center" wrapText="1"/>
    </xf>
    <xf numFmtId="0" fontId="40" fillId="6" borderId="4" xfId="0" applyFont="1" applyFill="1" applyBorder="1" applyAlignment="1">
      <alignment horizontal="center" vertical="center" wrapText="1"/>
    </xf>
    <xf numFmtId="0" fontId="39" fillId="7" borderId="53" xfId="0" applyFont="1" applyFill="1" applyBorder="1" applyAlignment="1">
      <alignment horizontal="left" vertical="center" wrapText="1"/>
    </xf>
    <xf numFmtId="0" fontId="41" fillId="5" borderId="58" xfId="0" applyFont="1" applyFill="1" applyBorder="1" applyAlignment="1">
      <alignment horizontal="center" vertical="center" wrapText="1"/>
    </xf>
    <xf numFmtId="0" fontId="38" fillId="0" borderId="61" xfId="0" applyFont="1" applyBorder="1" applyAlignment="1">
      <alignment horizontal="center" vertical="center"/>
    </xf>
    <xf numFmtId="0" fontId="38" fillId="18" borderId="1" xfId="0" applyFont="1" applyFill="1" applyBorder="1" applyAlignment="1">
      <alignment horizontal="justify" vertical="center" wrapText="1"/>
    </xf>
    <xf numFmtId="178" fontId="41" fillId="0" borderId="1" xfId="0" applyNumberFormat="1" applyFont="1" applyBorder="1" applyAlignment="1">
      <alignment vertical="center"/>
    </xf>
    <xf numFmtId="0" fontId="41" fillId="0" borderId="1" xfId="0" applyFont="1" applyBorder="1" applyAlignment="1">
      <alignment vertical="center"/>
    </xf>
    <xf numFmtId="0" fontId="41" fillId="20" borderId="82" xfId="0" applyFont="1" applyFill="1" applyBorder="1" applyAlignment="1">
      <alignment horizontal="center" vertical="center"/>
    </xf>
    <xf numFmtId="0" fontId="39" fillId="2" borderId="83" xfId="0" applyFont="1" applyFill="1" applyBorder="1" applyAlignment="1">
      <alignment vertical="center"/>
    </xf>
    <xf numFmtId="0" fontId="39" fillId="2" borderId="86" xfId="0" applyFont="1" applyFill="1" applyBorder="1" applyAlignment="1">
      <alignment vertical="center"/>
    </xf>
    <xf numFmtId="0" fontId="39" fillId="20" borderId="93" xfId="0" applyFont="1" applyFill="1" applyBorder="1" applyAlignment="1">
      <alignment horizontal="right" vertical="center"/>
    </xf>
    <xf numFmtId="0" fontId="39" fillId="0" borderId="94" xfId="0" applyFont="1" applyBorder="1" applyAlignment="1">
      <alignment horizontal="right" vertical="center"/>
    </xf>
    <xf numFmtId="178" fontId="41" fillId="16" borderId="92" xfId="0" applyNumberFormat="1" applyFont="1" applyFill="1" applyBorder="1" applyAlignment="1">
      <alignment vertical="center"/>
    </xf>
    <xf numFmtId="0" fontId="41" fillId="16" borderId="92" xfId="0" applyFont="1" applyFill="1" applyBorder="1" applyAlignment="1">
      <alignment vertical="center"/>
    </xf>
    <xf numFmtId="0" fontId="41" fillId="0" borderId="1" xfId="0" applyFont="1" applyBorder="1" applyAlignment="1">
      <alignment horizontal="center" vertical="center"/>
    </xf>
    <xf numFmtId="0" fontId="41" fillId="16" borderId="1" xfId="0" applyFont="1" applyFill="1" applyBorder="1" applyAlignment="1">
      <alignment horizontal="center" vertical="center"/>
    </xf>
    <xf numFmtId="178" fontId="41" fillId="20" borderId="83" xfId="0" applyNumberFormat="1" applyFont="1" applyFill="1" applyBorder="1" applyAlignment="1">
      <alignment horizontal="right" vertical="center"/>
    </xf>
    <xf numFmtId="178" fontId="38" fillId="2" borderId="86" xfId="0" applyNumberFormat="1" applyFont="1" applyFill="1" applyBorder="1" applyAlignment="1">
      <alignment horizontal="right" vertical="center"/>
    </xf>
    <xf numFmtId="0" fontId="27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9" borderId="89" xfId="0" applyFont="1" applyFill="1" applyBorder="1" applyAlignment="1">
      <alignment horizontal="center" vertical="center" wrapText="1"/>
    </xf>
    <xf numFmtId="0" fontId="29" fillId="9" borderId="3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30" fillId="10" borderId="1" xfId="0" applyFont="1" applyFill="1" applyBorder="1" applyAlignment="1">
      <alignment horizontal="center" vertical="center"/>
    </xf>
    <xf numFmtId="0" fontId="31" fillId="1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0" fillId="16" borderId="1" xfId="0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16" borderId="1" xfId="0" applyFill="1" applyBorder="1" applyAlignment="1">
      <alignment horizontal="left"/>
    </xf>
    <xf numFmtId="0" fontId="26" fillId="16" borderId="1" xfId="0" applyFont="1" applyFill="1" applyBorder="1" applyAlignment="1">
      <alignment horizontal="left"/>
    </xf>
    <xf numFmtId="0" fontId="0" fillId="0" borderId="4" xfId="0" applyBorder="1" applyAlignment="1">
      <alignment horizontal="center"/>
    </xf>
    <xf numFmtId="0" fontId="26" fillId="0" borderId="1" xfId="0" applyFont="1" applyBorder="1" applyAlignment="1">
      <alignment horizontal="left"/>
    </xf>
    <xf numFmtId="0" fontId="26" fillId="16" borderId="1" xfId="0" applyFont="1" applyFill="1" applyBorder="1" applyAlignment="1">
      <alignment horizontal="left" wrapText="1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37" fillId="0" borderId="2" xfId="0" applyFont="1" applyBorder="1" applyAlignment="1">
      <alignment horizontal="center"/>
    </xf>
    <xf numFmtId="0" fontId="37" fillId="0" borderId="3" xfId="0" applyFont="1" applyBorder="1" applyAlignment="1">
      <alignment horizontal="center"/>
    </xf>
    <xf numFmtId="0" fontId="37" fillId="0" borderId="4" xfId="0" applyFont="1" applyBorder="1" applyAlignment="1">
      <alignment horizontal="center"/>
    </xf>
    <xf numFmtId="177" fontId="37" fillId="0" borderId="2" xfId="0" applyNumberFormat="1" applyFont="1" applyBorder="1" applyAlignment="1">
      <alignment horizontal="center"/>
    </xf>
    <xf numFmtId="177" fontId="37" fillId="0" borderId="3" xfId="0" applyNumberFormat="1" applyFont="1" applyBorder="1" applyAlignment="1">
      <alignment horizontal="center"/>
    </xf>
    <xf numFmtId="177" fontId="37" fillId="0" borderId="4" xfId="0" applyNumberFormat="1" applyFont="1" applyBorder="1" applyAlignment="1">
      <alignment horizontal="center"/>
    </xf>
    <xf numFmtId="0" fontId="0" fillId="13" borderId="90" xfId="0" applyFill="1" applyBorder="1" applyAlignment="1">
      <alignment horizontal="center"/>
    </xf>
    <xf numFmtId="0" fontId="0" fillId="13" borderId="91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43" fontId="22" fillId="2" borderId="0" xfId="0" applyNumberFormat="1" applyFont="1" applyFill="1" applyAlignment="1">
      <alignment horizontal="center"/>
    </xf>
    <xf numFmtId="0" fontId="0" fillId="3" borderId="0" xfId="0" applyFill="1" applyAlignment="1">
      <alignment horizontal="left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0" fillId="0" borderId="1" xfId="0" applyFont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7" xfId="0" applyFill="1" applyBorder="1" applyAlignment="1" applyProtection="1">
      <alignment horizontal="center"/>
      <protection locked="0"/>
    </xf>
    <xf numFmtId="0" fontId="0" fillId="2" borderId="8" xfId="0" applyFill="1" applyBorder="1" applyAlignment="1" applyProtection="1">
      <alignment horizontal="center"/>
      <protection locked="0"/>
    </xf>
    <xf numFmtId="0" fontId="0" fillId="2" borderId="87" xfId="0" applyFill="1" applyBorder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/>
      <protection locked="0"/>
    </xf>
    <xf numFmtId="0" fontId="0" fillId="2" borderId="88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3" borderId="6" xfId="0" applyFill="1" applyBorder="1" applyAlignment="1">
      <alignment horizontal="left" vertical="top"/>
    </xf>
    <xf numFmtId="0" fontId="0" fillId="3" borderId="7" xfId="0" applyFill="1" applyBorder="1" applyAlignment="1">
      <alignment horizontal="left" vertical="top"/>
    </xf>
    <xf numFmtId="0" fontId="0" fillId="3" borderId="8" xfId="0" applyFill="1" applyBorder="1" applyAlignment="1">
      <alignment horizontal="left" vertical="top"/>
    </xf>
    <xf numFmtId="0" fontId="0" fillId="3" borderId="87" xfId="0" applyFill="1" applyBorder="1" applyAlignment="1">
      <alignment horizontal="left" vertical="top"/>
    </xf>
    <xf numFmtId="0" fontId="0" fillId="3" borderId="0" xfId="0" applyFill="1" applyAlignment="1">
      <alignment horizontal="left" vertical="top"/>
    </xf>
    <xf numFmtId="0" fontId="0" fillId="3" borderId="88" xfId="0" applyFill="1" applyBorder="1" applyAlignment="1">
      <alignment horizontal="left" vertical="top"/>
    </xf>
    <xf numFmtId="0" fontId="0" fillId="3" borderId="9" xfId="0" applyFill="1" applyBorder="1" applyAlignment="1">
      <alignment horizontal="left" vertical="top"/>
    </xf>
    <xf numFmtId="0" fontId="0" fillId="3" borderId="10" xfId="0" applyFill="1" applyBorder="1" applyAlignment="1">
      <alignment horizontal="left" vertical="top"/>
    </xf>
    <xf numFmtId="0" fontId="0" fillId="3" borderId="11" xfId="0" applyFill="1" applyBorder="1" applyAlignment="1">
      <alignment horizontal="left" vertical="top"/>
    </xf>
    <xf numFmtId="0" fontId="0" fillId="3" borderId="0" xfId="0" applyFill="1" applyAlignment="1">
      <alignment horizontal="left" wrapText="1"/>
    </xf>
    <xf numFmtId="170" fontId="18" fillId="3" borderId="0" xfId="0" applyNumberFormat="1" applyFont="1" applyFill="1" applyAlignment="1">
      <alignment horizontal="left"/>
    </xf>
    <xf numFmtId="170" fontId="0" fillId="3" borderId="0" xfId="0" applyNumberFormat="1" applyFill="1" applyAlignment="1">
      <alignment horizontal="left"/>
    </xf>
    <xf numFmtId="170" fontId="0" fillId="3" borderId="88" xfId="0" applyNumberFormat="1" applyFill="1" applyBorder="1" applyAlignment="1">
      <alignment horizontal="left"/>
    </xf>
    <xf numFmtId="0" fontId="0" fillId="3" borderId="0" xfId="0" applyFill="1" applyAlignment="1" applyProtection="1">
      <alignment horizontal="center" vertical="center"/>
      <protection locked="0"/>
    </xf>
    <xf numFmtId="1" fontId="18" fillId="3" borderId="0" xfId="0" applyNumberFormat="1" applyFont="1" applyFill="1" applyAlignment="1" applyProtection="1">
      <alignment horizontal="center" wrapText="1"/>
      <protection locked="0"/>
    </xf>
    <xf numFmtId="0" fontId="0" fillId="3" borderId="0" xfId="0" applyFill="1" applyAlignment="1" applyProtection="1">
      <alignment horizontal="center" wrapText="1"/>
      <protection locked="0"/>
    </xf>
    <xf numFmtId="0" fontId="0" fillId="3" borderId="88" xfId="0" applyFill="1" applyBorder="1" applyAlignment="1" applyProtection="1">
      <alignment horizontal="center" wrapText="1"/>
      <protection locked="0"/>
    </xf>
    <xf numFmtId="0" fontId="23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/>
    </xf>
    <xf numFmtId="0" fontId="17" fillId="2" borderId="7" xfId="0" applyFont="1" applyFill="1" applyBorder="1" applyAlignment="1">
      <alignment horizontal="center"/>
    </xf>
    <xf numFmtId="0" fontId="17" fillId="2" borderId="8" xfId="0" applyFont="1" applyFill="1" applyBorder="1" applyAlignment="1">
      <alignment horizontal="center"/>
    </xf>
    <xf numFmtId="0" fontId="17" fillId="2" borderId="87" xfId="0" applyFont="1" applyFill="1" applyBorder="1" applyAlignment="1">
      <alignment horizontal="center"/>
    </xf>
    <xf numFmtId="0" fontId="17" fillId="2" borderId="0" xfId="0" applyFont="1" applyFill="1" applyAlignment="1">
      <alignment horizontal="center"/>
    </xf>
    <xf numFmtId="0" fontId="17" fillId="2" borderId="88" xfId="0" applyFont="1" applyFill="1" applyBorder="1" applyAlignment="1">
      <alignment horizontal="center"/>
    </xf>
    <xf numFmtId="0" fontId="17" fillId="2" borderId="9" xfId="0" applyFont="1" applyFill="1" applyBorder="1" applyAlignment="1">
      <alignment horizontal="center"/>
    </xf>
    <xf numFmtId="0" fontId="17" fillId="2" borderId="10" xfId="0" applyFont="1" applyFill="1" applyBorder="1" applyAlignment="1">
      <alignment horizontal="center"/>
    </xf>
    <xf numFmtId="0" fontId="17" fillId="2" borderId="11" xfId="0" applyFont="1" applyFill="1" applyBorder="1" applyAlignment="1">
      <alignment horizontal="center"/>
    </xf>
    <xf numFmtId="0" fontId="0" fillId="3" borderId="88" xfId="0" applyFill="1" applyBorder="1" applyAlignment="1">
      <alignment horizontal="left"/>
    </xf>
  </cellXfs>
  <cellStyles count="5">
    <cellStyle name="Millares" xfId="1" builtinId="3"/>
    <cellStyle name="Moneda" xfId="2" builtinId="4"/>
    <cellStyle name="Moneda [0]" xfId="3" builtinId="7"/>
    <cellStyle name="Normal" xfId="0" builtinId="0"/>
    <cellStyle name="Porcentaje" xfId="4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externalLink" Target="externalLinks/externalLink1.xml"/><Relationship Id="rId58" Type="http://schemas.openxmlformats.org/officeDocument/2006/relationships/calcChain" Target="calcChain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4" Type="http://schemas.openxmlformats.org/officeDocument/2006/relationships/image" Target="../media/image12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1444065</xdr:colOff>
      <xdr:row>6</xdr:row>
      <xdr:rowOff>23907</xdr:rowOff>
    </xdr:from>
    <xdr:to>
      <xdr:col>1</xdr:col>
      <xdr:colOff>1860177</xdr:colOff>
      <xdr:row>6</xdr:row>
      <xdr:rowOff>235325</xdr:rowOff>
    </xdr:to>
    <xdr:sp macro="" textlink="">
      <xdr:nvSpPr>
        <xdr:cNvPr id="2" name="8 Rectángul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682565" y="1557432"/>
          <a:ext cx="416112" cy="211418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8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</xdr:col>
      <xdr:colOff>1283447</xdr:colOff>
      <xdr:row>6</xdr:row>
      <xdr:rowOff>81429</xdr:rowOff>
    </xdr:from>
    <xdr:to>
      <xdr:col>2</xdr:col>
      <xdr:colOff>1821330</xdr:colOff>
      <xdr:row>6</xdr:row>
      <xdr:rowOff>227105</xdr:rowOff>
    </xdr:to>
    <xdr:sp macro="" textlink="">
      <xdr:nvSpPr>
        <xdr:cNvPr id="3" name="21 Rectángul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284197" y="1614954"/>
          <a:ext cx="537883" cy="145676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571500</xdr:colOff>
      <xdr:row>5</xdr:row>
      <xdr:rowOff>55014</xdr:rowOff>
    </xdr:from>
    <xdr:to>
      <xdr:col>3</xdr:col>
      <xdr:colOff>1109383</xdr:colOff>
      <xdr:row>5</xdr:row>
      <xdr:rowOff>200690</xdr:rowOff>
    </xdr:to>
    <xdr:sp macro="" textlink="">
      <xdr:nvSpPr>
        <xdr:cNvPr id="4" name="10 Rectángul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934450" y="1340889"/>
          <a:ext cx="537883" cy="145676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345281</xdr:colOff>
      <xdr:row>0</xdr:row>
      <xdr:rowOff>0</xdr:rowOff>
    </xdr:from>
    <xdr:to>
      <xdr:col>7</xdr:col>
      <xdr:colOff>352431</xdr:colOff>
      <xdr:row>1</xdr:row>
      <xdr:rowOff>67234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5281" y="0"/>
          <a:ext cx="12526175" cy="648259"/>
        </a:xfrm>
        <a:prstGeom prst="rect">
          <a:avLst/>
        </a:prstGeom>
      </xdr:spPr>
    </xdr:pic>
    <xdr:clientData/>
  </xdr:twoCellAnchor>
  <xdr:twoCellAnchor>
    <xdr:from>
      <xdr:col>1</xdr:col>
      <xdr:colOff>1865406</xdr:colOff>
      <xdr:row>5</xdr:row>
      <xdr:rowOff>19424</xdr:rowOff>
    </xdr:from>
    <xdr:to>
      <xdr:col>1</xdr:col>
      <xdr:colOff>2281518</xdr:colOff>
      <xdr:row>5</xdr:row>
      <xdr:rowOff>230842</xdr:rowOff>
    </xdr:to>
    <xdr:sp macro="" textlink="">
      <xdr:nvSpPr>
        <xdr:cNvPr id="6" name="8 Rectángulo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103906" y="1305299"/>
          <a:ext cx="416112" cy="211418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8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 editAs="oneCell">
    <xdr:from>
      <xdr:col>1</xdr:col>
      <xdr:colOff>54428</xdr:colOff>
      <xdr:row>10</xdr:row>
      <xdr:rowOff>30390</xdr:rowOff>
    </xdr:from>
    <xdr:to>
      <xdr:col>2</xdr:col>
      <xdr:colOff>2267</xdr:colOff>
      <xdr:row>10</xdr:row>
      <xdr:rowOff>2041072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50000"/>
                  </a14:imgEffect>
                  <a14:imgEffect>
                    <a14:brightnessContrast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22403" r="8690" b="21080"/>
        <a:stretch/>
      </xdr:blipFill>
      <xdr:spPr bwMode="auto">
        <a:xfrm>
          <a:off x="3442607" y="2411640"/>
          <a:ext cx="2795814" cy="201068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231321</xdr:colOff>
      <xdr:row>10</xdr:row>
      <xdr:rowOff>31146</xdr:rowOff>
    </xdr:from>
    <xdr:to>
      <xdr:col>0</xdr:col>
      <xdr:colOff>3040743</xdr:colOff>
      <xdr:row>10</xdr:row>
      <xdr:rowOff>2045022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9153" t="37362" r="44513" b="15435"/>
        <a:stretch/>
      </xdr:blipFill>
      <xdr:spPr>
        <a:xfrm>
          <a:off x="231321" y="2412396"/>
          <a:ext cx="2803072" cy="2013876"/>
        </a:xfrm>
        <a:prstGeom prst="rect">
          <a:avLst/>
        </a:prstGeom>
      </xdr:spPr>
    </xdr:pic>
    <xdr:clientData/>
  </xdr:twoCellAnchor>
  <xdr:twoCellAnchor>
    <xdr:from>
      <xdr:col>0</xdr:col>
      <xdr:colOff>1096633</xdr:colOff>
      <xdr:row>10</xdr:row>
      <xdr:rowOff>283821</xdr:rowOff>
    </xdr:from>
    <xdr:to>
      <xdr:col>0</xdr:col>
      <xdr:colOff>2072792</xdr:colOff>
      <xdr:row>10</xdr:row>
      <xdr:rowOff>1818821</xdr:rowOff>
    </xdr:to>
    <xdr:sp macro="" textlink="">
      <xdr:nvSpPr>
        <xdr:cNvPr id="42" name="Rectángulo: esquinas redondeadas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 rot="18487354">
          <a:off x="817213" y="2944491"/>
          <a:ext cx="1535000" cy="976159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t"/>
        <a:lstStyle/>
        <a:p>
          <a:endParaRPr lang="es-CO"/>
        </a:p>
      </xdr:txBody>
    </xdr:sp>
    <xdr:clientData/>
  </xdr:twoCellAnchor>
  <xdr:twoCellAnchor>
    <xdr:from>
      <xdr:col>2</xdr:col>
      <xdr:colOff>1283447</xdr:colOff>
      <xdr:row>5</xdr:row>
      <xdr:rowOff>50132</xdr:rowOff>
    </xdr:from>
    <xdr:to>
      <xdr:col>2</xdr:col>
      <xdr:colOff>1821330</xdr:colOff>
      <xdr:row>5</xdr:row>
      <xdr:rowOff>195808</xdr:rowOff>
    </xdr:to>
    <xdr:sp macro="" textlink="">
      <xdr:nvSpPr>
        <xdr:cNvPr id="60" name="21 Rectángulo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7284197" y="1356418"/>
          <a:ext cx="537883" cy="145676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7</xdr:col>
      <xdr:colOff>371475</xdr:colOff>
      <xdr:row>7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267" t="-5574" r="8533"/>
        <a:stretch/>
      </xdr:blipFill>
      <xdr:spPr>
        <a:xfrm>
          <a:off x="762000" y="762000"/>
          <a:ext cx="5534025" cy="7143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44823</xdr:rowOff>
    </xdr:from>
    <xdr:to>
      <xdr:col>0</xdr:col>
      <xdr:colOff>5967132</xdr:colOff>
      <xdr:row>31</xdr:row>
      <xdr:rowOff>112058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032" t="23610" r="30594" b="23772"/>
        <a:stretch/>
      </xdr:blipFill>
      <xdr:spPr>
        <a:xfrm>
          <a:off x="0" y="3036794"/>
          <a:ext cx="5967132" cy="397808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2129117</xdr:colOff>
      <xdr:row>13</xdr:row>
      <xdr:rowOff>56029</xdr:rowOff>
    </xdr:from>
    <xdr:to>
      <xdr:col>0</xdr:col>
      <xdr:colOff>5660670</xdr:colOff>
      <xdr:row>36</xdr:row>
      <xdr:rowOff>156882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9823" t="15036" r="39855" b="16512"/>
        <a:stretch/>
      </xdr:blipFill>
      <xdr:spPr>
        <a:xfrm>
          <a:off x="2129117" y="3003176"/>
          <a:ext cx="3531553" cy="448235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403411</xdr:colOff>
      <xdr:row>14</xdr:row>
      <xdr:rowOff>0</xdr:rowOff>
    </xdr:from>
    <xdr:to>
      <xdr:col>0</xdr:col>
      <xdr:colOff>5294296</xdr:colOff>
      <xdr:row>29</xdr:row>
      <xdr:rowOff>156882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4581" t="34330" r="41881" b="28905"/>
        <a:stretch/>
      </xdr:blipFill>
      <xdr:spPr>
        <a:xfrm>
          <a:off x="403411" y="3137647"/>
          <a:ext cx="4890885" cy="301438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1759324</xdr:colOff>
      <xdr:row>12</xdr:row>
      <xdr:rowOff>257736</xdr:rowOff>
    </xdr:from>
    <xdr:to>
      <xdr:col>0</xdr:col>
      <xdr:colOff>4426323</xdr:colOff>
      <xdr:row>33</xdr:row>
      <xdr:rowOff>133756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7319" t="22187" r="41582" b="21847"/>
        <a:stretch/>
      </xdr:blipFill>
      <xdr:spPr>
        <a:xfrm>
          <a:off x="1759324" y="3014383"/>
          <a:ext cx="2666999" cy="397737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0</xdr:rowOff>
    </xdr:from>
    <xdr:to>
      <xdr:col>0</xdr:col>
      <xdr:colOff>5967132</xdr:colOff>
      <xdr:row>31</xdr:row>
      <xdr:rowOff>156882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032" t="23610" r="30594" b="23772"/>
        <a:stretch/>
      </xdr:blipFill>
      <xdr:spPr>
        <a:xfrm>
          <a:off x="0" y="2756647"/>
          <a:ext cx="5967132" cy="3978088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0</xdr:rowOff>
    </xdr:from>
    <xdr:to>
      <xdr:col>0</xdr:col>
      <xdr:colOff>5967132</xdr:colOff>
      <xdr:row>29</xdr:row>
      <xdr:rowOff>145676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032" t="23610" r="30594" b="23772"/>
        <a:stretch/>
      </xdr:blipFill>
      <xdr:spPr>
        <a:xfrm>
          <a:off x="0" y="2752725"/>
          <a:ext cx="5967132" cy="3985932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0</xdr:rowOff>
    </xdr:from>
    <xdr:to>
      <xdr:col>0</xdr:col>
      <xdr:colOff>5967132</xdr:colOff>
      <xdr:row>32</xdr:row>
      <xdr:rowOff>67235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032" t="23610" r="30594" b="23772"/>
        <a:stretch/>
      </xdr:blipFill>
      <xdr:spPr>
        <a:xfrm>
          <a:off x="0" y="2752725"/>
          <a:ext cx="5967132" cy="398201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0</xdr:rowOff>
    </xdr:from>
    <xdr:to>
      <xdr:col>0</xdr:col>
      <xdr:colOff>5967132</xdr:colOff>
      <xdr:row>32</xdr:row>
      <xdr:rowOff>67235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032" t="23610" r="30594" b="23772"/>
        <a:stretch/>
      </xdr:blipFill>
      <xdr:spPr>
        <a:xfrm>
          <a:off x="0" y="2752725"/>
          <a:ext cx="5967132" cy="398201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0</xdr:rowOff>
    </xdr:from>
    <xdr:to>
      <xdr:col>0</xdr:col>
      <xdr:colOff>5967132</xdr:colOff>
      <xdr:row>32</xdr:row>
      <xdr:rowOff>168088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032" t="23610" r="30594" b="23772"/>
        <a:stretch/>
      </xdr:blipFill>
      <xdr:spPr>
        <a:xfrm>
          <a:off x="0" y="2752725"/>
          <a:ext cx="5967132" cy="398201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1176617</xdr:colOff>
      <xdr:row>12</xdr:row>
      <xdr:rowOff>100853</xdr:rowOff>
    </xdr:from>
    <xdr:to>
      <xdr:col>0</xdr:col>
      <xdr:colOff>4708170</xdr:colOff>
      <xdr:row>36</xdr:row>
      <xdr:rowOff>11206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9823" t="15036" r="39855" b="16512"/>
        <a:stretch/>
      </xdr:blipFill>
      <xdr:spPr>
        <a:xfrm>
          <a:off x="1176617" y="2853578"/>
          <a:ext cx="3531553" cy="4482353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1154206</xdr:colOff>
      <xdr:row>12</xdr:row>
      <xdr:rowOff>67234</xdr:rowOff>
    </xdr:from>
    <xdr:to>
      <xdr:col>0</xdr:col>
      <xdr:colOff>4685759</xdr:colOff>
      <xdr:row>35</xdr:row>
      <xdr:rowOff>168087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9823" t="15036" r="39855" b="16512"/>
        <a:stretch/>
      </xdr:blipFill>
      <xdr:spPr>
        <a:xfrm>
          <a:off x="1154206" y="3585881"/>
          <a:ext cx="3531553" cy="4482353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136362</xdr:rowOff>
    </xdr:from>
    <xdr:to>
      <xdr:col>0</xdr:col>
      <xdr:colOff>5967132</xdr:colOff>
      <xdr:row>34</xdr:row>
      <xdr:rowOff>115151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032" t="23610" r="30594" b="23772"/>
        <a:stretch/>
      </xdr:blipFill>
      <xdr:spPr>
        <a:xfrm>
          <a:off x="0" y="3082308"/>
          <a:ext cx="5967132" cy="3979289"/>
        </a:xfrm>
        <a:prstGeom prst="rect">
          <a:avLst/>
        </a:prstGeom>
      </xdr:spPr>
    </xdr:pic>
    <xdr:clientData/>
  </xdr:twoCellAnchor>
  <xdr:twoCellAnchor>
    <xdr:from>
      <xdr:col>0</xdr:col>
      <xdr:colOff>1567295</xdr:colOff>
      <xdr:row>23</xdr:row>
      <xdr:rowOff>164523</xdr:rowOff>
    </xdr:from>
    <xdr:to>
      <xdr:col>0</xdr:col>
      <xdr:colOff>1896341</xdr:colOff>
      <xdr:row>24</xdr:row>
      <xdr:rowOff>77932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/>
      </xdr:nvSpPr>
      <xdr:spPr>
        <a:xfrm>
          <a:off x="1567295" y="5117523"/>
          <a:ext cx="329046" cy="1039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M1</a:t>
          </a:r>
        </a:p>
      </xdr:txBody>
    </xdr:sp>
    <xdr:clientData/>
  </xdr:twoCellAnchor>
  <xdr:twoCellAnchor>
    <xdr:from>
      <xdr:col>0</xdr:col>
      <xdr:colOff>4524374</xdr:colOff>
      <xdr:row>20</xdr:row>
      <xdr:rowOff>76323</xdr:rowOff>
    </xdr:from>
    <xdr:to>
      <xdr:col>0</xdr:col>
      <xdr:colOff>4886201</xdr:colOff>
      <xdr:row>21</xdr:row>
      <xdr:rowOff>6804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/>
      </xdr:nvSpPr>
      <xdr:spPr>
        <a:xfrm>
          <a:off x="4524374" y="4457823"/>
          <a:ext cx="361827" cy="1209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M10</a:t>
          </a:r>
        </a:p>
      </xdr:txBody>
    </xdr:sp>
    <xdr:clientData/>
  </xdr:twoCellAnchor>
  <xdr:twoCellAnchor>
    <xdr:from>
      <xdr:col>0</xdr:col>
      <xdr:colOff>533399</xdr:colOff>
      <xdr:row>27</xdr:row>
      <xdr:rowOff>100446</xdr:rowOff>
    </xdr:from>
    <xdr:to>
      <xdr:col>0</xdr:col>
      <xdr:colOff>862445</xdr:colOff>
      <xdr:row>28</xdr:row>
      <xdr:rowOff>13855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/>
      </xdr:nvSpPr>
      <xdr:spPr>
        <a:xfrm>
          <a:off x="533399" y="5815446"/>
          <a:ext cx="329046" cy="1039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M2</a:t>
          </a:r>
        </a:p>
      </xdr:txBody>
    </xdr:sp>
    <xdr:clientData/>
  </xdr:twoCellAnchor>
  <xdr:twoCellAnchor>
    <xdr:from>
      <xdr:col>0</xdr:col>
      <xdr:colOff>1721426</xdr:colOff>
      <xdr:row>30</xdr:row>
      <xdr:rowOff>171451</xdr:rowOff>
    </xdr:from>
    <xdr:to>
      <xdr:col>0</xdr:col>
      <xdr:colOff>2050472</xdr:colOff>
      <xdr:row>31</xdr:row>
      <xdr:rowOff>84860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 txBox="1"/>
      </xdr:nvSpPr>
      <xdr:spPr>
        <a:xfrm>
          <a:off x="1721426" y="6457951"/>
          <a:ext cx="329046" cy="1039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M3</a:t>
          </a:r>
        </a:p>
      </xdr:txBody>
    </xdr:sp>
    <xdr:clientData/>
  </xdr:twoCellAnchor>
  <xdr:twoCellAnchor>
    <xdr:from>
      <xdr:col>0</xdr:col>
      <xdr:colOff>4081895</xdr:colOff>
      <xdr:row>31</xdr:row>
      <xdr:rowOff>64078</xdr:rowOff>
    </xdr:from>
    <xdr:to>
      <xdr:col>0</xdr:col>
      <xdr:colOff>4410941</xdr:colOff>
      <xdr:row>31</xdr:row>
      <xdr:rowOff>167987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 txBox="1"/>
      </xdr:nvSpPr>
      <xdr:spPr>
        <a:xfrm>
          <a:off x="4081895" y="6541078"/>
          <a:ext cx="329046" cy="1039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M6</a:t>
          </a:r>
        </a:p>
      </xdr:txBody>
    </xdr:sp>
    <xdr:clientData/>
  </xdr:twoCellAnchor>
  <xdr:twoCellAnchor>
    <xdr:from>
      <xdr:col>0</xdr:col>
      <xdr:colOff>4547259</xdr:colOff>
      <xdr:row>27</xdr:row>
      <xdr:rowOff>150916</xdr:rowOff>
    </xdr:from>
    <xdr:to>
      <xdr:col>0</xdr:col>
      <xdr:colOff>4876305</xdr:colOff>
      <xdr:row>28</xdr:row>
      <xdr:rowOff>64325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 txBox="1"/>
      </xdr:nvSpPr>
      <xdr:spPr>
        <a:xfrm>
          <a:off x="4547259" y="5865916"/>
          <a:ext cx="329046" cy="1039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M7</a:t>
          </a:r>
        </a:p>
      </xdr:txBody>
    </xdr:sp>
    <xdr:clientData/>
  </xdr:twoCellAnchor>
  <xdr:twoCellAnchor>
    <xdr:from>
      <xdr:col>0</xdr:col>
      <xdr:colOff>3672320</xdr:colOff>
      <xdr:row>28</xdr:row>
      <xdr:rowOff>85602</xdr:rowOff>
    </xdr:from>
    <xdr:to>
      <xdr:col>0</xdr:col>
      <xdr:colOff>4001366</xdr:colOff>
      <xdr:row>28</xdr:row>
      <xdr:rowOff>189511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 txBox="1"/>
      </xdr:nvSpPr>
      <xdr:spPr>
        <a:xfrm>
          <a:off x="3672320" y="5991102"/>
          <a:ext cx="329046" cy="1039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M5</a:t>
          </a:r>
        </a:p>
      </xdr:txBody>
    </xdr:sp>
    <xdr:clientData/>
  </xdr:twoCellAnchor>
  <xdr:twoCellAnchor>
    <xdr:from>
      <xdr:col>0</xdr:col>
      <xdr:colOff>3198792</xdr:colOff>
      <xdr:row>28</xdr:row>
      <xdr:rowOff>33894</xdr:rowOff>
    </xdr:from>
    <xdr:to>
      <xdr:col>0</xdr:col>
      <xdr:colOff>3527838</xdr:colOff>
      <xdr:row>28</xdr:row>
      <xdr:rowOff>137803</xdr:rowOff>
    </xdr:to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 txBox="1"/>
      </xdr:nvSpPr>
      <xdr:spPr>
        <a:xfrm>
          <a:off x="3198792" y="5939394"/>
          <a:ext cx="329046" cy="1039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M4</a:t>
          </a:r>
        </a:p>
      </xdr:txBody>
    </xdr:sp>
    <xdr:clientData/>
  </xdr:twoCellAnchor>
  <xdr:twoCellAnchor>
    <xdr:from>
      <xdr:col>0</xdr:col>
      <xdr:colOff>4167621</xdr:colOff>
      <xdr:row>22</xdr:row>
      <xdr:rowOff>77437</xdr:rowOff>
    </xdr:from>
    <xdr:to>
      <xdr:col>0</xdr:col>
      <xdr:colOff>4496667</xdr:colOff>
      <xdr:row>22</xdr:row>
      <xdr:rowOff>181346</xdr:rowOff>
    </xdr:to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SpPr txBox="1"/>
      </xdr:nvSpPr>
      <xdr:spPr>
        <a:xfrm>
          <a:off x="4167621" y="4839937"/>
          <a:ext cx="329046" cy="1039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M9</a:t>
          </a:r>
        </a:p>
      </xdr:txBody>
    </xdr:sp>
    <xdr:clientData/>
  </xdr:twoCellAnchor>
  <xdr:twoCellAnchor>
    <xdr:from>
      <xdr:col>0</xdr:col>
      <xdr:colOff>4102305</xdr:colOff>
      <xdr:row>23</xdr:row>
      <xdr:rowOff>154998</xdr:rowOff>
    </xdr:from>
    <xdr:to>
      <xdr:col>0</xdr:col>
      <xdr:colOff>4431351</xdr:colOff>
      <xdr:row>24</xdr:row>
      <xdr:rowOff>68407</xdr:rowOff>
    </xdr:to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SpPr txBox="1"/>
      </xdr:nvSpPr>
      <xdr:spPr>
        <a:xfrm>
          <a:off x="4102305" y="5107998"/>
          <a:ext cx="329046" cy="1039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M8</a:t>
          </a:r>
        </a:p>
      </xdr:txBody>
    </xdr:sp>
    <xdr:clientData/>
  </xdr:twoCellAnchor>
  <xdr:twoCellAnchor>
    <xdr:from>
      <xdr:col>0</xdr:col>
      <xdr:colOff>4118881</xdr:colOff>
      <xdr:row>18</xdr:row>
      <xdr:rowOff>106259</xdr:rowOff>
    </xdr:from>
    <xdr:to>
      <xdr:col>0</xdr:col>
      <xdr:colOff>4480708</xdr:colOff>
      <xdr:row>19</xdr:row>
      <xdr:rowOff>36740</xdr:rowOff>
    </xdr:to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SpPr txBox="1"/>
      </xdr:nvSpPr>
      <xdr:spPr>
        <a:xfrm>
          <a:off x="4118881" y="4004705"/>
          <a:ext cx="361827" cy="1209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M11</a:t>
          </a:r>
        </a:p>
      </xdr:txBody>
    </xdr:sp>
    <xdr:clientData/>
  </xdr:twoCellAnchor>
  <xdr:twoCellAnchor>
    <xdr:from>
      <xdr:col>0</xdr:col>
      <xdr:colOff>3652156</xdr:colOff>
      <xdr:row>20</xdr:row>
      <xdr:rowOff>123</xdr:rowOff>
    </xdr:from>
    <xdr:to>
      <xdr:col>0</xdr:col>
      <xdr:colOff>4013983</xdr:colOff>
      <xdr:row>20</xdr:row>
      <xdr:rowOff>122465</xdr:rowOff>
    </xdr:to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SpPr txBox="1"/>
      </xdr:nvSpPr>
      <xdr:spPr>
        <a:xfrm>
          <a:off x="3652156" y="4279569"/>
          <a:ext cx="361827" cy="12234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M12</a:t>
          </a:r>
        </a:p>
      </xdr:txBody>
    </xdr:sp>
    <xdr:clientData/>
  </xdr:twoCellAnchor>
  <xdr:twoCellAnchor>
    <xdr:from>
      <xdr:col>0</xdr:col>
      <xdr:colOff>3154135</xdr:colOff>
      <xdr:row>17</xdr:row>
      <xdr:rowOff>179737</xdr:rowOff>
    </xdr:from>
    <xdr:to>
      <xdr:col>0</xdr:col>
      <xdr:colOff>3515962</xdr:colOff>
      <xdr:row>18</xdr:row>
      <xdr:rowOff>110218</xdr:rowOff>
    </xdr:to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SpPr txBox="1"/>
      </xdr:nvSpPr>
      <xdr:spPr>
        <a:xfrm>
          <a:off x="3154135" y="3884962"/>
          <a:ext cx="361827" cy="1209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M13</a:t>
          </a:r>
        </a:p>
      </xdr:txBody>
    </xdr:sp>
    <xdr:clientData/>
  </xdr:twoCellAnchor>
  <xdr:twoCellAnchor>
    <xdr:from>
      <xdr:col>0</xdr:col>
      <xdr:colOff>3222171</xdr:colOff>
      <xdr:row>19</xdr:row>
      <xdr:rowOff>129390</xdr:rowOff>
    </xdr:from>
    <xdr:to>
      <xdr:col>0</xdr:col>
      <xdr:colOff>3583998</xdr:colOff>
      <xdr:row>20</xdr:row>
      <xdr:rowOff>38099</xdr:rowOff>
    </xdr:to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SpPr txBox="1"/>
      </xdr:nvSpPr>
      <xdr:spPr>
        <a:xfrm>
          <a:off x="3222171" y="4215615"/>
          <a:ext cx="361827" cy="992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M14</a:t>
          </a:r>
        </a:p>
      </xdr:txBody>
    </xdr:sp>
    <xdr:clientData/>
  </xdr:twoCellAnchor>
  <xdr:twoCellAnchor>
    <xdr:from>
      <xdr:col>0</xdr:col>
      <xdr:colOff>3156856</xdr:colOff>
      <xdr:row>20</xdr:row>
      <xdr:rowOff>171573</xdr:rowOff>
    </xdr:from>
    <xdr:to>
      <xdr:col>0</xdr:col>
      <xdr:colOff>3518683</xdr:colOff>
      <xdr:row>21</xdr:row>
      <xdr:rowOff>102054</xdr:rowOff>
    </xdr:to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00000000-0008-0000-1000-000012000000}"/>
            </a:ext>
          </a:extLst>
        </xdr:cNvPr>
        <xdr:cNvSpPr txBox="1"/>
      </xdr:nvSpPr>
      <xdr:spPr>
        <a:xfrm>
          <a:off x="3156856" y="4553073"/>
          <a:ext cx="361827" cy="1209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M15</a:t>
          </a:r>
        </a:p>
      </xdr:txBody>
    </xdr:sp>
    <xdr:clientData/>
  </xdr:twoCellAnchor>
  <xdr:twoCellAnchor>
    <xdr:from>
      <xdr:col>0</xdr:col>
      <xdr:colOff>2139041</xdr:colOff>
      <xdr:row>20</xdr:row>
      <xdr:rowOff>65438</xdr:rowOff>
    </xdr:from>
    <xdr:to>
      <xdr:col>0</xdr:col>
      <xdr:colOff>2500868</xdr:colOff>
      <xdr:row>20</xdr:row>
      <xdr:rowOff>186419</xdr:rowOff>
    </xdr:to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00000000-0008-0000-1000-000013000000}"/>
            </a:ext>
          </a:extLst>
        </xdr:cNvPr>
        <xdr:cNvSpPr txBox="1"/>
      </xdr:nvSpPr>
      <xdr:spPr>
        <a:xfrm>
          <a:off x="2139041" y="4446938"/>
          <a:ext cx="361827" cy="1209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M16</a:t>
          </a:r>
        </a:p>
      </xdr:txBody>
    </xdr:sp>
    <xdr:clientData/>
  </xdr:twoCellAnchor>
  <xdr:twoCellAnchor>
    <xdr:from>
      <xdr:col>0</xdr:col>
      <xdr:colOff>2094138</xdr:colOff>
      <xdr:row>18</xdr:row>
      <xdr:rowOff>108981</xdr:rowOff>
    </xdr:from>
    <xdr:to>
      <xdr:col>0</xdr:col>
      <xdr:colOff>2455965</xdr:colOff>
      <xdr:row>19</xdr:row>
      <xdr:rowOff>39462</xdr:rowOff>
    </xdr:to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00000000-0008-0000-1000-000014000000}"/>
            </a:ext>
          </a:extLst>
        </xdr:cNvPr>
        <xdr:cNvSpPr txBox="1"/>
      </xdr:nvSpPr>
      <xdr:spPr>
        <a:xfrm>
          <a:off x="2094138" y="4007427"/>
          <a:ext cx="361827" cy="1209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M17</a:t>
          </a:r>
        </a:p>
      </xdr:txBody>
    </xdr:sp>
    <xdr:clientData/>
  </xdr:twoCellAnchor>
  <xdr:twoCellAnchor>
    <xdr:from>
      <xdr:col>0</xdr:col>
      <xdr:colOff>2090056</xdr:colOff>
      <xdr:row>22</xdr:row>
      <xdr:rowOff>118505</xdr:rowOff>
    </xdr:from>
    <xdr:to>
      <xdr:col>0</xdr:col>
      <xdr:colOff>2451883</xdr:colOff>
      <xdr:row>23</xdr:row>
      <xdr:rowOff>48986</xdr:rowOff>
    </xdr:to>
    <xdr:sp macro="" textlink="">
      <xdr:nvSpPr>
        <xdr:cNvPr id="21" name="CuadroTexto 20">
          <a:extLst>
            <a:ext uri="{FF2B5EF4-FFF2-40B4-BE49-F238E27FC236}">
              <a16:creationId xmlns:a16="http://schemas.microsoft.com/office/drawing/2014/main" id="{00000000-0008-0000-1000-000015000000}"/>
            </a:ext>
          </a:extLst>
        </xdr:cNvPr>
        <xdr:cNvSpPr txBox="1"/>
      </xdr:nvSpPr>
      <xdr:spPr>
        <a:xfrm>
          <a:off x="2090056" y="4881005"/>
          <a:ext cx="361827" cy="1209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M18</a:t>
          </a:r>
        </a:p>
      </xdr:txBody>
    </xdr:sp>
    <xdr:clientData/>
  </xdr:twoCellAnchor>
  <xdr:twoCellAnchor>
    <xdr:from>
      <xdr:col>0</xdr:col>
      <xdr:colOff>1004206</xdr:colOff>
      <xdr:row>22</xdr:row>
      <xdr:rowOff>94012</xdr:rowOff>
    </xdr:from>
    <xdr:to>
      <xdr:col>0</xdr:col>
      <xdr:colOff>1366033</xdr:colOff>
      <xdr:row>23</xdr:row>
      <xdr:rowOff>24493</xdr:rowOff>
    </xdr:to>
    <xdr:sp macro="" textlink="">
      <xdr:nvSpPr>
        <xdr:cNvPr id="22" name="CuadroTexto 21">
          <a:extLst>
            <a:ext uri="{FF2B5EF4-FFF2-40B4-BE49-F238E27FC236}">
              <a16:creationId xmlns:a16="http://schemas.microsoft.com/office/drawing/2014/main" id="{00000000-0008-0000-1000-000016000000}"/>
            </a:ext>
          </a:extLst>
        </xdr:cNvPr>
        <xdr:cNvSpPr txBox="1"/>
      </xdr:nvSpPr>
      <xdr:spPr>
        <a:xfrm>
          <a:off x="1004206" y="4856512"/>
          <a:ext cx="361827" cy="1209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M19</a:t>
          </a:r>
        </a:p>
      </xdr:txBody>
    </xdr:sp>
    <xdr:clientData/>
  </xdr:twoCellAnchor>
  <xdr:twoCellAnchor>
    <xdr:from>
      <xdr:col>0</xdr:col>
      <xdr:colOff>571499</xdr:colOff>
      <xdr:row>20</xdr:row>
      <xdr:rowOff>55912</xdr:rowOff>
    </xdr:from>
    <xdr:to>
      <xdr:col>0</xdr:col>
      <xdr:colOff>933326</xdr:colOff>
      <xdr:row>20</xdr:row>
      <xdr:rowOff>176893</xdr:rowOff>
    </xdr:to>
    <xdr:sp macro="" textlink="">
      <xdr:nvSpPr>
        <xdr:cNvPr id="23" name="CuadroTexto 22">
          <a:extLst>
            <a:ext uri="{FF2B5EF4-FFF2-40B4-BE49-F238E27FC236}">
              <a16:creationId xmlns:a16="http://schemas.microsoft.com/office/drawing/2014/main" id="{00000000-0008-0000-1000-000017000000}"/>
            </a:ext>
          </a:extLst>
        </xdr:cNvPr>
        <xdr:cNvSpPr txBox="1"/>
      </xdr:nvSpPr>
      <xdr:spPr>
        <a:xfrm>
          <a:off x="571499" y="4437412"/>
          <a:ext cx="361827" cy="1209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M20</a:t>
          </a:r>
        </a:p>
      </xdr:txBody>
    </xdr:sp>
    <xdr:clientData/>
  </xdr:twoCellAnchor>
  <xdr:twoCellAnchor>
    <xdr:from>
      <xdr:col>0</xdr:col>
      <xdr:colOff>880381</xdr:colOff>
      <xdr:row>18</xdr:row>
      <xdr:rowOff>85848</xdr:rowOff>
    </xdr:from>
    <xdr:to>
      <xdr:col>0</xdr:col>
      <xdr:colOff>1242208</xdr:colOff>
      <xdr:row>19</xdr:row>
      <xdr:rowOff>16329</xdr:rowOff>
    </xdr:to>
    <xdr:sp macro="" textlink="">
      <xdr:nvSpPr>
        <xdr:cNvPr id="24" name="CuadroTexto 23">
          <a:extLst>
            <a:ext uri="{FF2B5EF4-FFF2-40B4-BE49-F238E27FC236}">
              <a16:creationId xmlns:a16="http://schemas.microsoft.com/office/drawing/2014/main" id="{00000000-0008-0000-1000-000018000000}"/>
            </a:ext>
          </a:extLst>
        </xdr:cNvPr>
        <xdr:cNvSpPr txBox="1"/>
      </xdr:nvSpPr>
      <xdr:spPr>
        <a:xfrm>
          <a:off x="880381" y="3984294"/>
          <a:ext cx="361827" cy="1209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M21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0</xdr:rowOff>
    </xdr:from>
    <xdr:to>
      <xdr:col>0</xdr:col>
      <xdr:colOff>5967132</xdr:colOff>
      <xdr:row>32</xdr:row>
      <xdr:rowOff>56029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032" t="23610" r="30594" b="23772"/>
        <a:stretch/>
      </xdr:blipFill>
      <xdr:spPr>
        <a:xfrm>
          <a:off x="0" y="2867025"/>
          <a:ext cx="5967132" cy="398201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0</xdr:rowOff>
    </xdr:from>
    <xdr:to>
      <xdr:col>0</xdr:col>
      <xdr:colOff>5967132</xdr:colOff>
      <xdr:row>32</xdr:row>
      <xdr:rowOff>67235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032" t="23610" r="30594" b="23772"/>
        <a:stretch/>
      </xdr:blipFill>
      <xdr:spPr>
        <a:xfrm>
          <a:off x="0" y="2752725"/>
          <a:ext cx="5967132" cy="398201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0</xdr:rowOff>
    </xdr:from>
    <xdr:to>
      <xdr:col>0</xdr:col>
      <xdr:colOff>5967132</xdr:colOff>
      <xdr:row>32</xdr:row>
      <xdr:rowOff>67235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032" t="23610" r="30594" b="23772"/>
        <a:stretch/>
      </xdr:blipFill>
      <xdr:spPr>
        <a:xfrm>
          <a:off x="0" y="2752725"/>
          <a:ext cx="5967132" cy="398201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381000</xdr:colOff>
      <xdr:row>12</xdr:row>
      <xdr:rowOff>156882</xdr:rowOff>
    </xdr:from>
    <xdr:to>
      <xdr:col>0</xdr:col>
      <xdr:colOff>4653102</xdr:colOff>
      <xdr:row>21</xdr:row>
      <xdr:rowOff>134469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561" t="18956" r="10507" b="24732"/>
        <a:stretch/>
      </xdr:blipFill>
      <xdr:spPr>
        <a:xfrm>
          <a:off x="381000" y="3025588"/>
          <a:ext cx="4272102" cy="1692087"/>
        </a:xfrm>
        <a:prstGeom prst="rect">
          <a:avLst/>
        </a:prstGeom>
      </xdr:spPr>
    </xdr:pic>
    <xdr:clientData/>
  </xdr:twoCellAnchor>
  <xdr:twoCellAnchor editAs="oneCell">
    <xdr:from>
      <xdr:col>0</xdr:col>
      <xdr:colOff>425825</xdr:colOff>
      <xdr:row>23</xdr:row>
      <xdr:rowOff>22412</xdr:rowOff>
    </xdr:from>
    <xdr:to>
      <xdr:col>0</xdr:col>
      <xdr:colOff>4605619</xdr:colOff>
      <xdr:row>31</xdr:row>
      <xdr:rowOff>44824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7866" t="22146" r="22278" b="25889"/>
        <a:stretch/>
      </xdr:blipFill>
      <xdr:spPr>
        <a:xfrm>
          <a:off x="425825" y="4986618"/>
          <a:ext cx="4179794" cy="1748118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476250</xdr:colOff>
      <xdr:row>32</xdr:row>
      <xdr:rowOff>28576</xdr:rowOff>
    </xdr:from>
    <xdr:to>
      <xdr:col>0</xdr:col>
      <xdr:colOff>4643437</xdr:colOff>
      <xdr:row>40</xdr:row>
      <xdr:rowOff>171450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14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3246" t="22853" r="16297" b="27020"/>
        <a:stretch/>
      </xdr:blipFill>
      <xdr:spPr>
        <a:xfrm>
          <a:off x="476250" y="6915151"/>
          <a:ext cx="4167187" cy="1666874"/>
        </a:xfrm>
        <a:prstGeom prst="rect">
          <a:avLst/>
        </a:prstGeom>
      </xdr:spPr>
    </xdr:pic>
    <xdr:clientData/>
  </xdr:twoCellAnchor>
  <xdr:twoCellAnchor editAs="oneCell">
    <xdr:from>
      <xdr:col>0</xdr:col>
      <xdr:colOff>533399</xdr:colOff>
      <xdr:row>42</xdr:row>
      <xdr:rowOff>152400</xdr:rowOff>
    </xdr:from>
    <xdr:to>
      <xdr:col>0</xdr:col>
      <xdr:colOff>4631816</xdr:colOff>
      <xdr:row>52</xdr:row>
      <xdr:rowOff>19050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14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4935" t="19482" r="11970" b="24318"/>
        <a:stretch/>
      </xdr:blipFill>
      <xdr:spPr>
        <a:xfrm>
          <a:off x="533399" y="8943975"/>
          <a:ext cx="4098417" cy="1771650"/>
        </a:xfrm>
        <a:prstGeom prst="rect">
          <a:avLst/>
        </a:prstGeom>
      </xdr:spPr>
    </xdr:pic>
    <xdr:clientData/>
  </xdr:twoCellAnchor>
  <xdr:twoCellAnchor editAs="oneCell">
    <xdr:from>
      <xdr:col>0</xdr:col>
      <xdr:colOff>409575</xdr:colOff>
      <xdr:row>12</xdr:row>
      <xdr:rowOff>166407</xdr:rowOff>
    </xdr:from>
    <xdr:to>
      <xdr:col>0</xdr:col>
      <xdr:colOff>4681677</xdr:colOff>
      <xdr:row>21</xdr:row>
      <xdr:rowOff>143994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14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561" t="18956" r="10507" b="24732"/>
        <a:stretch/>
      </xdr:blipFill>
      <xdr:spPr>
        <a:xfrm>
          <a:off x="409575" y="3033432"/>
          <a:ext cx="4272102" cy="1692087"/>
        </a:xfrm>
        <a:prstGeom prst="rect">
          <a:avLst/>
        </a:prstGeom>
      </xdr:spPr>
    </xdr:pic>
    <xdr:clientData/>
  </xdr:twoCellAnchor>
  <xdr:twoCellAnchor editAs="oneCell">
    <xdr:from>
      <xdr:col>0</xdr:col>
      <xdr:colOff>454400</xdr:colOff>
      <xdr:row>23</xdr:row>
      <xdr:rowOff>31937</xdr:rowOff>
    </xdr:from>
    <xdr:to>
      <xdr:col>0</xdr:col>
      <xdr:colOff>4634194</xdr:colOff>
      <xdr:row>31</xdr:row>
      <xdr:rowOff>54349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14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7866" t="22146" r="22278" b="25889"/>
        <a:stretch/>
      </xdr:blipFill>
      <xdr:spPr>
        <a:xfrm>
          <a:off x="454400" y="4994462"/>
          <a:ext cx="4179794" cy="1755962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104775</xdr:rowOff>
    </xdr:from>
    <xdr:to>
      <xdr:col>0</xdr:col>
      <xdr:colOff>5967132</xdr:colOff>
      <xdr:row>35</xdr:row>
      <xdr:rowOff>82363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032" t="23610" r="30594" b="23772"/>
        <a:stretch/>
      </xdr:blipFill>
      <xdr:spPr>
        <a:xfrm>
          <a:off x="0" y="3543300"/>
          <a:ext cx="5967132" cy="3978088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104775</xdr:rowOff>
    </xdr:from>
    <xdr:to>
      <xdr:col>0</xdr:col>
      <xdr:colOff>5967132</xdr:colOff>
      <xdr:row>35</xdr:row>
      <xdr:rowOff>82363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032" t="23610" r="30594" b="23772"/>
        <a:stretch/>
      </xdr:blipFill>
      <xdr:spPr>
        <a:xfrm>
          <a:off x="0" y="3352800"/>
          <a:ext cx="5967132" cy="3978088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552449</xdr:colOff>
      <xdr:row>13</xdr:row>
      <xdr:rowOff>9526</xdr:rowOff>
    </xdr:from>
    <xdr:to>
      <xdr:col>0</xdr:col>
      <xdr:colOff>5610224</xdr:colOff>
      <xdr:row>33</xdr:row>
      <xdr:rowOff>90122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2529" t="19881" r="35926" b="23278"/>
        <a:stretch/>
      </xdr:blipFill>
      <xdr:spPr>
        <a:xfrm>
          <a:off x="552449" y="3067051"/>
          <a:ext cx="5057775" cy="3890596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552449</xdr:colOff>
      <xdr:row>13</xdr:row>
      <xdr:rowOff>9526</xdr:rowOff>
    </xdr:from>
    <xdr:to>
      <xdr:col>0</xdr:col>
      <xdr:colOff>5610224</xdr:colOff>
      <xdr:row>33</xdr:row>
      <xdr:rowOff>90122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2529" t="19881" r="35926" b="23278"/>
        <a:stretch/>
      </xdr:blipFill>
      <xdr:spPr>
        <a:xfrm>
          <a:off x="552449" y="3067051"/>
          <a:ext cx="5057775" cy="3890596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552449</xdr:colOff>
      <xdr:row>13</xdr:row>
      <xdr:rowOff>9526</xdr:rowOff>
    </xdr:from>
    <xdr:to>
      <xdr:col>0</xdr:col>
      <xdr:colOff>5610224</xdr:colOff>
      <xdr:row>33</xdr:row>
      <xdr:rowOff>90122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2529" t="19881" r="35926" b="23278"/>
        <a:stretch/>
      </xdr:blipFill>
      <xdr:spPr>
        <a:xfrm>
          <a:off x="552449" y="3067051"/>
          <a:ext cx="5057775" cy="3890596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14</xdr:row>
      <xdr:rowOff>85725</xdr:rowOff>
    </xdr:from>
    <xdr:to>
      <xdr:col>0</xdr:col>
      <xdr:colOff>5759577</xdr:colOff>
      <xdr:row>32</xdr:row>
      <xdr:rowOff>123825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3772" t="20506" r="23366" b="21456"/>
        <a:stretch/>
      </xdr:blipFill>
      <xdr:spPr>
        <a:xfrm>
          <a:off x="142875" y="3333750"/>
          <a:ext cx="5616702" cy="346710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609600</xdr:colOff>
      <xdr:row>13</xdr:row>
      <xdr:rowOff>85724</xdr:rowOff>
    </xdr:from>
    <xdr:to>
      <xdr:col>0</xdr:col>
      <xdr:colOff>5257800</xdr:colOff>
      <xdr:row>33</xdr:row>
      <xdr:rowOff>31337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074" t="20568" r="31411" b="19772"/>
        <a:stretch/>
      </xdr:blipFill>
      <xdr:spPr>
        <a:xfrm>
          <a:off x="609600" y="3143249"/>
          <a:ext cx="4648200" cy="3755613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657225</xdr:colOff>
      <xdr:row>12</xdr:row>
      <xdr:rowOff>57150</xdr:rowOff>
    </xdr:from>
    <xdr:to>
      <xdr:col>0</xdr:col>
      <xdr:colOff>5305425</xdr:colOff>
      <xdr:row>32</xdr:row>
      <xdr:rowOff>2763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074" t="20568" r="31411" b="19772"/>
        <a:stretch/>
      </xdr:blipFill>
      <xdr:spPr>
        <a:xfrm>
          <a:off x="657225" y="2924175"/>
          <a:ext cx="4648200" cy="3755613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676275</xdr:colOff>
      <xdr:row>12</xdr:row>
      <xdr:rowOff>133350</xdr:rowOff>
    </xdr:from>
    <xdr:to>
      <xdr:col>0</xdr:col>
      <xdr:colOff>5324475</xdr:colOff>
      <xdr:row>32</xdr:row>
      <xdr:rowOff>78963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074" t="20568" r="31411" b="19772"/>
        <a:stretch/>
      </xdr:blipFill>
      <xdr:spPr>
        <a:xfrm>
          <a:off x="676275" y="3000375"/>
          <a:ext cx="4648200" cy="3755613"/>
        </a:xfrm>
        <a:prstGeom prst="rect">
          <a:avLst/>
        </a:prstGeom>
      </xdr:spPr>
    </xdr:pic>
    <xdr:clientData/>
  </xdr:twoCellAnchor>
  <xdr:twoCellAnchor>
    <xdr:from>
      <xdr:col>0</xdr:col>
      <xdr:colOff>1895475</xdr:colOff>
      <xdr:row>26</xdr:row>
      <xdr:rowOff>161925</xdr:rowOff>
    </xdr:from>
    <xdr:to>
      <xdr:col>0</xdr:col>
      <xdr:colOff>3038475</xdr:colOff>
      <xdr:row>32</xdr:row>
      <xdr:rowOff>114300</xdr:rowOff>
    </xdr:to>
    <xdr:sp macro="" textlink="">
      <xdr:nvSpPr>
        <xdr:cNvPr id="3" name="Elipse 2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SpPr/>
      </xdr:nvSpPr>
      <xdr:spPr>
        <a:xfrm>
          <a:off x="1895475" y="5695950"/>
          <a:ext cx="1143000" cy="1095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104775</xdr:rowOff>
    </xdr:from>
    <xdr:to>
      <xdr:col>0</xdr:col>
      <xdr:colOff>5967132</xdr:colOff>
      <xdr:row>35</xdr:row>
      <xdr:rowOff>82363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032" t="23610" r="30594" b="23772"/>
        <a:stretch/>
      </xdr:blipFill>
      <xdr:spPr>
        <a:xfrm>
          <a:off x="0" y="3352800"/>
          <a:ext cx="5967132" cy="3978088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0</xdr:rowOff>
    </xdr:from>
    <xdr:to>
      <xdr:col>0</xdr:col>
      <xdr:colOff>5967132</xdr:colOff>
      <xdr:row>34</xdr:row>
      <xdr:rowOff>168088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032" t="23610" r="30594" b="23772"/>
        <a:stretch/>
      </xdr:blipFill>
      <xdr:spPr>
        <a:xfrm>
          <a:off x="0" y="3352800"/>
          <a:ext cx="5967132" cy="3978088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13</xdr:row>
      <xdr:rowOff>0</xdr:rowOff>
    </xdr:from>
    <xdr:to>
      <xdr:col>0</xdr:col>
      <xdr:colOff>5172075</xdr:colOff>
      <xdr:row>32</xdr:row>
      <xdr:rowOff>136113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074" t="20568" r="31411" b="19772"/>
        <a:stretch/>
      </xdr:blipFill>
      <xdr:spPr>
        <a:xfrm>
          <a:off x="523875" y="3057525"/>
          <a:ext cx="4648200" cy="3755613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104775</xdr:rowOff>
    </xdr:from>
    <xdr:to>
      <xdr:col>0</xdr:col>
      <xdr:colOff>5967132</xdr:colOff>
      <xdr:row>34</xdr:row>
      <xdr:rowOff>168088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032" t="23610" r="30594" b="23772"/>
        <a:stretch/>
      </xdr:blipFill>
      <xdr:spPr>
        <a:xfrm>
          <a:off x="0" y="3352800"/>
          <a:ext cx="5967132" cy="3978088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104775</xdr:rowOff>
    </xdr:from>
    <xdr:to>
      <xdr:col>0</xdr:col>
      <xdr:colOff>5967132</xdr:colOff>
      <xdr:row>35</xdr:row>
      <xdr:rowOff>82363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032" t="23610" r="30594" b="23772"/>
        <a:stretch/>
      </xdr:blipFill>
      <xdr:spPr>
        <a:xfrm>
          <a:off x="0" y="3352800"/>
          <a:ext cx="5967132" cy="3978088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676275</xdr:colOff>
      <xdr:row>12</xdr:row>
      <xdr:rowOff>133350</xdr:rowOff>
    </xdr:from>
    <xdr:to>
      <xdr:col>0</xdr:col>
      <xdr:colOff>5324475</xdr:colOff>
      <xdr:row>32</xdr:row>
      <xdr:rowOff>78963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074" t="20568" r="31411" b="19772"/>
        <a:stretch/>
      </xdr:blipFill>
      <xdr:spPr>
        <a:xfrm>
          <a:off x="676275" y="3000375"/>
          <a:ext cx="4648200" cy="3755613"/>
        </a:xfrm>
        <a:prstGeom prst="rect">
          <a:avLst/>
        </a:prstGeom>
      </xdr:spPr>
    </xdr:pic>
    <xdr:clientData/>
  </xdr:twoCellAnchor>
  <xdr:twoCellAnchor>
    <xdr:from>
      <xdr:col>0</xdr:col>
      <xdr:colOff>1895475</xdr:colOff>
      <xdr:row>26</xdr:row>
      <xdr:rowOff>161925</xdr:rowOff>
    </xdr:from>
    <xdr:to>
      <xdr:col>0</xdr:col>
      <xdr:colOff>3038475</xdr:colOff>
      <xdr:row>32</xdr:row>
      <xdr:rowOff>114300</xdr:rowOff>
    </xdr:to>
    <xdr:sp macro="" textlink="">
      <xdr:nvSpPr>
        <xdr:cNvPr id="3" name="Elipse 2">
          <a:extLst>
            <a:ext uri="{FF2B5EF4-FFF2-40B4-BE49-F238E27FC236}">
              <a16:creationId xmlns:a16="http://schemas.microsoft.com/office/drawing/2014/main" id="{00000000-0008-0000-2300-000003000000}"/>
            </a:ext>
          </a:extLst>
        </xdr:cNvPr>
        <xdr:cNvSpPr/>
      </xdr:nvSpPr>
      <xdr:spPr>
        <a:xfrm>
          <a:off x="1895475" y="5695950"/>
          <a:ext cx="1143000" cy="1095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742950</xdr:colOff>
      <xdr:row>13</xdr:row>
      <xdr:rowOff>47625</xdr:rowOff>
    </xdr:from>
    <xdr:to>
      <xdr:col>0</xdr:col>
      <xdr:colOff>5015052</xdr:colOff>
      <xdr:row>22</xdr:row>
      <xdr:rowOff>25212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24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561" t="18956" r="10507" b="24732"/>
        <a:stretch/>
      </xdr:blipFill>
      <xdr:spPr>
        <a:xfrm>
          <a:off x="742950" y="3105150"/>
          <a:ext cx="4272102" cy="1692087"/>
        </a:xfrm>
        <a:prstGeom prst="rect">
          <a:avLst/>
        </a:prstGeom>
      </xdr:spPr>
    </xdr:pic>
    <xdr:clientData/>
  </xdr:twoCellAnchor>
  <xdr:twoCellAnchor editAs="oneCell">
    <xdr:from>
      <xdr:col>0</xdr:col>
      <xdr:colOff>806825</xdr:colOff>
      <xdr:row>23</xdr:row>
      <xdr:rowOff>189380</xdr:rowOff>
    </xdr:from>
    <xdr:to>
      <xdr:col>0</xdr:col>
      <xdr:colOff>4986619</xdr:colOff>
      <xdr:row>33</xdr:row>
      <xdr:rowOff>40342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7866" t="22146" r="22278" b="25889"/>
        <a:stretch/>
      </xdr:blipFill>
      <xdr:spPr>
        <a:xfrm>
          <a:off x="806825" y="5151905"/>
          <a:ext cx="4179794" cy="1755962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1066800</xdr:colOff>
      <xdr:row>13</xdr:row>
      <xdr:rowOff>161925</xdr:rowOff>
    </xdr:from>
    <xdr:to>
      <xdr:col>0</xdr:col>
      <xdr:colOff>5267325</xdr:colOff>
      <xdr:row>33</xdr:row>
      <xdr:rowOff>68322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5923" t="28309" r="23318" b="7581"/>
        <a:stretch/>
      </xdr:blipFill>
      <xdr:spPr>
        <a:xfrm>
          <a:off x="1066800" y="3219450"/>
          <a:ext cx="4200525" cy="3716397"/>
        </a:xfrm>
        <a:prstGeom prst="rect">
          <a:avLst/>
        </a:prstGeom>
      </xdr:spPr>
    </xdr:pic>
    <xdr:clientData/>
  </xdr:twoCellAnchor>
  <xdr:twoCellAnchor>
    <xdr:from>
      <xdr:col>0</xdr:col>
      <xdr:colOff>1845846</xdr:colOff>
      <xdr:row>20</xdr:row>
      <xdr:rowOff>126515</xdr:rowOff>
    </xdr:from>
    <xdr:to>
      <xdr:col>0</xdr:col>
      <xdr:colOff>2729527</xdr:colOff>
      <xdr:row>25</xdr:row>
      <xdr:rowOff>121637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2A00-000003000000}"/>
            </a:ext>
          </a:extLst>
        </xdr:cNvPr>
        <xdr:cNvSpPr/>
      </xdr:nvSpPr>
      <xdr:spPr>
        <a:xfrm rot="20368284">
          <a:off x="1845846" y="4517540"/>
          <a:ext cx="883681" cy="947622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1066800</xdr:colOff>
      <xdr:row>13</xdr:row>
      <xdr:rowOff>161925</xdr:rowOff>
    </xdr:from>
    <xdr:to>
      <xdr:col>0</xdr:col>
      <xdr:colOff>5267325</xdr:colOff>
      <xdr:row>33</xdr:row>
      <xdr:rowOff>68322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5923" t="28309" r="23318" b="7581"/>
        <a:stretch/>
      </xdr:blipFill>
      <xdr:spPr>
        <a:xfrm>
          <a:off x="1066800" y="3219450"/>
          <a:ext cx="4200525" cy="3716397"/>
        </a:xfrm>
        <a:prstGeom prst="rect">
          <a:avLst/>
        </a:prstGeom>
      </xdr:spPr>
    </xdr:pic>
    <xdr:clientData/>
  </xdr:twoCellAnchor>
  <xdr:twoCellAnchor>
    <xdr:from>
      <xdr:col>0</xdr:col>
      <xdr:colOff>1845846</xdr:colOff>
      <xdr:row>20</xdr:row>
      <xdr:rowOff>126515</xdr:rowOff>
    </xdr:from>
    <xdr:to>
      <xdr:col>0</xdr:col>
      <xdr:colOff>2729527</xdr:colOff>
      <xdr:row>25</xdr:row>
      <xdr:rowOff>121637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2B00-000003000000}"/>
            </a:ext>
          </a:extLst>
        </xdr:cNvPr>
        <xdr:cNvSpPr/>
      </xdr:nvSpPr>
      <xdr:spPr>
        <a:xfrm rot="20368284">
          <a:off x="1845846" y="4517540"/>
          <a:ext cx="883681" cy="947622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1066800</xdr:colOff>
      <xdr:row>13</xdr:row>
      <xdr:rowOff>161925</xdr:rowOff>
    </xdr:from>
    <xdr:to>
      <xdr:col>0</xdr:col>
      <xdr:colOff>5267325</xdr:colOff>
      <xdr:row>33</xdr:row>
      <xdr:rowOff>68322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5923" t="28309" r="23318" b="7581"/>
        <a:stretch/>
      </xdr:blipFill>
      <xdr:spPr>
        <a:xfrm>
          <a:off x="1066800" y="3219450"/>
          <a:ext cx="4200525" cy="3716397"/>
        </a:xfrm>
        <a:prstGeom prst="rect">
          <a:avLst/>
        </a:prstGeom>
      </xdr:spPr>
    </xdr:pic>
    <xdr:clientData/>
  </xdr:twoCellAnchor>
  <xdr:twoCellAnchor>
    <xdr:from>
      <xdr:col>0</xdr:col>
      <xdr:colOff>1845846</xdr:colOff>
      <xdr:row>20</xdr:row>
      <xdr:rowOff>126515</xdr:rowOff>
    </xdr:from>
    <xdr:to>
      <xdr:col>0</xdr:col>
      <xdr:colOff>2729527</xdr:colOff>
      <xdr:row>25</xdr:row>
      <xdr:rowOff>121637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SpPr/>
      </xdr:nvSpPr>
      <xdr:spPr>
        <a:xfrm rot="20368284">
          <a:off x="1845846" y="4517540"/>
          <a:ext cx="883681" cy="947622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1066800</xdr:colOff>
      <xdr:row>13</xdr:row>
      <xdr:rowOff>161925</xdr:rowOff>
    </xdr:from>
    <xdr:to>
      <xdr:col>0</xdr:col>
      <xdr:colOff>5267325</xdr:colOff>
      <xdr:row>33</xdr:row>
      <xdr:rowOff>68322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5923" t="28309" r="23318" b="7581"/>
        <a:stretch/>
      </xdr:blipFill>
      <xdr:spPr>
        <a:xfrm>
          <a:off x="1066800" y="3219450"/>
          <a:ext cx="4200525" cy="3716397"/>
        </a:xfrm>
        <a:prstGeom prst="rect">
          <a:avLst/>
        </a:prstGeom>
      </xdr:spPr>
    </xdr:pic>
    <xdr:clientData/>
  </xdr:twoCellAnchor>
  <xdr:twoCellAnchor>
    <xdr:from>
      <xdr:col>0</xdr:col>
      <xdr:colOff>1845846</xdr:colOff>
      <xdr:row>20</xdr:row>
      <xdr:rowOff>126515</xdr:rowOff>
    </xdr:from>
    <xdr:to>
      <xdr:col>0</xdr:col>
      <xdr:colOff>2729527</xdr:colOff>
      <xdr:row>25</xdr:row>
      <xdr:rowOff>121637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SpPr/>
      </xdr:nvSpPr>
      <xdr:spPr>
        <a:xfrm rot="20368284">
          <a:off x="1845846" y="4517540"/>
          <a:ext cx="883681" cy="947622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1066800</xdr:colOff>
      <xdr:row>13</xdr:row>
      <xdr:rowOff>161925</xdr:rowOff>
    </xdr:from>
    <xdr:to>
      <xdr:col>0</xdr:col>
      <xdr:colOff>5267325</xdr:colOff>
      <xdr:row>33</xdr:row>
      <xdr:rowOff>68322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5923" t="28309" r="23318" b="7581"/>
        <a:stretch/>
      </xdr:blipFill>
      <xdr:spPr>
        <a:xfrm>
          <a:off x="1066800" y="3219450"/>
          <a:ext cx="4200525" cy="3716397"/>
        </a:xfrm>
        <a:prstGeom prst="rect">
          <a:avLst/>
        </a:prstGeom>
      </xdr:spPr>
    </xdr:pic>
    <xdr:clientData/>
  </xdr:twoCellAnchor>
  <xdr:twoCellAnchor>
    <xdr:from>
      <xdr:col>0</xdr:col>
      <xdr:colOff>1845846</xdr:colOff>
      <xdr:row>20</xdr:row>
      <xdr:rowOff>126515</xdr:rowOff>
    </xdr:from>
    <xdr:to>
      <xdr:col>0</xdr:col>
      <xdr:colOff>2729527</xdr:colOff>
      <xdr:row>25</xdr:row>
      <xdr:rowOff>121637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SpPr/>
      </xdr:nvSpPr>
      <xdr:spPr>
        <a:xfrm rot="20368284">
          <a:off x="1845846" y="4517540"/>
          <a:ext cx="883681" cy="947622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1066800</xdr:colOff>
      <xdr:row>13</xdr:row>
      <xdr:rowOff>161925</xdr:rowOff>
    </xdr:from>
    <xdr:to>
      <xdr:col>0</xdr:col>
      <xdr:colOff>5267325</xdr:colOff>
      <xdr:row>33</xdr:row>
      <xdr:rowOff>68322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5923" t="28309" r="23318" b="7581"/>
        <a:stretch/>
      </xdr:blipFill>
      <xdr:spPr>
        <a:xfrm>
          <a:off x="1066800" y="3219450"/>
          <a:ext cx="4200525" cy="3716397"/>
        </a:xfrm>
        <a:prstGeom prst="rect">
          <a:avLst/>
        </a:prstGeom>
      </xdr:spPr>
    </xdr:pic>
    <xdr:clientData/>
  </xdr:twoCellAnchor>
  <xdr:twoCellAnchor>
    <xdr:from>
      <xdr:col>0</xdr:col>
      <xdr:colOff>1845846</xdr:colOff>
      <xdr:row>20</xdr:row>
      <xdr:rowOff>126515</xdr:rowOff>
    </xdr:from>
    <xdr:to>
      <xdr:col>0</xdr:col>
      <xdr:colOff>2729527</xdr:colOff>
      <xdr:row>25</xdr:row>
      <xdr:rowOff>121637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SpPr/>
      </xdr:nvSpPr>
      <xdr:spPr>
        <a:xfrm rot="20368284">
          <a:off x="1845846" y="4517540"/>
          <a:ext cx="883681" cy="947622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1066800</xdr:colOff>
      <xdr:row>13</xdr:row>
      <xdr:rowOff>161925</xdr:rowOff>
    </xdr:from>
    <xdr:to>
      <xdr:col>0</xdr:col>
      <xdr:colOff>5267325</xdr:colOff>
      <xdr:row>33</xdr:row>
      <xdr:rowOff>68322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5923" t="28309" r="23318" b="7581"/>
        <a:stretch/>
      </xdr:blipFill>
      <xdr:spPr>
        <a:xfrm>
          <a:off x="1066800" y="3219450"/>
          <a:ext cx="4200525" cy="3716397"/>
        </a:xfrm>
        <a:prstGeom prst="rect">
          <a:avLst/>
        </a:prstGeom>
      </xdr:spPr>
    </xdr:pic>
    <xdr:clientData/>
  </xdr:twoCellAnchor>
  <xdr:twoCellAnchor>
    <xdr:from>
      <xdr:col>0</xdr:col>
      <xdr:colOff>1845846</xdr:colOff>
      <xdr:row>20</xdr:row>
      <xdr:rowOff>126515</xdr:rowOff>
    </xdr:from>
    <xdr:to>
      <xdr:col>0</xdr:col>
      <xdr:colOff>2729527</xdr:colOff>
      <xdr:row>25</xdr:row>
      <xdr:rowOff>121637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3000-000003000000}"/>
            </a:ext>
          </a:extLst>
        </xdr:cNvPr>
        <xdr:cNvSpPr/>
      </xdr:nvSpPr>
      <xdr:spPr>
        <a:xfrm rot="20368284">
          <a:off x="1845846" y="4517540"/>
          <a:ext cx="883681" cy="947622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1066800</xdr:colOff>
      <xdr:row>13</xdr:row>
      <xdr:rowOff>161925</xdr:rowOff>
    </xdr:from>
    <xdr:to>
      <xdr:col>0</xdr:col>
      <xdr:colOff>5267325</xdr:colOff>
      <xdr:row>33</xdr:row>
      <xdr:rowOff>68322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5923" t="28309" r="23318" b="7581"/>
        <a:stretch/>
      </xdr:blipFill>
      <xdr:spPr>
        <a:xfrm>
          <a:off x="1066800" y="3219450"/>
          <a:ext cx="4200525" cy="3716397"/>
        </a:xfrm>
        <a:prstGeom prst="rect">
          <a:avLst/>
        </a:prstGeom>
      </xdr:spPr>
    </xdr:pic>
    <xdr:clientData/>
  </xdr:twoCellAnchor>
  <xdr:twoCellAnchor>
    <xdr:from>
      <xdr:col>0</xdr:col>
      <xdr:colOff>1845846</xdr:colOff>
      <xdr:row>20</xdr:row>
      <xdr:rowOff>126515</xdr:rowOff>
    </xdr:from>
    <xdr:to>
      <xdr:col>0</xdr:col>
      <xdr:colOff>2729527</xdr:colOff>
      <xdr:row>25</xdr:row>
      <xdr:rowOff>121637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SpPr/>
      </xdr:nvSpPr>
      <xdr:spPr>
        <a:xfrm rot="20368284">
          <a:off x="1845846" y="4517540"/>
          <a:ext cx="883681" cy="947622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1066800</xdr:colOff>
      <xdr:row>13</xdr:row>
      <xdr:rowOff>161925</xdr:rowOff>
    </xdr:from>
    <xdr:to>
      <xdr:col>0</xdr:col>
      <xdr:colOff>5267325</xdr:colOff>
      <xdr:row>33</xdr:row>
      <xdr:rowOff>68322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5923" t="28309" r="23318" b="7581"/>
        <a:stretch/>
      </xdr:blipFill>
      <xdr:spPr>
        <a:xfrm>
          <a:off x="1066800" y="3552825"/>
          <a:ext cx="4200525" cy="3716397"/>
        </a:xfrm>
        <a:prstGeom prst="rect">
          <a:avLst/>
        </a:prstGeom>
      </xdr:spPr>
    </xdr:pic>
    <xdr:clientData/>
  </xdr:twoCellAnchor>
  <xdr:twoCellAnchor>
    <xdr:from>
      <xdr:col>0</xdr:col>
      <xdr:colOff>1845846</xdr:colOff>
      <xdr:row>20</xdr:row>
      <xdr:rowOff>126515</xdr:rowOff>
    </xdr:from>
    <xdr:to>
      <xdr:col>0</xdr:col>
      <xdr:colOff>2729527</xdr:colOff>
      <xdr:row>25</xdr:row>
      <xdr:rowOff>121637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SpPr/>
      </xdr:nvSpPr>
      <xdr:spPr>
        <a:xfrm rot="20368284">
          <a:off x="1845846" y="4850915"/>
          <a:ext cx="883681" cy="947622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571500</xdr:colOff>
      <xdr:row>1</xdr:row>
      <xdr:rowOff>104775</xdr:rowOff>
    </xdr:from>
    <xdr:to>
      <xdr:col>7</xdr:col>
      <xdr:colOff>44825</xdr:colOff>
      <xdr:row>15</xdr:row>
      <xdr:rowOff>48745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2137" t="21142" r="40911" b="43161"/>
        <a:stretch/>
      </xdr:blipFill>
      <xdr:spPr>
        <a:xfrm>
          <a:off x="571500" y="295275"/>
          <a:ext cx="4807325" cy="261097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dres.otero/Desktop/ICA%202023/SARAVENA/FOR-PRY-005%20-%20Memorias%20de%20calculo%20Saravena%2016-1-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dres.otero/Desktop/ANDRES%20OTERO/ICA%202024/PROYECTOS%202024/OBRAS%20ATLANTICO/GERENCIA%20SECCIONAL%20ATLANTICO/DIAGNOSTICO%20GERENCIA%20SECCIONAL%20SOLEDA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elo"/>
      <sheetName val="Datos"/>
      <sheetName val="NP 1.13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10"/>
      <sheetName val="2.12"/>
      <sheetName val="NP 2.14"/>
      <sheetName val="NP 2.15"/>
      <sheetName val="3.1"/>
      <sheetName val="3.2"/>
      <sheetName val="3.3"/>
      <sheetName val="5.2 "/>
      <sheetName val="5.6"/>
      <sheetName val="5.7"/>
      <sheetName val="5.8"/>
      <sheetName val="6.1"/>
      <sheetName val="6.3"/>
      <sheetName val="6.5"/>
      <sheetName val="NP 6.6"/>
      <sheetName val="NP 6.7"/>
      <sheetName val="NP 6.8"/>
      <sheetName val="7.1"/>
      <sheetName val="8.1"/>
      <sheetName val="9.1"/>
      <sheetName val="10.1"/>
      <sheetName val="10.2"/>
      <sheetName val="10.4"/>
      <sheetName val="10.5"/>
      <sheetName val="11.1"/>
      <sheetName val="11.3"/>
      <sheetName val="11.4"/>
      <sheetName val="11.5"/>
      <sheetName val="12.1"/>
      <sheetName val="12.3"/>
      <sheetName val="12.8"/>
      <sheetName val="12.9"/>
      <sheetName val="12.10"/>
      <sheetName val="12.11 NP"/>
      <sheetName val="13.1"/>
      <sheetName val="13.2"/>
      <sheetName val="13.3"/>
      <sheetName val="13.4 NP"/>
      <sheetName val="13.5 NP"/>
      <sheetName val="14.6"/>
      <sheetName val="14.7"/>
    </sheetNames>
    <sheetDataSet>
      <sheetData sheetId="0" refreshError="1"/>
      <sheetData sheetId="1" refreshError="1">
        <row r="3">
          <cell r="B3" t="str">
            <v>INSTITUTO COLOMBIANO AGROPECUARIO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CCIONAL SOLEDAD"/>
      <sheetName val="PRESUPUESTO (en construccion)"/>
      <sheetName val="APU´s"/>
      <sheetName val="1.1"/>
      <sheetName val="1,2"/>
      <sheetName val="1,3"/>
      <sheetName val="1,4"/>
      <sheetName val="1,5"/>
      <sheetName val="1,6"/>
      <sheetName val="1,7"/>
      <sheetName val="1,7A"/>
      <sheetName val="1,8"/>
      <sheetName val="1,9"/>
      <sheetName val="2,1"/>
      <sheetName val="2,2"/>
      <sheetName val="2,3"/>
      <sheetName val="2,4"/>
      <sheetName val="2,5"/>
      <sheetName val="3,1"/>
      <sheetName val="3,2"/>
      <sheetName val="3,3"/>
      <sheetName val="3,4"/>
      <sheetName val="3,5"/>
      <sheetName val="3,6"/>
      <sheetName val="3,7"/>
      <sheetName val="3,8"/>
      <sheetName val="3,9"/>
      <sheetName val="3,10"/>
      <sheetName val="4,1"/>
      <sheetName val="4,2"/>
      <sheetName val="4,3"/>
    </sheetNames>
    <sheetDataSet>
      <sheetData sheetId="0"/>
      <sheetData sheetId="1">
        <row r="18">
          <cell r="D18" t="str">
            <v>M2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6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7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I55"/>
  <sheetViews>
    <sheetView topLeftCell="A17" zoomScale="70" zoomScaleNormal="70" zoomScaleSheetLayoutView="55" zoomScalePageLayoutView="75" workbookViewId="0">
      <selection activeCell="C40" sqref="C40"/>
    </sheetView>
  </sheetViews>
  <sheetFormatPr baseColWidth="10" defaultColWidth="11.42578125" defaultRowHeight="15" x14ac:dyDescent="0.25"/>
  <cols>
    <col min="1" max="1" width="48.5703125" style="14" customWidth="1"/>
    <col min="2" max="2" width="41.42578125" style="14" customWidth="1"/>
    <col min="3" max="3" width="35.42578125" style="14" customWidth="1"/>
    <col min="4" max="4" width="19.85546875" style="14" customWidth="1"/>
    <col min="5" max="5" width="11.42578125" style="14"/>
    <col min="6" max="6" width="14.5703125" style="14" customWidth="1"/>
    <col min="7" max="7" width="16.5703125" style="14" customWidth="1"/>
    <col min="8" max="8" width="11.42578125" style="14"/>
    <col min="9" max="9" width="17.5703125" style="14" customWidth="1"/>
    <col min="10" max="12" width="0" style="14" hidden="1" customWidth="1"/>
    <col min="13" max="16384" width="11.42578125" style="14"/>
  </cols>
  <sheetData>
    <row r="1" spans="1:9" ht="45.75" customHeight="1" x14ac:dyDescent="0.25">
      <c r="A1" s="294"/>
      <c r="B1" s="295"/>
      <c r="C1" s="295"/>
      <c r="D1" s="295"/>
      <c r="E1" s="295"/>
      <c r="F1" s="295"/>
      <c r="G1" s="295"/>
      <c r="H1" s="295"/>
      <c r="I1" s="296"/>
    </row>
    <row r="2" spans="1:9" ht="6" customHeight="1" x14ac:dyDescent="0.25">
      <c r="A2" s="297"/>
      <c r="B2" s="298"/>
      <c r="C2" s="298"/>
      <c r="D2" s="298"/>
      <c r="E2" s="298"/>
      <c r="F2" s="298"/>
      <c r="G2" s="298"/>
      <c r="H2" s="298"/>
      <c r="I2" s="299"/>
    </row>
    <row r="3" spans="1:9" ht="12.75" customHeight="1" x14ac:dyDescent="0.25">
      <c r="A3" s="291"/>
      <c r="B3" s="291"/>
      <c r="C3" s="291"/>
      <c r="D3" s="291"/>
      <c r="E3" s="291"/>
      <c r="F3" s="291"/>
      <c r="G3" s="291"/>
      <c r="H3" s="291"/>
      <c r="I3" s="291"/>
    </row>
    <row r="4" spans="1:9" ht="18" customHeight="1" x14ac:dyDescent="0.25">
      <c r="A4" s="19" t="s">
        <v>0</v>
      </c>
      <c r="B4" s="300" t="s">
        <v>51</v>
      </c>
      <c r="C4" s="301"/>
      <c r="D4" s="301"/>
      <c r="E4" s="302" t="s">
        <v>1</v>
      </c>
      <c r="F4" s="303"/>
      <c r="G4" s="300"/>
      <c r="H4" s="301"/>
      <c r="I4" s="304"/>
    </row>
    <row r="5" spans="1:9" ht="18.75" customHeight="1" x14ac:dyDescent="0.25">
      <c r="A5" s="19" t="s">
        <v>2</v>
      </c>
      <c r="B5" s="293" t="s">
        <v>50</v>
      </c>
      <c r="C5" s="293"/>
      <c r="D5" s="293"/>
      <c r="E5" s="293"/>
      <c r="F5" s="293"/>
      <c r="G5" s="293"/>
      <c r="H5" s="293"/>
      <c r="I5" s="293"/>
    </row>
    <row r="6" spans="1:9" ht="19.5" customHeight="1" x14ac:dyDescent="0.25">
      <c r="A6" s="19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300"/>
      <c r="G6" s="301"/>
      <c r="H6" s="301"/>
      <c r="I6" s="304"/>
    </row>
    <row r="7" spans="1:9" ht="19.5" customHeight="1" x14ac:dyDescent="0.25">
      <c r="A7" s="19" t="s">
        <v>8</v>
      </c>
      <c r="B7" s="2" t="s">
        <v>9</v>
      </c>
      <c r="C7" s="2" t="s">
        <v>10</v>
      </c>
      <c r="D7" s="300"/>
      <c r="E7" s="301"/>
      <c r="F7" s="301"/>
      <c r="G7" s="301"/>
      <c r="H7" s="301"/>
      <c r="I7" s="304"/>
    </row>
    <row r="8" spans="1:9" ht="15.75" customHeight="1" thickBot="1" x14ac:dyDescent="0.3">
      <c r="A8" s="308"/>
      <c r="B8" s="308"/>
      <c r="C8" s="308"/>
      <c r="D8" s="308"/>
      <c r="E8" s="308"/>
      <c r="F8" s="308"/>
      <c r="G8" s="308"/>
      <c r="H8" s="308"/>
      <c r="I8" s="308"/>
    </row>
    <row r="9" spans="1:9" ht="15" customHeight="1" x14ac:dyDescent="0.25">
      <c r="A9" s="309" t="s">
        <v>11</v>
      </c>
      <c r="B9" s="311" t="s">
        <v>12</v>
      </c>
      <c r="C9" s="313" t="s">
        <v>13</v>
      </c>
      <c r="D9" s="314"/>
      <c r="E9" s="314"/>
      <c r="F9" s="314"/>
      <c r="G9" s="314"/>
      <c r="H9" s="314"/>
      <c r="I9" s="315"/>
    </row>
    <row r="10" spans="1:9" ht="15" customHeight="1" x14ac:dyDescent="0.25">
      <c r="A10" s="310"/>
      <c r="B10" s="312"/>
      <c r="C10" s="316"/>
      <c r="D10" s="317"/>
      <c r="E10" s="317"/>
      <c r="F10" s="317"/>
      <c r="G10" s="317"/>
      <c r="H10" s="317"/>
      <c r="I10" s="318"/>
    </row>
    <row r="11" spans="1:9" ht="166.5" customHeight="1" thickBot="1" x14ac:dyDescent="0.3">
      <c r="A11" s="3"/>
      <c r="B11" s="4"/>
      <c r="C11" s="305"/>
      <c r="D11" s="306"/>
      <c r="E11" s="306"/>
      <c r="F11" s="306"/>
      <c r="G11" s="306"/>
      <c r="H11" s="306"/>
      <c r="I11" s="307"/>
    </row>
    <row r="12" spans="1:9" ht="22.5" customHeight="1" x14ac:dyDescent="0.25">
      <c r="A12" s="319"/>
      <c r="B12" s="320"/>
      <c r="C12" s="320"/>
      <c r="D12" s="320"/>
      <c r="E12" s="320"/>
      <c r="F12" s="320"/>
      <c r="G12" s="320"/>
      <c r="H12" s="320"/>
      <c r="I12" s="321"/>
    </row>
    <row r="13" spans="1:9" ht="24.75" customHeight="1" x14ac:dyDescent="0.25">
      <c r="A13" s="322" t="s">
        <v>14</v>
      </c>
      <c r="B13" s="323"/>
      <c r="C13" s="323"/>
      <c r="D13" s="323"/>
      <c r="E13" s="323"/>
      <c r="F13" s="323"/>
      <c r="G13" s="323"/>
      <c r="H13" s="323"/>
      <c r="I13" s="324"/>
    </row>
    <row r="14" spans="1:9" ht="22.5" customHeight="1" thickBot="1" x14ac:dyDescent="0.3">
      <c r="A14" s="325"/>
      <c r="B14" s="326"/>
      <c r="C14" s="326"/>
      <c r="D14" s="326"/>
      <c r="E14" s="326"/>
      <c r="F14" s="326"/>
      <c r="G14" s="326"/>
      <c r="H14" s="326"/>
      <c r="I14" s="327"/>
    </row>
    <row r="15" spans="1:9" ht="26.25" customHeight="1" thickBot="1" x14ac:dyDescent="0.3">
      <c r="A15" s="328" t="s">
        <v>36</v>
      </c>
      <c r="B15" s="329"/>
      <c r="C15" s="329"/>
      <c r="D15" s="329"/>
      <c r="E15" s="329"/>
      <c r="F15" s="329"/>
      <c r="G15" s="329"/>
      <c r="H15" s="329"/>
      <c r="I15" s="330"/>
    </row>
    <row r="16" spans="1:9" ht="16.5" x14ac:dyDescent="0.25">
      <c r="A16" s="331" t="s">
        <v>44</v>
      </c>
      <c r="B16" s="332"/>
      <c r="C16" s="332"/>
      <c r="D16" s="332"/>
      <c r="E16" s="332"/>
      <c r="F16" s="332"/>
      <c r="G16" s="332"/>
      <c r="H16" s="332"/>
      <c r="I16" s="333"/>
    </row>
    <row r="17" spans="1:9" ht="33" x14ac:dyDescent="0.25">
      <c r="A17" s="6" t="s">
        <v>15</v>
      </c>
      <c r="B17" s="18" t="s">
        <v>16</v>
      </c>
      <c r="C17" s="18" t="s">
        <v>17</v>
      </c>
      <c r="D17" s="334" t="s">
        <v>18</v>
      </c>
      <c r="E17" s="335"/>
      <c r="F17" s="335"/>
      <c r="G17" s="335"/>
      <c r="H17" s="335"/>
      <c r="I17" s="336"/>
    </row>
    <row r="18" spans="1:9" ht="237.75" customHeight="1" x14ac:dyDescent="0.25">
      <c r="A18" s="20" t="s">
        <v>118</v>
      </c>
      <c r="B18" s="1" t="s">
        <v>119</v>
      </c>
      <c r="C18" s="1" t="s">
        <v>120</v>
      </c>
      <c r="D18" s="238"/>
      <c r="E18" s="239"/>
      <c r="F18" s="240"/>
      <c r="G18" s="238"/>
      <c r="H18" s="239"/>
      <c r="I18" s="270"/>
    </row>
    <row r="19" spans="1:9" ht="164.1" customHeight="1" x14ac:dyDescent="0.25">
      <c r="A19" s="20" t="s">
        <v>121</v>
      </c>
      <c r="B19" s="1" t="s">
        <v>48</v>
      </c>
      <c r="C19" s="1" t="s">
        <v>49</v>
      </c>
      <c r="D19" s="238"/>
      <c r="E19" s="239"/>
      <c r="F19" s="240"/>
      <c r="G19" s="238"/>
      <c r="H19" s="239"/>
      <c r="I19" s="270"/>
    </row>
    <row r="20" spans="1:9" ht="375.75" customHeight="1" x14ac:dyDescent="0.25">
      <c r="A20" s="20" t="s">
        <v>33</v>
      </c>
      <c r="B20" s="1" t="s">
        <v>37</v>
      </c>
      <c r="C20" s="1" t="s">
        <v>38</v>
      </c>
      <c r="D20" s="290"/>
      <c r="E20" s="291"/>
      <c r="F20" s="292"/>
      <c r="G20" s="238"/>
      <c r="H20" s="239"/>
      <c r="I20" s="270"/>
    </row>
    <row r="21" spans="1:9" ht="245.25" customHeight="1" x14ac:dyDescent="0.25">
      <c r="A21" s="20" t="s">
        <v>35</v>
      </c>
      <c r="B21" s="1" t="s">
        <v>39</v>
      </c>
      <c r="C21" s="1" t="s">
        <v>40</v>
      </c>
      <c r="D21" s="271"/>
      <c r="E21" s="271"/>
      <c r="F21" s="271"/>
      <c r="G21" s="271"/>
      <c r="H21" s="271"/>
      <c r="I21" s="272"/>
    </row>
    <row r="22" spans="1:9" ht="135" customHeight="1" x14ac:dyDescent="0.25">
      <c r="A22" s="22" t="s">
        <v>34</v>
      </c>
      <c r="B22" s="1" t="s">
        <v>43</v>
      </c>
      <c r="C22" s="1" t="s">
        <v>42</v>
      </c>
      <c r="D22" s="271"/>
      <c r="E22" s="271"/>
      <c r="F22" s="271"/>
      <c r="G22" s="271"/>
      <c r="H22" s="271"/>
      <c r="I22" s="271"/>
    </row>
    <row r="23" spans="1:9" ht="135" customHeight="1" x14ac:dyDescent="0.25">
      <c r="A23" s="22" t="s">
        <v>45</v>
      </c>
      <c r="B23" s="1" t="s">
        <v>46</v>
      </c>
      <c r="C23" s="1" t="s">
        <v>47</v>
      </c>
      <c r="D23" s="238"/>
      <c r="E23" s="239"/>
      <c r="F23" s="240"/>
      <c r="G23" s="238"/>
      <c r="H23" s="239"/>
      <c r="I23" s="240"/>
    </row>
    <row r="24" spans="1:9" ht="290.25" customHeight="1" thickBot="1" x14ac:dyDescent="0.3">
      <c r="A24" s="22" t="s">
        <v>52</v>
      </c>
      <c r="B24" s="1" t="s">
        <v>57</v>
      </c>
      <c r="C24" s="1" t="s">
        <v>41</v>
      </c>
      <c r="D24" s="228"/>
      <c r="E24" s="229"/>
      <c r="F24" s="229"/>
      <c r="G24" s="229"/>
      <c r="H24" s="229"/>
      <c r="I24" s="230"/>
    </row>
    <row r="25" spans="1:9" customFormat="1" ht="33" customHeight="1" x14ac:dyDescent="0.25">
      <c r="A25" s="241" t="s">
        <v>53</v>
      </c>
      <c r="B25" s="242"/>
      <c r="C25" s="242"/>
      <c r="D25" s="243"/>
      <c r="E25" s="243"/>
      <c r="F25" s="243"/>
      <c r="G25" s="243"/>
      <c r="H25" s="243"/>
      <c r="I25" s="244"/>
    </row>
    <row r="26" spans="1:9" customFormat="1" ht="42" customHeight="1" x14ac:dyDescent="0.25">
      <c r="A26" s="6" t="s">
        <v>15</v>
      </c>
      <c r="B26" s="18" t="s">
        <v>16</v>
      </c>
      <c r="C26" s="18" t="s">
        <v>17</v>
      </c>
      <c r="D26" s="217" t="s">
        <v>18</v>
      </c>
      <c r="E26" s="217"/>
      <c r="F26" s="217"/>
      <c r="G26" s="217"/>
      <c r="H26" s="217"/>
      <c r="I26" s="218"/>
    </row>
    <row r="27" spans="1:9" customFormat="1" ht="301.5" customHeight="1" x14ac:dyDescent="0.25">
      <c r="A27" s="23" t="s">
        <v>54</v>
      </c>
      <c r="B27" s="1" t="s">
        <v>69</v>
      </c>
      <c r="C27" s="1" t="s">
        <v>70</v>
      </c>
      <c r="D27" s="231"/>
      <c r="E27" s="232"/>
      <c r="F27" s="232"/>
      <c r="G27" s="232"/>
      <c r="H27" s="232"/>
      <c r="I27" s="233"/>
    </row>
    <row r="28" spans="1:9" customFormat="1" ht="142.5" customHeight="1" x14ac:dyDescent="0.25">
      <c r="A28" s="219" t="s">
        <v>71</v>
      </c>
      <c r="B28" s="1" t="s">
        <v>72</v>
      </c>
      <c r="C28" s="1" t="s">
        <v>73</v>
      </c>
      <c r="D28" s="216"/>
      <c r="E28" s="216"/>
      <c r="F28" s="216"/>
      <c r="G28" s="216"/>
      <c r="H28" s="216"/>
      <c r="I28" s="216"/>
    </row>
    <row r="29" spans="1:9" customFormat="1" ht="143.25" customHeight="1" x14ac:dyDescent="0.25">
      <c r="A29" s="220"/>
      <c r="B29" s="1" t="s">
        <v>107</v>
      </c>
      <c r="C29" s="1" t="s">
        <v>108</v>
      </c>
      <c r="D29" s="221"/>
      <c r="E29" s="222"/>
      <c r="F29" s="222"/>
      <c r="G29" s="222"/>
      <c r="H29" s="222"/>
      <c r="I29" s="223"/>
    </row>
    <row r="30" spans="1:9" customFormat="1" ht="183" customHeight="1" x14ac:dyDescent="0.25">
      <c r="A30" s="34"/>
      <c r="B30" s="1" t="s">
        <v>110</v>
      </c>
      <c r="C30" s="1" t="s">
        <v>109</v>
      </c>
      <c r="D30" s="216"/>
      <c r="E30" s="216"/>
      <c r="F30" s="216"/>
      <c r="G30" s="216"/>
      <c r="H30" s="216"/>
      <c r="I30" s="216"/>
    </row>
    <row r="31" spans="1:9" customFormat="1" ht="144.94999999999999" customHeight="1" x14ac:dyDescent="0.25">
      <c r="A31" s="219" t="s">
        <v>74</v>
      </c>
      <c r="B31" s="1" t="s">
        <v>62</v>
      </c>
      <c r="C31" s="1" t="s">
        <v>60</v>
      </c>
      <c r="D31" s="216"/>
      <c r="E31" s="216"/>
      <c r="F31" s="216"/>
      <c r="G31" s="216"/>
      <c r="H31" s="216"/>
      <c r="I31" s="216"/>
    </row>
    <row r="32" spans="1:9" customFormat="1" ht="146.44999999999999" customHeight="1" x14ac:dyDescent="0.25">
      <c r="A32" s="234"/>
      <c r="B32" s="1" t="s">
        <v>63</v>
      </c>
      <c r="C32" s="1" t="s">
        <v>59</v>
      </c>
      <c r="D32" s="216"/>
      <c r="E32" s="216"/>
      <c r="F32" s="216"/>
      <c r="G32" s="216"/>
      <c r="H32" s="216"/>
      <c r="I32" s="216"/>
    </row>
    <row r="33" spans="1:9" customFormat="1" ht="145.5" customHeight="1" x14ac:dyDescent="0.25">
      <c r="A33" s="234"/>
      <c r="B33" s="1" t="s">
        <v>64</v>
      </c>
      <c r="C33" s="1" t="s">
        <v>61</v>
      </c>
      <c r="D33" s="224"/>
      <c r="E33" s="225"/>
      <c r="F33" s="226"/>
      <c r="G33" s="224"/>
      <c r="H33" s="225"/>
      <c r="I33" s="227"/>
    </row>
    <row r="34" spans="1:9" customFormat="1" ht="145.5" customHeight="1" x14ac:dyDescent="0.25">
      <c r="A34" s="220"/>
      <c r="B34" s="1" t="s">
        <v>65</v>
      </c>
      <c r="C34" s="1" t="s">
        <v>67</v>
      </c>
      <c r="D34" s="224"/>
      <c r="E34" s="225"/>
      <c r="F34" s="226"/>
      <c r="G34" s="224"/>
      <c r="H34" s="225"/>
      <c r="I34" s="227"/>
    </row>
    <row r="35" spans="1:9" customFormat="1" ht="147" customHeight="1" x14ac:dyDescent="0.25">
      <c r="A35" s="23" t="s">
        <v>58</v>
      </c>
      <c r="B35" s="1" t="s">
        <v>66</v>
      </c>
      <c r="C35" s="1" t="s">
        <v>75</v>
      </c>
      <c r="D35" s="245"/>
      <c r="E35" s="246"/>
      <c r="F35" s="247"/>
      <c r="G35" s="245"/>
      <c r="H35" s="246"/>
      <c r="I35" s="248"/>
    </row>
    <row r="36" spans="1:9" customFormat="1" ht="36.75" customHeight="1" x14ac:dyDescent="0.25">
      <c r="A36" s="6" t="s">
        <v>15</v>
      </c>
      <c r="B36" s="18" t="s">
        <v>16</v>
      </c>
      <c r="C36" s="18" t="s">
        <v>17</v>
      </c>
      <c r="D36" s="217" t="s">
        <v>18</v>
      </c>
      <c r="E36" s="217"/>
      <c r="F36" s="217"/>
      <c r="G36" s="217"/>
      <c r="H36" s="217"/>
      <c r="I36" s="218"/>
    </row>
    <row r="37" spans="1:9" customFormat="1" ht="180" customHeight="1" x14ac:dyDescent="0.25">
      <c r="A37" s="25" t="s">
        <v>55</v>
      </c>
      <c r="B37" s="24" t="s">
        <v>77</v>
      </c>
      <c r="C37" s="24" t="s">
        <v>106</v>
      </c>
      <c r="D37" s="235"/>
      <c r="E37" s="236"/>
      <c r="F37" s="236"/>
      <c r="G37" s="236"/>
      <c r="H37" s="236"/>
      <c r="I37" s="237"/>
    </row>
    <row r="38" spans="1:9" customFormat="1" ht="33" x14ac:dyDescent="0.25">
      <c r="A38" s="6" t="s">
        <v>15</v>
      </c>
      <c r="B38" s="18" t="s">
        <v>16</v>
      </c>
      <c r="C38" s="18" t="s">
        <v>17</v>
      </c>
      <c r="D38" s="217" t="s">
        <v>18</v>
      </c>
      <c r="E38" s="217"/>
      <c r="F38" s="217"/>
      <c r="G38" s="217"/>
      <c r="H38" s="217"/>
      <c r="I38" s="218"/>
    </row>
    <row r="39" spans="1:9" customFormat="1" ht="144.94999999999999" customHeight="1" x14ac:dyDescent="0.25">
      <c r="A39" s="23" t="s">
        <v>56</v>
      </c>
      <c r="B39" s="24" t="s">
        <v>76</v>
      </c>
      <c r="C39" s="24" t="s">
        <v>78</v>
      </c>
      <c r="D39" s="216"/>
      <c r="E39" s="216"/>
      <c r="F39" s="216"/>
      <c r="G39" s="216"/>
      <c r="H39" s="216"/>
      <c r="I39" s="216"/>
    </row>
    <row r="40" spans="1:9" customFormat="1" ht="144.94999999999999" customHeight="1" x14ac:dyDescent="0.25">
      <c r="A40" s="38" t="s">
        <v>111</v>
      </c>
      <c r="B40" s="24" t="s">
        <v>112</v>
      </c>
      <c r="C40" s="24" t="s">
        <v>113</v>
      </c>
      <c r="D40" s="216"/>
      <c r="E40" s="216"/>
      <c r="F40" s="216"/>
      <c r="G40" s="216"/>
      <c r="H40" s="216"/>
      <c r="I40" s="216"/>
    </row>
    <row r="41" spans="1:9" customFormat="1" ht="144.94999999999999" customHeight="1" thickBot="1" x14ac:dyDescent="0.3">
      <c r="A41" s="38" t="s">
        <v>115</v>
      </c>
      <c r="B41" s="24" t="s">
        <v>114</v>
      </c>
      <c r="C41" s="24" t="s">
        <v>116</v>
      </c>
      <c r="D41" s="216"/>
      <c r="E41" s="216"/>
      <c r="F41" s="216"/>
      <c r="G41" s="216"/>
      <c r="H41" s="216"/>
      <c r="I41" s="216"/>
    </row>
    <row r="42" spans="1:9" ht="18" x14ac:dyDescent="0.25">
      <c r="A42" s="273" t="s">
        <v>19</v>
      </c>
      <c r="B42" s="274"/>
      <c r="C42" s="274"/>
      <c r="D42" s="275"/>
      <c r="E42" s="275"/>
      <c r="F42" s="275"/>
      <c r="G42" s="275"/>
      <c r="H42" s="275"/>
      <c r="I42" s="276"/>
    </row>
    <row r="43" spans="1:9" ht="30" customHeight="1" x14ac:dyDescent="0.25">
      <c r="A43" s="277" t="s">
        <v>68</v>
      </c>
      <c r="B43" s="278"/>
      <c r="C43" s="278"/>
      <c r="D43" s="278"/>
      <c r="E43" s="278"/>
      <c r="F43" s="278"/>
      <c r="G43" s="278"/>
      <c r="H43" s="278"/>
      <c r="I43" s="279"/>
    </row>
    <row r="44" spans="1:9" x14ac:dyDescent="0.25">
      <c r="A44" s="280"/>
      <c r="B44" s="281"/>
      <c r="C44" s="281"/>
      <c r="D44" s="281"/>
      <c r="E44" s="281"/>
      <c r="F44" s="281"/>
      <c r="G44" s="281"/>
      <c r="H44" s="281"/>
      <c r="I44" s="282"/>
    </row>
    <row r="45" spans="1:9" ht="38.25" customHeight="1" thickBot="1" x14ac:dyDescent="0.3">
      <c r="A45" s="283"/>
      <c r="B45" s="284"/>
      <c r="C45" s="284"/>
      <c r="D45" s="284"/>
      <c r="E45" s="284"/>
      <c r="F45" s="284"/>
      <c r="G45" s="284"/>
      <c r="H45" s="284"/>
      <c r="I45" s="285"/>
    </row>
    <row r="46" spans="1:9" ht="18" x14ac:dyDescent="0.25">
      <c r="A46" s="273" t="s">
        <v>20</v>
      </c>
      <c r="B46" s="274"/>
      <c r="C46" s="274"/>
      <c r="D46" s="274"/>
      <c r="E46" s="274"/>
      <c r="F46" s="274"/>
      <c r="G46" s="274"/>
      <c r="H46" s="274"/>
      <c r="I46" s="286"/>
    </row>
    <row r="47" spans="1:9" s="15" customFormat="1" ht="16.5" x14ac:dyDescent="0.25">
      <c r="A47" s="7" t="s">
        <v>21</v>
      </c>
      <c r="B47" s="8" t="s">
        <v>22</v>
      </c>
      <c r="C47" s="287" t="s">
        <v>23</v>
      </c>
      <c r="D47" s="288"/>
      <c r="E47" s="288"/>
      <c r="F47" s="288"/>
      <c r="G47" s="288"/>
      <c r="H47" s="288"/>
      <c r="I47" s="289"/>
    </row>
    <row r="48" spans="1:9" s="15" customFormat="1" ht="16.5" x14ac:dyDescent="0.25">
      <c r="A48" s="10" t="s">
        <v>24</v>
      </c>
      <c r="B48" s="21" t="s">
        <v>25</v>
      </c>
      <c r="C48" s="251"/>
      <c r="D48" s="253"/>
      <c r="E48" s="253"/>
      <c r="F48" s="253"/>
      <c r="G48" s="253"/>
      <c r="H48" s="253"/>
      <c r="I48" s="254"/>
    </row>
    <row r="49" spans="1:9" ht="16.5" x14ac:dyDescent="0.25">
      <c r="A49" s="10" t="s">
        <v>26</v>
      </c>
      <c r="B49" s="21" t="s">
        <v>27</v>
      </c>
      <c r="C49" s="251"/>
      <c r="D49" s="253"/>
      <c r="E49" s="253"/>
      <c r="F49" s="253"/>
      <c r="G49" s="253"/>
      <c r="H49" s="253"/>
      <c r="I49" s="254"/>
    </row>
    <row r="50" spans="1:9" ht="16.5" x14ac:dyDescent="0.25">
      <c r="A50" s="10" t="s">
        <v>28</v>
      </c>
      <c r="B50" s="21" t="s">
        <v>27</v>
      </c>
      <c r="C50" s="251"/>
      <c r="D50" s="252"/>
      <c r="E50" s="9" t="s">
        <v>29</v>
      </c>
      <c r="F50" s="251"/>
      <c r="G50" s="253"/>
      <c r="H50" s="253"/>
      <c r="I50" s="254"/>
    </row>
    <row r="51" spans="1:9" ht="16.5" x14ac:dyDescent="0.25">
      <c r="A51" s="10" t="s">
        <v>30</v>
      </c>
      <c r="B51" s="21" t="s">
        <v>27</v>
      </c>
      <c r="C51" s="251"/>
      <c r="D51" s="253"/>
      <c r="E51" s="253"/>
      <c r="F51" s="253"/>
      <c r="G51" s="253"/>
      <c r="H51" s="253"/>
      <c r="I51" s="254"/>
    </row>
    <row r="52" spans="1:9" ht="17.25" thickBot="1" x14ac:dyDescent="0.3">
      <c r="A52" s="11" t="s">
        <v>31</v>
      </c>
      <c r="B52" s="16" t="s">
        <v>25</v>
      </c>
      <c r="C52" s="255"/>
      <c r="D52" s="256"/>
      <c r="E52" s="256"/>
      <c r="F52" s="256"/>
      <c r="G52" s="256"/>
      <c r="H52" s="256"/>
      <c r="I52" s="257"/>
    </row>
    <row r="53" spans="1:9" ht="17.25" thickBot="1" x14ac:dyDescent="0.3">
      <c r="A53" s="5"/>
      <c r="B53" s="17"/>
      <c r="C53" s="17"/>
      <c r="D53" s="17"/>
      <c r="E53" s="17"/>
      <c r="F53" s="17"/>
      <c r="G53" s="17"/>
      <c r="H53" s="17"/>
      <c r="I53" s="17"/>
    </row>
    <row r="54" spans="1:9" ht="54.75" customHeight="1" x14ac:dyDescent="0.25">
      <c r="A54" s="12" t="s">
        <v>32</v>
      </c>
      <c r="B54" s="13">
        <v>45399</v>
      </c>
      <c r="C54" s="258"/>
      <c r="D54" s="259"/>
      <c r="E54" s="260"/>
      <c r="F54" s="264" t="s">
        <v>79</v>
      </c>
      <c r="G54" s="265"/>
      <c r="H54" s="265"/>
      <c r="I54" s="266"/>
    </row>
    <row r="55" spans="1:9" ht="54.75" customHeight="1" thickBot="1" x14ac:dyDescent="0.3">
      <c r="A55" s="249" t="s">
        <v>80</v>
      </c>
      <c r="B55" s="250"/>
      <c r="C55" s="261"/>
      <c r="D55" s="262"/>
      <c r="E55" s="263"/>
      <c r="F55" s="267"/>
      <c r="G55" s="268"/>
      <c r="H55" s="268"/>
      <c r="I55" s="269"/>
    </row>
  </sheetData>
  <mergeCells count="70">
    <mergeCell ref="D18:F18"/>
    <mergeCell ref="C11:I11"/>
    <mergeCell ref="F6:I6"/>
    <mergeCell ref="D7:I7"/>
    <mergeCell ref="A8:I8"/>
    <mergeCell ref="A9:A10"/>
    <mergeCell ref="B9:B10"/>
    <mergeCell ref="C9:I10"/>
    <mergeCell ref="A12:I12"/>
    <mergeCell ref="A13:I13"/>
    <mergeCell ref="A14:I14"/>
    <mergeCell ref="A15:I15"/>
    <mergeCell ref="A16:I16"/>
    <mergeCell ref="D17:I17"/>
    <mergeCell ref="G18:I18"/>
    <mergeCell ref="B5:I5"/>
    <mergeCell ref="A1:I2"/>
    <mergeCell ref="A3:I3"/>
    <mergeCell ref="B4:D4"/>
    <mergeCell ref="E4:F4"/>
    <mergeCell ref="G4:I4"/>
    <mergeCell ref="D19:F19"/>
    <mergeCell ref="G19:I19"/>
    <mergeCell ref="C49:I49"/>
    <mergeCell ref="D21:F21"/>
    <mergeCell ref="G21:I21"/>
    <mergeCell ref="D22:F22"/>
    <mergeCell ref="G22:I22"/>
    <mergeCell ref="A42:I42"/>
    <mergeCell ref="A43:I45"/>
    <mergeCell ref="A46:I46"/>
    <mergeCell ref="C47:I47"/>
    <mergeCell ref="C48:I48"/>
    <mergeCell ref="G20:I20"/>
    <mergeCell ref="D20:F20"/>
    <mergeCell ref="D39:I39"/>
    <mergeCell ref="D23:F23"/>
    <mergeCell ref="A55:B55"/>
    <mergeCell ref="C50:D50"/>
    <mergeCell ref="F50:I50"/>
    <mergeCell ref="C51:I51"/>
    <mergeCell ref="C52:I52"/>
    <mergeCell ref="C54:E55"/>
    <mergeCell ref="F54:I55"/>
    <mergeCell ref="D24:I24"/>
    <mergeCell ref="D27:I27"/>
    <mergeCell ref="A31:A34"/>
    <mergeCell ref="D37:I37"/>
    <mergeCell ref="G23:I23"/>
    <mergeCell ref="A25:I25"/>
    <mergeCell ref="D26:I26"/>
    <mergeCell ref="D35:F35"/>
    <mergeCell ref="G35:I35"/>
    <mergeCell ref="D28:F28"/>
    <mergeCell ref="G28:I28"/>
    <mergeCell ref="D31:F31"/>
    <mergeCell ref="G31:I31"/>
    <mergeCell ref="D32:F32"/>
    <mergeCell ref="G32:I32"/>
    <mergeCell ref="D33:F33"/>
    <mergeCell ref="D41:I41"/>
    <mergeCell ref="D38:I38"/>
    <mergeCell ref="A28:A29"/>
    <mergeCell ref="D29:I29"/>
    <mergeCell ref="D30:I30"/>
    <mergeCell ref="D40:I40"/>
    <mergeCell ref="D36:I36"/>
    <mergeCell ref="D34:F34"/>
    <mergeCell ref="G33:I33"/>
    <mergeCell ref="G34:I34"/>
  </mergeCells>
  <printOptions horizontalCentered="1" verticalCentered="1"/>
  <pageMargins left="0.27559055118110237" right="0.23622047244094491" top="0.94488188976377963" bottom="0.31496062992125984" header="0.31496062992125984" footer="0.31496062992125984"/>
  <pageSetup scale="55" orientation="landscape" r:id="rId1"/>
  <rowBreaks count="2" manualBreakCount="2">
    <brk id="15" max="8" man="1"/>
    <brk id="45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K90"/>
  <sheetViews>
    <sheetView tabSelected="1" topLeftCell="A82" zoomScaleNormal="100" workbookViewId="0">
      <selection activeCell="A82" sqref="A82:F82"/>
    </sheetView>
  </sheetViews>
  <sheetFormatPr baseColWidth="10" defaultRowHeight="15" x14ac:dyDescent="0.25"/>
  <cols>
    <col min="1" max="1" width="6" customWidth="1"/>
    <col min="2" max="2" width="22.5703125" style="37" customWidth="1"/>
    <col min="3" max="3" width="23.42578125" style="37" customWidth="1"/>
    <col min="4" max="4" width="7.7109375" customWidth="1"/>
    <col min="5" max="5" width="9.7109375" style="129" customWidth="1"/>
    <col min="7" max="7" width="7.28515625" customWidth="1"/>
    <col min="8" max="8" width="7.42578125" customWidth="1"/>
    <col min="9" max="9" width="17.28515625" customWidth="1"/>
    <col min="10" max="10" width="63.85546875" customWidth="1"/>
    <col min="11" max="11" width="20.7109375" customWidth="1"/>
  </cols>
  <sheetData>
    <row r="2" spans="1:11" ht="24.75" x14ac:dyDescent="0.25">
      <c r="A2" s="26" t="s">
        <v>81</v>
      </c>
      <c r="B2" s="380" t="s">
        <v>82</v>
      </c>
      <c r="C2" s="381"/>
      <c r="D2" s="381"/>
      <c r="E2" s="382"/>
      <c r="F2" s="388"/>
      <c r="G2" s="381"/>
      <c r="H2" s="382"/>
      <c r="I2" s="27"/>
    </row>
    <row r="3" spans="1:11" ht="16.5" x14ac:dyDescent="0.25">
      <c r="A3" s="26" t="s">
        <v>83</v>
      </c>
      <c r="B3" s="383"/>
      <c r="C3" s="379"/>
      <c r="D3" s="379"/>
      <c r="E3" s="384"/>
      <c r="F3" s="383"/>
      <c r="G3" s="379"/>
      <c r="H3" s="384"/>
      <c r="I3" s="27"/>
    </row>
    <row r="4" spans="1:11" ht="16.5" x14ac:dyDescent="0.25">
      <c r="A4" s="26" t="s">
        <v>84</v>
      </c>
      <c r="B4" s="385"/>
      <c r="C4" s="386"/>
      <c r="D4" s="386"/>
      <c r="E4" s="387"/>
      <c r="F4" s="385"/>
      <c r="G4" s="386"/>
      <c r="H4" s="387"/>
      <c r="I4" s="27"/>
    </row>
    <row r="5" spans="1:11" x14ac:dyDescent="0.25">
      <c r="A5" s="28"/>
      <c r="B5" s="35"/>
      <c r="C5" s="35"/>
      <c r="D5" s="29"/>
      <c r="E5" s="128"/>
      <c r="F5" s="30"/>
      <c r="G5" s="30"/>
      <c r="H5" s="30"/>
      <c r="I5" s="27"/>
    </row>
    <row r="6" spans="1:11" x14ac:dyDescent="0.25">
      <c r="A6" s="378" t="s">
        <v>85</v>
      </c>
      <c r="B6" s="379"/>
      <c r="C6" s="389" t="s">
        <v>146</v>
      </c>
      <c r="D6" s="389"/>
      <c r="E6" s="379"/>
      <c r="F6" s="379"/>
      <c r="G6" s="379"/>
      <c r="H6" s="390" t="s">
        <v>86</v>
      </c>
      <c r="I6" s="379"/>
    </row>
    <row r="7" spans="1:11" ht="36.75" customHeight="1" x14ac:dyDescent="0.25">
      <c r="A7" s="378" t="s">
        <v>87</v>
      </c>
      <c r="B7" s="379"/>
      <c r="C7" s="389" t="s">
        <v>147</v>
      </c>
      <c r="D7" s="379"/>
      <c r="E7" s="379"/>
      <c r="F7" s="379"/>
      <c r="G7" s="379"/>
      <c r="H7" s="391"/>
      <c r="I7" s="379"/>
    </row>
    <row r="8" spans="1:11" ht="27" x14ac:dyDescent="0.25">
      <c r="A8" s="378" t="s">
        <v>88</v>
      </c>
      <c r="B8" s="379"/>
      <c r="C8" s="36" t="s">
        <v>689</v>
      </c>
      <c r="H8" s="31"/>
    </row>
    <row r="9" spans="1:11" x14ac:dyDescent="0.25">
      <c r="A9" s="378" t="s">
        <v>89</v>
      </c>
      <c r="B9" s="379"/>
      <c r="C9" s="389"/>
      <c r="D9" s="379"/>
      <c r="E9" s="379"/>
      <c r="F9" s="379"/>
      <c r="G9" s="379"/>
      <c r="H9" s="391"/>
      <c r="I9" s="379"/>
    </row>
    <row r="10" spans="1:11" x14ac:dyDescent="0.25">
      <c r="A10" s="398" t="s">
        <v>90</v>
      </c>
      <c r="B10" s="370" t="s">
        <v>91</v>
      </c>
      <c r="C10" s="371"/>
      <c r="D10" s="371"/>
      <c r="E10" s="371"/>
      <c r="F10" s="371"/>
      <c r="G10" s="371"/>
      <c r="H10" s="372"/>
      <c r="I10" s="30"/>
    </row>
    <row r="11" spans="1:11" ht="22.5" x14ac:dyDescent="0.25">
      <c r="A11" s="399"/>
      <c r="B11" s="373" t="s">
        <v>92</v>
      </c>
      <c r="C11" s="374"/>
      <c r="D11" s="193" t="s">
        <v>93</v>
      </c>
      <c r="E11" s="194" t="s">
        <v>94</v>
      </c>
      <c r="F11" s="195" t="s">
        <v>95</v>
      </c>
      <c r="G11" s="375" t="s">
        <v>96</v>
      </c>
      <c r="H11" s="376"/>
      <c r="I11" s="32"/>
    </row>
    <row r="12" spans="1:11" x14ac:dyDescent="0.25">
      <c r="A12" s="393" t="s">
        <v>97</v>
      </c>
      <c r="B12" s="394"/>
      <c r="C12" s="394"/>
      <c r="D12" s="394"/>
      <c r="E12" s="394"/>
      <c r="F12" s="394"/>
      <c r="G12" s="395"/>
      <c r="H12" s="396"/>
      <c r="I12" s="32"/>
    </row>
    <row r="13" spans="1:11" ht="15.75" thickBot="1" x14ac:dyDescent="0.3">
      <c r="A13" s="196">
        <v>1</v>
      </c>
      <c r="B13" s="397"/>
      <c r="C13" s="374"/>
      <c r="D13" s="197"/>
      <c r="E13" s="184"/>
      <c r="F13" s="185"/>
      <c r="G13" s="392"/>
      <c r="H13" s="376"/>
      <c r="I13" s="33"/>
    </row>
    <row r="14" spans="1:11" ht="34.5" customHeight="1" x14ac:dyDescent="0.25">
      <c r="A14" s="198">
        <v>1.1000000000000001</v>
      </c>
      <c r="B14" s="337" t="s">
        <v>635</v>
      </c>
      <c r="C14" s="337"/>
      <c r="D14" s="199" t="s">
        <v>98</v>
      </c>
      <c r="E14" s="186">
        <f>+ROUND('1,1'!K38,2)</f>
        <v>57.09</v>
      </c>
      <c r="F14" s="187">
        <f>+APU´s!F22</f>
        <v>14061</v>
      </c>
      <c r="G14" s="338">
        <f>ROUND(E14*F14,2)</f>
        <v>802742.49</v>
      </c>
      <c r="H14" s="339"/>
      <c r="I14" s="33"/>
      <c r="J14" s="182">
        <f>+E14</f>
        <v>57.09</v>
      </c>
      <c r="K14" s="182">
        <f>+F14</f>
        <v>14061</v>
      </c>
    </row>
    <row r="15" spans="1:11" ht="31.15" customHeight="1" x14ac:dyDescent="0.25">
      <c r="A15" s="198">
        <v>1.2</v>
      </c>
      <c r="B15" s="337" t="s">
        <v>713</v>
      </c>
      <c r="C15" s="337"/>
      <c r="D15" s="199" t="s">
        <v>98</v>
      </c>
      <c r="E15" s="186">
        <f>+ROUND('1,2'!K38,2)</f>
        <v>55.55</v>
      </c>
      <c r="F15" s="187">
        <f>+APU´s!F35</f>
        <v>8309</v>
      </c>
      <c r="G15" s="338">
        <f t="shared" ref="G15:G44" si="0">ROUND(E15*F15,2)</f>
        <v>461564.95</v>
      </c>
      <c r="H15" s="339"/>
      <c r="I15" s="33"/>
      <c r="J15" s="182">
        <f t="shared" ref="J15:J76" si="1">+E15</f>
        <v>55.55</v>
      </c>
      <c r="K15" s="182">
        <f t="shared" ref="K15:K76" si="2">+F15</f>
        <v>8309</v>
      </c>
    </row>
    <row r="16" spans="1:11" ht="22.5" customHeight="1" x14ac:dyDescent="0.25">
      <c r="A16" s="198">
        <v>1.3</v>
      </c>
      <c r="B16" s="337" t="s">
        <v>630</v>
      </c>
      <c r="C16" s="337"/>
      <c r="D16" s="199" t="s">
        <v>98</v>
      </c>
      <c r="E16" s="186">
        <f>+'1,3'!K38</f>
        <v>18.080000000000002</v>
      </c>
      <c r="F16" s="187">
        <f>+APU´s!F50</f>
        <v>16761</v>
      </c>
      <c r="G16" s="338">
        <f t="shared" si="0"/>
        <v>303038.88</v>
      </c>
      <c r="H16" s="339"/>
      <c r="I16" s="33"/>
      <c r="J16" s="182">
        <f t="shared" si="1"/>
        <v>18.080000000000002</v>
      </c>
      <c r="K16" s="182">
        <f t="shared" si="2"/>
        <v>16761</v>
      </c>
    </row>
    <row r="17" spans="1:11" ht="34.9" customHeight="1" x14ac:dyDescent="0.25">
      <c r="A17" s="198">
        <v>1.4</v>
      </c>
      <c r="B17" s="337" t="s">
        <v>631</v>
      </c>
      <c r="C17" s="337"/>
      <c r="D17" s="199" t="s">
        <v>98</v>
      </c>
      <c r="E17" s="186">
        <f>+ROUND('1,4'!K38,2)</f>
        <v>33.43</v>
      </c>
      <c r="F17" s="187">
        <f>+APU´s!F64</f>
        <v>33107</v>
      </c>
      <c r="G17" s="338">
        <f t="shared" si="0"/>
        <v>1106767.01</v>
      </c>
      <c r="H17" s="339"/>
      <c r="I17" s="33"/>
      <c r="J17" s="182">
        <f t="shared" si="1"/>
        <v>33.43</v>
      </c>
      <c r="K17" s="182">
        <f t="shared" si="2"/>
        <v>33107</v>
      </c>
    </row>
    <row r="18" spans="1:11" ht="42" customHeight="1" x14ac:dyDescent="0.25">
      <c r="A18" s="198">
        <v>1.5</v>
      </c>
      <c r="B18" s="337" t="s">
        <v>632</v>
      </c>
      <c r="C18" s="337"/>
      <c r="D18" s="199" t="s">
        <v>98</v>
      </c>
      <c r="E18" s="186">
        <f>+ROUND('1,5'!K38,2)</f>
        <v>104.46</v>
      </c>
      <c r="F18" s="187">
        <f>+APU´s!F81</f>
        <v>56281</v>
      </c>
      <c r="G18" s="338">
        <f t="shared" si="0"/>
        <v>5879113.2599999998</v>
      </c>
      <c r="H18" s="339"/>
      <c r="I18" s="33"/>
      <c r="J18" s="182">
        <f t="shared" si="1"/>
        <v>104.46</v>
      </c>
      <c r="K18" s="182">
        <f t="shared" si="2"/>
        <v>56281</v>
      </c>
    </row>
    <row r="19" spans="1:11" ht="31.5" customHeight="1" x14ac:dyDescent="0.25">
      <c r="A19" s="200" t="s">
        <v>279</v>
      </c>
      <c r="B19" s="342" t="s">
        <v>641</v>
      </c>
      <c r="C19" s="342"/>
      <c r="D19" s="201" t="s">
        <v>98</v>
      </c>
      <c r="E19" s="186">
        <f>+'1,5 A'!K38</f>
        <v>17.73</v>
      </c>
      <c r="F19" s="188">
        <f>+APU´s!F98</f>
        <v>281095</v>
      </c>
      <c r="G19" s="338">
        <f t="shared" si="0"/>
        <v>4983814.3499999996</v>
      </c>
      <c r="H19" s="339"/>
      <c r="I19" s="33"/>
      <c r="J19" s="182">
        <f t="shared" si="1"/>
        <v>17.73</v>
      </c>
      <c r="K19" s="182">
        <f t="shared" si="2"/>
        <v>281095</v>
      </c>
    </row>
    <row r="20" spans="1:11" ht="23.45" customHeight="1" x14ac:dyDescent="0.25">
      <c r="A20" s="200" t="s">
        <v>280</v>
      </c>
      <c r="B20" s="342" t="s">
        <v>642</v>
      </c>
      <c r="C20" s="342"/>
      <c r="D20" s="201" t="s">
        <v>145</v>
      </c>
      <c r="E20" s="186">
        <f>+ROUND('1,5 B'!K38,2)</f>
        <v>2.4500000000000002</v>
      </c>
      <c r="F20" s="188">
        <f>+APU´s!F113</f>
        <v>38672</v>
      </c>
      <c r="G20" s="338">
        <f t="shared" si="0"/>
        <v>94746.4</v>
      </c>
      <c r="H20" s="339"/>
      <c r="I20" s="33"/>
      <c r="J20" s="182">
        <f t="shared" si="1"/>
        <v>2.4500000000000002</v>
      </c>
      <c r="K20" s="182">
        <f t="shared" si="2"/>
        <v>38672</v>
      </c>
    </row>
    <row r="21" spans="1:11" ht="41.25" customHeight="1" x14ac:dyDescent="0.25">
      <c r="A21" s="198">
        <v>1.6</v>
      </c>
      <c r="B21" s="342" t="s">
        <v>942</v>
      </c>
      <c r="C21" s="342"/>
      <c r="D21" s="199" t="s">
        <v>98</v>
      </c>
      <c r="E21" s="186">
        <f>+ROUND('1,6'!K38,2)</f>
        <v>92.22</v>
      </c>
      <c r="F21" s="187">
        <f>+APU´s!F133</f>
        <v>129089</v>
      </c>
      <c r="G21" s="338">
        <f t="shared" si="0"/>
        <v>11904587.58</v>
      </c>
      <c r="H21" s="339"/>
      <c r="I21" s="33" t="s">
        <v>276</v>
      </c>
      <c r="J21" s="182">
        <f t="shared" si="1"/>
        <v>92.22</v>
      </c>
      <c r="K21" s="182">
        <f t="shared" si="2"/>
        <v>129089</v>
      </c>
    </row>
    <row r="22" spans="1:11" ht="30.6" customHeight="1" x14ac:dyDescent="0.25">
      <c r="A22" s="198">
        <v>1.7</v>
      </c>
      <c r="B22" s="337" t="s">
        <v>648</v>
      </c>
      <c r="C22" s="337"/>
      <c r="D22" s="199" t="s">
        <v>98</v>
      </c>
      <c r="E22" s="186">
        <f>+ROUND('1,7'!K38,2)</f>
        <v>96.92</v>
      </c>
      <c r="F22" s="187">
        <f>+APU´s!F152</f>
        <v>92514</v>
      </c>
      <c r="G22" s="338">
        <f t="shared" si="0"/>
        <v>8966456.8800000008</v>
      </c>
      <c r="H22" s="339"/>
      <c r="I22" s="33" t="s">
        <v>283</v>
      </c>
      <c r="J22" s="182">
        <f t="shared" si="1"/>
        <v>96.92</v>
      </c>
      <c r="K22" s="182">
        <f t="shared" si="2"/>
        <v>92514</v>
      </c>
    </row>
    <row r="23" spans="1:11" ht="40.9" customHeight="1" x14ac:dyDescent="0.25">
      <c r="A23" s="198">
        <v>1.8</v>
      </c>
      <c r="B23" s="340" t="s">
        <v>647</v>
      </c>
      <c r="C23" s="341"/>
      <c r="D23" s="199" t="s">
        <v>98</v>
      </c>
      <c r="E23" s="186">
        <f>+ROUND('1,8'!K38,2)</f>
        <v>28.44</v>
      </c>
      <c r="F23" s="187">
        <f>+APU´s!F171</f>
        <v>115082</v>
      </c>
      <c r="G23" s="338">
        <f t="shared" si="0"/>
        <v>3272932.08</v>
      </c>
      <c r="H23" s="339"/>
      <c r="I23" s="33" t="s">
        <v>276</v>
      </c>
      <c r="J23" s="182">
        <f t="shared" si="1"/>
        <v>28.44</v>
      </c>
      <c r="K23" s="182">
        <f t="shared" si="2"/>
        <v>115082</v>
      </c>
    </row>
    <row r="24" spans="1:11" ht="33.6" customHeight="1" x14ac:dyDescent="0.25">
      <c r="A24" s="198">
        <v>1.9</v>
      </c>
      <c r="B24" s="342" t="s">
        <v>649</v>
      </c>
      <c r="C24" s="342"/>
      <c r="D24" s="199" t="s">
        <v>98</v>
      </c>
      <c r="E24" s="186">
        <f>+ROUND('1,9'!K34,2)</f>
        <v>4.1500000000000004</v>
      </c>
      <c r="F24" s="187">
        <f>+APU´s!F191</f>
        <v>86794</v>
      </c>
      <c r="G24" s="338">
        <f t="shared" si="0"/>
        <v>360195.1</v>
      </c>
      <c r="H24" s="339"/>
      <c r="I24" s="33" t="s">
        <v>276</v>
      </c>
      <c r="J24" s="182">
        <f t="shared" si="1"/>
        <v>4.1500000000000004</v>
      </c>
      <c r="K24" s="182">
        <f t="shared" si="2"/>
        <v>86794</v>
      </c>
    </row>
    <row r="25" spans="1:11" ht="40.15" customHeight="1" x14ac:dyDescent="0.25">
      <c r="A25" s="202">
        <v>1.1000000000000001</v>
      </c>
      <c r="B25" s="337" t="s">
        <v>651</v>
      </c>
      <c r="C25" s="337"/>
      <c r="D25" s="199" t="s">
        <v>98</v>
      </c>
      <c r="E25" s="186">
        <f>+ROUND('1,10'!K50,2)</f>
        <v>215.78</v>
      </c>
      <c r="F25" s="187">
        <f>+APU´s!F207</f>
        <v>32107</v>
      </c>
      <c r="G25" s="338">
        <f t="shared" si="0"/>
        <v>6928048.46</v>
      </c>
      <c r="H25" s="339"/>
      <c r="I25" s="33"/>
      <c r="J25" s="182">
        <f t="shared" si="1"/>
        <v>215.78</v>
      </c>
      <c r="K25" s="182">
        <f t="shared" si="2"/>
        <v>32107</v>
      </c>
    </row>
    <row r="26" spans="1:11" ht="36" hidden="1" customHeight="1" x14ac:dyDescent="0.25">
      <c r="A26" s="203">
        <v>1.1100000000000001</v>
      </c>
      <c r="B26" s="377" t="s">
        <v>217</v>
      </c>
      <c r="C26" s="377"/>
      <c r="D26" s="204" t="s">
        <v>98</v>
      </c>
      <c r="E26" s="186"/>
      <c r="F26" s="187"/>
      <c r="G26" s="338">
        <f t="shared" si="0"/>
        <v>0</v>
      </c>
      <c r="H26" s="339"/>
      <c r="I26" s="33"/>
      <c r="J26" s="182">
        <f t="shared" si="1"/>
        <v>0</v>
      </c>
      <c r="K26" s="182">
        <f t="shared" si="2"/>
        <v>0</v>
      </c>
    </row>
    <row r="27" spans="1:11" ht="52.9" customHeight="1" x14ac:dyDescent="0.25">
      <c r="A27" s="202">
        <v>1.1200000000000001</v>
      </c>
      <c r="B27" s="337" t="s">
        <v>338</v>
      </c>
      <c r="C27" s="337"/>
      <c r="D27" s="199" t="s">
        <v>98</v>
      </c>
      <c r="E27" s="186">
        <f>+ROUND('1,12'!K38,2)</f>
        <v>92.22</v>
      </c>
      <c r="F27" s="187">
        <f>+APU´s!F244</f>
        <v>97049</v>
      </c>
      <c r="G27" s="338">
        <f t="shared" si="0"/>
        <v>8949858.7799999993</v>
      </c>
      <c r="H27" s="339"/>
      <c r="I27" s="33" t="s">
        <v>285</v>
      </c>
      <c r="J27" s="182">
        <f t="shared" si="1"/>
        <v>92.22</v>
      </c>
      <c r="K27" s="182">
        <f t="shared" si="2"/>
        <v>97049</v>
      </c>
    </row>
    <row r="28" spans="1:11" ht="36.6" customHeight="1" x14ac:dyDescent="0.25">
      <c r="A28" s="202">
        <v>1.1299999999999999</v>
      </c>
      <c r="B28" s="337" t="s">
        <v>941</v>
      </c>
      <c r="C28" s="337"/>
      <c r="D28" s="199" t="s">
        <v>98</v>
      </c>
      <c r="E28" s="186">
        <f>+ROUND('1,13'!K38,2)</f>
        <v>92.22</v>
      </c>
      <c r="F28" s="187">
        <f>+APU´s!F260</f>
        <v>33404</v>
      </c>
      <c r="G28" s="338">
        <f t="shared" si="0"/>
        <v>3080516.88</v>
      </c>
      <c r="H28" s="339"/>
      <c r="I28" s="33"/>
      <c r="J28" s="182">
        <f t="shared" si="1"/>
        <v>92.22</v>
      </c>
      <c r="K28" s="182">
        <f t="shared" si="2"/>
        <v>33404</v>
      </c>
    </row>
    <row r="29" spans="1:11" ht="37.5" customHeight="1" x14ac:dyDescent="0.25">
      <c r="A29" s="202">
        <v>1.1399999999999999</v>
      </c>
      <c r="B29" s="368" t="s">
        <v>99</v>
      </c>
      <c r="C29" s="369"/>
      <c r="D29" s="199" t="s">
        <v>98</v>
      </c>
      <c r="E29" s="186">
        <f>+ROUND('1,14'!K55,2)</f>
        <v>123.13</v>
      </c>
      <c r="F29" s="187">
        <f>+APU´s!F275</f>
        <v>38075</v>
      </c>
      <c r="G29" s="338">
        <f t="shared" si="0"/>
        <v>4688174.75</v>
      </c>
      <c r="H29" s="339"/>
      <c r="I29" s="33"/>
      <c r="J29" s="182">
        <f t="shared" si="1"/>
        <v>123.13</v>
      </c>
      <c r="K29" s="182">
        <f t="shared" si="2"/>
        <v>38075</v>
      </c>
    </row>
    <row r="30" spans="1:11" ht="31.9" customHeight="1" x14ac:dyDescent="0.25">
      <c r="A30" s="202">
        <v>1.1499999999999999</v>
      </c>
      <c r="B30" s="368" t="s">
        <v>272</v>
      </c>
      <c r="C30" s="369"/>
      <c r="D30" s="199" t="s">
        <v>98</v>
      </c>
      <c r="E30" s="186">
        <f>+'1,15'!K37</f>
        <v>19.68</v>
      </c>
      <c r="F30" s="187">
        <f>+APU´s!F290</f>
        <v>31214</v>
      </c>
      <c r="G30" s="338">
        <f t="shared" si="0"/>
        <v>614291.52</v>
      </c>
      <c r="H30" s="339"/>
      <c r="I30" s="33"/>
      <c r="J30" s="182">
        <f t="shared" si="1"/>
        <v>19.68</v>
      </c>
      <c r="K30" s="182">
        <f t="shared" si="2"/>
        <v>31214</v>
      </c>
    </row>
    <row r="31" spans="1:11" ht="32.25" customHeight="1" x14ac:dyDescent="0.25">
      <c r="A31" s="202">
        <v>1.1599999999999999</v>
      </c>
      <c r="B31" s="368" t="s">
        <v>610</v>
      </c>
      <c r="C31" s="369"/>
      <c r="D31" s="199" t="s">
        <v>98</v>
      </c>
      <c r="E31" s="186">
        <f>+ROUND('1,16'!K37,2)</f>
        <v>11.33</v>
      </c>
      <c r="F31" s="187">
        <f>+APU´s!F305</f>
        <v>31214</v>
      </c>
      <c r="G31" s="338">
        <f t="shared" si="0"/>
        <v>353654.62</v>
      </c>
      <c r="H31" s="339"/>
      <c r="I31" s="33"/>
      <c r="J31" s="182">
        <f t="shared" si="1"/>
        <v>11.33</v>
      </c>
      <c r="K31" s="182">
        <f t="shared" si="2"/>
        <v>31214</v>
      </c>
    </row>
    <row r="32" spans="1:11" ht="21" customHeight="1" x14ac:dyDescent="0.25">
      <c r="A32" s="202">
        <v>1.17</v>
      </c>
      <c r="B32" s="337" t="s">
        <v>228</v>
      </c>
      <c r="C32" s="337"/>
      <c r="D32" s="199" t="s">
        <v>98</v>
      </c>
      <c r="E32" s="186">
        <f>+'1,17'!K37</f>
        <v>166.16</v>
      </c>
      <c r="F32" s="187">
        <f>+APU´s!F319</f>
        <v>9228</v>
      </c>
      <c r="G32" s="338">
        <f t="shared" si="0"/>
        <v>1533324.48</v>
      </c>
      <c r="H32" s="339"/>
      <c r="I32" s="33"/>
      <c r="J32" s="182">
        <f t="shared" si="1"/>
        <v>166.16</v>
      </c>
      <c r="K32" s="182">
        <f t="shared" si="2"/>
        <v>9228</v>
      </c>
    </row>
    <row r="33" spans="1:11" ht="30" customHeight="1" x14ac:dyDescent="0.25">
      <c r="A33" s="202">
        <v>1.18</v>
      </c>
      <c r="B33" s="337" t="s">
        <v>656</v>
      </c>
      <c r="C33" s="337"/>
      <c r="D33" s="199" t="s">
        <v>98</v>
      </c>
      <c r="E33" s="186">
        <f>+ROUND('1,18'!K37,2)</f>
        <v>110.42</v>
      </c>
      <c r="F33" s="187">
        <f>+APU´s!F334</f>
        <v>31214</v>
      </c>
      <c r="G33" s="338">
        <f t="shared" si="0"/>
        <v>3446649.88</v>
      </c>
      <c r="H33" s="339"/>
      <c r="I33" s="33"/>
      <c r="J33" s="182">
        <f t="shared" si="1"/>
        <v>110.42</v>
      </c>
      <c r="K33" s="182">
        <f t="shared" si="2"/>
        <v>31214</v>
      </c>
    </row>
    <row r="34" spans="1:11" ht="24.6" customHeight="1" x14ac:dyDescent="0.25">
      <c r="A34" s="202">
        <v>1.19</v>
      </c>
      <c r="B34" s="337" t="s">
        <v>233</v>
      </c>
      <c r="C34" s="337"/>
      <c r="D34" s="199" t="s">
        <v>98</v>
      </c>
      <c r="E34" s="186">
        <f>+ROUND('1,19'!K37,2)</f>
        <v>110.42</v>
      </c>
      <c r="F34" s="187">
        <f>+APU´s!F352</f>
        <v>87316</v>
      </c>
      <c r="G34" s="338">
        <f t="shared" si="0"/>
        <v>9641432.7200000007</v>
      </c>
      <c r="H34" s="339"/>
      <c r="I34" s="33"/>
      <c r="J34" s="182">
        <f t="shared" si="1"/>
        <v>110.42</v>
      </c>
      <c r="K34" s="182">
        <f t="shared" si="2"/>
        <v>87316</v>
      </c>
    </row>
    <row r="35" spans="1:11" ht="27" hidden="1" customHeight="1" x14ac:dyDescent="0.25">
      <c r="A35" s="203">
        <v>1.2</v>
      </c>
      <c r="B35" s="377" t="s">
        <v>286</v>
      </c>
      <c r="C35" s="377"/>
      <c r="D35" s="204" t="s">
        <v>93</v>
      </c>
      <c r="E35" s="186"/>
      <c r="F35" s="187"/>
      <c r="G35" s="338">
        <f t="shared" si="0"/>
        <v>0</v>
      </c>
      <c r="H35" s="339"/>
      <c r="I35" s="33"/>
      <c r="J35" s="182">
        <f t="shared" si="1"/>
        <v>0</v>
      </c>
      <c r="K35" s="182">
        <f t="shared" si="2"/>
        <v>0</v>
      </c>
    </row>
    <row r="36" spans="1:11" ht="54.6" customHeight="1" x14ac:dyDescent="0.25">
      <c r="A36" s="202">
        <v>1.21</v>
      </c>
      <c r="B36" s="342" t="s">
        <v>943</v>
      </c>
      <c r="C36" s="342"/>
      <c r="D36" s="199" t="s">
        <v>93</v>
      </c>
      <c r="E36" s="186">
        <f>+'1,21'!K35</f>
        <v>2</v>
      </c>
      <c r="F36" s="187">
        <f>+APU´s!F378</f>
        <v>787613</v>
      </c>
      <c r="G36" s="338">
        <f t="shared" si="0"/>
        <v>1575226</v>
      </c>
      <c r="H36" s="339"/>
      <c r="I36" s="33" t="s">
        <v>284</v>
      </c>
      <c r="J36" s="182">
        <f t="shared" si="1"/>
        <v>2</v>
      </c>
      <c r="K36" s="182">
        <f t="shared" si="2"/>
        <v>787613</v>
      </c>
    </row>
    <row r="37" spans="1:11" ht="49.5" customHeight="1" x14ac:dyDescent="0.25">
      <c r="A37" s="202">
        <v>1.22</v>
      </c>
      <c r="B37" s="342" t="s">
        <v>944</v>
      </c>
      <c r="C37" s="342"/>
      <c r="D37" s="199" t="s">
        <v>93</v>
      </c>
      <c r="E37" s="186">
        <f>+'1,22'!K36</f>
        <v>2</v>
      </c>
      <c r="F37" s="187">
        <f>+APU´s!F392</f>
        <v>614952</v>
      </c>
      <c r="G37" s="338">
        <f t="shared" si="0"/>
        <v>1229904</v>
      </c>
      <c r="H37" s="339"/>
      <c r="I37" s="33" t="s">
        <v>284</v>
      </c>
      <c r="J37" s="182">
        <f t="shared" si="1"/>
        <v>2</v>
      </c>
      <c r="K37" s="182">
        <f t="shared" si="2"/>
        <v>614952</v>
      </c>
    </row>
    <row r="38" spans="1:11" ht="52.15" customHeight="1" x14ac:dyDescent="0.25">
      <c r="A38" s="202">
        <v>1.23</v>
      </c>
      <c r="B38" s="337" t="s">
        <v>688</v>
      </c>
      <c r="C38" s="337"/>
      <c r="D38" s="199" t="s">
        <v>93</v>
      </c>
      <c r="E38" s="186">
        <f>+'1,23'!K36</f>
        <v>1</v>
      </c>
      <c r="F38" s="187">
        <v>1666000</v>
      </c>
      <c r="G38" s="338">
        <f t="shared" si="0"/>
        <v>1666000</v>
      </c>
      <c r="H38" s="339"/>
      <c r="I38" s="33" t="s">
        <v>687</v>
      </c>
      <c r="J38" s="182">
        <f t="shared" si="1"/>
        <v>1</v>
      </c>
      <c r="K38" s="182">
        <f t="shared" si="2"/>
        <v>1666000</v>
      </c>
    </row>
    <row r="39" spans="1:11" ht="37.15" customHeight="1" x14ac:dyDescent="0.25">
      <c r="A39" s="202">
        <v>1.24</v>
      </c>
      <c r="B39" s="337" t="s">
        <v>478</v>
      </c>
      <c r="C39" s="337"/>
      <c r="D39" s="199" t="s">
        <v>98</v>
      </c>
      <c r="E39" s="186">
        <f>+ROUND('1,24'!K37,2)</f>
        <v>22.67</v>
      </c>
      <c r="F39" s="187">
        <f>+APU´s!F424</f>
        <v>28998</v>
      </c>
      <c r="G39" s="338">
        <f t="shared" si="0"/>
        <v>657384.66</v>
      </c>
      <c r="H39" s="339"/>
      <c r="I39" s="33"/>
      <c r="J39" s="182">
        <f t="shared" si="1"/>
        <v>22.67</v>
      </c>
      <c r="K39" s="182">
        <f t="shared" si="2"/>
        <v>28998</v>
      </c>
    </row>
    <row r="40" spans="1:11" ht="33" customHeight="1" x14ac:dyDescent="0.25">
      <c r="A40" s="202">
        <v>1.25</v>
      </c>
      <c r="B40" s="337" t="s">
        <v>247</v>
      </c>
      <c r="C40" s="337"/>
      <c r="D40" s="199" t="s">
        <v>93</v>
      </c>
      <c r="E40" s="186">
        <f>+'1,26'!K37</f>
        <v>5</v>
      </c>
      <c r="F40" s="187">
        <f>+APU´s!F435</f>
        <v>85674</v>
      </c>
      <c r="G40" s="338">
        <f t="shared" si="0"/>
        <v>428370</v>
      </c>
      <c r="H40" s="339"/>
      <c r="I40" s="33"/>
      <c r="J40" s="182">
        <f t="shared" si="1"/>
        <v>5</v>
      </c>
      <c r="K40" s="182">
        <f t="shared" si="2"/>
        <v>85674</v>
      </c>
    </row>
    <row r="41" spans="1:11" ht="43.15" customHeight="1" x14ac:dyDescent="0.25">
      <c r="A41" s="202">
        <v>1.26</v>
      </c>
      <c r="B41" s="342" t="s">
        <v>945</v>
      </c>
      <c r="C41" s="342"/>
      <c r="D41" s="199" t="s">
        <v>93</v>
      </c>
      <c r="E41" s="186">
        <f>+'1,27'!K38</f>
        <v>8</v>
      </c>
      <c r="F41" s="187">
        <f>+APU´s!F447</f>
        <v>302779</v>
      </c>
      <c r="G41" s="338">
        <f t="shared" si="0"/>
        <v>2422232</v>
      </c>
      <c r="H41" s="339"/>
      <c r="I41" s="33" t="s">
        <v>285</v>
      </c>
      <c r="J41" s="182">
        <f t="shared" si="1"/>
        <v>8</v>
      </c>
      <c r="K41" s="182">
        <f t="shared" si="2"/>
        <v>302779</v>
      </c>
    </row>
    <row r="42" spans="1:11" ht="46.5" customHeight="1" x14ac:dyDescent="0.25">
      <c r="A42" s="202">
        <v>1.27</v>
      </c>
      <c r="B42" s="342" t="s">
        <v>663</v>
      </c>
      <c r="C42" s="342"/>
      <c r="D42" s="199" t="s">
        <v>93</v>
      </c>
      <c r="E42" s="186">
        <f>+'1,27 A'!K38</f>
        <v>1</v>
      </c>
      <c r="F42" s="187">
        <f>+APU´s!F458</f>
        <v>538779</v>
      </c>
      <c r="G42" s="338">
        <f t="shared" si="0"/>
        <v>538779</v>
      </c>
      <c r="H42" s="339"/>
      <c r="I42" s="33"/>
      <c r="J42" s="182">
        <f t="shared" si="1"/>
        <v>1</v>
      </c>
      <c r="K42" s="182">
        <f t="shared" si="2"/>
        <v>538779</v>
      </c>
    </row>
    <row r="43" spans="1:11" ht="33" customHeight="1" x14ac:dyDescent="0.25">
      <c r="A43" s="202">
        <v>1.28</v>
      </c>
      <c r="B43" s="342" t="s">
        <v>561</v>
      </c>
      <c r="C43" s="342"/>
      <c r="D43" s="199" t="s">
        <v>98</v>
      </c>
      <c r="E43" s="186">
        <f>+ROUND('1,28'!K36,2)</f>
        <v>1.52</v>
      </c>
      <c r="F43" s="187">
        <f>+APU´s!F474</f>
        <v>67254</v>
      </c>
      <c r="G43" s="338">
        <f t="shared" si="0"/>
        <v>102226.08</v>
      </c>
      <c r="H43" s="339"/>
      <c r="I43" s="33"/>
      <c r="J43" s="182">
        <f t="shared" si="1"/>
        <v>1.52</v>
      </c>
      <c r="K43" s="182">
        <f t="shared" si="2"/>
        <v>67254</v>
      </c>
    </row>
    <row r="44" spans="1:11" ht="33" customHeight="1" x14ac:dyDescent="0.25">
      <c r="A44" s="202">
        <v>1.29</v>
      </c>
      <c r="B44" s="342" t="s">
        <v>383</v>
      </c>
      <c r="C44" s="342"/>
      <c r="D44" s="199" t="s">
        <v>117</v>
      </c>
      <c r="E44" s="186">
        <f>+'1,29'!K36</f>
        <v>26.58</v>
      </c>
      <c r="F44" s="187">
        <f>+APU´s!F495</f>
        <v>31199</v>
      </c>
      <c r="G44" s="338">
        <f t="shared" si="0"/>
        <v>829269.42</v>
      </c>
      <c r="H44" s="339"/>
      <c r="I44" s="33"/>
      <c r="J44" s="182">
        <f t="shared" si="1"/>
        <v>26.58</v>
      </c>
      <c r="K44" s="182">
        <f t="shared" si="2"/>
        <v>31199</v>
      </c>
    </row>
    <row r="45" spans="1:11" x14ac:dyDescent="0.25">
      <c r="A45" s="205">
        <v>2</v>
      </c>
      <c r="B45" s="348" t="s">
        <v>253</v>
      </c>
      <c r="C45" s="348"/>
      <c r="D45" s="206"/>
      <c r="E45" s="189"/>
      <c r="F45" s="190"/>
      <c r="G45" s="366"/>
      <c r="H45" s="367"/>
      <c r="I45" s="33"/>
      <c r="J45" s="182">
        <f t="shared" si="1"/>
        <v>0</v>
      </c>
      <c r="K45" s="182">
        <f t="shared" si="2"/>
        <v>0</v>
      </c>
    </row>
    <row r="46" spans="1:11" ht="60" customHeight="1" x14ac:dyDescent="0.25">
      <c r="A46" s="198">
        <v>2.1</v>
      </c>
      <c r="B46" s="342" t="s">
        <v>614</v>
      </c>
      <c r="C46" s="342"/>
      <c r="D46" s="199" t="s">
        <v>98</v>
      </c>
      <c r="E46" s="186">
        <f>+ROUND('2,1'!K36,2)</f>
        <v>78.12</v>
      </c>
      <c r="F46" s="187">
        <f>+APU´s!F521</f>
        <v>287077</v>
      </c>
      <c r="G46" s="338">
        <f t="shared" ref="G46" si="3">ROUND(E46*F46,2)</f>
        <v>22426455.239999998</v>
      </c>
      <c r="H46" s="339"/>
      <c r="I46" s="33"/>
      <c r="J46" s="182">
        <f t="shared" si="1"/>
        <v>78.12</v>
      </c>
      <c r="K46" s="182">
        <f t="shared" si="2"/>
        <v>287077</v>
      </c>
    </row>
    <row r="47" spans="1:11" ht="25.9" customHeight="1" x14ac:dyDescent="0.25">
      <c r="A47" s="198">
        <v>2.2000000000000002</v>
      </c>
      <c r="B47" s="342" t="s">
        <v>666</v>
      </c>
      <c r="C47" s="342"/>
      <c r="D47" s="199" t="s">
        <v>145</v>
      </c>
      <c r="E47" s="186">
        <f>+ROUND('2,2'!K36,2)</f>
        <v>3.46</v>
      </c>
      <c r="F47" s="187">
        <f>+APU´s!F539</f>
        <v>756029</v>
      </c>
      <c r="G47" s="338">
        <f t="shared" ref="G47:G50" si="4">ROUND(E47*F47,2)</f>
        <v>2615860.34</v>
      </c>
      <c r="H47" s="339"/>
      <c r="I47" s="33"/>
      <c r="J47" s="182">
        <f t="shared" si="1"/>
        <v>3.46</v>
      </c>
      <c r="K47" s="182">
        <f t="shared" si="2"/>
        <v>756029</v>
      </c>
    </row>
    <row r="48" spans="1:11" ht="33" customHeight="1" x14ac:dyDescent="0.25">
      <c r="A48" s="198">
        <v>2.2999999999999998</v>
      </c>
      <c r="B48" s="342" t="s">
        <v>611</v>
      </c>
      <c r="C48" s="342"/>
      <c r="D48" s="199" t="s">
        <v>145</v>
      </c>
      <c r="E48" s="186">
        <f>+ROUND('2,3'!K36,2)</f>
        <v>0.97</v>
      </c>
      <c r="F48" s="187">
        <f>+APU´s!F557</f>
        <v>756029</v>
      </c>
      <c r="G48" s="338">
        <f t="shared" si="4"/>
        <v>733348.13</v>
      </c>
      <c r="H48" s="339"/>
      <c r="I48" s="33"/>
      <c r="J48" s="182">
        <f t="shared" si="1"/>
        <v>0.97</v>
      </c>
      <c r="K48" s="182">
        <f t="shared" si="2"/>
        <v>756029</v>
      </c>
    </row>
    <row r="49" spans="1:11" ht="21" customHeight="1" x14ac:dyDescent="0.25">
      <c r="A49" s="198">
        <v>2.4</v>
      </c>
      <c r="B49" s="342" t="s">
        <v>440</v>
      </c>
      <c r="C49" s="342"/>
      <c r="D49" s="199" t="s">
        <v>315</v>
      </c>
      <c r="E49" s="186">
        <f>+ROUND('2,4'!K36,2)</f>
        <v>2208.48</v>
      </c>
      <c r="F49" s="187">
        <f>+APU´s!F573</f>
        <v>6919</v>
      </c>
      <c r="G49" s="338">
        <f t="shared" si="4"/>
        <v>15280473.119999999</v>
      </c>
      <c r="H49" s="339"/>
      <c r="I49" s="33"/>
      <c r="J49" s="182">
        <f t="shared" si="1"/>
        <v>2208.48</v>
      </c>
      <c r="K49" s="182">
        <f t="shared" si="2"/>
        <v>6919</v>
      </c>
    </row>
    <row r="50" spans="1:11" ht="50.25" customHeight="1" x14ac:dyDescent="0.25">
      <c r="A50" s="198" t="s">
        <v>466</v>
      </c>
      <c r="B50" s="342" t="s">
        <v>467</v>
      </c>
      <c r="C50" s="342"/>
      <c r="D50" s="199" t="s">
        <v>98</v>
      </c>
      <c r="E50" s="186">
        <f>+'2,5'!K36</f>
        <v>15.319999999999999</v>
      </c>
      <c r="F50" s="187">
        <f>+APU´s!F599</f>
        <v>287077</v>
      </c>
      <c r="G50" s="338">
        <f t="shared" si="4"/>
        <v>4398019.6399999997</v>
      </c>
      <c r="H50" s="339"/>
      <c r="I50" s="33"/>
      <c r="J50" s="182">
        <f t="shared" si="1"/>
        <v>15.319999999999999</v>
      </c>
      <c r="K50" s="182">
        <f t="shared" si="2"/>
        <v>287077</v>
      </c>
    </row>
    <row r="51" spans="1:11" ht="18.75" customHeight="1" x14ac:dyDescent="0.25">
      <c r="A51" s="205">
        <v>3</v>
      </c>
      <c r="B51" s="348" t="s">
        <v>605</v>
      </c>
      <c r="C51" s="348"/>
      <c r="D51" s="206"/>
      <c r="E51" s="189"/>
      <c r="F51" s="190"/>
      <c r="G51" s="366"/>
      <c r="H51" s="367"/>
      <c r="I51" s="33"/>
      <c r="J51" s="182">
        <f t="shared" si="1"/>
        <v>0</v>
      </c>
      <c r="K51" s="182">
        <f t="shared" si="2"/>
        <v>0</v>
      </c>
    </row>
    <row r="52" spans="1:11" ht="18.75" customHeight="1" x14ac:dyDescent="0.25">
      <c r="A52" s="198">
        <v>3.1</v>
      </c>
      <c r="B52" s="342" t="s">
        <v>455</v>
      </c>
      <c r="C52" s="342"/>
      <c r="D52" s="199" t="s">
        <v>117</v>
      </c>
      <c r="E52" s="186">
        <f>+'3,1 '!K36</f>
        <v>128.4</v>
      </c>
      <c r="F52" s="187">
        <f>+APU´s!F616</f>
        <v>3590</v>
      </c>
      <c r="G52" s="338">
        <f t="shared" ref="G52" si="5">ROUND(E52*F52,2)</f>
        <v>460956</v>
      </c>
      <c r="H52" s="339"/>
      <c r="I52" s="33"/>
      <c r="J52" s="182">
        <f t="shared" si="1"/>
        <v>128.4</v>
      </c>
      <c r="K52" s="182">
        <f t="shared" si="2"/>
        <v>3590</v>
      </c>
    </row>
    <row r="53" spans="1:11" ht="30.75" customHeight="1" x14ac:dyDescent="0.25">
      <c r="A53" s="198">
        <v>3.2</v>
      </c>
      <c r="B53" s="342" t="s">
        <v>677</v>
      </c>
      <c r="C53" s="342"/>
      <c r="D53" s="199" t="s">
        <v>145</v>
      </c>
      <c r="E53" s="186">
        <f>+'3,2'!K36</f>
        <v>34.56</v>
      </c>
      <c r="F53" s="187">
        <f>+APU´s!F628</f>
        <v>38671</v>
      </c>
      <c r="G53" s="338">
        <f t="shared" ref="G53:G59" si="6">ROUND(E53*F53,2)</f>
        <v>1336469.76</v>
      </c>
      <c r="H53" s="339"/>
      <c r="I53" s="33"/>
      <c r="J53" s="182">
        <f t="shared" si="1"/>
        <v>34.56</v>
      </c>
      <c r="K53" s="182">
        <f t="shared" si="2"/>
        <v>38671</v>
      </c>
    </row>
    <row r="54" spans="1:11" ht="33" hidden="1" customHeight="1" x14ac:dyDescent="0.25">
      <c r="A54" s="207">
        <v>3.3</v>
      </c>
      <c r="B54" s="400" t="s">
        <v>622</v>
      </c>
      <c r="C54" s="400"/>
      <c r="D54" s="204" t="s">
        <v>117</v>
      </c>
      <c r="E54" s="186"/>
      <c r="F54" s="187"/>
      <c r="G54" s="338">
        <f t="shared" si="6"/>
        <v>0</v>
      </c>
      <c r="H54" s="339"/>
      <c r="I54" s="33"/>
      <c r="J54" s="182">
        <f t="shared" si="1"/>
        <v>0</v>
      </c>
      <c r="K54" s="182">
        <f t="shared" si="2"/>
        <v>0</v>
      </c>
    </row>
    <row r="55" spans="1:11" ht="25.9" customHeight="1" x14ac:dyDescent="0.25">
      <c r="A55" s="198">
        <v>3.4</v>
      </c>
      <c r="B55" s="342" t="s">
        <v>439</v>
      </c>
      <c r="C55" s="342"/>
      <c r="D55" s="199" t="s">
        <v>145</v>
      </c>
      <c r="E55" s="186">
        <f>+'3,4'!K36</f>
        <v>12.54</v>
      </c>
      <c r="F55" s="187">
        <f>+APU´s!F657</f>
        <v>146886</v>
      </c>
      <c r="G55" s="338">
        <f t="shared" si="6"/>
        <v>1841950.44</v>
      </c>
      <c r="H55" s="339"/>
      <c r="I55" s="33"/>
      <c r="J55" s="182">
        <f t="shared" si="1"/>
        <v>12.54</v>
      </c>
      <c r="K55" s="182">
        <f t="shared" si="2"/>
        <v>146886</v>
      </c>
    </row>
    <row r="56" spans="1:11" ht="33" customHeight="1" x14ac:dyDescent="0.25">
      <c r="A56" s="198">
        <v>3.5</v>
      </c>
      <c r="B56" s="342" t="s">
        <v>681</v>
      </c>
      <c r="C56" s="342"/>
      <c r="D56" s="199" t="s">
        <v>145</v>
      </c>
      <c r="E56" s="186">
        <f>+ROUND('3,5'!K36,2)</f>
        <v>49.65</v>
      </c>
      <c r="F56" s="187">
        <f>+APU´s!F678</f>
        <v>756644</v>
      </c>
      <c r="G56" s="338">
        <f t="shared" si="6"/>
        <v>37567374.600000001</v>
      </c>
      <c r="H56" s="339"/>
      <c r="I56" s="33"/>
      <c r="J56" s="182">
        <f t="shared" si="1"/>
        <v>49.65</v>
      </c>
      <c r="K56" s="182">
        <f t="shared" si="2"/>
        <v>756644</v>
      </c>
    </row>
    <row r="57" spans="1:11" ht="33" hidden="1" customHeight="1" x14ac:dyDescent="0.25">
      <c r="A57" s="207">
        <v>3.6</v>
      </c>
      <c r="B57" s="400" t="s">
        <v>441</v>
      </c>
      <c r="C57" s="400"/>
      <c r="D57" s="204" t="s">
        <v>315</v>
      </c>
      <c r="E57" s="186"/>
      <c r="F57" s="187"/>
      <c r="G57" s="338">
        <f t="shared" si="6"/>
        <v>0</v>
      </c>
      <c r="H57" s="339"/>
      <c r="I57" s="33"/>
      <c r="J57" s="182">
        <f t="shared" si="1"/>
        <v>0</v>
      </c>
      <c r="K57" s="182">
        <f t="shared" si="2"/>
        <v>0</v>
      </c>
    </row>
    <row r="58" spans="1:11" ht="43.9" customHeight="1" x14ac:dyDescent="0.25">
      <c r="A58" s="198">
        <v>3.7</v>
      </c>
      <c r="B58" s="342" t="s">
        <v>453</v>
      </c>
      <c r="C58" s="342"/>
      <c r="D58" s="199" t="s">
        <v>117</v>
      </c>
      <c r="E58" s="186">
        <f>+'3,7'!K36</f>
        <v>125.4</v>
      </c>
      <c r="F58" s="187">
        <f>+APU´s!F718</f>
        <v>147522</v>
      </c>
      <c r="G58" s="338">
        <f t="shared" si="6"/>
        <v>18499258.800000001</v>
      </c>
      <c r="H58" s="339"/>
      <c r="I58" s="33" t="s">
        <v>285</v>
      </c>
      <c r="J58" s="182">
        <f t="shared" si="1"/>
        <v>125.4</v>
      </c>
      <c r="K58" s="182">
        <f t="shared" si="2"/>
        <v>147522</v>
      </c>
    </row>
    <row r="59" spans="1:11" ht="39.6" customHeight="1" x14ac:dyDescent="0.25">
      <c r="A59" s="198">
        <v>3.8</v>
      </c>
      <c r="B59" s="342" t="s">
        <v>484</v>
      </c>
      <c r="C59" s="342"/>
      <c r="D59" s="199" t="s">
        <v>98</v>
      </c>
      <c r="E59" s="186">
        <f>+'3,8'!K36</f>
        <v>10.8</v>
      </c>
      <c r="F59" s="187">
        <f>+APU´s!F743</f>
        <v>747491</v>
      </c>
      <c r="G59" s="338">
        <f t="shared" si="6"/>
        <v>8072902.7999999998</v>
      </c>
      <c r="H59" s="339"/>
      <c r="I59" s="33" t="s">
        <v>285</v>
      </c>
      <c r="J59" s="182">
        <f t="shared" si="1"/>
        <v>10.8</v>
      </c>
      <c r="K59" s="182">
        <f t="shared" si="2"/>
        <v>747491</v>
      </c>
    </row>
    <row r="60" spans="1:11" x14ac:dyDescent="0.25">
      <c r="A60" s="205">
        <v>4</v>
      </c>
      <c r="B60" s="348" t="s">
        <v>287</v>
      </c>
      <c r="C60" s="348"/>
      <c r="D60" s="206"/>
      <c r="E60" s="189"/>
      <c r="F60" s="190"/>
      <c r="G60" s="366"/>
      <c r="H60" s="367"/>
      <c r="I60" s="33"/>
      <c r="J60" s="182">
        <f t="shared" si="1"/>
        <v>0</v>
      </c>
      <c r="K60" s="182">
        <f t="shared" si="2"/>
        <v>0</v>
      </c>
    </row>
    <row r="61" spans="1:11" ht="33.6" customHeight="1" x14ac:dyDescent="0.25">
      <c r="A61" s="198">
        <v>4.0999999999999996</v>
      </c>
      <c r="B61" s="340" t="s">
        <v>552</v>
      </c>
      <c r="C61" s="341"/>
      <c r="D61" s="208" t="s">
        <v>93</v>
      </c>
      <c r="E61" s="186">
        <v>3</v>
      </c>
      <c r="F61" s="187">
        <f>+APU´s!F764</f>
        <v>133820</v>
      </c>
      <c r="G61" s="338">
        <f t="shared" ref="G61" si="7">ROUND(E61*F61,2)</f>
        <v>401460</v>
      </c>
      <c r="H61" s="339"/>
      <c r="I61" s="33"/>
      <c r="J61" s="182">
        <f t="shared" si="1"/>
        <v>3</v>
      </c>
      <c r="K61" s="182">
        <f t="shared" si="2"/>
        <v>133820</v>
      </c>
    </row>
    <row r="62" spans="1:11" ht="33.6" customHeight="1" x14ac:dyDescent="0.25">
      <c r="A62" s="198">
        <v>4.2</v>
      </c>
      <c r="B62" s="340" t="s">
        <v>553</v>
      </c>
      <c r="C62" s="341"/>
      <c r="D62" s="208" t="s">
        <v>93</v>
      </c>
      <c r="E62" s="186">
        <v>39</v>
      </c>
      <c r="F62" s="187">
        <f>+APU´s!F791</f>
        <v>213671</v>
      </c>
      <c r="G62" s="338">
        <f t="shared" ref="G62:G74" si="8">ROUND(E62*F62,2)</f>
        <v>8333169</v>
      </c>
      <c r="H62" s="339"/>
      <c r="I62" s="33"/>
      <c r="J62" s="182">
        <f t="shared" si="1"/>
        <v>39</v>
      </c>
      <c r="K62" s="182">
        <f t="shared" si="2"/>
        <v>213671</v>
      </c>
    </row>
    <row r="63" spans="1:11" ht="36.6" customHeight="1" x14ac:dyDescent="0.25">
      <c r="A63" s="198">
        <v>4.3</v>
      </c>
      <c r="B63" s="340" t="s">
        <v>554</v>
      </c>
      <c r="C63" s="341"/>
      <c r="D63" s="208" t="s">
        <v>93</v>
      </c>
      <c r="E63" s="186">
        <v>1</v>
      </c>
      <c r="F63" s="187">
        <f>+APU´s!F819</f>
        <v>203433</v>
      </c>
      <c r="G63" s="338">
        <f t="shared" si="8"/>
        <v>203433</v>
      </c>
      <c r="H63" s="339"/>
      <c r="I63" s="33"/>
      <c r="J63" s="182">
        <f t="shared" si="1"/>
        <v>1</v>
      </c>
      <c r="K63" s="182">
        <f t="shared" si="2"/>
        <v>203433</v>
      </c>
    </row>
    <row r="64" spans="1:11" ht="34.15" customHeight="1" x14ac:dyDescent="0.25">
      <c r="A64" s="198">
        <v>4.4000000000000004</v>
      </c>
      <c r="B64" s="340" t="s">
        <v>555</v>
      </c>
      <c r="C64" s="341"/>
      <c r="D64" s="208" t="s">
        <v>93</v>
      </c>
      <c r="E64" s="186">
        <v>17</v>
      </c>
      <c r="F64" s="187">
        <f>+APU´s!F847</f>
        <v>202647</v>
      </c>
      <c r="G64" s="338">
        <f t="shared" si="8"/>
        <v>3444999</v>
      </c>
      <c r="H64" s="339"/>
      <c r="I64" s="33"/>
      <c r="J64" s="182">
        <f t="shared" si="1"/>
        <v>17</v>
      </c>
      <c r="K64" s="182">
        <f t="shared" si="2"/>
        <v>202647</v>
      </c>
    </row>
    <row r="65" spans="1:11" ht="27.6" customHeight="1" x14ac:dyDescent="0.25">
      <c r="A65" s="198">
        <v>4.5</v>
      </c>
      <c r="B65" s="340" t="s">
        <v>556</v>
      </c>
      <c r="C65" s="341"/>
      <c r="D65" s="208" t="s">
        <v>93</v>
      </c>
      <c r="E65" s="186">
        <v>1</v>
      </c>
      <c r="F65" s="187">
        <f>+APU´s!F872</f>
        <v>978988</v>
      </c>
      <c r="G65" s="338">
        <f t="shared" si="8"/>
        <v>978988</v>
      </c>
      <c r="H65" s="339"/>
      <c r="I65" s="33"/>
      <c r="J65" s="182">
        <f t="shared" si="1"/>
        <v>1</v>
      </c>
      <c r="K65" s="182">
        <f t="shared" si="2"/>
        <v>978988</v>
      </c>
    </row>
    <row r="66" spans="1:11" ht="32.450000000000003" customHeight="1" x14ac:dyDescent="0.25">
      <c r="A66" s="198">
        <v>4.5999999999999996</v>
      </c>
      <c r="B66" s="340" t="s">
        <v>518</v>
      </c>
      <c r="C66" s="341"/>
      <c r="D66" s="208" t="s">
        <v>93</v>
      </c>
      <c r="E66" s="186">
        <v>8</v>
      </c>
      <c r="F66" s="187">
        <f>+APU´s!F899</f>
        <v>129909</v>
      </c>
      <c r="G66" s="338">
        <f t="shared" si="8"/>
        <v>1039272</v>
      </c>
      <c r="H66" s="339"/>
      <c r="I66" s="33"/>
      <c r="J66" s="182">
        <f t="shared" si="1"/>
        <v>8</v>
      </c>
      <c r="K66" s="182">
        <f t="shared" si="2"/>
        <v>129909</v>
      </c>
    </row>
    <row r="67" spans="1:11" ht="21.6" customHeight="1" x14ac:dyDescent="0.25">
      <c r="A67" s="198">
        <v>4.7</v>
      </c>
      <c r="B67" s="340" t="s">
        <v>560</v>
      </c>
      <c r="C67" s="341"/>
      <c r="D67" s="208" t="s">
        <v>93</v>
      </c>
      <c r="E67" s="186">
        <v>8</v>
      </c>
      <c r="F67" s="187">
        <f>+APU´s!F920</f>
        <v>173044</v>
      </c>
      <c r="G67" s="338">
        <f t="shared" si="8"/>
        <v>1384352</v>
      </c>
      <c r="H67" s="339"/>
      <c r="I67" s="33"/>
      <c r="J67" s="182">
        <f t="shared" si="1"/>
        <v>8</v>
      </c>
      <c r="K67" s="182">
        <f t="shared" si="2"/>
        <v>173044</v>
      </c>
    </row>
    <row r="68" spans="1:11" ht="31.15" customHeight="1" x14ac:dyDescent="0.25">
      <c r="A68" s="198">
        <v>4.8</v>
      </c>
      <c r="B68" s="340" t="s">
        <v>557</v>
      </c>
      <c r="C68" s="341"/>
      <c r="D68" s="208" t="s">
        <v>93</v>
      </c>
      <c r="E68" s="186">
        <v>1</v>
      </c>
      <c r="F68" s="187">
        <f>+APU´s!F946</f>
        <v>1750926</v>
      </c>
      <c r="G68" s="338">
        <f t="shared" si="8"/>
        <v>1750926</v>
      </c>
      <c r="H68" s="339"/>
      <c r="I68" s="33"/>
      <c r="J68" s="182">
        <f t="shared" si="1"/>
        <v>1</v>
      </c>
      <c r="K68" s="182">
        <f t="shared" si="2"/>
        <v>1750926</v>
      </c>
    </row>
    <row r="69" spans="1:11" ht="24.6" customHeight="1" x14ac:dyDescent="0.25">
      <c r="A69" s="198">
        <v>4.9000000000000004</v>
      </c>
      <c r="B69" s="340" t="s">
        <v>558</v>
      </c>
      <c r="C69" s="341"/>
      <c r="D69" s="208" t="s">
        <v>93</v>
      </c>
      <c r="E69" s="186">
        <v>24</v>
      </c>
      <c r="F69" s="187">
        <f>+APU´s!F972</f>
        <v>36944</v>
      </c>
      <c r="G69" s="338">
        <f t="shared" si="8"/>
        <v>886656</v>
      </c>
      <c r="H69" s="339"/>
      <c r="I69" s="33"/>
      <c r="J69" s="182">
        <f t="shared" si="1"/>
        <v>24</v>
      </c>
      <c r="K69" s="182">
        <f t="shared" si="2"/>
        <v>36944</v>
      </c>
    </row>
    <row r="70" spans="1:11" ht="13.15" customHeight="1" x14ac:dyDescent="0.25">
      <c r="A70" s="202">
        <v>4.0999999999999996</v>
      </c>
      <c r="B70" s="340" t="s">
        <v>541</v>
      </c>
      <c r="C70" s="341"/>
      <c r="D70" s="208" t="s">
        <v>302</v>
      </c>
      <c r="E70" s="186">
        <v>1</v>
      </c>
      <c r="F70" s="187">
        <f>+APU´s!F1037</f>
        <v>1906180</v>
      </c>
      <c r="G70" s="338">
        <f t="shared" si="8"/>
        <v>1906180</v>
      </c>
      <c r="H70" s="339"/>
      <c r="I70" s="33"/>
      <c r="J70" s="182">
        <f t="shared" si="1"/>
        <v>1</v>
      </c>
      <c r="K70" s="182">
        <f t="shared" si="2"/>
        <v>1906180</v>
      </c>
    </row>
    <row r="71" spans="1:11" ht="35.450000000000003" customHeight="1" x14ac:dyDescent="0.25">
      <c r="A71" s="202">
        <v>4.1100000000000003</v>
      </c>
      <c r="B71" s="340" t="s">
        <v>559</v>
      </c>
      <c r="C71" s="341"/>
      <c r="D71" s="208" t="s">
        <v>93</v>
      </c>
      <c r="E71" s="186">
        <v>3</v>
      </c>
      <c r="F71" s="187">
        <f>+APU´s!F1064</f>
        <v>324806</v>
      </c>
      <c r="G71" s="338">
        <f t="shared" si="8"/>
        <v>974418</v>
      </c>
      <c r="H71" s="339"/>
      <c r="I71" s="33"/>
      <c r="J71" s="182">
        <f t="shared" si="1"/>
        <v>3</v>
      </c>
      <c r="K71" s="182">
        <f t="shared" si="2"/>
        <v>324806</v>
      </c>
    </row>
    <row r="72" spans="1:11" ht="21.6" customHeight="1" x14ac:dyDescent="0.25">
      <c r="A72" s="202">
        <v>4.12</v>
      </c>
      <c r="B72" s="340" t="s">
        <v>546</v>
      </c>
      <c r="C72" s="341"/>
      <c r="D72" s="208" t="s">
        <v>93</v>
      </c>
      <c r="E72" s="186">
        <v>2</v>
      </c>
      <c r="F72" s="187">
        <f>+APU´s!F1084</f>
        <v>213825</v>
      </c>
      <c r="G72" s="338">
        <f t="shared" si="8"/>
        <v>427650</v>
      </c>
      <c r="H72" s="339"/>
      <c r="I72" s="33"/>
      <c r="J72" s="182">
        <f t="shared" si="1"/>
        <v>2</v>
      </c>
      <c r="K72" s="182">
        <f t="shared" si="2"/>
        <v>213825</v>
      </c>
    </row>
    <row r="73" spans="1:11" ht="25.9" customHeight="1" x14ac:dyDescent="0.25">
      <c r="A73" s="202">
        <v>4.13</v>
      </c>
      <c r="B73" s="340" t="s">
        <v>548</v>
      </c>
      <c r="C73" s="341"/>
      <c r="D73" s="208" t="s">
        <v>93</v>
      </c>
      <c r="E73" s="186">
        <v>2</v>
      </c>
      <c r="F73" s="187">
        <f>+APU´s!F1110</f>
        <v>129527</v>
      </c>
      <c r="G73" s="338">
        <f t="shared" si="8"/>
        <v>259054</v>
      </c>
      <c r="H73" s="339"/>
      <c r="I73" s="33"/>
      <c r="J73" s="182">
        <f t="shared" si="1"/>
        <v>2</v>
      </c>
      <c r="K73" s="182">
        <f t="shared" si="2"/>
        <v>129527</v>
      </c>
    </row>
    <row r="74" spans="1:11" ht="35.450000000000003" customHeight="1" x14ac:dyDescent="0.25">
      <c r="A74" s="202">
        <v>4.1399999999999997</v>
      </c>
      <c r="B74" s="340" t="s">
        <v>550</v>
      </c>
      <c r="C74" s="341"/>
      <c r="D74" s="208" t="s">
        <v>93</v>
      </c>
      <c r="E74" s="186">
        <v>3</v>
      </c>
      <c r="F74" s="187">
        <f>+APU´s!F1136</f>
        <v>280819</v>
      </c>
      <c r="G74" s="338">
        <f t="shared" si="8"/>
        <v>842457</v>
      </c>
      <c r="H74" s="339"/>
      <c r="I74" s="33"/>
      <c r="J74" s="182">
        <f t="shared" si="1"/>
        <v>3</v>
      </c>
      <c r="K74" s="182">
        <f t="shared" si="2"/>
        <v>280819</v>
      </c>
    </row>
    <row r="75" spans="1:11" x14ac:dyDescent="0.25">
      <c r="A75" s="209">
        <v>5</v>
      </c>
      <c r="B75" s="348" t="s">
        <v>690</v>
      </c>
      <c r="C75" s="348"/>
      <c r="D75" s="210"/>
      <c r="E75" s="191"/>
      <c r="F75" s="192"/>
      <c r="G75" s="349"/>
      <c r="H75" s="350"/>
      <c r="I75" s="33"/>
      <c r="J75" s="182">
        <f t="shared" si="1"/>
        <v>0</v>
      </c>
      <c r="K75" s="182">
        <f t="shared" si="2"/>
        <v>0</v>
      </c>
    </row>
    <row r="76" spans="1:11" x14ac:dyDescent="0.25">
      <c r="A76" s="198">
        <v>5.0999999999999996</v>
      </c>
      <c r="B76" s="342" t="s">
        <v>691</v>
      </c>
      <c r="C76" s="342"/>
      <c r="D76" s="199" t="s">
        <v>98</v>
      </c>
      <c r="E76" s="186">
        <f>13*8</f>
        <v>104</v>
      </c>
      <c r="F76" s="187">
        <f>+APU´s!F1153</f>
        <v>5582</v>
      </c>
      <c r="G76" s="338">
        <f t="shared" ref="G76" si="9">ROUND(E76*F76,2)</f>
        <v>580528</v>
      </c>
      <c r="H76" s="339"/>
      <c r="I76" s="33"/>
      <c r="J76" s="182">
        <f t="shared" si="1"/>
        <v>104</v>
      </c>
      <c r="K76" s="182">
        <f t="shared" si="2"/>
        <v>5582</v>
      </c>
    </row>
    <row r="77" spans="1:11" x14ac:dyDescent="0.25">
      <c r="A77" s="343" t="s">
        <v>933</v>
      </c>
      <c r="B77" s="344"/>
      <c r="C77" s="344"/>
      <c r="D77" s="344"/>
      <c r="E77" s="344"/>
      <c r="F77" s="345"/>
      <c r="G77" s="346">
        <f>SUM(G12:H76)</f>
        <v>223467913.10000002</v>
      </c>
      <c r="H77" s="347"/>
      <c r="I77" s="27"/>
    </row>
    <row r="78" spans="1:11" x14ac:dyDescent="0.25">
      <c r="A78" s="361" t="s">
        <v>101</v>
      </c>
      <c r="B78" s="362"/>
      <c r="C78" s="362"/>
      <c r="D78" s="362"/>
      <c r="E78" s="363"/>
      <c r="F78" s="211">
        <v>0.23</v>
      </c>
      <c r="G78" s="364">
        <f>ROUND(G77*F78,2)</f>
        <v>51397620.009999998</v>
      </c>
      <c r="H78" s="365"/>
      <c r="I78" s="27"/>
    </row>
    <row r="79" spans="1:11" x14ac:dyDescent="0.25">
      <c r="A79" s="361" t="s">
        <v>102</v>
      </c>
      <c r="B79" s="362"/>
      <c r="C79" s="362"/>
      <c r="D79" s="362"/>
      <c r="E79" s="363"/>
      <c r="F79" s="211">
        <v>0.01</v>
      </c>
      <c r="G79" s="364">
        <f>ROUND(G77*F79,2)</f>
        <v>2234679.13</v>
      </c>
      <c r="H79" s="365"/>
      <c r="I79" s="27"/>
    </row>
    <row r="80" spans="1:11" x14ac:dyDescent="0.25">
      <c r="A80" s="361" t="s">
        <v>103</v>
      </c>
      <c r="B80" s="362"/>
      <c r="C80" s="362"/>
      <c r="D80" s="362"/>
      <c r="E80" s="363"/>
      <c r="F80" s="211">
        <v>0.05</v>
      </c>
      <c r="G80" s="364">
        <f>ROUND(G77*F80,2)</f>
        <v>11173395.66</v>
      </c>
      <c r="H80" s="365"/>
      <c r="I80" s="27"/>
    </row>
    <row r="81" spans="1:10" ht="15.75" thickBot="1" x14ac:dyDescent="0.3">
      <c r="A81" s="351" t="s">
        <v>104</v>
      </c>
      <c r="B81" s="352"/>
      <c r="C81" s="352"/>
      <c r="D81" s="352"/>
      <c r="E81" s="353"/>
      <c r="F81" s="212">
        <v>0.19</v>
      </c>
      <c r="G81" s="354">
        <f>ROUND(G80*F81,2)</f>
        <v>2122945.1800000002</v>
      </c>
      <c r="H81" s="355"/>
      <c r="I81" s="27"/>
    </row>
    <row r="82" spans="1:10" ht="15.75" thickBot="1" x14ac:dyDescent="0.3">
      <c r="A82" s="356" t="s">
        <v>934</v>
      </c>
      <c r="B82" s="357"/>
      <c r="C82" s="357"/>
      <c r="D82" s="357"/>
      <c r="E82" s="357"/>
      <c r="F82" s="358"/>
      <c r="G82" s="359">
        <f>SUM(G77:H81)</f>
        <v>290396553.08000004</v>
      </c>
      <c r="H82" s="360"/>
      <c r="I82" s="27"/>
      <c r="J82" s="137"/>
    </row>
    <row r="83" spans="1:10" ht="15.75" thickBot="1" x14ac:dyDescent="0.3">
      <c r="A83" s="403"/>
      <c r="B83" s="404"/>
      <c r="C83" s="404"/>
      <c r="D83" s="404"/>
      <c r="E83" s="404"/>
      <c r="F83" s="404"/>
      <c r="G83" s="404"/>
      <c r="H83" s="405"/>
      <c r="I83" s="27"/>
      <c r="J83" s="137"/>
    </row>
    <row r="84" spans="1:10" x14ac:dyDescent="0.25">
      <c r="A84" s="209">
        <v>6</v>
      </c>
      <c r="B84" s="348" t="s">
        <v>698</v>
      </c>
      <c r="C84" s="348"/>
      <c r="D84" s="210"/>
      <c r="E84" s="191"/>
      <c r="F84" s="192"/>
      <c r="G84" s="349"/>
      <c r="H84" s="350"/>
      <c r="I84" s="27"/>
      <c r="J84" s="137"/>
    </row>
    <row r="85" spans="1:10" ht="41.45" customHeight="1" x14ac:dyDescent="0.25">
      <c r="A85" s="198">
        <v>6.1</v>
      </c>
      <c r="B85" s="342" t="s">
        <v>936</v>
      </c>
      <c r="C85" s="342"/>
      <c r="D85" s="208" t="s">
        <v>93</v>
      </c>
      <c r="E85" s="186">
        <v>4</v>
      </c>
      <c r="F85" s="187">
        <f>2367765/1.19</f>
        <v>1989718.487394958</v>
      </c>
      <c r="G85" s="338">
        <f t="shared" ref="G85" si="10">ROUND(E85*F85,2)</f>
        <v>7958873.9500000002</v>
      </c>
      <c r="H85" s="339"/>
      <c r="I85" s="27"/>
      <c r="J85" s="137"/>
    </row>
    <row r="86" spans="1:10" ht="15.75" thickBot="1" x14ac:dyDescent="0.3">
      <c r="A86" s="343" t="s">
        <v>935</v>
      </c>
      <c r="B86" s="344"/>
      <c r="C86" s="344"/>
      <c r="D86" s="344"/>
      <c r="E86" s="344"/>
      <c r="F86" s="376"/>
      <c r="G86" s="346">
        <f>+G85</f>
        <v>7958873.9500000002</v>
      </c>
      <c r="H86" s="347"/>
      <c r="I86" s="27"/>
      <c r="J86" s="137"/>
    </row>
    <row r="87" spans="1:10" ht="15.75" thickBot="1" x14ac:dyDescent="0.3">
      <c r="A87" s="406" t="s">
        <v>938</v>
      </c>
      <c r="B87" s="407"/>
      <c r="C87" s="407"/>
      <c r="D87" s="407"/>
      <c r="E87" s="407"/>
      <c r="F87" s="213">
        <v>0.19</v>
      </c>
      <c r="G87" s="412">
        <f>+ROUND(G86*0.19,2)</f>
        <v>1512186.05</v>
      </c>
      <c r="H87" s="413"/>
    </row>
    <row r="88" spans="1:10" x14ac:dyDescent="0.25">
      <c r="A88" s="411" t="s">
        <v>939</v>
      </c>
      <c r="B88" s="411"/>
      <c r="C88" s="411"/>
      <c r="D88" s="411"/>
      <c r="E88" s="411"/>
      <c r="F88" s="411"/>
      <c r="G88" s="408">
        <f>+G86+G87</f>
        <v>9471060</v>
      </c>
      <c r="H88" s="409"/>
    </row>
    <row r="89" spans="1:10" x14ac:dyDescent="0.25">
      <c r="A89" s="214"/>
      <c r="B89" s="214"/>
      <c r="C89" s="214"/>
      <c r="D89" s="214"/>
      <c r="E89" s="215"/>
      <c r="F89" s="214"/>
      <c r="G89" s="214"/>
      <c r="H89" s="214"/>
    </row>
    <row r="90" spans="1:10" x14ac:dyDescent="0.25">
      <c r="A90" s="410" t="s">
        <v>940</v>
      </c>
      <c r="B90" s="410"/>
      <c r="C90" s="410"/>
      <c r="D90" s="410"/>
      <c r="E90" s="410"/>
      <c r="F90" s="410"/>
      <c r="G90" s="401">
        <f>+G82+G88</f>
        <v>299867613.08000004</v>
      </c>
      <c r="H90" s="402"/>
    </row>
  </sheetData>
  <mergeCells count="172">
    <mergeCell ref="G61:H61"/>
    <mergeCell ref="G62:H62"/>
    <mergeCell ref="G63:H63"/>
    <mergeCell ref="G64:H64"/>
    <mergeCell ref="G65:H65"/>
    <mergeCell ref="G66:H66"/>
    <mergeCell ref="G90:H90"/>
    <mergeCell ref="A83:H83"/>
    <mergeCell ref="B84:C84"/>
    <mergeCell ref="G84:H84"/>
    <mergeCell ref="B85:C85"/>
    <mergeCell ref="G85:H85"/>
    <mergeCell ref="A86:F86"/>
    <mergeCell ref="G86:H86"/>
    <mergeCell ref="A87:E87"/>
    <mergeCell ref="G88:H88"/>
    <mergeCell ref="A90:F90"/>
    <mergeCell ref="A88:F88"/>
    <mergeCell ref="G87:H87"/>
    <mergeCell ref="G50:H50"/>
    <mergeCell ref="B53:C53"/>
    <mergeCell ref="G53:H53"/>
    <mergeCell ref="B55:C55"/>
    <mergeCell ref="G55:H55"/>
    <mergeCell ref="B54:C54"/>
    <mergeCell ref="G69:H69"/>
    <mergeCell ref="B70:C70"/>
    <mergeCell ref="B71:C71"/>
    <mergeCell ref="B68:C68"/>
    <mergeCell ref="B69:C69"/>
    <mergeCell ref="B56:C56"/>
    <mergeCell ref="G56:H56"/>
    <mergeCell ref="B58:C58"/>
    <mergeCell ref="G58:H58"/>
    <mergeCell ref="B57:C57"/>
    <mergeCell ref="G57:H57"/>
    <mergeCell ref="B59:C59"/>
    <mergeCell ref="G59:H59"/>
    <mergeCell ref="B64:C64"/>
    <mergeCell ref="B65:C65"/>
    <mergeCell ref="B66:C66"/>
    <mergeCell ref="B60:C60"/>
    <mergeCell ref="G60:H60"/>
    <mergeCell ref="A8:B8"/>
    <mergeCell ref="A9:B9"/>
    <mergeCell ref="B24:C24"/>
    <mergeCell ref="G24:H24"/>
    <mergeCell ref="B31:C31"/>
    <mergeCell ref="G31:H31"/>
    <mergeCell ref="B26:C26"/>
    <mergeCell ref="G26:H26"/>
    <mergeCell ref="B2:E4"/>
    <mergeCell ref="F2:H4"/>
    <mergeCell ref="A6:B6"/>
    <mergeCell ref="C6:D6"/>
    <mergeCell ref="E6:G6"/>
    <mergeCell ref="H6:I6"/>
    <mergeCell ref="A7:B7"/>
    <mergeCell ref="C7:G7"/>
    <mergeCell ref="H7:I7"/>
    <mergeCell ref="G13:H13"/>
    <mergeCell ref="C9:G9"/>
    <mergeCell ref="H9:I9"/>
    <mergeCell ref="A12:F12"/>
    <mergeCell ref="G12:H12"/>
    <mergeCell ref="B13:C13"/>
    <mergeCell ref="A10:A11"/>
    <mergeCell ref="B10:H10"/>
    <mergeCell ref="B11:C11"/>
    <mergeCell ref="G11:H11"/>
    <mergeCell ref="G39:H39"/>
    <mergeCell ref="G32:H32"/>
    <mergeCell ref="B35:C35"/>
    <mergeCell ref="G35:H35"/>
    <mergeCell ref="B36:C36"/>
    <mergeCell ref="G36:H36"/>
    <mergeCell ref="B39:C39"/>
    <mergeCell ref="B38:C38"/>
    <mergeCell ref="G38:H38"/>
    <mergeCell ref="B33:C33"/>
    <mergeCell ref="G33:H33"/>
    <mergeCell ref="G29:H29"/>
    <mergeCell ref="G30:H30"/>
    <mergeCell ref="B14:C14"/>
    <mergeCell ref="G14:H14"/>
    <mergeCell ref="B28:C28"/>
    <mergeCell ref="G28:H28"/>
    <mergeCell ref="B25:C25"/>
    <mergeCell ref="G25:H25"/>
    <mergeCell ref="B18:C18"/>
    <mergeCell ref="G18:H18"/>
    <mergeCell ref="B34:C34"/>
    <mergeCell ref="G34:H34"/>
    <mergeCell ref="G40:H40"/>
    <mergeCell ref="G41:H41"/>
    <mergeCell ref="B29:C29"/>
    <mergeCell ref="B43:C43"/>
    <mergeCell ref="B30:C30"/>
    <mergeCell ref="B32:C32"/>
    <mergeCell ref="G43:H43"/>
    <mergeCell ref="B37:C37"/>
    <mergeCell ref="G37:H37"/>
    <mergeCell ref="B40:C40"/>
    <mergeCell ref="B61:C61"/>
    <mergeCell ref="B62:C62"/>
    <mergeCell ref="B63:C63"/>
    <mergeCell ref="B41:C41"/>
    <mergeCell ref="B42:C42"/>
    <mergeCell ref="G42:H42"/>
    <mergeCell ref="B48:C48"/>
    <mergeCell ref="G48:H48"/>
    <mergeCell ref="B49:C49"/>
    <mergeCell ref="G49:H49"/>
    <mergeCell ref="B51:C51"/>
    <mergeCell ref="G51:H51"/>
    <mergeCell ref="B44:C44"/>
    <mergeCell ref="G44:H44"/>
    <mergeCell ref="B46:C46"/>
    <mergeCell ref="G46:H46"/>
    <mergeCell ref="B45:C45"/>
    <mergeCell ref="G45:H45"/>
    <mergeCell ref="B47:C47"/>
    <mergeCell ref="G47:H47"/>
    <mergeCell ref="G54:H54"/>
    <mergeCell ref="B52:C52"/>
    <mergeCell ref="G52:H52"/>
    <mergeCell ref="B50:C50"/>
    <mergeCell ref="A81:E81"/>
    <mergeCell ref="G81:H81"/>
    <mergeCell ref="A82:F82"/>
    <mergeCell ref="G82:H82"/>
    <mergeCell ref="A78:E78"/>
    <mergeCell ref="G78:H78"/>
    <mergeCell ref="A79:E79"/>
    <mergeCell ref="G79:H79"/>
    <mergeCell ref="A80:E80"/>
    <mergeCell ref="G80:H80"/>
    <mergeCell ref="A77:F77"/>
    <mergeCell ref="G77:H77"/>
    <mergeCell ref="G67:H67"/>
    <mergeCell ref="G68:H68"/>
    <mergeCell ref="G70:H70"/>
    <mergeCell ref="G71:H71"/>
    <mergeCell ref="G72:H72"/>
    <mergeCell ref="G73:H73"/>
    <mergeCell ref="G74:H74"/>
    <mergeCell ref="B67:C67"/>
    <mergeCell ref="B73:C73"/>
    <mergeCell ref="B74:C74"/>
    <mergeCell ref="B75:C75"/>
    <mergeCell ref="G75:H75"/>
    <mergeCell ref="B76:C76"/>
    <mergeCell ref="G76:H76"/>
    <mergeCell ref="B72:C72"/>
    <mergeCell ref="B15:C15"/>
    <mergeCell ref="G15:H15"/>
    <mergeCell ref="B23:C23"/>
    <mergeCell ref="G23:H23"/>
    <mergeCell ref="B16:C16"/>
    <mergeCell ref="G16:H16"/>
    <mergeCell ref="B17:C17"/>
    <mergeCell ref="G17:H17"/>
    <mergeCell ref="B27:C27"/>
    <mergeCell ref="G27:H27"/>
    <mergeCell ref="B21:C21"/>
    <mergeCell ref="G21:H21"/>
    <mergeCell ref="B22:C22"/>
    <mergeCell ref="G22:H22"/>
    <mergeCell ref="B19:C19"/>
    <mergeCell ref="G19:H19"/>
    <mergeCell ref="B20:C20"/>
    <mergeCell ref="G20:H2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171"/>
  <sheetViews>
    <sheetView topLeftCell="A675" zoomScale="85" zoomScaleNormal="85" workbookViewId="0">
      <selection activeCell="G13" sqref="G13:N1160"/>
    </sheetView>
  </sheetViews>
  <sheetFormatPr baseColWidth="10" defaultRowHeight="15" x14ac:dyDescent="0.25"/>
  <cols>
    <col min="1" max="1" width="11.42578125" style="91"/>
    <col min="2" max="2" width="59.140625" customWidth="1"/>
    <col min="3" max="3" width="12.5703125" customWidth="1"/>
    <col min="4" max="4" width="12.7109375" customWidth="1"/>
    <col min="5" max="6" width="22.140625" customWidth="1"/>
    <col min="7" max="7" width="29.28515625" bestFit="1" customWidth="1"/>
    <col min="14" max="14" width="13.85546875" customWidth="1"/>
  </cols>
  <sheetData>
    <row r="1" spans="1:14" ht="15.75" x14ac:dyDescent="0.25">
      <c r="A1" s="414" t="s">
        <v>254</v>
      </c>
      <c r="B1" s="415"/>
      <c r="C1" s="415"/>
      <c r="D1" s="415"/>
      <c r="E1" s="415"/>
    </row>
    <row r="2" spans="1:14" ht="15.75" x14ac:dyDescent="0.25">
      <c r="A2" s="414" t="s">
        <v>255</v>
      </c>
      <c r="B2" s="415"/>
      <c r="C2" s="415"/>
      <c r="D2" s="415"/>
      <c r="E2" s="415"/>
    </row>
    <row r="3" spans="1:14" ht="15.75" x14ac:dyDescent="0.25">
      <c r="A3" s="414" t="s">
        <v>256</v>
      </c>
      <c r="B3" s="415"/>
      <c r="C3" s="415"/>
      <c r="D3" s="415"/>
      <c r="E3" s="415"/>
    </row>
    <row r="4" spans="1:14" ht="15.75" x14ac:dyDescent="0.25">
      <c r="A4" s="87"/>
      <c r="B4" s="414" t="s">
        <v>254</v>
      </c>
      <c r="C4" s="415"/>
      <c r="D4" s="415"/>
      <c r="E4" s="415"/>
      <c r="F4" s="415"/>
    </row>
    <row r="5" spans="1:14" ht="15.75" x14ac:dyDescent="0.25">
      <c r="A5" s="87"/>
      <c r="B5" s="414" t="s">
        <v>255</v>
      </c>
      <c r="C5" s="415"/>
      <c r="D5" s="415"/>
      <c r="E5" s="415"/>
      <c r="F5" s="415"/>
    </row>
    <row r="6" spans="1:14" ht="15" customHeight="1" x14ac:dyDescent="0.25">
      <c r="A6" s="87"/>
      <c r="B6" s="414" t="s">
        <v>256</v>
      </c>
      <c r="C6" s="415"/>
      <c r="D6" s="415"/>
      <c r="E6" s="415"/>
      <c r="F6" s="415"/>
    </row>
    <row r="7" spans="1:14" ht="15.75" x14ac:dyDescent="0.25">
      <c r="A7" s="87"/>
      <c r="B7" s="421"/>
      <c r="C7" s="422"/>
      <c r="D7" s="422"/>
      <c r="E7" s="422"/>
      <c r="F7" s="423"/>
    </row>
    <row r="8" spans="1:14" ht="15" customHeight="1" x14ac:dyDescent="0.25">
      <c r="A8" s="87"/>
      <c r="B8" s="416" t="s">
        <v>257</v>
      </c>
      <c r="C8" s="417"/>
      <c r="D8" s="417"/>
      <c r="E8" s="417"/>
      <c r="F8" s="418"/>
    </row>
    <row r="9" spans="1:14" ht="15.75" customHeight="1" x14ac:dyDescent="0.25">
      <c r="A9" s="87"/>
      <c r="B9" s="419" t="s">
        <v>258</v>
      </c>
      <c r="C9" s="420"/>
      <c r="D9" s="420"/>
      <c r="E9" s="420"/>
      <c r="F9" s="420"/>
    </row>
    <row r="10" spans="1:14" ht="45" customHeight="1" x14ac:dyDescent="0.25">
      <c r="A10" s="88">
        <f>+PRESUPUESTO!A14</f>
        <v>1.1000000000000001</v>
      </c>
      <c r="B10" s="71" t="str">
        <f>+PRESUPUESTO!B14</f>
        <v>DEMOLICION DE PISO TABLETA EN GRES EXISTENTE INCLUYE RETIRO Y DISPOSICION FINAL DE ESCOMBROS ,DEMOLICION HASTA 15 CENTIIMETROS</v>
      </c>
      <c r="C10" s="72"/>
      <c r="D10" s="72"/>
      <c r="E10" s="73"/>
      <c r="F10" s="73" t="str">
        <f>+PRESUPUESTO!D14</f>
        <v>M2</v>
      </c>
    </row>
    <row r="11" spans="1:14" ht="15.75" customHeight="1" x14ac:dyDescent="0.25">
      <c r="A11" s="89"/>
      <c r="B11" s="74" t="s">
        <v>92</v>
      </c>
      <c r="C11" s="75" t="s">
        <v>93</v>
      </c>
      <c r="D11" s="75" t="s">
        <v>259</v>
      </c>
      <c r="E11" s="76" t="s">
        <v>260</v>
      </c>
      <c r="F11" s="76" t="s">
        <v>261</v>
      </c>
    </row>
    <row r="12" spans="1:14" ht="15.75" x14ac:dyDescent="0.25">
      <c r="A12" s="89"/>
      <c r="B12" s="77" t="s">
        <v>262</v>
      </c>
      <c r="C12" s="78"/>
      <c r="D12" s="78"/>
      <c r="E12" s="79"/>
      <c r="F12" s="79"/>
    </row>
    <row r="13" spans="1:14" ht="15.75" x14ac:dyDescent="0.25">
      <c r="A13" s="89"/>
      <c r="B13" s="74"/>
      <c r="C13" s="75"/>
      <c r="D13" s="75"/>
      <c r="E13" s="76"/>
      <c r="F13" s="76"/>
      <c r="H13">
        <f>+B13</f>
        <v>0</v>
      </c>
      <c r="M13">
        <f>+C13</f>
        <v>0</v>
      </c>
      <c r="N13" s="183">
        <f>+F13</f>
        <v>0</v>
      </c>
    </row>
    <row r="14" spans="1:14" ht="15.75" x14ac:dyDescent="0.25">
      <c r="A14" s="89"/>
      <c r="B14" s="77" t="s">
        <v>264</v>
      </c>
      <c r="C14" s="78"/>
      <c r="D14" s="78"/>
      <c r="E14" s="79"/>
      <c r="F14" s="76"/>
      <c r="N14" s="183"/>
    </row>
    <row r="15" spans="1:14" ht="15.75" customHeight="1" x14ac:dyDescent="0.25">
      <c r="A15" s="89"/>
      <c r="B15" s="80" t="s">
        <v>636</v>
      </c>
      <c r="C15" s="78" t="s">
        <v>93</v>
      </c>
      <c r="D15" s="81">
        <v>1.5E-3</v>
      </c>
      <c r="E15" s="76">
        <v>55709</v>
      </c>
      <c r="F15" s="76">
        <f>+D15*E15</f>
        <v>83.563500000000005</v>
      </c>
      <c r="N15" s="183"/>
    </row>
    <row r="16" spans="1:14" ht="15.75" customHeight="1" x14ac:dyDescent="0.25">
      <c r="A16" s="89"/>
      <c r="B16" s="80" t="s">
        <v>274</v>
      </c>
      <c r="C16" s="78" t="s">
        <v>93</v>
      </c>
      <c r="D16" s="81">
        <v>1.5E-3</v>
      </c>
      <c r="E16" s="76">
        <v>34437</v>
      </c>
      <c r="F16" s="76">
        <f t="shared" ref="F16:F17" si="0">+D16*E16</f>
        <v>51.655500000000004</v>
      </c>
      <c r="N16" s="183"/>
    </row>
    <row r="17" spans="1:14" ht="15.75" customHeight="1" x14ac:dyDescent="0.25">
      <c r="A17" s="89"/>
      <c r="B17" t="s">
        <v>275</v>
      </c>
      <c r="C17" s="78" t="s">
        <v>93</v>
      </c>
      <c r="D17" s="81">
        <v>1.5E-3</v>
      </c>
      <c r="E17" s="76">
        <v>120197</v>
      </c>
      <c r="F17" s="76">
        <f t="shared" si="0"/>
        <v>180.2955</v>
      </c>
      <c r="N17" s="183"/>
    </row>
    <row r="18" spans="1:14" ht="15.75" customHeight="1" x14ac:dyDescent="0.25">
      <c r="A18" s="89"/>
      <c r="B18" s="77" t="s">
        <v>266</v>
      </c>
      <c r="C18" s="78"/>
      <c r="D18" s="78"/>
      <c r="E18" s="76"/>
      <c r="F18" s="76"/>
      <c r="N18" s="183"/>
    </row>
    <row r="19" spans="1:14" ht="15.75" x14ac:dyDescent="0.25">
      <c r="A19" s="89"/>
      <c r="B19" s="82"/>
      <c r="C19" s="78"/>
      <c r="D19" s="94"/>
      <c r="E19" s="83"/>
      <c r="F19" s="83"/>
      <c r="N19" s="183"/>
    </row>
    <row r="20" spans="1:14" ht="15.75" x14ac:dyDescent="0.25">
      <c r="A20" s="89"/>
      <c r="B20" s="77" t="s">
        <v>269</v>
      </c>
      <c r="C20" s="78"/>
      <c r="D20" s="78"/>
      <c r="E20" s="79"/>
      <c r="F20" s="76"/>
      <c r="N20" s="183"/>
    </row>
    <row r="21" spans="1:14" ht="15.75" x14ac:dyDescent="0.25">
      <c r="A21" s="89"/>
      <c r="B21" s="82" t="s">
        <v>288</v>
      </c>
      <c r="C21" s="78" t="s">
        <v>265</v>
      </c>
      <c r="D21" s="78">
        <v>7.6499999999999999E-2</v>
      </c>
      <c r="E21" s="76">
        <v>179680</v>
      </c>
      <c r="F21" s="76">
        <f t="shared" ref="F21" si="1">+E21*D21</f>
        <v>13745.52</v>
      </c>
      <c r="N21" s="183"/>
    </row>
    <row r="22" spans="1:14" ht="15.75" x14ac:dyDescent="0.25">
      <c r="A22" s="89"/>
      <c r="B22" s="82"/>
      <c r="C22" s="78"/>
      <c r="D22" s="78"/>
      <c r="E22" s="85" t="s">
        <v>271</v>
      </c>
      <c r="F22" s="86">
        <f>ROUND(SUM(F13:F21), 0)</f>
        <v>14061</v>
      </c>
      <c r="N22" s="183"/>
    </row>
    <row r="23" spans="1:14" ht="47.25" x14ac:dyDescent="0.25">
      <c r="A23" s="88">
        <f>+PRESUPUESTO!A30</f>
        <v>1.1499999999999999</v>
      </c>
      <c r="B23" s="71" t="str">
        <f>+PRESUPUESTO!B15</f>
        <v>PICADO, RASPADO Y  ALISTADO DE BASE  EN MURO PARA  ENCHAPE DE BAÑOS  INCLUYE RETIRO Y DISPOSICION FINAL DE ESCOMBROS.</v>
      </c>
      <c r="C23" s="72"/>
      <c r="D23" s="72"/>
      <c r="E23" s="73"/>
      <c r="F23" s="73" t="str">
        <f>+PRESUPUESTO!D15</f>
        <v>M2</v>
      </c>
      <c r="N23" s="183"/>
    </row>
    <row r="24" spans="1:14" ht="15.75" x14ac:dyDescent="0.25">
      <c r="A24" s="89"/>
      <c r="B24" s="74" t="s">
        <v>92</v>
      </c>
      <c r="C24" s="75" t="s">
        <v>93</v>
      </c>
      <c r="D24" s="75" t="s">
        <v>259</v>
      </c>
      <c r="E24" s="76" t="s">
        <v>260</v>
      </c>
      <c r="F24" s="76" t="s">
        <v>261</v>
      </c>
      <c r="N24" s="183"/>
    </row>
    <row r="25" spans="1:14" ht="15.75" x14ac:dyDescent="0.25">
      <c r="A25" s="89"/>
      <c r="B25" s="77" t="s">
        <v>262</v>
      </c>
      <c r="C25" s="78"/>
      <c r="D25" s="78"/>
      <c r="E25" s="79"/>
      <c r="F25" s="79"/>
      <c r="N25" s="183"/>
    </row>
    <row r="26" spans="1:14" ht="15.75" x14ac:dyDescent="0.25">
      <c r="A26" s="89"/>
      <c r="B26" s="74"/>
      <c r="C26" s="75"/>
      <c r="D26" s="75"/>
      <c r="E26" s="76"/>
      <c r="F26" s="76"/>
      <c r="N26" s="183"/>
    </row>
    <row r="27" spans="1:14" ht="15.75" x14ac:dyDescent="0.25">
      <c r="A27" s="89"/>
      <c r="B27" s="77" t="s">
        <v>264</v>
      </c>
      <c r="C27" s="78"/>
      <c r="D27" s="78"/>
      <c r="E27" s="79"/>
      <c r="F27" s="76"/>
      <c r="N27" s="183"/>
    </row>
    <row r="28" spans="1:14" ht="15.75" x14ac:dyDescent="0.25">
      <c r="A28" s="89"/>
      <c r="B28" s="80" t="s">
        <v>637</v>
      </c>
      <c r="C28" s="78" t="s">
        <v>297</v>
      </c>
      <c r="D28" s="78">
        <v>0.2</v>
      </c>
      <c r="E28" s="76">
        <v>5246</v>
      </c>
      <c r="F28" s="76">
        <f t="shared" ref="F28:F34" si="2">+E28*D28</f>
        <v>1049.2</v>
      </c>
      <c r="N28" s="183"/>
    </row>
    <row r="29" spans="1:14" ht="15.75" x14ac:dyDescent="0.25">
      <c r="A29" s="89"/>
      <c r="B29" s="80" t="s">
        <v>638</v>
      </c>
      <c r="C29" s="78" t="s">
        <v>93</v>
      </c>
      <c r="D29" s="78">
        <v>8.0000000000000004E-4</v>
      </c>
      <c r="E29" s="76">
        <v>55709</v>
      </c>
      <c r="F29" s="76">
        <f t="shared" si="2"/>
        <v>44.5672</v>
      </c>
      <c r="N29" s="183"/>
    </row>
    <row r="30" spans="1:14" ht="15.75" x14ac:dyDescent="0.25">
      <c r="A30" s="89"/>
      <c r="B30" s="80" t="s">
        <v>639</v>
      </c>
      <c r="C30" s="78" t="s">
        <v>93</v>
      </c>
      <c r="D30" s="78">
        <v>8.0000000000000004E-4</v>
      </c>
      <c r="E30" s="76">
        <v>34437</v>
      </c>
      <c r="F30" s="76">
        <f t="shared" si="2"/>
        <v>27.549600000000002</v>
      </c>
      <c r="N30" s="183"/>
    </row>
    <row r="31" spans="1:14" ht="15.75" x14ac:dyDescent="0.25">
      <c r="A31" s="89"/>
      <c r="B31" s="77" t="s">
        <v>266</v>
      </c>
      <c r="C31" s="78"/>
      <c r="D31" s="78"/>
      <c r="E31" s="76"/>
      <c r="F31" s="76">
        <f t="shared" si="2"/>
        <v>0</v>
      </c>
      <c r="N31" s="183"/>
    </row>
    <row r="32" spans="1:14" ht="15.75" x14ac:dyDescent="0.25">
      <c r="A32" s="89"/>
      <c r="B32" s="82" t="s">
        <v>267</v>
      </c>
      <c r="C32" s="78"/>
      <c r="D32" s="78"/>
      <c r="E32" s="83"/>
      <c r="F32" s="76"/>
      <c r="N32" s="183"/>
    </row>
    <row r="33" spans="1:14" ht="15.75" x14ac:dyDescent="0.25">
      <c r="A33" s="89"/>
      <c r="B33" s="77" t="s">
        <v>269</v>
      </c>
      <c r="C33" s="78"/>
      <c r="D33" s="78"/>
      <c r="E33" s="79"/>
      <c r="F33" s="76">
        <f t="shared" si="2"/>
        <v>0</v>
      </c>
      <c r="N33" s="183"/>
    </row>
    <row r="34" spans="1:14" ht="15.75" x14ac:dyDescent="0.25">
      <c r="A34" s="89"/>
      <c r="B34" s="82" t="s">
        <v>640</v>
      </c>
      <c r="C34" s="78" t="s">
        <v>265</v>
      </c>
      <c r="D34" s="78">
        <v>0.04</v>
      </c>
      <c r="E34" s="76">
        <v>179680</v>
      </c>
      <c r="F34" s="76">
        <f t="shared" si="2"/>
        <v>7187.2</v>
      </c>
      <c r="N34" s="183"/>
    </row>
    <row r="35" spans="1:14" ht="15.75" x14ac:dyDescent="0.25">
      <c r="A35" s="89"/>
      <c r="B35" s="82"/>
      <c r="C35" s="78"/>
      <c r="D35" s="78"/>
      <c r="E35" s="85" t="s">
        <v>271</v>
      </c>
      <c r="F35" s="86">
        <f>ROUND(SUM(F26:F34), 0)</f>
        <v>8309</v>
      </c>
      <c r="N35" s="183"/>
    </row>
    <row r="36" spans="1:14" ht="47.25" x14ac:dyDescent="0.25">
      <c r="A36" s="88">
        <f>+PRESUPUESTO!A44</f>
        <v>1.29</v>
      </c>
      <c r="B36" s="71" t="str">
        <f>+PRESUPUESTO!B16</f>
        <v>DEMOLICION DE DE MURO PARA PUERTA DE ACCESO NUEVO ENTRADA ALMACEN Y PLACA EN CONCRETO EXIISTENTE</v>
      </c>
      <c r="C36" s="72"/>
      <c r="D36" s="72"/>
      <c r="E36" s="73"/>
      <c r="F36" s="73" t="str">
        <f>+PRESUPUESTO!D31</f>
        <v>M2</v>
      </c>
      <c r="N36" s="183"/>
    </row>
    <row r="37" spans="1:14" ht="15.75" x14ac:dyDescent="0.25">
      <c r="A37" s="89"/>
      <c r="B37" s="74" t="s">
        <v>92</v>
      </c>
      <c r="C37" s="75" t="s">
        <v>93</v>
      </c>
      <c r="D37" s="75" t="s">
        <v>259</v>
      </c>
      <c r="E37" s="76" t="s">
        <v>260</v>
      </c>
      <c r="F37" s="76" t="s">
        <v>261</v>
      </c>
      <c r="N37" s="183"/>
    </row>
    <row r="38" spans="1:14" ht="15.75" x14ac:dyDescent="0.25">
      <c r="A38" s="89"/>
      <c r="B38" s="77" t="s">
        <v>262</v>
      </c>
      <c r="C38" s="78"/>
      <c r="D38" s="78"/>
      <c r="E38" s="79"/>
      <c r="F38" s="79"/>
      <c r="N38" s="183"/>
    </row>
    <row r="39" spans="1:14" ht="15.75" x14ac:dyDescent="0.25">
      <c r="A39" s="89"/>
      <c r="B39" s="74"/>
      <c r="C39" s="75"/>
      <c r="D39" s="75"/>
      <c r="E39" s="76"/>
      <c r="F39" s="76"/>
      <c r="N39" s="183"/>
    </row>
    <row r="40" spans="1:14" ht="15.75" x14ac:dyDescent="0.25">
      <c r="A40" s="89"/>
      <c r="B40" s="77" t="s">
        <v>264</v>
      </c>
      <c r="C40" s="78"/>
      <c r="D40" s="78"/>
      <c r="E40" s="79"/>
      <c r="F40" s="76"/>
      <c r="N40" s="183"/>
    </row>
    <row r="41" spans="1:14" ht="15.75" x14ac:dyDescent="0.25">
      <c r="A41" s="89"/>
      <c r="B41" s="82" t="s">
        <v>637</v>
      </c>
      <c r="C41" s="78" t="s">
        <v>297</v>
      </c>
      <c r="D41" s="78">
        <v>0.15</v>
      </c>
      <c r="E41" s="79">
        <v>5246</v>
      </c>
      <c r="F41" s="76">
        <f t="shared" ref="F41:F44" si="3">+E41*D41</f>
        <v>786.9</v>
      </c>
      <c r="N41" s="183"/>
    </row>
    <row r="42" spans="1:14" ht="15.75" x14ac:dyDescent="0.25">
      <c r="A42" s="89"/>
      <c r="B42" s="80" t="s">
        <v>273</v>
      </c>
      <c r="C42" s="78" t="s">
        <v>93</v>
      </c>
      <c r="D42" s="78">
        <v>1.8E-3</v>
      </c>
      <c r="E42" s="76">
        <v>55709</v>
      </c>
      <c r="F42" s="76">
        <f t="shared" si="3"/>
        <v>100.2762</v>
      </c>
      <c r="N42" s="183"/>
    </row>
    <row r="43" spans="1:14" ht="15.75" x14ac:dyDescent="0.25">
      <c r="A43" s="89"/>
      <c r="B43" s="80" t="s">
        <v>274</v>
      </c>
      <c r="C43" s="78" t="s">
        <v>93</v>
      </c>
      <c r="D43" s="78">
        <v>1.8E-3</v>
      </c>
      <c r="E43" s="76">
        <v>34437</v>
      </c>
      <c r="F43" s="76">
        <f t="shared" si="3"/>
        <v>61.986599999999996</v>
      </c>
      <c r="N43" s="183"/>
    </row>
    <row r="44" spans="1:14" ht="15.75" x14ac:dyDescent="0.25">
      <c r="A44" s="89"/>
      <c r="B44" s="80" t="s">
        <v>275</v>
      </c>
      <c r="C44" s="78" t="s">
        <v>93</v>
      </c>
      <c r="D44" s="78">
        <v>1.493E-3</v>
      </c>
      <c r="E44" s="76">
        <v>120197</v>
      </c>
      <c r="F44" s="76">
        <f t="shared" si="3"/>
        <v>179.45412099999999</v>
      </c>
      <c r="N44" s="183"/>
    </row>
    <row r="45" spans="1:14" ht="15.75" x14ac:dyDescent="0.25">
      <c r="A45" s="89"/>
      <c r="B45" s="80"/>
      <c r="C45" s="78"/>
      <c r="D45" s="81"/>
      <c r="E45" s="76"/>
      <c r="F45" s="76"/>
      <c r="N45" s="183"/>
    </row>
    <row r="46" spans="1:14" ht="15.75" x14ac:dyDescent="0.25">
      <c r="A46" s="89"/>
      <c r="B46" s="77" t="s">
        <v>266</v>
      </c>
      <c r="C46" s="78"/>
      <c r="D46" s="78"/>
      <c r="E46" s="76"/>
      <c r="F46" s="76"/>
      <c r="N46" s="183"/>
    </row>
    <row r="47" spans="1:14" ht="15.75" x14ac:dyDescent="0.25">
      <c r="A47" s="89"/>
      <c r="B47" s="82"/>
      <c r="C47" s="78"/>
      <c r="D47" s="78"/>
      <c r="E47" s="83"/>
      <c r="F47" s="76"/>
      <c r="N47" s="183"/>
    </row>
    <row r="48" spans="1:14" ht="15.75" x14ac:dyDescent="0.25">
      <c r="A48" s="89"/>
      <c r="B48" s="77" t="s">
        <v>269</v>
      </c>
      <c r="C48" s="78"/>
      <c r="D48" s="78"/>
      <c r="E48" s="79"/>
      <c r="F48" s="76"/>
      <c r="N48" s="183"/>
    </row>
    <row r="49" spans="1:14" ht="15.75" x14ac:dyDescent="0.25">
      <c r="A49" s="89"/>
      <c r="B49" s="82" t="s">
        <v>288</v>
      </c>
      <c r="C49" s="78" t="s">
        <v>265</v>
      </c>
      <c r="D49" s="78">
        <v>8.6999999999999994E-2</v>
      </c>
      <c r="E49" s="76">
        <v>179680</v>
      </c>
      <c r="F49" s="76">
        <f t="shared" ref="F49" si="4">+E49*D49</f>
        <v>15632.159999999998</v>
      </c>
      <c r="N49" s="183"/>
    </row>
    <row r="50" spans="1:14" ht="15.75" x14ac:dyDescent="0.25">
      <c r="A50" s="89"/>
      <c r="B50" s="82"/>
      <c r="C50" s="78"/>
      <c r="D50" s="78"/>
      <c r="E50" s="85" t="s">
        <v>271</v>
      </c>
      <c r="F50" s="86">
        <f>ROUND(SUM(F39:F49), 0)</f>
        <v>16761</v>
      </c>
      <c r="N50" s="183"/>
    </row>
    <row r="51" spans="1:14" ht="63" x14ac:dyDescent="0.25">
      <c r="A51" s="88">
        <f>+PRESUPUESTO!A17</f>
        <v>1.4</v>
      </c>
      <c r="B51" s="71" t="str">
        <f>+PRESUPUESTO!B17</f>
        <v>SUMINSTRO E INSTALACION  DE PAÑETE 1:4 PARA RESANE DE VANO DE PUERTA INCLUYES FILOS  Y DILATACIONES Y COMPLEMENTO EN MUROS COMPARTIDO DE BAÑOS</v>
      </c>
      <c r="C51" s="72"/>
      <c r="D51" s="72"/>
      <c r="E51" s="73"/>
      <c r="F51" s="73" t="str">
        <f>+PRESUPUESTO!D17</f>
        <v>M2</v>
      </c>
      <c r="N51" s="183"/>
    </row>
    <row r="52" spans="1:14" ht="15.75" x14ac:dyDescent="0.25">
      <c r="A52" s="89"/>
      <c r="B52" s="74" t="s">
        <v>92</v>
      </c>
      <c r="C52" s="75" t="s">
        <v>93</v>
      </c>
      <c r="D52" s="75" t="s">
        <v>259</v>
      </c>
      <c r="E52" s="76" t="s">
        <v>260</v>
      </c>
      <c r="F52" s="76" t="s">
        <v>261</v>
      </c>
      <c r="N52" s="183"/>
    </row>
    <row r="53" spans="1:14" ht="15.75" x14ac:dyDescent="0.25">
      <c r="A53" s="89"/>
      <c r="B53" s="77" t="s">
        <v>262</v>
      </c>
      <c r="C53" s="78"/>
      <c r="D53" s="78"/>
      <c r="E53" s="79"/>
      <c r="F53" s="79"/>
      <c r="N53" s="183"/>
    </row>
    <row r="54" spans="1:14" ht="15.75" x14ac:dyDescent="0.25">
      <c r="A54" s="89"/>
      <c r="B54" s="74" t="s">
        <v>289</v>
      </c>
      <c r="C54" s="75" t="s">
        <v>294</v>
      </c>
      <c r="D54" s="75">
        <v>2.5999999999999999E-2</v>
      </c>
      <c r="E54" s="76">
        <v>425444</v>
      </c>
      <c r="F54" s="76">
        <f>+E54*D54</f>
        <v>11061.544</v>
      </c>
      <c r="G54">
        <v>1.4</v>
      </c>
      <c r="H54" t="str">
        <f t="shared" ref="H54:H71" si="5">+B54</f>
        <v>MORTERO 1:4</v>
      </c>
      <c r="M54" t="str">
        <f t="shared" ref="M54:M71" si="6">+C54</f>
        <v>m3</v>
      </c>
      <c r="N54" s="183">
        <f t="shared" ref="N54:N71" si="7">+F54</f>
        <v>11061.544</v>
      </c>
    </row>
    <row r="55" spans="1:14" ht="15.75" x14ac:dyDescent="0.25">
      <c r="A55" s="89"/>
      <c r="B55" s="77" t="s">
        <v>264</v>
      </c>
      <c r="C55" s="78"/>
      <c r="D55" s="78"/>
      <c r="E55" s="79"/>
      <c r="F55" s="76">
        <f t="shared" ref="F55:F63" si="8">+E55*D55</f>
        <v>0</v>
      </c>
      <c r="N55" s="183"/>
    </row>
    <row r="56" spans="1:14" ht="15.75" x14ac:dyDescent="0.25">
      <c r="A56" s="89"/>
      <c r="B56" s="80" t="s">
        <v>290</v>
      </c>
      <c r="C56" s="78" t="s">
        <v>93</v>
      </c>
      <c r="D56" s="78">
        <v>1E-3</v>
      </c>
      <c r="E56" s="76">
        <v>44575</v>
      </c>
      <c r="F56" s="76">
        <f t="shared" si="8"/>
        <v>44.575000000000003</v>
      </c>
      <c r="N56" s="183"/>
    </row>
    <row r="57" spans="1:14" ht="15.75" x14ac:dyDescent="0.25">
      <c r="A57" s="89"/>
      <c r="B57" s="80" t="s">
        <v>291</v>
      </c>
      <c r="C57" s="78" t="s">
        <v>93</v>
      </c>
      <c r="D57" s="78">
        <v>1E-3</v>
      </c>
      <c r="E57" s="76">
        <v>31315</v>
      </c>
      <c r="F57" s="76">
        <f t="shared" si="8"/>
        <v>31.315000000000001</v>
      </c>
      <c r="N57" s="183"/>
    </row>
    <row r="58" spans="1:14" ht="15.75" x14ac:dyDescent="0.25">
      <c r="A58" s="89"/>
      <c r="B58" s="80" t="s">
        <v>292</v>
      </c>
      <c r="C58" s="78" t="s">
        <v>93</v>
      </c>
      <c r="D58" s="78">
        <v>1E-3</v>
      </c>
      <c r="E58" s="76">
        <v>16059</v>
      </c>
      <c r="F58" s="76">
        <f t="shared" si="8"/>
        <v>16.059000000000001</v>
      </c>
      <c r="N58" s="183"/>
    </row>
    <row r="59" spans="1:14" ht="15.75" x14ac:dyDescent="0.25">
      <c r="A59" s="89"/>
      <c r="B59" s="80"/>
      <c r="C59" s="78"/>
      <c r="D59" s="81"/>
      <c r="E59" s="76"/>
      <c r="F59" s="76"/>
      <c r="N59" s="183"/>
    </row>
    <row r="60" spans="1:14" ht="15.75" x14ac:dyDescent="0.25">
      <c r="A60" s="89"/>
      <c r="B60" s="77" t="s">
        <v>266</v>
      </c>
      <c r="C60" s="78"/>
      <c r="D60" s="78"/>
      <c r="E60" s="76"/>
      <c r="F60" s="76">
        <f t="shared" si="8"/>
        <v>0</v>
      </c>
      <c r="N60" s="183"/>
    </row>
    <row r="61" spans="1:14" ht="15.75" x14ac:dyDescent="0.25">
      <c r="A61" s="89"/>
      <c r="B61" s="82" t="s">
        <v>267</v>
      </c>
      <c r="C61" s="78" t="s">
        <v>268</v>
      </c>
      <c r="D61" s="78">
        <v>0.02</v>
      </c>
      <c r="E61" s="83"/>
      <c r="F61" s="76">
        <f t="shared" si="8"/>
        <v>0</v>
      </c>
      <c r="N61" s="183"/>
    </row>
    <row r="62" spans="1:14" ht="15.75" x14ac:dyDescent="0.25">
      <c r="A62" s="89"/>
      <c r="B62" s="77" t="s">
        <v>269</v>
      </c>
      <c r="C62" s="78"/>
      <c r="D62" s="78"/>
      <c r="E62" s="79"/>
      <c r="F62" s="76">
        <f t="shared" si="8"/>
        <v>0</v>
      </c>
      <c r="N62" s="183"/>
    </row>
    <row r="63" spans="1:14" ht="15.75" x14ac:dyDescent="0.25">
      <c r="A63" s="89"/>
      <c r="B63" t="s">
        <v>293</v>
      </c>
      <c r="C63" s="78" t="s">
        <v>265</v>
      </c>
      <c r="D63" s="78">
        <v>0.10199999999999999</v>
      </c>
      <c r="E63" s="84">
        <v>215235</v>
      </c>
      <c r="F63" s="76">
        <f t="shared" si="8"/>
        <v>21953.969999999998</v>
      </c>
      <c r="N63" s="183"/>
    </row>
    <row r="64" spans="1:14" ht="15.75" x14ac:dyDescent="0.25">
      <c r="A64" s="89"/>
      <c r="B64" s="82"/>
      <c r="C64" s="78"/>
      <c r="D64" s="78"/>
      <c r="E64" s="85" t="s">
        <v>271</v>
      </c>
      <c r="F64" s="86">
        <f>ROUND(SUM(F54:F63), 0)</f>
        <v>33107</v>
      </c>
      <c r="N64" s="183"/>
    </row>
    <row r="65" spans="1:14" ht="78.75" x14ac:dyDescent="0.25">
      <c r="A65" s="88">
        <f>+PRESUPUESTO!A18</f>
        <v>1.5</v>
      </c>
      <c r="B65" s="71" t="str">
        <f>+PRESUPUESTO!B18</f>
        <v>SUMINISTRO E INSTALACION DE MORTERO DE NIIVELACION  DE  5 CMS EN PISO MORTERO 1:4 IMPERMEABILIZADO CON SIKA IMPERMEABILIZANTE INCLUYE MALLA DE REFUERZO ELECTROSOLADAD DE 4 MM HUECO 20X20</v>
      </c>
      <c r="C65" s="72"/>
      <c r="D65" s="72"/>
      <c r="E65" s="73"/>
      <c r="F65" s="73" t="str">
        <f>+PRESUPUESTO!D18</f>
        <v>M2</v>
      </c>
      <c r="N65" s="183"/>
    </row>
    <row r="66" spans="1:14" ht="15.75" x14ac:dyDescent="0.25">
      <c r="A66" s="89"/>
      <c r="B66" s="74" t="s">
        <v>92</v>
      </c>
      <c r="C66" s="75" t="s">
        <v>93</v>
      </c>
      <c r="D66" s="75" t="s">
        <v>259</v>
      </c>
      <c r="E66" s="76" t="s">
        <v>260</v>
      </c>
      <c r="F66" s="76" t="s">
        <v>261</v>
      </c>
      <c r="N66" s="183"/>
    </row>
    <row r="67" spans="1:14" ht="15.75" x14ac:dyDescent="0.25">
      <c r="A67" s="89"/>
      <c r="B67" s="77" t="s">
        <v>262</v>
      </c>
      <c r="C67" s="78"/>
      <c r="D67" s="78"/>
      <c r="E67" s="79"/>
      <c r="F67" s="79"/>
      <c r="N67" s="183"/>
    </row>
    <row r="68" spans="1:14" ht="15.75" x14ac:dyDescent="0.25">
      <c r="A68" s="89"/>
      <c r="B68" s="80" t="s">
        <v>289</v>
      </c>
      <c r="C68" s="75" t="s">
        <v>145</v>
      </c>
      <c r="D68" s="75">
        <v>5.1999999999999998E-2</v>
      </c>
      <c r="E68" s="76">
        <v>425444</v>
      </c>
      <c r="F68" s="76">
        <f>+E68*D68</f>
        <v>22123.088</v>
      </c>
      <c r="G68">
        <v>1.5</v>
      </c>
      <c r="H68" t="str">
        <f t="shared" si="5"/>
        <v>MORTERO 1:4</v>
      </c>
      <c r="M68" t="str">
        <f t="shared" si="6"/>
        <v>M3</v>
      </c>
      <c r="N68" s="183">
        <f t="shared" si="7"/>
        <v>22123.088</v>
      </c>
    </row>
    <row r="69" spans="1:14" ht="15.75" x14ac:dyDescent="0.25">
      <c r="A69" s="89"/>
      <c r="B69" s="80" t="s">
        <v>476</v>
      </c>
      <c r="C69" s="75" t="s">
        <v>315</v>
      </c>
      <c r="D69" s="75">
        <v>2</v>
      </c>
      <c r="E69" s="76">
        <f>4678*1.0716</f>
        <v>5012.9448000000002</v>
      </c>
      <c r="F69" s="76">
        <f>+E69*D69</f>
        <v>10025.8896</v>
      </c>
      <c r="G69">
        <v>1.5</v>
      </c>
      <c r="H69" t="str">
        <f t="shared" si="5"/>
        <v>SIKA MORTERO IMPERMEABLE (Recubrimiento para impermeabiliz</v>
      </c>
      <c r="M69" t="str">
        <f t="shared" si="6"/>
        <v>KL</v>
      </c>
      <c r="N69" s="183">
        <f t="shared" si="7"/>
        <v>10025.8896</v>
      </c>
    </row>
    <row r="70" spans="1:14" ht="15.75" x14ac:dyDescent="0.25">
      <c r="A70" s="89"/>
      <c r="B70" s="80" t="s">
        <v>633</v>
      </c>
      <c r="C70" s="75" t="s">
        <v>98</v>
      </c>
      <c r="D70" s="75">
        <v>1.03</v>
      </c>
      <c r="E70" s="76">
        <v>8070</v>
      </c>
      <c r="F70" s="76">
        <f t="shared" ref="F70:F71" si="9">+E70*D70</f>
        <v>8312.1</v>
      </c>
      <c r="G70">
        <v>1.5</v>
      </c>
      <c r="H70" t="str">
        <f t="shared" si="5"/>
        <v>MALLA ELECTROSOLDADA 4.0 mm 20x20 cm</v>
      </c>
      <c r="M70" t="str">
        <f t="shared" si="6"/>
        <v>M2</v>
      </c>
      <c r="N70" s="183">
        <f t="shared" si="7"/>
        <v>8312.1</v>
      </c>
    </row>
    <row r="71" spans="1:14" ht="15.75" x14ac:dyDescent="0.25">
      <c r="A71" s="89"/>
      <c r="B71" s="80" t="s">
        <v>634</v>
      </c>
      <c r="C71" s="75" t="s">
        <v>315</v>
      </c>
      <c r="D71" s="75">
        <v>2.41E-2</v>
      </c>
      <c r="E71" s="76">
        <v>8156</v>
      </c>
      <c r="F71" s="76">
        <f t="shared" si="9"/>
        <v>196.55959999999999</v>
      </c>
      <c r="G71">
        <v>1.5</v>
      </c>
      <c r="H71" t="str">
        <f t="shared" si="5"/>
        <v xml:space="preserve">ALAMBRE NEGRO Cal. 18 </v>
      </c>
      <c r="M71" t="str">
        <f t="shared" si="6"/>
        <v>KL</v>
      </c>
      <c r="N71" s="183">
        <f t="shared" si="7"/>
        <v>196.55959999999999</v>
      </c>
    </row>
    <row r="72" spans="1:14" ht="15.75" x14ac:dyDescent="0.25">
      <c r="A72" s="89"/>
      <c r="B72" s="77" t="s">
        <v>264</v>
      </c>
      <c r="C72" s="78"/>
      <c r="D72" s="78"/>
      <c r="E72" s="79"/>
      <c r="F72" s="76">
        <f t="shared" ref="F72:F80" si="10">+E72*D72</f>
        <v>0</v>
      </c>
      <c r="N72" s="183"/>
    </row>
    <row r="73" spans="1:14" ht="15.75" x14ac:dyDescent="0.25">
      <c r="A73" s="89"/>
      <c r="B73" s="80" t="s">
        <v>295</v>
      </c>
      <c r="C73" s="78" t="s">
        <v>93</v>
      </c>
      <c r="D73" s="78">
        <v>6.9999999999999999E-4</v>
      </c>
      <c r="E73" s="76">
        <v>403564</v>
      </c>
      <c r="F73" s="76">
        <f>+E73*D73</f>
        <v>282.4948</v>
      </c>
      <c r="N73" s="183"/>
    </row>
    <row r="74" spans="1:14" ht="15.75" x14ac:dyDescent="0.25">
      <c r="A74" s="89"/>
      <c r="B74" s="80" t="s">
        <v>290</v>
      </c>
      <c r="C74" s="78" t="s">
        <v>93</v>
      </c>
      <c r="D74" s="78">
        <v>6.9999999999999999E-4</v>
      </c>
      <c r="E74" s="76">
        <v>44575</v>
      </c>
      <c r="F74" s="76">
        <f t="shared" si="10"/>
        <v>31.202500000000001</v>
      </c>
      <c r="N74" s="183"/>
    </row>
    <row r="75" spans="1:14" ht="15.75" x14ac:dyDescent="0.25">
      <c r="A75" s="89"/>
      <c r="B75" s="80" t="s">
        <v>296</v>
      </c>
      <c r="C75" s="78" t="s">
        <v>93</v>
      </c>
      <c r="D75" s="78">
        <v>6.9999999999999999E-4</v>
      </c>
      <c r="E75" s="76">
        <v>348121</v>
      </c>
      <c r="F75" s="76">
        <f t="shared" si="10"/>
        <v>243.68469999999999</v>
      </c>
      <c r="N75" s="183"/>
    </row>
    <row r="76" spans="1:14" ht="15.75" x14ac:dyDescent="0.25">
      <c r="A76" s="89"/>
      <c r="B76" s="80"/>
      <c r="C76" s="78"/>
      <c r="D76" s="81"/>
      <c r="E76" s="76"/>
      <c r="F76" s="76"/>
      <c r="N76" s="183"/>
    </row>
    <row r="77" spans="1:14" ht="15.75" x14ac:dyDescent="0.25">
      <c r="A77" s="89"/>
      <c r="B77" s="77" t="s">
        <v>266</v>
      </c>
      <c r="C77" s="78"/>
      <c r="D77" s="78"/>
      <c r="E77" s="76"/>
      <c r="F77" s="76"/>
      <c r="N77" s="183"/>
    </row>
    <row r="78" spans="1:14" ht="15.75" x14ac:dyDescent="0.25">
      <c r="A78" s="89"/>
      <c r="B78" s="82" t="s">
        <v>267</v>
      </c>
      <c r="C78" s="78"/>
      <c r="D78" s="78"/>
      <c r="E78" s="83"/>
      <c r="F78" s="76"/>
      <c r="N78" s="183"/>
    </row>
    <row r="79" spans="1:14" ht="15.75" x14ac:dyDescent="0.25">
      <c r="A79" s="89"/>
      <c r="B79" s="77" t="s">
        <v>269</v>
      </c>
      <c r="C79" s="78"/>
      <c r="D79" s="78"/>
      <c r="E79" s="79"/>
      <c r="F79" s="76"/>
      <c r="N79" s="183"/>
    </row>
    <row r="80" spans="1:14" ht="15.75" x14ac:dyDescent="0.25">
      <c r="A80" s="89"/>
      <c r="B80" t="s">
        <v>293</v>
      </c>
      <c r="C80" s="78" t="s">
        <v>297</v>
      </c>
      <c r="D80" s="78">
        <v>7.0000000000000007E-2</v>
      </c>
      <c r="E80" s="84">
        <v>215235</v>
      </c>
      <c r="F80" s="76">
        <f t="shared" si="10"/>
        <v>15066.45</v>
      </c>
      <c r="N80" s="183"/>
    </row>
    <row r="81" spans="1:14" ht="15.75" x14ac:dyDescent="0.25">
      <c r="A81" s="89"/>
      <c r="B81" s="82"/>
      <c r="C81" s="78"/>
      <c r="D81" s="78"/>
      <c r="E81" s="85" t="s">
        <v>271</v>
      </c>
      <c r="F81" s="86">
        <f>ROUND(SUM(F68:F80), 0)</f>
        <v>56281</v>
      </c>
      <c r="N81" s="183"/>
    </row>
    <row r="82" spans="1:14" ht="65.25" customHeight="1" x14ac:dyDescent="0.25">
      <c r="A82" s="88" t="str">
        <f>+PRESUPUESTO!A19</f>
        <v>1,5 A</v>
      </c>
      <c r="B82" s="71" t="str">
        <f>+PRESUPUESTO!B19</f>
        <v xml:space="preserve">SUMINISTRO E INSTALACION DE CONCRETO DE 3000  PSI  DE  15 CMS INCLUYE MALLA ELECTROSOLDA  No 4 HUECO DE 15 X 15 PARA  ANDEN COSTADO IZQUIERDOO DE LA EDIFICACION </v>
      </c>
      <c r="C82" s="72"/>
      <c r="D82" s="72"/>
      <c r="E82" s="73"/>
      <c r="F82" s="73" t="str">
        <f>+PRESUPUESTO!D19</f>
        <v>M2</v>
      </c>
      <c r="N82" s="183"/>
    </row>
    <row r="83" spans="1:14" ht="15.75" x14ac:dyDescent="0.25">
      <c r="A83" s="89"/>
      <c r="B83" s="74" t="s">
        <v>92</v>
      </c>
      <c r="C83" s="75" t="s">
        <v>93</v>
      </c>
      <c r="D83" s="75" t="s">
        <v>259</v>
      </c>
      <c r="E83" s="76" t="s">
        <v>260</v>
      </c>
      <c r="F83" s="76" t="s">
        <v>261</v>
      </c>
      <c r="N83" s="183"/>
    </row>
    <row r="84" spans="1:14" ht="15.75" x14ac:dyDescent="0.25">
      <c r="A84" s="89"/>
      <c r="B84" s="77" t="s">
        <v>262</v>
      </c>
      <c r="C84" s="78"/>
      <c r="D84" s="78"/>
      <c r="E84" s="79"/>
      <c r="F84" s="79"/>
      <c r="N84" s="183"/>
    </row>
    <row r="85" spans="1:14" ht="15.75" x14ac:dyDescent="0.25">
      <c r="A85" s="89"/>
      <c r="B85" s="80" t="s">
        <v>299</v>
      </c>
      <c r="C85" s="75" t="s">
        <v>98</v>
      </c>
      <c r="D85" s="75">
        <v>0.21</v>
      </c>
      <c r="E85" s="76">
        <v>84004</v>
      </c>
      <c r="F85" s="76">
        <f>+E85*D85</f>
        <v>17640.84</v>
      </c>
      <c r="G85" t="s">
        <v>937</v>
      </c>
      <c r="H85" t="str">
        <f t="shared" ref="H85:H141" si="11">+B85</f>
        <v>FORMALETA</v>
      </c>
      <c r="M85" t="str">
        <f t="shared" ref="M85:M141" si="12">+C85</f>
        <v>M2</v>
      </c>
      <c r="N85" s="183">
        <f t="shared" ref="N85:N141" si="13">+F85</f>
        <v>17640.84</v>
      </c>
    </row>
    <row r="86" spans="1:14" ht="15.75" x14ac:dyDescent="0.25">
      <c r="A86" s="89"/>
      <c r="B86" s="80" t="s">
        <v>300</v>
      </c>
      <c r="C86" s="75" t="s">
        <v>302</v>
      </c>
      <c r="D86" s="75">
        <v>0.06</v>
      </c>
      <c r="E86" s="76">
        <v>16182</v>
      </c>
      <c r="F86" s="76">
        <f t="shared" ref="F86:F88" si="14">+E86*D86</f>
        <v>970.92</v>
      </c>
      <c r="G86" t="s">
        <v>937</v>
      </c>
      <c r="H86" t="str">
        <f t="shared" si="11"/>
        <v>ACPM</v>
      </c>
      <c r="M86" t="str">
        <f t="shared" si="12"/>
        <v>GL</v>
      </c>
      <c r="N86" s="183">
        <f t="shared" si="13"/>
        <v>970.92</v>
      </c>
    </row>
    <row r="87" spans="1:14" ht="15.75" x14ac:dyDescent="0.25">
      <c r="A87" s="89"/>
      <c r="B87" s="80" t="s">
        <v>301</v>
      </c>
      <c r="C87" s="75" t="s">
        <v>145</v>
      </c>
      <c r="D87" s="75">
        <v>0.309</v>
      </c>
      <c r="E87" s="76">
        <v>509960</v>
      </c>
      <c r="F87" s="76">
        <f t="shared" si="14"/>
        <v>157577.63999999998</v>
      </c>
      <c r="G87" t="s">
        <v>937</v>
      </c>
      <c r="H87" t="str">
        <f t="shared" si="11"/>
        <v>CONCRETO 20.7 MPa</v>
      </c>
      <c r="M87" t="str">
        <f t="shared" si="12"/>
        <v>M3</v>
      </c>
      <c r="N87" s="183">
        <f t="shared" si="13"/>
        <v>157577.63999999998</v>
      </c>
    </row>
    <row r="88" spans="1:14" ht="15.75" x14ac:dyDescent="0.25">
      <c r="A88" s="89"/>
      <c r="B88" s="80" t="s">
        <v>633</v>
      </c>
      <c r="C88" s="75" t="s">
        <v>98</v>
      </c>
      <c r="D88" s="75">
        <v>1.03</v>
      </c>
      <c r="E88" s="76">
        <v>8070</v>
      </c>
      <c r="F88" s="76">
        <f t="shared" si="14"/>
        <v>8312.1</v>
      </c>
      <c r="G88" t="s">
        <v>937</v>
      </c>
      <c r="H88" t="str">
        <f t="shared" si="11"/>
        <v>MALLA ELECTROSOLDADA 4.0 mm 20x20 cm</v>
      </c>
      <c r="M88" t="str">
        <f t="shared" si="12"/>
        <v>M2</v>
      </c>
      <c r="N88" s="183">
        <f t="shared" si="13"/>
        <v>8312.1</v>
      </c>
    </row>
    <row r="89" spans="1:14" ht="15.75" x14ac:dyDescent="0.25">
      <c r="A89" s="89"/>
      <c r="B89" s="77" t="s">
        <v>264</v>
      </c>
      <c r="C89" s="78"/>
      <c r="D89" s="78"/>
      <c r="E89" s="79"/>
      <c r="F89" s="76"/>
      <c r="N89" s="183"/>
    </row>
    <row r="90" spans="1:14" ht="15.75" x14ac:dyDescent="0.25">
      <c r="A90" s="89"/>
      <c r="B90" s="80" t="s">
        <v>295</v>
      </c>
      <c r="C90" s="78" t="s">
        <v>93</v>
      </c>
      <c r="D90" s="78">
        <v>3.8999999999999998E-3</v>
      </c>
      <c r="E90" s="76">
        <f>332024*1.0716</f>
        <v>355796.91840000002</v>
      </c>
      <c r="F90" s="76">
        <f t="shared" ref="F90:F92" si="15">+E90*D90</f>
        <v>1387.60798176</v>
      </c>
      <c r="N90" s="183"/>
    </row>
    <row r="91" spans="1:14" ht="15.75" x14ac:dyDescent="0.25">
      <c r="A91" s="89"/>
      <c r="B91" s="80" t="s">
        <v>290</v>
      </c>
      <c r="C91" s="78" t="s">
        <v>93</v>
      </c>
      <c r="D91" s="78">
        <v>6.9999999999999999E-4</v>
      </c>
      <c r="E91" s="76">
        <v>44575</v>
      </c>
      <c r="F91" s="76">
        <f t="shared" si="15"/>
        <v>31.202500000000001</v>
      </c>
      <c r="N91" s="183"/>
    </row>
    <row r="92" spans="1:14" ht="15.75" x14ac:dyDescent="0.25">
      <c r="A92" s="89"/>
      <c r="B92" s="80" t="s">
        <v>296</v>
      </c>
      <c r="C92" s="78" t="s">
        <v>93</v>
      </c>
      <c r="D92" s="78">
        <v>2E-3</v>
      </c>
      <c r="E92" s="76">
        <v>348121</v>
      </c>
      <c r="F92" s="76">
        <f t="shared" si="15"/>
        <v>696.24199999999996</v>
      </c>
      <c r="N92" s="183"/>
    </row>
    <row r="93" spans="1:14" ht="15.75" x14ac:dyDescent="0.25">
      <c r="A93" s="89"/>
      <c r="B93" s="80"/>
      <c r="C93" s="78"/>
      <c r="D93" s="81"/>
      <c r="E93" s="76"/>
      <c r="F93" s="76"/>
      <c r="N93" s="183"/>
    </row>
    <row r="94" spans="1:14" ht="15.75" x14ac:dyDescent="0.25">
      <c r="A94" s="89"/>
      <c r="B94" s="77" t="s">
        <v>266</v>
      </c>
      <c r="C94" s="78"/>
      <c r="D94" s="78"/>
      <c r="E94" s="76"/>
      <c r="F94" s="76"/>
      <c r="N94" s="183"/>
    </row>
    <row r="95" spans="1:14" ht="15.75" x14ac:dyDescent="0.25">
      <c r="A95" s="89"/>
      <c r="B95" s="82" t="s">
        <v>267</v>
      </c>
      <c r="C95" s="78"/>
      <c r="D95" s="78"/>
      <c r="E95" s="83"/>
      <c r="F95" s="76"/>
      <c r="N95" s="183"/>
    </row>
    <row r="96" spans="1:14" ht="15.75" x14ac:dyDescent="0.25">
      <c r="A96" s="89"/>
      <c r="B96" s="77" t="s">
        <v>269</v>
      </c>
      <c r="C96" s="78"/>
      <c r="D96" s="78"/>
      <c r="E96" s="79"/>
      <c r="F96" s="76"/>
      <c r="N96" s="183"/>
    </row>
    <row r="97" spans="1:14" ht="15.75" x14ac:dyDescent="0.25">
      <c r="A97" s="89"/>
      <c r="B97" t="s">
        <v>324</v>
      </c>
      <c r="C97" s="78" t="s">
        <v>297</v>
      </c>
      <c r="D97" s="78">
        <v>0.19489999999999999</v>
      </c>
      <c r="E97" s="84">
        <v>484755</v>
      </c>
      <c r="F97" s="76">
        <f t="shared" ref="F97" si="16">+E97*D97</f>
        <v>94478.749499999991</v>
      </c>
      <c r="N97" s="183"/>
    </row>
    <row r="98" spans="1:14" ht="15.75" x14ac:dyDescent="0.25">
      <c r="A98" s="89"/>
      <c r="B98" s="82"/>
      <c r="C98" s="78"/>
      <c r="D98" s="78"/>
      <c r="E98" s="85" t="s">
        <v>271</v>
      </c>
      <c r="F98" s="86">
        <f>ROUND(SUM(F85:F97), 0)</f>
        <v>281095</v>
      </c>
      <c r="N98" s="183"/>
    </row>
    <row r="99" spans="1:14" ht="31.5" x14ac:dyDescent="0.25">
      <c r="A99" s="88" t="s">
        <v>298</v>
      </c>
      <c r="B99" s="71" t="str">
        <f>+PRESUPUESTO!B20</f>
        <v>EXCAVACION PARA ANDEN EXTERIOR  INCLUYE RETIRO DE MATERIAL DE LA OBRA</v>
      </c>
      <c r="C99" s="72"/>
      <c r="D99" s="72"/>
      <c r="E99" s="73"/>
      <c r="F99" s="73" t="str">
        <f>+PRESUPUESTO!D20</f>
        <v>M3</v>
      </c>
      <c r="N99" s="183"/>
    </row>
    <row r="100" spans="1:14" ht="15.75" x14ac:dyDescent="0.25">
      <c r="A100" s="89"/>
      <c r="B100" s="74" t="s">
        <v>92</v>
      </c>
      <c r="C100" s="75" t="s">
        <v>93</v>
      </c>
      <c r="D100" s="75" t="s">
        <v>259</v>
      </c>
      <c r="E100" s="76" t="s">
        <v>260</v>
      </c>
      <c r="F100" s="76" t="s">
        <v>261</v>
      </c>
      <c r="N100" s="183"/>
    </row>
    <row r="101" spans="1:14" ht="15.75" x14ac:dyDescent="0.25">
      <c r="A101" s="89"/>
      <c r="B101" s="77" t="s">
        <v>262</v>
      </c>
      <c r="C101" s="78"/>
      <c r="D101" s="78"/>
      <c r="E101" s="79"/>
      <c r="F101" s="79"/>
      <c r="N101" s="183"/>
    </row>
    <row r="102" spans="1:14" ht="15.75" x14ac:dyDescent="0.25">
      <c r="A102" s="89"/>
      <c r="B102" s="80" t="s">
        <v>303</v>
      </c>
      <c r="C102" s="75" t="s">
        <v>306</v>
      </c>
      <c r="D102" s="75">
        <v>1</v>
      </c>
      <c r="E102" s="76">
        <v>195</v>
      </c>
      <c r="F102" s="76">
        <f>+E102*D102</f>
        <v>195</v>
      </c>
      <c r="G102" t="s">
        <v>298</v>
      </c>
      <c r="H102" t="str">
        <f t="shared" si="11"/>
        <v>CINTA DE SEÑALIZACIÓN a=7 cm</v>
      </c>
      <c r="M102" t="str">
        <f t="shared" si="12"/>
        <v>MTR</v>
      </c>
      <c r="N102" s="183">
        <f t="shared" si="13"/>
        <v>195</v>
      </c>
    </row>
    <row r="103" spans="1:14" ht="30" x14ac:dyDescent="0.25">
      <c r="A103" s="89"/>
      <c r="B103" s="101" t="s">
        <v>304</v>
      </c>
      <c r="C103" s="75" t="s">
        <v>93</v>
      </c>
      <c r="D103" s="75">
        <v>0.05</v>
      </c>
      <c r="E103" s="76">
        <v>23945</v>
      </c>
      <c r="F103" s="76">
        <f>+E103*D103</f>
        <v>1197.25</v>
      </c>
      <c r="G103" t="s">
        <v>298</v>
      </c>
      <c r="H103" t="str">
        <f t="shared" si="11"/>
        <v>POSTE DE SEÑALIZACIÓN EN MADERA PINTADO + MUERTO EN CONCRE</v>
      </c>
      <c r="M103" t="str">
        <f t="shared" si="12"/>
        <v>UNIDAD</v>
      </c>
      <c r="N103" s="183">
        <f t="shared" si="13"/>
        <v>1197.25</v>
      </c>
    </row>
    <row r="104" spans="1:14" ht="15.75" x14ac:dyDescent="0.25">
      <c r="A104" s="89"/>
      <c r="B104" s="77" t="s">
        <v>264</v>
      </c>
      <c r="C104" s="78"/>
      <c r="D104" s="78"/>
      <c r="E104" s="79"/>
      <c r="F104" s="76">
        <f t="shared" ref="F104:F106" si="17">+E104*D104</f>
        <v>0</v>
      </c>
      <c r="N104" s="183"/>
    </row>
    <row r="105" spans="1:14" ht="15.75" x14ac:dyDescent="0.25">
      <c r="A105" s="89"/>
      <c r="B105" s="80"/>
      <c r="C105" s="78"/>
      <c r="D105" s="78"/>
      <c r="E105" s="76"/>
      <c r="F105" s="76"/>
      <c r="N105" s="183"/>
    </row>
    <row r="106" spans="1:14" ht="15.75" x14ac:dyDescent="0.25">
      <c r="A106" s="89"/>
      <c r="B106" s="80" t="s">
        <v>305</v>
      </c>
      <c r="C106" s="78" t="s">
        <v>93</v>
      </c>
      <c r="D106" s="78">
        <v>1.1999999999999999E-3</v>
      </c>
      <c r="E106" s="76">
        <v>456917</v>
      </c>
      <c r="F106" s="76">
        <f t="shared" si="17"/>
        <v>548.30039999999997</v>
      </c>
      <c r="N106" s="183"/>
    </row>
    <row r="107" spans="1:14" ht="15.75" x14ac:dyDescent="0.25">
      <c r="A107" s="89"/>
      <c r="B107" s="80"/>
      <c r="C107" s="78"/>
      <c r="D107" s="78"/>
      <c r="E107" s="76"/>
      <c r="F107" s="76"/>
      <c r="N107" s="183"/>
    </row>
    <row r="108" spans="1:14" ht="15.75" x14ac:dyDescent="0.25">
      <c r="A108" s="89"/>
      <c r="B108" s="80"/>
      <c r="C108" s="78"/>
      <c r="D108" s="81"/>
      <c r="E108" s="76"/>
      <c r="F108" s="76"/>
      <c r="N108" s="183"/>
    </row>
    <row r="109" spans="1:14" ht="15.75" x14ac:dyDescent="0.25">
      <c r="A109" s="89"/>
      <c r="B109" s="77" t="s">
        <v>266</v>
      </c>
      <c r="C109" s="78"/>
      <c r="D109" s="78"/>
      <c r="E109" s="76"/>
      <c r="F109" s="76"/>
      <c r="N109" s="183"/>
    </row>
    <row r="110" spans="1:14" ht="15.75" x14ac:dyDescent="0.25">
      <c r="A110" s="89"/>
      <c r="B110" s="82" t="s">
        <v>267</v>
      </c>
      <c r="C110" s="78"/>
      <c r="D110" s="78"/>
      <c r="E110" s="83"/>
      <c r="F110" s="76"/>
      <c r="N110" s="183"/>
    </row>
    <row r="111" spans="1:14" ht="15.75" x14ac:dyDescent="0.25">
      <c r="A111" s="89"/>
      <c r="B111" s="77" t="s">
        <v>269</v>
      </c>
      <c r="C111" s="78"/>
      <c r="D111" s="78"/>
      <c r="E111" s="79"/>
      <c r="F111" s="76"/>
      <c r="N111" s="183"/>
    </row>
    <row r="112" spans="1:14" ht="15.75" x14ac:dyDescent="0.25">
      <c r="A112" s="89"/>
      <c r="B112" t="s">
        <v>307</v>
      </c>
      <c r="C112" s="78" t="s">
        <v>297</v>
      </c>
      <c r="D112" s="78">
        <v>0.12039999999999999</v>
      </c>
      <c r="E112" s="84">
        <v>305075</v>
      </c>
      <c r="F112" s="76">
        <f t="shared" ref="F112" si="18">+E112*D112</f>
        <v>36731.03</v>
      </c>
      <c r="N112" s="183"/>
    </row>
    <row r="113" spans="1:14" ht="15.75" x14ac:dyDescent="0.25">
      <c r="A113" s="89"/>
      <c r="B113" s="82"/>
      <c r="C113" s="78"/>
      <c r="D113" s="78"/>
      <c r="E113" s="85" t="s">
        <v>271</v>
      </c>
      <c r="F113" s="86">
        <f>ROUND(SUM(F102:F112), 0)</f>
        <v>38672</v>
      </c>
      <c r="N113" s="183"/>
    </row>
    <row r="114" spans="1:14" ht="96" customHeight="1" x14ac:dyDescent="0.25">
      <c r="A114" s="88">
        <f>+PRESUPUESTO!A21</f>
        <v>1.6</v>
      </c>
      <c r="B114" s="71" t="str">
        <f>+PRESUPUESTO!B21</f>
        <v>SUMINISTRO E INSTALACION DE PISO ANKARA CAFE CARAS DIFERENCIADAS 60X60 Y  PISO CERÁMICO BUNES GRIS 60X60CM INSTALACION A DOS TONOS DIFERENCIANDO AREAS DE TRABAJO.  SEGÚN DISEÑO</v>
      </c>
      <c r="C114" s="72"/>
      <c r="D114" s="72"/>
      <c r="E114" s="73"/>
      <c r="F114" s="73" t="str">
        <f>+PRESUPUESTO!D21</f>
        <v>M2</v>
      </c>
      <c r="N114" s="183"/>
    </row>
    <row r="115" spans="1:14" ht="15.75" x14ac:dyDescent="0.25">
      <c r="A115" s="89"/>
      <c r="B115" s="74" t="s">
        <v>92</v>
      </c>
      <c r="C115" s="75" t="s">
        <v>93</v>
      </c>
      <c r="D115" s="75" t="s">
        <v>259</v>
      </c>
      <c r="E115" s="76" t="s">
        <v>260</v>
      </c>
      <c r="F115" s="76" t="s">
        <v>261</v>
      </c>
      <c r="N115" s="183"/>
    </row>
    <row r="116" spans="1:14" ht="15.75" x14ac:dyDescent="0.25">
      <c r="A116" s="89"/>
      <c r="B116" s="77" t="s">
        <v>262</v>
      </c>
      <c r="C116" s="78"/>
      <c r="D116" s="78"/>
      <c r="E116" s="79"/>
      <c r="F116" s="79"/>
      <c r="N116" s="183"/>
    </row>
    <row r="117" spans="1:14" ht="15.75" x14ac:dyDescent="0.25">
      <c r="A117" s="89"/>
      <c r="B117" s="80" t="s">
        <v>308</v>
      </c>
      <c r="C117" s="93" t="s">
        <v>315</v>
      </c>
      <c r="D117" s="75">
        <v>4.2</v>
      </c>
      <c r="E117" s="76">
        <f>1360*1.0716</f>
        <v>1457.3760000000002</v>
      </c>
      <c r="F117" s="76">
        <f>+E117*D117</f>
        <v>6120.9792000000007</v>
      </c>
      <c r="G117">
        <v>1.6</v>
      </c>
      <c r="H117" t="str">
        <f t="shared" si="11"/>
        <v>PEGACOR GRIS</v>
      </c>
      <c r="M117" t="str">
        <f t="shared" si="12"/>
        <v>KL</v>
      </c>
      <c r="N117" s="183">
        <f t="shared" si="13"/>
        <v>6120.9792000000007</v>
      </c>
    </row>
    <row r="118" spans="1:14" ht="15.75" x14ac:dyDescent="0.25">
      <c r="A118" s="89"/>
      <c r="B118" s="80" t="s">
        <v>309</v>
      </c>
      <c r="C118" s="93" t="s">
        <v>316</v>
      </c>
      <c r="D118" s="75">
        <v>16.8</v>
      </c>
      <c r="E118" s="76">
        <f>64*1.0716</f>
        <v>68.582400000000007</v>
      </c>
      <c r="F118" s="76">
        <f t="shared" ref="F118:F123" si="19">+E118*D118</f>
        <v>1152.1843200000001</v>
      </c>
      <c r="G118">
        <v>1.6</v>
      </c>
      <c r="H118" t="str">
        <f t="shared" si="11"/>
        <v>AGUA</v>
      </c>
      <c r="M118" t="str">
        <f t="shared" si="12"/>
        <v>LT</v>
      </c>
      <c r="N118" s="183">
        <f t="shared" si="13"/>
        <v>1152.1843200000001</v>
      </c>
    </row>
    <row r="119" spans="1:14" ht="17.25" customHeight="1" x14ac:dyDescent="0.25">
      <c r="A119" s="89"/>
      <c r="B119" s="138" t="s">
        <v>606</v>
      </c>
      <c r="C119" s="93" t="s">
        <v>98</v>
      </c>
      <c r="D119" s="75">
        <v>1.05</v>
      </c>
      <c r="E119" s="76">
        <v>41400</v>
      </c>
      <c r="F119" s="76">
        <f t="shared" si="19"/>
        <v>43470</v>
      </c>
      <c r="G119">
        <v>1.6</v>
      </c>
      <c r="H119" t="str">
        <f t="shared" si="11"/>
        <v xml:space="preserve">PISO ANKARA CAFE CARAS DIFERENCIADAS 60X60
</v>
      </c>
      <c r="M119" t="str">
        <f t="shared" si="12"/>
        <v>M2</v>
      </c>
      <c r="N119" s="183">
        <f t="shared" si="13"/>
        <v>43470</v>
      </c>
    </row>
    <row r="120" spans="1:14" ht="15.75" x14ac:dyDescent="0.25">
      <c r="A120" s="89"/>
      <c r="B120" s="80" t="s">
        <v>607</v>
      </c>
      <c r="C120" s="75" t="s">
        <v>98</v>
      </c>
      <c r="D120" s="75">
        <v>1.05</v>
      </c>
      <c r="E120" s="76">
        <v>42400</v>
      </c>
      <c r="F120" s="76">
        <f t="shared" si="19"/>
        <v>44520</v>
      </c>
      <c r="G120">
        <v>1.6</v>
      </c>
      <c r="H120" t="str">
        <f t="shared" si="11"/>
        <v>PISO CERÁMICO BUNES GRIS 60X60CM</v>
      </c>
      <c r="M120" t="str">
        <f t="shared" si="12"/>
        <v>M2</v>
      </c>
      <c r="N120" s="183">
        <f t="shared" si="13"/>
        <v>44520</v>
      </c>
    </row>
    <row r="121" spans="1:14" ht="15.75" x14ac:dyDescent="0.25">
      <c r="A121" s="89"/>
      <c r="B121" s="80" t="s">
        <v>310</v>
      </c>
      <c r="C121" s="75" t="s">
        <v>93</v>
      </c>
      <c r="D121" s="75">
        <v>9</v>
      </c>
      <c r="E121" s="76">
        <f>31*1.0716</f>
        <v>33.2196</v>
      </c>
      <c r="F121" s="76">
        <f t="shared" si="19"/>
        <v>298.97640000000001</v>
      </c>
      <c r="G121">
        <v>1.6</v>
      </c>
      <c r="H121" t="str">
        <f t="shared" si="11"/>
        <v>CRUCETA PLÁSTICA</v>
      </c>
      <c r="M121" t="str">
        <f t="shared" si="12"/>
        <v>UNIDAD</v>
      </c>
      <c r="N121" s="183">
        <f t="shared" si="13"/>
        <v>298.97640000000001</v>
      </c>
    </row>
    <row r="122" spans="1:14" ht="15.75" x14ac:dyDescent="0.25">
      <c r="A122" s="89"/>
      <c r="B122" s="80" t="s">
        <v>317</v>
      </c>
      <c r="C122" s="75" t="s">
        <v>314</v>
      </c>
      <c r="D122" s="75">
        <v>0.1</v>
      </c>
      <c r="E122" s="76">
        <f>3465*1.0716</f>
        <v>3713.0940000000005</v>
      </c>
      <c r="F122" s="76">
        <f t="shared" si="19"/>
        <v>371.3094000000001</v>
      </c>
      <c r="G122">
        <v>1.6</v>
      </c>
      <c r="H122" t="str">
        <f t="shared" si="11"/>
        <v>BLANCO DE ZINC</v>
      </c>
      <c r="M122" t="str">
        <f t="shared" si="12"/>
        <v>LB</v>
      </c>
      <c r="N122" s="183">
        <f t="shared" si="13"/>
        <v>371.3094000000001</v>
      </c>
    </row>
    <row r="123" spans="1:14" ht="15.75" x14ac:dyDescent="0.25">
      <c r="A123" s="89"/>
      <c r="B123" s="80" t="s">
        <v>311</v>
      </c>
      <c r="C123" s="75" t="s">
        <v>315</v>
      </c>
      <c r="D123" s="75">
        <v>0.05</v>
      </c>
      <c r="E123" s="76">
        <f>8220*1.0716</f>
        <v>8808.5520000000015</v>
      </c>
      <c r="F123" s="76">
        <f t="shared" si="19"/>
        <v>440.4276000000001</v>
      </c>
      <c r="G123">
        <v>1.6</v>
      </c>
      <c r="H123" t="str">
        <f t="shared" si="11"/>
        <v>ESTOPA DE LIMPIEZA (Hilaza de Algodón)</v>
      </c>
      <c r="M123" t="str">
        <f t="shared" si="12"/>
        <v>KL</v>
      </c>
      <c r="N123" s="183">
        <f t="shared" si="13"/>
        <v>440.4276000000001</v>
      </c>
    </row>
    <row r="124" spans="1:14" ht="15.75" x14ac:dyDescent="0.25">
      <c r="A124" s="89"/>
      <c r="B124" s="77" t="s">
        <v>264</v>
      </c>
      <c r="C124" s="78"/>
      <c r="D124" s="78"/>
      <c r="E124" s="76"/>
      <c r="F124" s="76"/>
      <c r="N124" s="183"/>
    </row>
    <row r="125" spans="1:14" ht="15.75" x14ac:dyDescent="0.25">
      <c r="A125" s="89"/>
      <c r="B125" s="80" t="s">
        <v>312</v>
      </c>
      <c r="C125" s="78" t="s">
        <v>93</v>
      </c>
      <c r="D125" s="78">
        <v>1.4E-3</v>
      </c>
      <c r="E125" s="76">
        <f>180497*1.0716</f>
        <v>193420.58520000003</v>
      </c>
      <c r="F125" s="76">
        <f t="shared" ref="F125:F132" si="20">+E125*D125</f>
        <v>270.78881928000004</v>
      </c>
      <c r="N125" s="183"/>
    </row>
    <row r="126" spans="1:14" ht="15.75" x14ac:dyDescent="0.25">
      <c r="A126" s="89"/>
      <c r="B126" s="80" t="s">
        <v>313</v>
      </c>
      <c r="C126" s="78" t="s">
        <v>93</v>
      </c>
      <c r="D126" s="78">
        <v>1.4E-3</v>
      </c>
      <c r="E126" s="76">
        <f>28066*1.0716</f>
        <v>30075.525600000004</v>
      </c>
      <c r="F126" s="76">
        <f t="shared" si="20"/>
        <v>42.105735840000008</v>
      </c>
      <c r="N126" s="183"/>
    </row>
    <row r="127" spans="1:14" ht="15.75" x14ac:dyDescent="0.25">
      <c r="A127" s="89"/>
      <c r="B127" s="80" t="s">
        <v>296</v>
      </c>
      <c r="C127" s="78" t="s">
        <v>93</v>
      </c>
      <c r="D127" s="78">
        <v>1.4E-3</v>
      </c>
      <c r="E127" s="76">
        <f>280522*1.0716</f>
        <v>300607.37520000001</v>
      </c>
      <c r="F127" s="76">
        <f t="shared" si="20"/>
        <v>420.85032527999999</v>
      </c>
      <c r="N127" s="183"/>
    </row>
    <row r="128" spans="1:14" ht="15.75" x14ac:dyDescent="0.25">
      <c r="A128" s="89"/>
      <c r="B128" s="80"/>
      <c r="C128" s="78"/>
      <c r="D128" s="81"/>
      <c r="E128" s="76"/>
      <c r="F128" s="76"/>
      <c r="N128" s="183"/>
    </row>
    <row r="129" spans="1:14" ht="15.75" x14ac:dyDescent="0.25">
      <c r="A129" s="89"/>
      <c r="B129" s="77" t="s">
        <v>266</v>
      </c>
      <c r="C129" s="78"/>
      <c r="D129" s="78"/>
      <c r="E129" s="76"/>
      <c r="F129" s="76"/>
      <c r="N129" s="183"/>
    </row>
    <row r="130" spans="1:14" ht="15.75" x14ac:dyDescent="0.25">
      <c r="A130" s="89"/>
      <c r="B130" s="82" t="s">
        <v>267</v>
      </c>
      <c r="C130" s="78" t="s">
        <v>268</v>
      </c>
      <c r="D130" s="78">
        <v>0.05</v>
      </c>
      <c r="E130" s="76">
        <f>34381*1.0716</f>
        <v>36842.679600000003</v>
      </c>
      <c r="F130" s="76">
        <f t="shared" si="20"/>
        <v>1842.1339800000003</v>
      </c>
      <c r="N130" s="183"/>
    </row>
    <row r="131" spans="1:14" ht="15.75" x14ac:dyDescent="0.25">
      <c r="A131" s="89"/>
      <c r="B131" s="77" t="s">
        <v>269</v>
      </c>
      <c r="C131" s="78"/>
      <c r="D131" s="78"/>
      <c r="E131" s="76"/>
      <c r="F131" s="76"/>
      <c r="N131" s="183"/>
    </row>
    <row r="132" spans="1:14" ht="15.75" x14ac:dyDescent="0.25">
      <c r="A132" s="89"/>
      <c r="B132" t="s">
        <v>293</v>
      </c>
      <c r="C132" s="78" t="s">
        <v>265</v>
      </c>
      <c r="D132" s="78">
        <v>0.16250000000000001</v>
      </c>
      <c r="E132" s="76">
        <f>173078*1.0716</f>
        <v>185470.38480000003</v>
      </c>
      <c r="F132" s="76">
        <f t="shared" si="20"/>
        <v>30138.937530000007</v>
      </c>
      <c r="N132" s="183"/>
    </row>
    <row r="133" spans="1:14" ht="15.75" x14ac:dyDescent="0.25">
      <c r="A133" s="89"/>
      <c r="B133" s="82"/>
      <c r="C133" s="78"/>
      <c r="D133" s="78"/>
      <c r="E133" s="85" t="s">
        <v>271</v>
      </c>
      <c r="F133" s="86">
        <f>ROUND(SUM(F117:F132), 0)</f>
        <v>129089</v>
      </c>
      <c r="N133" s="183"/>
    </row>
    <row r="134" spans="1:14" ht="63" x14ac:dyDescent="0.25">
      <c r="A134" s="88">
        <f>+PRESUPUESTO!A22</f>
        <v>1.7</v>
      </c>
      <c r="B134" s="71" t="str">
        <f>+PRESUPUESTO!B22</f>
        <v>SUMINISTRO E INSTALCION DE PORCELANATO TRAFICO PESADO ANTIDESLIZANTE PISO CERÁMICO PISO PARED ARABIA BEIGE EN FORMATO 30X60, CORREDORES EXTERIORES</v>
      </c>
      <c r="C134" s="72"/>
      <c r="D134" s="72"/>
      <c r="E134" s="73"/>
      <c r="F134" s="73" t="str">
        <f>+PRESUPUESTO!D22</f>
        <v>M2</v>
      </c>
      <c r="N134" s="183"/>
    </row>
    <row r="135" spans="1:14" ht="15.75" x14ac:dyDescent="0.25">
      <c r="A135" s="89"/>
      <c r="B135" s="74" t="s">
        <v>92</v>
      </c>
      <c r="C135" s="75" t="s">
        <v>93</v>
      </c>
      <c r="D135" s="75" t="s">
        <v>259</v>
      </c>
      <c r="E135" s="76" t="s">
        <v>260</v>
      </c>
      <c r="F135" s="76" t="s">
        <v>261</v>
      </c>
      <c r="N135" s="183"/>
    </row>
    <row r="136" spans="1:14" ht="15.75" x14ac:dyDescent="0.25">
      <c r="A136" s="89"/>
      <c r="B136" s="77" t="s">
        <v>262</v>
      </c>
      <c r="C136" s="78"/>
      <c r="D136" s="78"/>
      <c r="E136" s="79"/>
      <c r="F136" s="79"/>
      <c r="N136" s="183"/>
    </row>
    <row r="137" spans="1:14" ht="15.75" x14ac:dyDescent="0.25">
      <c r="A137" s="89"/>
      <c r="B137" s="80" t="s">
        <v>308</v>
      </c>
      <c r="C137" s="93" t="s">
        <v>315</v>
      </c>
      <c r="D137" s="75">
        <v>4.2</v>
      </c>
      <c r="E137" s="76">
        <v>1680</v>
      </c>
      <c r="F137" s="76">
        <f>+E137*D137</f>
        <v>7056</v>
      </c>
      <c r="G137">
        <v>1.7</v>
      </c>
      <c r="H137" t="str">
        <f t="shared" si="11"/>
        <v>PEGACOR GRIS</v>
      </c>
      <c r="M137" t="str">
        <f t="shared" si="12"/>
        <v>KL</v>
      </c>
      <c r="N137" s="183">
        <f t="shared" si="13"/>
        <v>7056</v>
      </c>
    </row>
    <row r="138" spans="1:14" ht="15.75" x14ac:dyDescent="0.25">
      <c r="A138" s="89"/>
      <c r="B138" s="80" t="s">
        <v>309</v>
      </c>
      <c r="C138" s="93" t="s">
        <v>316</v>
      </c>
      <c r="D138" s="75">
        <v>16.8</v>
      </c>
      <c r="E138" s="76">
        <v>78</v>
      </c>
      <c r="F138" s="76">
        <f t="shared" ref="F138:F142" si="21">+E138*D138</f>
        <v>1310.4000000000001</v>
      </c>
      <c r="G138">
        <v>1.7</v>
      </c>
      <c r="H138" t="str">
        <f t="shared" si="11"/>
        <v>AGUA</v>
      </c>
      <c r="M138" t="str">
        <f t="shared" si="12"/>
        <v>LT</v>
      </c>
      <c r="N138" s="183">
        <f t="shared" si="13"/>
        <v>1310.4000000000001</v>
      </c>
    </row>
    <row r="139" spans="1:14" ht="15.75" x14ac:dyDescent="0.25">
      <c r="A139" s="89"/>
      <c r="B139" s="14" t="s">
        <v>646</v>
      </c>
      <c r="C139" s="75" t="s">
        <v>98</v>
      </c>
      <c r="D139" s="75">
        <v>1.05</v>
      </c>
      <c r="E139" s="76">
        <v>43130</v>
      </c>
      <c r="F139" s="76">
        <f t="shared" si="21"/>
        <v>45286.5</v>
      </c>
      <c r="G139">
        <v>1.7</v>
      </c>
      <c r="H139" t="str">
        <f t="shared" si="11"/>
        <v>PISO PARED ARABIA BEIGE EN FORMATO 30X60,</v>
      </c>
      <c r="M139" t="str">
        <f t="shared" si="12"/>
        <v>M2</v>
      </c>
      <c r="N139" s="183">
        <f t="shared" si="13"/>
        <v>45286.5</v>
      </c>
    </row>
    <row r="140" spans="1:14" ht="15.75" x14ac:dyDescent="0.25">
      <c r="A140" s="89"/>
      <c r="B140" s="80" t="s">
        <v>310</v>
      </c>
      <c r="C140" s="75" t="s">
        <v>93</v>
      </c>
      <c r="D140" s="75">
        <v>9</v>
      </c>
      <c r="E140" s="76">
        <v>39</v>
      </c>
      <c r="F140" s="76">
        <f t="shared" si="21"/>
        <v>351</v>
      </c>
      <c r="G140">
        <v>1.7</v>
      </c>
      <c r="H140" t="str">
        <f t="shared" si="11"/>
        <v>CRUCETA PLÁSTICA</v>
      </c>
      <c r="M140" t="str">
        <f t="shared" si="12"/>
        <v>UNIDAD</v>
      </c>
      <c r="N140" s="183">
        <f t="shared" si="13"/>
        <v>351</v>
      </c>
    </row>
    <row r="141" spans="1:14" ht="15.75" x14ac:dyDescent="0.25">
      <c r="A141" s="89"/>
      <c r="B141" s="80" t="s">
        <v>317</v>
      </c>
      <c r="C141" s="75" t="s">
        <v>314</v>
      </c>
      <c r="D141" s="75">
        <v>0.1</v>
      </c>
      <c r="E141" s="76">
        <v>4280</v>
      </c>
      <c r="F141" s="76">
        <f t="shared" si="21"/>
        <v>428</v>
      </c>
      <c r="G141">
        <v>1.7</v>
      </c>
      <c r="H141" t="str">
        <f t="shared" si="11"/>
        <v>BLANCO DE ZINC</v>
      </c>
      <c r="M141" t="str">
        <f t="shared" si="12"/>
        <v>LB</v>
      </c>
      <c r="N141" s="183">
        <f t="shared" si="13"/>
        <v>428</v>
      </c>
    </row>
    <row r="142" spans="1:14" ht="15.75" x14ac:dyDescent="0.25">
      <c r="A142" s="89"/>
      <c r="B142" s="80" t="s">
        <v>311</v>
      </c>
      <c r="C142" s="75" t="s">
        <v>315</v>
      </c>
      <c r="D142" s="75">
        <v>0.05</v>
      </c>
      <c r="E142" s="76">
        <v>10316</v>
      </c>
      <c r="F142" s="76">
        <f t="shared" si="21"/>
        <v>515.80000000000007</v>
      </c>
      <c r="G142">
        <v>1.7</v>
      </c>
      <c r="H142" t="str">
        <f t="shared" ref="H142:H197" si="22">+B142</f>
        <v>ESTOPA DE LIMPIEZA (Hilaza de Algodón)</v>
      </c>
      <c r="M142" t="str">
        <f t="shared" ref="M142:M197" si="23">+C142</f>
        <v>KL</v>
      </c>
      <c r="N142" s="183">
        <f t="shared" ref="N142:N197" si="24">+F142</f>
        <v>515.80000000000007</v>
      </c>
    </row>
    <row r="143" spans="1:14" ht="15.75" x14ac:dyDescent="0.25">
      <c r="A143" s="89"/>
      <c r="B143" s="77" t="s">
        <v>264</v>
      </c>
      <c r="C143" s="78"/>
      <c r="D143" s="78"/>
      <c r="E143" s="76"/>
      <c r="F143" s="76"/>
      <c r="N143" s="183"/>
    </row>
    <row r="144" spans="1:14" ht="15.75" x14ac:dyDescent="0.25">
      <c r="A144" s="89"/>
      <c r="B144" s="80" t="s">
        <v>312</v>
      </c>
      <c r="C144" s="78" t="s">
        <v>93</v>
      </c>
      <c r="D144" s="78">
        <v>1.4E-3</v>
      </c>
      <c r="E144" s="76">
        <v>22955</v>
      </c>
      <c r="F144" s="76">
        <f t="shared" ref="F144:F146" si="25">+E144*D144</f>
        <v>32.137</v>
      </c>
      <c r="N144" s="183"/>
    </row>
    <row r="145" spans="1:14" ht="15.75" x14ac:dyDescent="0.25">
      <c r="A145" s="89"/>
      <c r="B145" s="80" t="s">
        <v>313</v>
      </c>
      <c r="C145" s="78" t="s">
        <v>93</v>
      </c>
      <c r="D145" s="78">
        <v>1.4E-3</v>
      </c>
      <c r="E145" s="76">
        <v>35698</v>
      </c>
      <c r="F145" s="76">
        <f t="shared" si="25"/>
        <v>49.977199999999996</v>
      </c>
      <c r="N145" s="183"/>
    </row>
    <row r="146" spans="1:14" ht="15.75" x14ac:dyDescent="0.25">
      <c r="A146" s="89"/>
      <c r="B146" s="80" t="s">
        <v>296</v>
      </c>
      <c r="C146" s="78" t="s">
        <v>93</v>
      </c>
      <c r="D146" s="78">
        <v>1.4E-3</v>
      </c>
      <c r="E146" s="76">
        <v>348121</v>
      </c>
      <c r="F146" s="76">
        <f t="shared" si="25"/>
        <v>487.36939999999998</v>
      </c>
      <c r="N146" s="183"/>
    </row>
    <row r="147" spans="1:14" ht="15.75" x14ac:dyDescent="0.25">
      <c r="A147" s="89"/>
      <c r="B147" s="80"/>
      <c r="C147" s="78"/>
      <c r="D147" s="81"/>
      <c r="E147" s="76"/>
      <c r="F147" s="76"/>
      <c r="N147" s="183"/>
    </row>
    <row r="148" spans="1:14" ht="15.75" x14ac:dyDescent="0.25">
      <c r="A148" s="89"/>
      <c r="B148" s="77" t="s">
        <v>266</v>
      </c>
      <c r="C148" s="78"/>
      <c r="D148" s="78"/>
      <c r="E148" s="76"/>
      <c r="F148" s="76"/>
      <c r="N148" s="183"/>
    </row>
    <row r="149" spans="1:14" ht="15.75" x14ac:dyDescent="0.25">
      <c r="A149" s="89"/>
      <c r="B149" s="82" t="s">
        <v>267</v>
      </c>
      <c r="C149" s="78" t="s">
        <v>268</v>
      </c>
      <c r="D149" s="78">
        <v>0.05</v>
      </c>
      <c r="E149" s="76">
        <v>40431</v>
      </c>
      <c r="F149" s="76">
        <f t="shared" ref="F149" si="26">+E149*D149</f>
        <v>2021.5500000000002</v>
      </c>
      <c r="N149" s="183"/>
    </row>
    <row r="150" spans="1:14" ht="15.75" x14ac:dyDescent="0.25">
      <c r="A150" s="89"/>
      <c r="B150" s="77" t="s">
        <v>269</v>
      </c>
      <c r="C150" s="78"/>
      <c r="D150" s="78"/>
      <c r="E150" s="76"/>
      <c r="F150" s="76"/>
      <c r="N150" s="183"/>
    </row>
    <row r="151" spans="1:14" ht="15.75" x14ac:dyDescent="0.25">
      <c r="A151" s="89"/>
      <c r="B151" t="s">
        <v>293</v>
      </c>
      <c r="C151" s="78" t="s">
        <v>265</v>
      </c>
      <c r="D151" s="78">
        <v>0.16250000000000001</v>
      </c>
      <c r="E151" s="76">
        <v>215235</v>
      </c>
      <c r="F151" s="76">
        <f t="shared" ref="F151" si="27">+E151*D151</f>
        <v>34975.6875</v>
      </c>
      <c r="N151" s="183"/>
    </row>
    <row r="152" spans="1:14" ht="15.75" x14ac:dyDescent="0.25">
      <c r="A152" s="89"/>
      <c r="B152" s="82"/>
      <c r="C152" s="78"/>
      <c r="D152" s="78"/>
      <c r="E152" s="85" t="s">
        <v>271</v>
      </c>
      <c r="F152" s="86">
        <f>ROUND(SUM(F137:F151), 0)</f>
        <v>92514</v>
      </c>
      <c r="N152" s="183"/>
    </row>
    <row r="153" spans="1:14" ht="63" x14ac:dyDescent="0.25">
      <c r="A153" s="88">
        <f>+PRESUPUESTO!A23</f>
        <v>1.8</v>
      </c>
      <c r="B153" s="71" t="str">
        <f>+PRESUPUESTO!B23</f>
        <v>SUMINISTRO E INSTALACION DE ENCHAPE MURO PARA BAÑO  FACHALETA JAEN BLANCO CARAS DIFERENCIADAS 25X41 INCLUYE  Y MATERIAL DE PEGA Y BOQUILLA Y WIN PLASTICOPARA ESQUINAS</v>
      </c>
      <c r="C153" s="72"/>
      <c r="D153" s="72"/>
      <c r="E153" s="73"/>
      <c r="F153" s="73" t="str">
        <f>+PRESUPUESTO!D23</f>
        <v>M2</v>
      </c>
      <c r="N153" s="183"/>
    </row>
    <row r="154" spans="1:14" ht="15.75" x14ac:dyDescent="0.25">
      <c r="A154" s="89"/>
      <c r="B154" s="74" t="s">
        <v>92</v>
      </c>
      <c r="C154" s="75" t="s">
        <v>93</v>
      </c>
      <c r="D154" s="75" t="s">
        <v>259</v>
      </c>
      <c r="E154" s="76" t="s">
        <v>260</v>
      </c>
      <c r="F154" s="76" t="s">
        <v>261</v>
      </c>
      <c r="N154" s="183"/>
    </row>
    <row r="155" spans="1:14" ht="15.75" x14ac:dyDescent="0.25">
      <c r="A155" s="89"/>
      <c r="B155" s="77" t="s">
        <v>262</v>
      </c>
      <c r="C155" s="78"/>
      <c r="D155" s="78"/>
      <c r="E155" s="79"/>
      <c r="F155" s="79"/>
      <c r="N155" s="183"/>
    </row>
    <row r="156" spans="1:14" ht="15.75" x14ac:dyDescent="0.25">
      <c r="A156" s="89"/>
      <c r="B156" s="80" t="s">
        <v>308</v>
      </c>
      <c r="C156" s="93" t="s">
        <v>315</v>
      </c>
      <c r="D156" s="75">
        <v>4.2</v>
      </c>
      <c r="E156" s="76">
        <v>1680</v>
      </c>
      <c r="F156" s="76">
        <f>+E156*D156</f>
        <v>7056</v>
      </c>
      <c r="G156">
        <v>1.8</v>
      </c>
      <c r="H156" t="str">
        <f t="shared" si="22"/>
        <v>PEGACOR GRIS</v>
      </c>
      <c r="M156" t="str">
        <f t="shared" si="23"/>
        <v>KL</v>
      </c>
      <c r="N156" s="183">
        <f t="shared" si="24"/>
        <v>7056</v>
      </c>
    </row>
    <row r="157" spans="1:14" ht="15.75" x14ac:dyDescent="0.25">
      <c r="A157" s="89"/>
      <c r="B157" s="80" t="s">
        <v>309</v>
      </c>
      <c r="C157" s="93" t="s">
        <v>316</v>
      </c>
      <c r="D157" s="75">
        <v>16.8</v>
      </c>
      <c r="E157" s="76">
        <v>78</v>
      </c>
      <c r="F157" s="76">
        <f t="shared" ref="F157:F162" si="28">+E157*D157</f>
        <v>1310.4000000000001</v>
      </c>
      <c r="G157">
        <v>1.8</v>
      </c>
      <c r="H157" t="str">
        <f t="shared" si="22"/>
        <v>AGUA</v>
      </c>
      <c r="M157" t="str">
        <f t="shared" si="23"/>
        <v>LT</v>
      </c>
      <c r="N157" s="183">
        <f t="shared" si="24"/>
        <v>1310.4000000000001</v>
      </c>
    </row>
    <row r="158" spans="1:14" ht="15.75" x14ac:dyDescent="0.25">
      <c r="A158" s="89"/>
      <c r="B158" s="80" t="s">
        <v>318</v>
      </c>
      <c r="C158" s="75" t="s">
        <v>98</v>
      </c>
      <c r="D158" s="75">
        <v>1.05</v>
      </c>
      <c r="E158" s="76">
        <v>61800</v>
      </c>
      <c r="F158" s="76">
        <f t="shared" si="28"/>
        <v>64890</v>
      </c>
      <c r="G158">
        <v>1.8</v>
      </c>
      <c r="H158" t="str">
        <f t="shared" si="22"/>
        <v xml:space="preserve"> FACHALETA JAEN BLANCO CARAS DIFERENCIADAS 25X41 </v>
      </c>
      <c r="M158" t="str">
        <f t="shared" si="23"/>
        <v>M2</v>
      </c>
      <c r="N158" s="183">
        <f t="shared" si="24"/>
        <v>64890</v>
      </c>
    </row>
    <row r="159" spans="1:14" ht="15.75" x14ac:dyDescent="0.25">
      <c r="A159" s="89"/>
      <c r="B159" s="80" t="s">
        <v>310</v>
      </c>
      <c r="C159" s="75" t="s">
        <v>93</v>
      </c>
      <c r="D159" s="75">
        <v>9</v>
      </c>
      <c r="E159" s="76">
        <v>39</v>
      </c>
      <c r="F159" s="76">
        <f t="shared" si="28"/>
        <v>351</v>
      </c>
      <c r="G159">
        <v>1.8</v>
      </c>
      <c r="H159" t="str">
        <f t="shared" si="22"/>
        <v>CRUCETA PLÁSTICA</v>
      </c>
      <c r="M159" t="str">
        <f t="shared" si="23"/>
        <v>UNIDAD</v>
      </c>
      <c r="N159" s="183">
        <f t="shared" si="24"/>
        <v>351</v>
      </c>
    </row>
    <row r="160" spans="1:14" ht="15.75" x14ac:dyDescent="0.25">
      <c r="A160" s="89"/>
      <c r="B160" s="80" t="s">
        <v>317</v>
      </c>
      <c r="C160" s="75" t="s">
        <v>314</v>
      </c>
      <c r="D160" s="75">
        <v>0.1</v>
      </c>
      <c r="E160" s="76">
        <v>4280</v>
      </c>
      <c r="F160" s="76">
        <f t="shared" si="28"/>
        <v>428</v>
      </c>
      <c r="G160">
        <v>1.8</v>
      </c>
      <c r="H160" t="str">
        <f t="shared" si="22"/>
        <v>BLANCO DE ZINC</v>
      </c>
      <c r="M160" t="str">
        <f t="shared" si="23"/>
        <v>LB</v>
      </c>
      <c r="N160" s="183">
        <f t="shared" si="24"/>
        <v>428</v>
      </c>
    </row>
    <row r="161" spans="1:14" ht="15.75" x14ac:dyDescent="0.25">
      <c r="A161" s="89"/>
      <c r="B161" s="80" t="s">
        <v>311</v>
      </c>
      <c r="C161" s="75" t="s">
        <v>315</v>
      </c>
      <c r="D161" s="75">
        <v>0.05</v>
      </c>
      <c r="E161" s="76">
        <v>10316</v>
      </c>
      <c r="F161" s="76">
        <f t="shared" si="28"/>
        <v>515.80000000000007</v>
      </c>
      <c r="G161">
        <v>1.8</v>
      </c>
      <c r="H161" t="str">
        <f t="shared" si="22"/>
        <v>ESTOPA DE LIMPIEZA (Hilaza de Algodón)</v>
      </c>
      <c r="M161" t="str">
        <f t="shared" si="23"/>
        <v>KL</v>
      </c>
      <c r="N161" s="183">
        <f t="shared" si="24"/>
        <v>515.80000000000007</v>
      </c>
    </row>
    <row r="162" spans="1:14" ht="15.75" x14ac:dyDescent="0.25">
      <c r="A162" s="89"/>
      <c r="B162" s="80" t="s">
        <v>477</v>
      </c>
      <c r="C162" s="75" t="s">
        <v>93</v>
      </c>
      <c r="D162" s="75">
        <v>0.42</v>
      </c>
      <c r="E162" s="76">
        <v>6391</v>
      </c>
      <c r="F162" s="76">
        <f t="shared" si="28"/>
        <v>2684.22</v>
      </c>
      <c r="G162">
        <v>1.8</v>
      </c>
      <c r="H162" t="str">
        <f t="shared" si="22"/>
        <v>WIN PLÁSTICO x 2.40 m</v>
      </c>
      <c r="M162" t="str">
        <f t="shared" si="23"/>
        <v>UNIDAD</v>
      </c>
      <c r="N162" s="183">
        <f t="shared" si="24"/>
        <v>2684.22</v>
      </c>
    </row>
    <row r="163" spans="1:14" ht="15.75" x14ac:dyDescent="0.25">
      <c r="A163" s="89"/>
      <c r="B163" s="77" t="s">
        <v>264</v>
      </c>
      <c r="C163" s="78"/>
      <c r="D163" s="78"/>
      <c r="E163" s="76"/>
      <c r="F163" s="76"/>
      <c r="N163" s="183"/>
    </row>
    <row r="164" spans="1:14" ht="15.75" x14ac:dyDescent="0.25">
      <c r="A164" s="89"/>
      <c r="B164" s="80" t="s">
        <v>312</v>
      </c>
      <c r="C164" s="78" t="s">
        <v>93</v>
      </c>
      <c r="D164" s="78">
        <v>1.4E-3</v>
      </c>
      <c r="E164" s="76">
        <v>222955</v>
      </c>
      <c r="F164" s="76">
        <f t="shared" ref="F164:F166" si="29">+E164*D164</f>
        <v>312.137</v>
      </c>
      <c r="N164" s="183"/>
    </row>
    <row r="165" spans="1:14" ht="15.75" x14ac:dyDescent="0.25">
      <c r="A165" s="89"/>
      <c r="B165" s="80" t="s">
        <v>313</v>
      </c>
      <c r="C165" s="78" t="s">
        <v>93</v>
      </c>
      <c r="D165" s="78">
        <v>1.4E-3</v>
      </c>
      <c r="E165" s="76">
        <v>35698</v>
      </c>
      <c r="F165" s="76">
        <f t="shared" si="29"/>
        <v>49.977199999999996</v>
      </c>
      <c r="N165" s="183"/>
    </row>
    <row r="166" spans="1:14" ht="15.75" x14ac:dyDescent="0.25">
      <c r="A166" s="89"/>
      <c r="B166" s="80" t="s">
        <v>296</v>
      </c>
      <c r="C166" s="78" t="s">
        <v>93</v>
      </c>
      <c r="D166" s="78">
        <v>1.4E-3</v>
      </c>
      <c r="E166" s="76">
        <v>348121</v>
      </c>
      <c r="F166" s="76">
        <f t="shared" si="29"/>
        <v>487.36939999999998</v>
      </c>
      <c r="N166" s="183"/>
    </row>
    <row r="167" spans="1:14" ht="15.75" x14ac:dyDescent="0.25">
      <c r="A167" s="89"/>
      <c r="B167" s="77" t="s">
        <v>266</v>
      </c>
      <c r="C167" s="78"/>
      <c r="D167" s="78"/>
      <c r="E167" s="76"/>
      <c r="F167" s="76"/>
      <c r="N167" s="183"/>
    </row>
    <row r="168" spans="1:14" ht="15.75" x14ac:dyDescent="0.25">
      <c r="A168" s="89"/>
      <c r="B168" s="82" t="s">
        <v>267</v>
      </c>
      <c r="C168" s="78" t="s">
        <v>268</v>
      </c>
      <c r="D168" s="78">
        <v>0.05</v>
      </c>
      <c r="E168" s="76">
        <v>40431</v>
      </c>
      <c r="F168" s="76">
        <f t="shared" ref="F168" si="30">+E168*D168</f>
        <v>2021.5500000000002</v>
      </c>
      <c r="N168" s="183"/>
    </row>
    <row r="169" spans="1:14" ht="15.75" x14ac:dyDescent="0.25">
      <c r="A169" s="89"/>
      <c r="B169" s="77" t="s">
        <v>269</v>
      </c>
      <c r="C169" s="78"/>
      <c r="D169" s="78"/>
      <c r="E169" s="76"/>
      <c r="F169" s="76"/>
      <c r="N169" s="183"/>
    </row>
    <row r="170" spans="1:14" ht="15.75" x14ac:dyDescent="0.25">
      <c r="A170" s="89"/>
      <c r="B170" t="s">
        <v>293</v>
      </c>
      <c r="C170" s="78" t="s">
        <v>265</v>
      </c>
      <c r="D170" s="78">
        <v>0.16250000000000001</v>
      </c>
      <c r="E170" s="76">
        <v>215235</v>
      </c>
      <c r="F170" s="76">
        <f t="shared" ref="F170" si="31">+E170*D170</f>
        <v>34975.6875</v>
      </c>
      <c r="N170" s="183"/>
    </row>
    <row r="171" spans="1:14" ht="15.75" x14ac:dyDescent="0.25">
      <c r="A171" s="89"/>
      <c r="B171" s="82"/>
      <c r="C171" s="78"/>
      <c r="D171" s="78"/>
      <c r="E171" s="85" t="s">
        <v>271</v>
      </c>
      <c r="F171" s="86">
        <f>ROUND(SUM(F156:F170), 0)</f>
        <v>115082</v>
      </c>
      <c r="N171" s="183"/>
    </row>
    <row r="172" spans="1:14" ht="47.25" x14ac:dyDescent="0.25">
      <c r="A172" s="88">
        <f>+PRESUPUESTO!A24</f>
        <v>1.9</v>
      </c>
      <c r="B172" s="71" t="str">
        <f>+PRESUPUESTO!B24</f>
        <v xml:space="preserve">SUMINISTRO E INSTALCION DE ENCHAPE PISO PARA BAÑOPISO CERÁMICO MARMOL GIOTA VENATO GREY 60X60 CM  INCLUYE MATERIAL DE PEEGA Y BOQUILLA </v>
      </c>
      <c r="C172" s="72"/>
      <c r="D172" s="72"/>
      <c r="E172" s="73"/>
      <c r="F172" s="73" t="str">
        <f>+PRESUPUESTO!D24</f>
        <v>M2</v>
      </c>
      <c r="N172" s="183"/>
    </row>
    <row r="173" spans="1:14" ht="15.75" x14ac:dyDescent="0.25">
      <c r="A173" s="89"/>
      <c r="B173" s="74" t="s">
        <v>92</v>
      </c>
      <c r="C173" s="75" t="s">
        <v>93</v>
      </c>
      <c r="D173" s="75" t="s">
        <v>259</v>
      </c>
      <c r="E173" s="76" t="s">
        <v>260</v>
      </c>
      <c r="F173" s="76" t="s">
        <v>261</v>
      </c>
      <c r="N173" s="183"/>
    </row>
    <row r="174" spans="1:14" ht="15.75" x14ac:dyDescent="0.25">
      <c r="A174" s="89"/>
      <c r="B174" s="77" t="s">
        <v>262</v>
      </c>
      <c r="C174" s="78"/>
      <c r="D174" s="78"/>
      <c r="E174" s="79" t="s">
        <v>483</v>
      </c>
      <c r="F174" s="79"/>
      <c r="N174" s="183"/>
    </row>
    <row r="175" spans="1:14" ht="15.75" x14ac:dyDescent="0.25">
      <c r="A175" s="89"/>
      <c r="B175" s="80" t="s">
        <v>308</v>
      </c>
      <c r="C175" s="93" t="s">
        <v>315</v>
      </c>
      <c r="D175" s="75">
        <v>4.2</v>
      </c>
      <c r="E175" s="76">
        <f>1360*1.0716</f>
        <v>1457.3760000000002</v>
      </c>
      <c r="F175" s="76">
        <f>+E175*D175</f>
        <v>6120.9792000000007</v>
      </c>
      <c r="G175">
        <v>1.9</v>
      </c>
      <c r="H175" t="str">
        <f t="shared" si="22"/>
        <v>PEGACOR GRIS</v>
      </c>
      <c r="M175" t="str">
        <f t="shared" si="23"/>
        <v>KL</v>
      </c>
      <c r="N175" s="183">
        <f t="shared" si="24"/>
        <v>6120.9792000000007</v>
      </c>
    </row>
    <row r="176" spans="1:14" ht="15.75" x14ac:dyDescent="0.25">
      <c r="A176" s="89"/>
      <c r="B176" s="80" t="s">
        <v>309</v>
      </c>
      <c r="C176" s="93" t="s">
        <v>316</v>
      </c>
      <c r="D176" s="75">
        <v>16.8</v>
      </c>
      <c r="E176" s="76">
        <f>64*1.0716</f>
        <v>68.582400000000007</v>
      </c>
      <c r="F176" s="76">
        <f t="shared" ref="F176:F181" si="32">+E176*D176</f>
        <v>1152.1843200000001</v>
      </c>
      <c r="G176">
        <v>1.9</v>
      </c>
      <c r="H176" t="str">
        <f t="shared" si="22"/>
        <v>AGUA</v>
      </c>
      <c r="M176" t="str">
        <f t="shared" si="23"/>
        <v>LT</v>
      </c>
      <c r="N176" s="183">
        <f t="shared" si="24"/>
        <v>1152.1843200000001</v>
      </c>
    </row>
    <row r="177" spans="1:14" ht="15.75" customHeight="1" x14ac:dyDescent="0.25">
      <c r="A177" s="89"/>
      <c r="B177" s="138" t="s">
        <v>650</v>
      </c>
      <c r="C177" s="75" t="s">
        <v>98</v>
      </c>
      <c r="D177" s="75">
        <v>1.05</v>
      </c>
      <c r="E177" s="76">
        <v>35900</v>
      </c>
      <c r="F177" s="76">
        <f t="shared" si="32"/>
        <v>37695</v>
      </c>
      <c r="G177">
        <v>1.9</v>
      </c>
      <c r="H177" t="str">
        <f t="shared" si="22"/>
        <v xml:space="preserve">PISO CERÁMICO MARMOL GIOTA VENATO GREY 60X60 CM
</v>
      </c>
      <c r="M177" t="str">
        <f t="shared" si="23"/>
        <v>M2</v>
      </c>
      <c r="N177" s="183">
        <f t="shared" si="24"/>
        <v>37695</v>
      </c>
    </row>
    <row r="178" spans="1:14" ht="15.75" x14ac:dyDescent="0.25">
      <c r="A178" s="89"/>
      <c r="B178" s="80" t="s">
        <v>310</v>
      </c>
      <c r="C178" s="75" t="s">
        <v>93</v>
      </c>
      <c r="D178" s="75">
        <v>9</v>
      </c>
      <c r="E178" s="76">
        <v>39</v>
      </c>
      <c r="F178" s="76">
        <f t="shared" si="32"/>
        <v>351</v>
      </c>
      <c r="G178">
        <v>1.9</v>
      </c>
      <c r="H178" t="str">
        <f t="shared" si="22"/>
        <v>CRUCETA PLÁSTICA</v>
      </c>
      <c r="M178" t="str">
        <f t="shared" si="23"/>
        <v>UNIDAD</v>
      </c>
      <c r="N178" s="183">
        <f t="shared" si="24"/>
        <v>351</v>
      </c>
    </row>
    <row r="179" spans="1:14" ht="15.75" x14ac:dyDescent="0.25">
      <c r="A179" s="89"/>
      <c r="B179" s="80" t="s">
        <v>317</v>
      </c>
      <c r="C179" s="75" t="s">
        <v>314</v>
      </c>
      <c r="D179" s="75">
        <v>0.1</v>
      </c>
      <c r="E179" s="76">
        <v>4280</v>
      </c>
      <c r="F179" s="76">
        <f t="shared" si="32"/>
        <v>428</v>
      </c>
      <c r="G179">
        <v>1.9</v>
      </c>
      <c r="H179" t="str">
        <f t="shared" si="22"/>
        <v>BLANCO DE ZINC</v>
      </c>
      <c r="M179" t="str">
        <f t="shared" si="23"/>
        <v>LB</v>
      </c>
      <c r="N179" s="183">
        <f t="shared" si="24"/>
        <v>428</v>
      </c>
    </row>
    <row r="180" spans="1:14" ht="15.75" x14ac:dyDescent="0.25">
      <c r="A180" s="89"/>
      <c r="B180" s="80" t="s">
        <v>311</v>
      </c>
      <c r="C180" s="75" t="s">
        <v>315</v>
      </c>
      <c r="D180" s="75">
        <v>0.05</v>
      </c>
      <c r="E180" s="76">
        <v>10316</v>
      </c>
      <c r="F180" s="76">
        <f t="shared" si="32"/>
        <v>515.80000000000007</v>
      </c>
      <c r="G180">
        <v>1.9</v>
      </c>
      <c r="H180" t="str">
        <f t="shared" si="22"/>
        <v>ESTOPA DE LIMPIEZA (Hilaza de Algodón)</v>
      </c>
      <c r="M180" t="str">
        <f t="shared" si="23"/>
        <v>KL</v>
      </c>
      <c r="N180" s="183">
        <f t="shared" si="24"/>
        <v>515.80000000000007</v>
      </c>
    </row>
    <row r="181" spans="1:14" ht="15.75" x14ac:dyDescent="0.25">
      <c r="A181" s="89"/>
      <c r="B181" s="80" t="s">
        <v>477</v>
      </c>
      <c r="C181" s="75" t="s">
        <v>93</v>
      </c>
      <c r="D181" s="75">
        <v>0.42</v>
      </c>
      <c r="E181" s="76">
        <v>6391</v>
      </c>
      <c r="F181" s="76">
        <f t="shared" si="32"/>
        <v>2684.22</v>
      </c>
      <c r="G181">
        <v>1.9</v>
      </c>
      <c r="H181" t="str">
        <f t="shared" si="22"/>
        <v>WIN PLÁSTICO x 2.40 m</v>
      </c>
      <c r="M181" t="str">
        <f t="shared" si="23"/>
        <v>UNIDAD</v>
      </c>
      <c r="N181" s="183">
        <f t="shared" si="24"/>
        <v>2684.22</v>
      </c>
    </row>
    <row r="182" spans="1:14" ht="15.75" x14ac:dyDescent="0.25">
      <c r="A182" s="89"/>
      <c r="B182" s="77" t="s">
        <v>264</v>
      </c>
      <c r="C182" s="78"/>
      <c r="D182" s="78"/>
      <c r="E182" s="76"/>
      <c r="F182" s="76"/>
      <c r="N182" s="183"/>
    </row>
    <row r="183" spans="1:14" ht="15.75" x14ac:dyDescent="0.25">
      <c r="A183" s="89"/>
      <c r="B183" s="80" t="s">
        <v>312</v>
      </c>
      <c r="C183" s="78" t="s">
        <v>93</v>
      </c>
      <c r="D183" s="78">
        <v>1.4E-3</v>
      </c>
      <c r="E183" s="76">
        <v>222955</v>
      </c>
      <c r="F183" s="76">
        <f t="shared" ref="F183:F185" si="33">+E183*D183</f>
        <v>312.137</v>
      </c>
      <c r="N183" s="183"/>
    </row>
    <row r="184" spans="1:14" ht="15.75" x14ac:dyDescent="0.25">
      <c r="A184" s="89"/>
      <c r="B184" s="80" t="s">
        <v>313</v>
      </c>
      <c r="C184" s="78" t="s">
        <v>93</v>
      </c>
      <c r="D184" s="78">
        <v>1.4E-3</v>
      </c>
      <c r="E184" s="76">
        <v>35698</v>
      </c>
      <c r="F184" s="76">
        <f t="shared" si="33"/>
        <v>49.977199999999996</v>
      </c>
      <c r="N184" s="183"/>
    </row>
    <row r="185" spans="1:14" ht="15.75" x14ac:dyDescent="0.25">
      <c r="A185" s="89"/>
      <c r="B185" s="80" t="s">
        <v>296</v>
      </c>
      <c r="C185" s="78" t="s">
        <v>93</v>
      </c>
      <c r="D185" s="78">
        <v>1.4E-3</v>
      </c>
      <c r="E185" s="76">
        <v>348121</v>
      </c>
      <c r="F185" s="76">
        <f t="shared" si="33"/>
        <v>487.36939999999998</v>
      </c>
      <c r="N185" s="183"/>
    </row>
    <row r="186" spans="1:14" ht="15.75" x14ac:dyDescent="0.25">
      <c r="A186" s="89"/>
      <c r="B186" s="80"/>
      <c r="C186" s="78"/>
      <c r="D186" s="81"/>
      <c r="E186" s="76"/>
      <c r="F186" s="76"/>
      <c r="N186" s="183"/>
    </row>
    <row r="187" spans="1:14" ht="15.75" x14ac:dyDescent="0.25">
      <c r="A187" s="89"/>
      <c r="B187" s="77" t="s">
        <v>266</v>
      </c>
      <c r="C187" s="78"/>
      <c r="D187" s="78"/>
      <c r="E187" s="76"/>
      <c r="F187" s="76"/>
      <c r="N187" s="183"/>
    </row>
    <row r="188" spans="1:14" ht="15.75" x14ac:dyDescent="0.25">
      <c r="A188" s="89"/>
      <c r="B188" s="82" t="s">
        <v>267</v>
      </c>
      <c r="C188" s="78" t="s">
        <v>268</v>
      </c>
      <c r="D188" s="78">
        <v>0.05</v>
      </c>
      <c r="E188" s="76">
        <v>40431</v>
      </c>
      <c r="F188" s="76">
        <f t="shared" ref="F188" si="34">+E188*D188</f>
        <v>2021.5500000000002</v>
      </c>
      <c r="N188" s="183"/>
    </row>
    <row r="189" spans="1:14" ht="15.75" x14ac:dyDescent="0.25">
      <c r="A189" s="89"/>
      <c r="B189" s="77" t="s">
        <v>269</v>
      </c>
      <c r="C189" s="78"/>
      <c r="D189" s="78"/>
      <c r="E189" s="76"/>
      <c r="F189" s="76"/>
      <c r="N189" s="183"/>
    </row>
    <row r="190" spans="1:14" ht="15.75" x14ac:dyDescent="0.25">
      <c r="A190" s="89"/>
      <c r="B190" t="s">
        <v>293</v>
      </c>
      <c r="C190" s="78" t="s">
        <v>265</v>
      </c>
      <c r="D190" s="78">
        <v>0.16250000000000001</v>
      </c>
      <c r="E190" s="76">
        <v>215235</v>
      </c>
      <c r="F190" s="76">
        <f t="shared" ref="F190" si="35">+E190*D190</f>
        <v>34975.6875</v>
      </c>
      <c r="N190" s="183"/>
    </row>
    <row r="191" spans="1:14" ht="15.75" x14ac:dyDescent="0.25">
      <c r="A191" s="89"/>
      <c r="B191" s="82"/>
      <c r="C191" s="78"/>
      <c r="D191" s="78"/>
      <c r="E191" s="85" t="s">
        <v>271</v>
      </c>
      <c r="F191" s="86">
        <f>ROUND(SUM(F175:F190), 0)</f>
        <v>86794</v>
      </c>
      <c r="N191" s="183"/>
    </row>
    <row r="192" spans="1:14" ht="65.25" customHeight="1" x14ac:dyDescent="0.25">
      <c r="A192" s="90">
        <f>+PRESUPUESTO!A25</f>
        <v>1.1000000000000001</v>
      </c>
      <c r="B192" s="71" t="str">
        <f>+PRESUPUESTO!B25</f>
        <v>APLICACIÓN DE PINTURA Y ESTUCO GENERAL PARA  INTERIOR  EN VINILO TIPO 1 EN MUROS. INCLUYE LIMPIEZA , RASPADO, RESANES, LIJADO FILOS EN ESCUADRAS DE MUROS DE VENTANA Y PUERTAS</v>
      </c>
      <c r="C192" s="72"/>
      <c r="D192" s="72"/>
      <c r="E192" s="73"/>
      <c r="F192" s="73" t="str">
        <f>+PRESUPUESTO!D25</f>
        <v>M2</v>
      </c>
      <c r="N192" s="183"/>
    </row>
    <row r="193" spans="1:14" ht="15.75" x14ac:dyDescent="0.25">
      <c r="A193" s="89"/>
      <c r="B193" s="74" t="s">
        <v>92</v>
      </c>
      <c r="C193" s="75" t="s">
        <v>93</v>
      </c>
      <c r="D193" s="75" t="s">
        <v>259</v>
      </c>
      <c r="E193" s="76" t="s">
        <v>260</v>
      </c>
      <c r="F193" s="76" t="s">
        <v>261</v>
      </c>
      <c r="N193" s="183"/>
    </row>
    <row r="194" spans="1:14" ht="15.75" x14ac:dyDescent="0.25">
      <c r="A194" s="89"/>
      <c r="B194" s="77" t="s">
        <v>262</v>
      </c>
      <c r="C194" s="78"/>
      <c r="D194" s="78"/>
      <c r="E194" s="79"/>
      <c r="F194" s="79"/>
      <c r="N194" s="183"/>
    </row>
    <row r="195" spans="1:14" ht="15.75" x14ac:dyDescent="0.25">
      <c r="A195" s="89"/>
      <c r="B195" s="80" t="s">
        <v>652</v>
      </c>
      <c r="C195" s="75" t="s">
        <v>350</v>
      </c>
      <c r="D195" s="75">
        <v>0.1</v>
      </c>
      <c r="E195" s="76">
        <v>2078</v>
      </c>
      <c r="F195" s="76">
        <f>+E195*D195</f>
        <v>207.8</v>
      </c>
      <c r="G195">
        <v>1.1000000000000001</v>
      </c>
      <c r="H195" t="str">
        <f t="shared" si="22"/>
        <v>LIJA DE AGUA</v>
      </c>
      <c r="M195" t="str">
        <f t="shared" si="23"/>
        <v>PLIEGO</v>
      </c>
      <c r="N195" s="183">
        <f t="shared" si="24"/>
        <v>207.8</v>
      </c>
    </row>
    <row r="196" spans="1:14" ht="15.75" x14ac:dyDescent="0.25">
      <c r="A196" s="89"/>
      <c r="B196" s="80" t="s">
        <v>653</v>
      </c>
      <c r="C196" s="75" t="s">
        <v>315</v>
      </c>
      <c r="D196" s="75">
        <v>1.5</v>
      </c>
      <c r="E196" s="76">
        <v>4094</v>
      </c>
      <c r="F196" s="76">
        <f>+E196*D196</f>
        <v>6141</v>
      </c>
      <c r="G196">
        <v>1.1000000000000001</v>
      </c>
      <c r="H196" t="str">
        <f t="shared" si="22"/>
        <v>ESTUCOR ESTUCO PLÁSTICO</v>
      </c>
      <c r="M196" t="str">
        <f t="shared" si="23"/>
        <v>KL</v>
      </c>
      <c r="N196" s="183">
        <f t="shared" si="24"/>
        <v>6141</v>
      </c>
    </row>
    <row r="197" spans="1:14" ht="15.75" x14ac:dyDescent="0.25">
      <c r="A197" s="89"/>
      <c r="B197" s="80" t="s">
        <v>654</v>
      </c>
      <c r="C197" s="75" t="s">
        <v>263</v>
      </c>
      <c r="D197" s="75">
        <v>0.03</v>
      </c>
      <c r="E197" s="76">
        <v>91956</v>
      </c>
      <c r="F197" s="76">
        <f>+E197*D197</f>
        <v>2758.68</v>
      </c>
      <c r="G197">
        <v>1.1000000000000001</v>
      </c>
      <c r="H197" t="str">
        <f t="shared" si="22"/>
        <v>PINTURA TIPO  1</v>
      </c>
      <c r="M197" t="str">
        <f t="shared" si="23"/>
        <v xml:space="preserve">GALON </v>
      </c>
      <c r="N197" s="183">
        <f t="shared" si="24"/>
        <v>2758.68</v>
      </c>
    </row>
    <row r="198" spans="1:14" ht="15.75" x14ac:dyDescent="0.25">
      <c r="A198" s="89"/>
      <c r="B198" s="77" t="s">
        <v>264</v>
      </c>
      <c r="C198" s="78"/>
      <c r="D198" s="78"/>
      <c r="E198" s="76"/>
      <c r="F198" s="76"/>
      <c r="N198" s="183"/>
    </row>
    <row r="199" spans="1:14" ht="15.75" x14ac:dyDescent="0.25">
      <c r="A199" s="89"/>
      <c r="B199" s="80" t="s">
        <v>319</v>
      </c>
      <c r="C199" s="78" t="s">
        <v>265</v>
      </c>
      <c r="D199" s="78">
        <v>0.55000000000000004</v>
      </c>
      <c r="E199" s="76">
        <v>5246</v>
      </c>
      <c r="F199" s="76">
        <f t="shared" ref="F199:F206" si="36">+E199*D199</f>
        <v>2885.3</v>
      </c>
      <c r="N199" s="183"/>
    </row>
    <row r="200" spans="1:14" ht="15.75" x14ac:dyDescent="0.25">
      <c r="A200" s="89"/>
      <c r="B200" s="80" t="s">
        <v>320</v>
      </c>
      <c r="C200" s="78" t="s">
        <v>265</v>
      </c>
      <c r="D200" s="78">
        <v>0.55000000000000004</v>
      </c>
      <c r="E200" s="76">
        <v>2233</v>
      </c>
      <c r="F200" s="76">
        <f t="shared" si="36"/>
        <v>1228.1500000000001</v>
      </c>
      <c r="N200" s="183"/>
    </row>
    <row r="201" spans="1:14" ht="15.75" x14ac:dyDescent="0.25">
      <c r="A201" s="89"/>
      <c r="B201" s="80" t="s">
        <v>321</v>
      </c>
      <c r="C201" s="78" t="s">
        <v>93</v>
      </c>
      <c r="D201" s="81">
        <v>8.0000000000000004E-4</v>
      </c>
      <c r="E201" s="76">
        <f>9628*1.0716</f>
        <v>10317.364800000001</v>
      </c>
      <c r="F201" s="76">
        <f t="shared" si="36"/>
        <v>8.2538918400000014</v>
      </c>
      <c r="N201" s="183"/>
    </row>
    <row r="202" spans="1:14" ht="15.75" x14ac:dyDescent="0.25">
      <c r="A202" s="89"/>
      <c r="B202" s="80" t="s">
        <v>322</v>
      </c>
      <c r="C202" s="78" t="s">
        <v>93</v>
      </c>
      <c r="D202" s="81">
        <v>8.0000000000000004E-4</v>
      </c>
      <c r="E202" s="76">
        <v>202225</v>
      </c>
      <c r="F202" s="76">
        <f t="shared" si="36"/>
        <v>161.78</v>
      </c>
      <c r="N202" s="183"/>
    </row>
    <row r="203" spans="1:14" ht="15.75" x14ac:dyDescent="0.25">
      <c r="A203" s="89"/>
      <c r="B203" s="77" t="s">
        <v>266</v>
      </c>
      <c r="C203" s="78"/>
      <c r="D203" s="78"/>
      <c r="E203" s="76"/>
      <c r="F203" s="76"/>
      <c r="N203" s="183"/>
    </row>
    <row r="204" spans="1:14" ht="15.75" x14ac:dyDescent="0.25">
      <c r="A204" s="89"/>
      <c r="B204" s="82" t="s">
        <v>267</v>
      </c>
      <c r="C204" s="78" t="s">
        <v>268</v>
      </c>
      <c r="D204" s="78">
        <v>0.02</v>
      </c>
      <c r="E204" s="76">
        <v>40431</v>
      </c>
      <c r="F204" s="76">
        <f t="shared" si="36"/>
        <v>808.62</v>
      </c>
      <c r="N204" s="183"/>
    </row>
    <row r="205" spans="1:14" ht="15.75" x14ac:dyDescent="0.25">
      <c r="A205" s="89"/>
      <c r="B205" s="77" t="s">
        <v>269</v>
      </c>
      <c r="C205" s="78"/>
      <c r="D205" s="78"/>
      <c r="E205" s="76"/>
      <c r="F205" s="76"/>
      <c r="N205" s="183"/>
    </row>
    <row r="206" spans="1:14" ht="15.75" x14ac:dyDescent="0.25">
      <c r="A206" s="89"/>
      <c r="B206" s="82" t="s">
        <v>270</v>
      </c>
      <c r="C206" s="78" t="s">
        <v>265</v>
      </c>
      <c r="D206" s="78">
        <v>8.3199999999999996E-2</v>
      </c>
      <c r="E206" s="76">
        <v>215236</v>
      </c>
      <c r="F206" s="76">
        <f t="shared" si="36"/>
        <v>17907.635200000001</v>
      </c>
      <c r="N206" s="183"/>
    </row>
    <row r="207" spans="1:14" ht="15.75" x14ac:dyDescent="0.25">
      <c r="A207" s="89"/>
      <c r="B207" s="82"/>
      <c r="C207" s="78"/>
      <c r="D207" s="78"/>
      <c r="E207" s="85" t="s">
        <v>271</v>
      </c>
      <c r="F207" s="86">
        <f>ROUND(SUM(F195:F206), 0)</f>
        <v>32107</v>
      </c>
      <c r="N207" s="183"/>
    </row>
    <row r="208" spans="1:14" ht="47.25" x14ac:dyDescent="0.25">
      <c r="A208" s="143">
        <f>+PRESUPUESTO!A26</f>
        <v>1.1100000000000001</v>
      </c>
      <c r="B208" s="144" t="str">
        <f>+PRESUPUESTO!B26</f>
        <v>DESMONTE DE CIELO FALSO EXISTENTE  DE IMATERIAL DE ICOPOR , DESMONTE DE ESTRCUTURA SOPORTE , INCLUYE RETIRO Y DISPOSICION FINAL DE ESCOMBROS</v>
      </c>
      <c r="C208" s="145"/>
      <c r="D208" s="145"/>
      <c r="E208" s="146"/>
      <c r="F208" s="146" t="str">
        <f>+PRESUPUESTO!D26</f>
        <v>M2</v>
      </c>
      <c r="N208" s="183"/>
    </row>
    <row r="209" spans="1:14" ht="15.75" x14ac:dyDescent="0.25">
      <c r="A209" s="147"/>
      <c r="B209" s="148" t="s">
        <v>92</v>
      </c>
      <c r="C209" s="149" t="s">
        <v>93</v>
      </c>
      <c r="D209" s="149" t="s">
        <v>259</v>
      </c>
      <c r="E209" s="150" t="s">
        <v>260</v>
      </c>
      <c r="F209" s="150" t="s">
        <v>261</v>
      </c>
      <c r="N209" s="183"/>
    </row>
    <row r="210" spans="1:14" ht="15.75" x14ac:dyDescent="0.25">
      <c r="A210" s="147"/>
      <c r="B210" s="151" t="s">
        <v>262</v>
      </c>
      <c r="C210" s="149"/>
      <c r="D210" s="149"/>
      <c r="E210" s="152"/>
      <c r="F210" s="152"/>
      <c r="N210" s="183"/>
    </row>
    <row r="211" spans="1:14" ht="15.75" x14ac:dyDescent="0.25">
      <c r="A211" s="147"/>
      <c r="B211" s="148"/>
      <c r="C211" s="149"/>
      <c r="D211" s="149"/>
      <c r="E211" s="150"/>
      <c r="F211" s="150">
        <f>+E211*D211</f>
        <v>0</v>
      </c>
      <c r="N211" s="183"/>
    </row>
    <row r="212" spans="1:14" ht="15.75" x14ac:dyDescent="0.25">
      <c r="A212" s="147"/>
      <c r="B212" s="151" t="s">
        <v>264</v>
      </c>
      <c r="C212" s="149"/>
      <c r="D212" s="149"/>
      <c r="E212" s="152"/>
      <c r="F212" s="150">
        <f t="shared" ref="F212:F218" si="37">+E212*D212</f>
        <v>0</v>
      </c>
      <c r="N212" s="183"/>
    </row>
    <row r="213" spans="1:14" ht="15.75" x14ac:dyDescent="0.25">
      <c r="A213" s="147"/>
      <c r="B213" s="157" t="s">
        <v>319</v>
      </c>
      <c r="C213" s="149" t="s">
        <v>265</v>
      </c>
      <c r="D213" s="149">
        <v>0.22</v>
      </c>
      <c r="E213" s="150">
        <f>4460*1.0716</f>
        <v>4779.3360000000002</v>
      </c>
      <c r="F213" s="150">
        <f t="shared" si="37"/>
        <v>1051.4539200000002</v>
      </c>
      <c r="N213" s="183"/>
    </row>
    <row r="214" spans="1:14" ht="15.75" x14ac:dyDescent="0.25">
      <c r="A214" s="147"/>
      <c r="B214" s="157" t="s">
        <v>296</v>
      </c>
      <c r="C214" s="149" t="s">
        <v>93</v>
      </c>
      <c r="D214" s="149">
        <v>2.0000000000000001E-4</v>
      </c>
      <c r="E214" s="150">
        <f>280522*1.0716</f>
        <v>300607.37520000001</v>
      </c>
      <c r="F214" s="150">
        <f t="shared" si="37"/>
        <v>60.121475040000007</v>
      </c>
      <c r="N214" s="183"/>
    </row>
    <row r="215" spans="1:14" ht="15.75" x14ac:dyDescent="0.25">
      <c r="A215" s="147"/>
      <c r="B215" s="151" t="s">
        <v>266</v>
      </c>
      <c r="C215" s="149"/>
      <c r="D215" s="149"/>
      <c r="E215" s="150"/>
      <c r="F215" s="150">
        <f t="shared" si="37"/>
        <v>0</v>
      </c>
      <c r="N215" s="183"/>
    </row>
    <row r="216" spans="1:14" ht="15.75" x14ac:dyDescent="0.25">
      <c r="A216" s="147"/>
      <c r="B216" s="148" t="s">
        <v>267</v>
      </c>
      <c r="C216" s="149"/>
      <c r="D216" s="149"/>
      <c r="E216" s="153"/>
      <c r="F216" s="150">
        <f t="shared" si="37"/>
        <v>0</v>
      </c>
      <c r="N216" s="183"/>
    </row>
    <row r="217" spans="1:14" ht="15.75" x14ac:dyDescent="0.25">
      <c r="A217" s="147"/>
      <c r="B217" s="151" t="s">
        <v>269</v>
      </c>
      <c r="C217" s="149"/>
      <c r="D217" s="149"/>
      <c r="E217" s="152"/>
      <c r="F217" s="150">
        <f t="shared" si="37"/>
        <v>0</v>
      </c>
      <c r="N217" s="183"/>
    </row>
    <row r="218" spans="1:14" ht="15.75" x14ac:dyDescent="0.25">
      <c r="A218" s="147"/>
      <c r="B218" s="157" t="s">
        <v>324</v>
      </c>
      <c r="C218" s="149" t="s">
        <v>265</v>
      </c>
      <c r="D218" s="149">
        <v>1.7000000000000001E-2</v>
      </c>
      <c r="E218" s="154">
        <f>390059*1.0716</f>
        <v>417987.22440000006</v>
      </c>
      <c r="F218" s="150">
        <f t="shared" si="37"/>
        <v>7105.7828148000017</v>
      </c>
      <c r="N218" s="183"/>
    </row>
    <row r="219" spans="1:14" ht="15.75" x14ac:dyDescent="0.25">
      <c r="A219" s="147"/>
      <c r="B219" s="148"/>
      <c r="C219" s="149"/>
      <c r="D219" s="149"/>
      <c r="E219" s="155" t="s">
        <v>271</v>
      </c>
      <c r="F219" s="156">
        <f>ROUND(SUM(F211:F218), 0)</f>
        <v>8217</v>
      </c>
      <c r="N219" s="183"/>
    </row>
    <row r="220" spans="1:14" ht="75" customHeight="1" x14ac:dyDescent="0.25">
      <c r="A220" s="90">
        <f>+PRESUPUESTO!A27</f>
        <v>1.1200000000000001</v>
      </c>
      <c r="B220" s="71" t="str">
        <f>+PRESUPUESTO!B27</f>
        <v>SUMINISTRO E INSTALACION DE TECHO EN DRY WALL YESO DE 1/2"   INCLUYE ESTRUCTURA EN ALUMINIO (OMEGAS ) Y AISLANTE TERMICO FRESCASA FIBRA DE VIDRIO  ECO 2-1/2PG 7.62X1.22   Y DE  TODOS SUS ACCESORIOS PARA SU CORRECTA INSTALACION .</v>
      </c>
      <c r="C220" s="72"/>
      <c r="D220" s="72"/>
      <c r="E220" s="73"/>
      <c r="F220" s="73" t="str">
        <f>+PRESUPUESTO!D27</f>
        <v>M2</v>
      </c>
      <c r="N220" s="183"/>
    </row>
    <row r="221" spans="1:14" ht="15.75" x14ac:dyDescent="0.25">
      <c r="A221" s="89"/>
      <c r="B221" s="74" t="s">
        <v>92</v>
      </c>
      <c r="C221" s="75" t="s">
        <v>93</v>
      </c>
      <c r="D221" s="75" t="s">
        <v>259</v>
      </c>
      <c r="E221" s="76" t="s">
        <v>260</v>
      </c>
      <c r="F221" s="76" t="s">
        <v>261</v>
      </c>
      <c r="N221" s="183"/>
    </row>
    <row r="222" spans="1:14" ht="15.75" x14ac:dyDescent="0.25">
      <c r="A222" s="89"/>
      <c r="B222" s="77" t="s">
        <v>262</v>
      </c>
      <c r="C222" s="78"/>
      <c r="D222" s="78"/>
      <c r="E222" s="79"/>
      <c r="F222" s="79"/>
      <c r="N222" s="183"/>
    </row>
    <row r="223" spans="1:14" ht="15.75" x14ac:dyDescent="0.25">
      <c r="A223" s="89"/>
      <c r="B223" s="80" t="s">
        <v>325</v>
      </c>
      <c r="C223" s="75" t="s">
        <v>93</v>
      </c>
      <c r="D223" s="75">
        <v>0.34</v>
      </c>
      <c r="E223" s="76">
        <v>48016</v>
      </c>
      <c r="F223" s="76">
        <f>+E223*D223</f>
        <v>16325.44</v>
      </c>
      <c r="G223">
        <v>1.1200000000000001</v>
      </c>
      <c r="H223" t="str">
        <f t="shared" ref="H223:H265" si="38">+B223</f>
        <v>PLACA DE YESO 1.22 m x 2.44 m x 1/2"</v>
      </c>
      <c r="M223" t="str">
        <f t="shared" ref="M223:M265" si="39">+C223</f>
        <v>UNIDAD</v>
      </c>
      <c r="N223" s="183">
        <f t="shared" ref="N223:N265" si="40">+F223</f>
        <v>16325.44</v>
      </c>
    </row>
    <row r="224" spans="1:14" ht="15.75" x14ac:dyDescent="0.25">
      <c r="A224" s="89"/>
      <c r="B224" s="80" t="s">
        <v>655</v>
      </c>
      <c r="C224" s="75" t="s">
        <v>98</v>
      </c>
      <c r="D224" s="75">
        <v>1.05</v>
      </c>
      <c r="E224" s="76">
        <v>30969</v>
      </c>
      <c r="F224" s="76">
        <f>+E224*D224</f>
        <v>32517.45</v>
      </c>
      <c r="G224">
        <v>1.1200000000000001</v>
      </c>
      <c r="H224" t="str">
        <f t="shared" si="38"/>
        <v xml:space="preserve">FRESCASA 3 1/2" CON FOIL </v>
      </c>
      <c r="M224" t="str">
        <f t="shared" si="39"/>
        <v>M2</v>
      </c>
      <c r="N224" s="183">
        <f t="shared" si="40"/>
        <v>32517.45</v>
      </c>
    </row>
    <row r="225" spans="1:14" ht="15.75" x14ac:dyDescent="0.25">
      <c r="A225" s="89"/>
      <c r="B225" s="80" t="s">
        <v>326</v>
      </c>
      <c r="C225" s="75" t="s">
        <v>93</v>
      </c>
      <c r="D225" s="75">
        <v>0.56000000000000005</v>
      </c>
      <c r="E225" s="76">
        <v>6043</v>
      </c>
      <c r="F225" s="76">
        <f t="shared" ref="F225:F243" si="41">+E225*D225</f>
        <v>3384.0800000000004</v>
      </c>
      <c r="G225">
        <v>1.1200000000000001</v>
      </c>
      <c r="H225" t="str">
        <f t="shared" si="38"/>
        <v>VIGUETA 0.40 mm x 2.44 m</v>
      </c>
      <c r="M225" t="str">
        <f t="shared" si="39"/>
        <v>UNIDAD</v>
      </c>
      <c r="N225" s="183">
        <f t="shared" si="40"/>
        <v>3384.0800000000004</v>
      </c>
    </row>
    <row r="226" spans="1:14" ht="15.75" x14ac:dyDescent="0.25">
      <c r="A226" s="89"/>
      <c r="B226" s="80" t="s">
        <v>327</v>
      </c>
      <c r="C226" s="75" t="s">
        <v>93</v>
      </c>
      <c r="D226" s="75">
        <v>0.81</v>
      </c>
      <c r="E226" s="76">
        <v>6041</v>
      </c>
      <c r="F226" s="76">
        <f t="shared" si="41"/>
        <v>4893.21</v>
      </c>
      <c r="G226">
        <v>1.1200000000000001</v>
      </c>
      <c r="H226" t="str">
        <f t="shared" si="38"/>
        <v>OMEGA 0.40 mm x 2.44 m</v>
      </c>
      <c r="M226" t="str">
        <f t="shared" si="39"/>
        <v>UNIDAD</v>
      </c>
      <c r="N226" s="183">
        <f t="shared" si="40"/>
        <v>4893.21</v>
      </c>
    </row>
    <row r="227" spans="1:14" ht="15.75" x14ac:dyDescent="0.25">
      <c r="A227" s="89"/>
      <c r="B227" s="80" t="s">
        <v>328</v>
      </c>
      <c r="C227" s="75" t="s">
        <v>93</v>
      </c>
      <c r="D227" s="75">
        <v>0.42</v>
      </c>
      <c r="E227" s="76">
        <v>4111</v>
      </c>
      <c r="F227" s="76">
        <f t="shared" si="41"/>
        <v>1726.62</v>
      </c>
      <c r="G227">
        <v>1.1200000000000001</v>
      </c>
      <c r="H227" t="str">
        <f t="shared" si="38"/>
        <v>ÁNGULO 2.50 cm x 2.50 cm 0.40 mm x 2.44 m</v>
      </c>
      <c r="M227" t="str">
        <f t="shared" si="39"/>
        <v>UNIDAD</v>
      </c>
      <c r="N227" s="183">
        <f t="shared" si="40"/>
        <v>1726.62</v>
      </c>
    </row>
    <row r="228" spans="1:14" ht="15.75" x14ac:dyDescent="0.25">
      <c r="A228" s="89"/>
      <c r="B228" s="80" t="s">
        <v>329</v>
      </c>
      <c r="C228" s="75" t="s">
        <v>93</v>
      </c>
      <c r="D228" s="75">
        <v>8.6</v>
      </c>
      <c r="E228" s="76">
        <v>191</v>
      </c>
      <c r="F228" s="76">
        <f t="shared" si="41"/>
        <v>1642.6</v>
      </c>
      <c r="G228">
        <v>1.1200000000000001</v>
      </c>
      <c r="H228" t="str">
        <f t="shared" si="38"/>
        <v>TORNILLO PANEL PUNTA AGUDA 6x1"</v>
      </c>
      <c r="M228" t="str">
        <f t="shared" si="39"/>
        <v>UNIDAD</v>
      </c>
      <c r="N228" s="183">
        <f t="shared" si="40"/>
        <v>1642.6</v>
      </c>
    </row>
    <row r="229" spans="1:14" ht="15.75" x14ac:dyDescent="0.25">
      <c r="A229" s="89"/>
      <c r="B229" s="80" t="s">
        <v>330</v>
      </c>
      <c r="C229" s="75" t="s">
        <v>93</v>
      </c>
      <c r="D229" s="75">
        <v>11.5</v>
      </c>
      <c r="E229" s="76">
        <v>85</v>
      </c>
      <c r="F229" s="76">
        <f t="shared" si="41"/>
        <v>977.5</v>
      </c>
      <c r="G229">
        <v>1.1200000000000001</v>
      </c>
      <c r="H229" t="str">
        <f t="shared" si="38"/>
        <v>TORNILLO ESTRUCTURA PUNTA AGUDA CABEZA PLANA 8x1/2"</v>
      </c>
      <c r="M229" t="str">
        <f t="shared" si="39"/>
        <v>UNIDAD</v>
      </c>
      <c r="N229" s="183">
        <f t="shared" si="40"/>
        <v>977.5</v>
      </c>
    </row>
    <row r="230" spans="1:14" ht="15.75" x14ac:dyDescent="0.25">
      <c r="A230" s="89"/>
      <c r="B230" s="80" t="s">
        <v>331</v>
      </c>
      <c r="C230" s="75" t="s">
        <v>93</v>
      </c>
      <c r="D230" s="75">
        <v>0.1</v>
      </c>
      <c r="E230" s="76">
        <v>2918</v>
      </c>
      <c r="F230" s="76">
        <f t="shared" si="41"/>
        <v>291.8</v>
      </c>
      <c r="G230">
        <v>1.1200000000000001</v>
      </c>
      <c r="H230" t="str">
        <f t="shared" si="38"/>
        <v>TIRO ANCLAJE ROJO</v>
      </c>
      <c r="M230" t="str">
        <f t="shared" si="39"/>
        <v>UNIDAD</v>
      </c>
      <c r="N230" s="183">
        <f t="shared" si="40"/>
        <v>291.8</v>
      </c>
    </row>
    <row r="231" spans="1:14" ht="15.75" x14ac:dyDescent="0.25">
      <c r="A231" s="89"/>
      <c r="B231" s="80" t="s">
        <v>332</v>
      </c>
      <c r="C231" s="75" t="s">
        <v>315</v>
      </c>
      <c r="D231" s="75">
        <v>0.05</v>
      </c>
      <c r="E231" s="76">
        <v>8402</v>
      </c>
      <c r="F231" s="76">
        <f t="shared" si="41"/>
        <v>420.1</v>
      </c>
      <c r="G231">
        <v>1.1200000000000001</v>
      </c>
      <c r="H231" t="str">
        <f t="shared" si="38"/>
        <v>ALAMBRE GALVANIZADO Cal. 14</v>
      </c>
      <c r="M231" t="str">
        <f t="shared" si="39"/>
        <v>KL</v>
      </c>
      <c r="N231" s="183">
        <f t="shared" si="40"/>
        <v>420.1</v>
      </c>
    </row>
    <row r="232" spans="1:14" ht="15.75" x14ac:dyDescent="0.25">
      <c r="A232" s="89"/>
      <c r="B232" s="77" t="s">
        <v>264</v>
      </c>
      <c r="C232" s="75"/>
      <c r="D232" s="78"/>
      <c r="E232" s="76"/>
      <c r="F232" s="76">
        <f t="shared" si="41"/>
        <v>0</v>
      </c>
      <c r="N232" s="183"/>
    </row>
    <row r="233" spans="1:14" ht="15.75" x14ac:dyDescent="0.25">
      <c r="A233" s="89"/>
      <c r="B233" s="80" t="s">
        <v>319</v>
      </c>
      <c r="C233" s="75" t="s">
        <v>297</v>
      </c>
      <c r="D233" s="78">
        <v>0.67</v>
      </c>
      <c r="E233" s="76">
        <v>5246</v>
      </c>
      <c r="F233" s="76">
        <f t="shared" si="41"/>
        <v>3514.82</v>
      </c>
      <c r="N233" s="183"/>
    </row>
    <row r="234" spans="1:14" ht="15.75" x14ac:dyDescent="0.25">
      <c r="A234" s="89"/>
      <c r="B234" t="s">
        <v>320</v>
      </c>
      <c r="C234" s="75" t="s">
        <v>297</v>
      </c>
      <c r="D234" s="78">
        <v>1.1000000000000001</v>
      </c>
      <c r="E234" s="76">
        <v>2233</v>
      </c>
      <c r="F234" s="76">
        <f t="shared" si="41"/>
        <v>2456.3000000000002</v>
      </c>
      <c r="N234" s="183"/>
    </row>
    <row r="235" spans="1:14" ht="15.75" x14ac:dyDescent="0.25">
      <c r="A235" s="89"/>
      <c r="B235" s="80" t="s">
        <v>333</v>
      </c>
      <c r="C235" s="75" t="s">
        <v>93</v>
      </c>
      <c r="D235" s="78">
        <v>1.1000000000000001E-3</v>
      </c>
      <c r="E235" s="76">
        <v>611537</v>
      </c>
      <c r="F235" s="76">
        <f t="shared" si="41"/>
        <v>672.69069999999999</v>
      </c>
      <c r="N235" s="183"/>
    </row>
    <row r="236" spans="1:14" ht="15.75" x14ac:dyDescent="0.25">
      <c r="A236" s="89"/>
      <c r="B236" s="80" t="s">
        <v>334</v>
      </c>
      <c r="C236" s="75" t="s">
        <v>93</v>
      </c>
      <c r="D236" s="78">
        <v>1.1000000000000001E-3</v>
      </c>
      <c r="E236" s="76">
        <v>77490</v>
      </c>
      <c r="F236" s="76">
        <f t="shared" si="41"/>
        <v>85.239000000000004</v>
      </c>
      <c r="N236" s="183"/>
    </row>
    <row r="237" spans="1:14" ht="15.75" x14ac:dyDescent="0.25">
      <c r="A237" s="89"/>
      <c r="B237" s="80" t="s">
        <v>335</v>
      </c>
      <c r="C237" s="75" t="s">
        <v>93</v>
      </c>
      <c r="D237" s="78">
        <v>1.1000000000000001E-3</v>
      </c>
      <c r="E237" s="76">
        <v>62851</v>
      </c>
      <c r="F237" s="76">
        <f t="shared" si="41"/>
        <v>69.136099999999999</v>
      </c>
      <c r="N237" s="183"/>
    </row>
    <row r="238" spans="1:14" ht="15.75" x14ac:dyDescent="0.25">
      <c r="A238" s="89"/>
      <c r="B238" s="80" t="s">
        <v>336</v>
      </c>
      <c r="C238" s="75" t="s">
        <v>93</v>
      </c>
      <c r="D238" s="78">
        <v>1.1000000000000001E-3</v>
      </c>
      <c r="E238" s="76">
        <v>600941</v>
      </c>
      <c r="F238" s="76">
        <f t="shared" si="41"/>
        <v>661.03510000000006</v>
      </c>
      <c r="N238" s="183"/>
    </row>
    <row r="239" spans="1:14" ht="15.75" x14ac:dyDescent="0.25">
      <c r="A239" s="89"/>
      <c r="B239" s="80" t="s">
        <v>337</v>
      </c>
      <c r="C239" s="75" t="s">
        <v>93</v>
      </c>
      <c r="D239" s="78">
        <v>1.1000000000000001E-3</v>
      </c>
      <c r="E239" s="76">
        <v>716643</v>
      </c>
      <c r="F239" s="76">
        <f t="shared" si="41"/>
        <v>788.30730000000005</v>
      </c>
      <c r="N239" s="183"/>
    </row>
    <row r="240" spans="1:14" ht="15.75" x14ac:dyDescent="0.25">
      <c r="A240" s="89"/>
      <c r="B240" s="77" t="s">
        <v>266</v>
      </c>
      <c r="C240" s="78"/>
      <c r="D240" s="78"/>
      <c r="E240" s="76"/>
      <c r="F240" s="76">
        <f t="shared" si="41"/>
        <v>0</v>
      </c>
      <c r="N240" s="183"/>
    </row>
    <row r="241" spans="1:14" ht="15.75" x14ac:dyDescent="0.25">
      <c r="A241" s="89"/>
      <c r="B241" s="82" t="s">
        <v>267</v>
      </c>
      <c r="C241" s="78" t="s">
        <v>268</v>
      </c>
      <c r="D241" s="78">
        <v>0.05</v>
      </c>
      <c r="E241" s="76">
        <v>40431</v>
      </c>
      <c r="F241" s="76">
        <f t="shared" si="41"/>
        <v>2021.5500000000002</v>
      </c>
      <c r="N241" s="183"/>
    </row>
    <row r="242" spans="1:14" ht="15.75" x14ac:dyDescent="0.25">
      <c r="A242" s="89"/>
      <c r="B242" s="77" t="s">
        <v>269</v>
      </c>
      <c r="C242" s="78"/>
      <c r="D242" s="78"/>
      <c r="E242" s="76"/>
      <c r="F242" s="76">
        <f t="shared" si="41"/>
        <v>0</v>
      </c>
      <c r="N242" s="183"/>
    </row>
    <row r="243" spans="1:14" ht="15.75" x14ac:dyDescent="0.25">
      <c r="A243" s="89"/>
      <c r="B243" s="80" t="s">
        <v>293</v>
      </c>
      <c r="C243" s="78" t="s">
        <v>265</v>
      </c>
      <c r="D243" s="78">
        <v>0.1143</v>
      </c>
      <c r="E243" s="76">
        <v>215235</v>
      </c>
      <c r="F243" s="76">
        <f t="shared" si="41"/>
        <v>24601.360499999999</v>
      </c>
      <c r="N243" s="183"/>
    </row>
    <row r="244" spans="1:14" ht="15.75" x14ac:dyDescent="0.25">
      <c r="A244" s="89"/>
      <c r="B244" s="82"/>
      <c r="C244" s="78"/>
      <c r="D244" s="78"/>
      <c r="E244" s="85" t="s">
        <v>271</v>
      </c>
      <c r="F244" s="86">
        <f>ROUND(SUM(F223:F243), 0)</f>
        <v>97049</v>
      </c>
      <c r="N244" s="183"/>
    </row>
    <row r="245" spans="1:14" ht="63" x14ac:dyDescent="0.25">
      <c r="A245" s="90">
        <f>+PRESUPUESTO!A28</f>
        <v>1.1299999999999999</v>
      </c>
      <c r="B245" s="71" t="str">
        <f>+PRESUPUESTO!B28</f>
        <v>APLICACIÓN DE PINTURA GENERAL PARA INTERIORES EN VINILO TIPO 1   PARA TECHOS . INCLUYE LIMPIEZA , RASPADO, RESANES, LIJADO FILOS INSTALACION DE SELLO DE JUNTAS</v>
      </c>
      <c r="C245" s="72"/>
      <c r="D245" s="72"/>
      <c r="E245" s="73"/>
      <c r="F245" s="73" t="str">
        <f>+PRESUPUESTO!D28</f>
        <v>M2</v>
      </c>
      <c r="N245" s="183"/>
    </row>
    <row r="246" spans="1:14" ht="15.75" x14ac:dyDescent="0.25">
      <c r="A246" s="89"/>
      <c r="B246" s="74" t="s">
        <v>92</v>
      </c>
      <c r="C246" s="75" t="s">
        <v>93</v>
      </c>
      <c r="D246" s="75" t="s">
        <v>259</v>
      </c>
      <c r="E246" s="76" t="s">
        <v>260</v>
      </c>
      <c r="F246" s="76" t="s">
        <v>261</v>
      </c>
      <c r="N246" s="183"/>
    </row>
    <row r="247" spans="1:14" ht="15.75" x14ac:dyDescent="0.25">
      <c r="A247" s="89"/>
      <c r="B247" s="77" t="s">
        <v>262</v>
      </c>
      <c r="C247" s="78"/>
      <c r="D247" s="78"/>
      <c r="E247" s="79"/>
      <c r="F247" s="79"/>
      <c r="N247" s="183"/>
    </row>
    <row r="248" spans="1:14" ht="15.75" x14ac:dyDescent="0.25">
      <c r="A248" s="89"/>
      <c r="B248" s="80" t="s">
        <v>339</v>
      </c>
      <c r="C248" s="75" t="s">
        <v>315</v>
      </c>
      <c r="D248" s="75">
        <v>5.0999999999999997E-2</v>
      </c>
      <c r="E248" s="76">
        <v>92908</v>
      </c>
      <c r="F248" s="76">
        <f>+E248*D248</f>
        <v>4738.308</v>
      </c>
      <c r="G248">
        <v>1.1299999999999999</v>
      </c>
      <c r="H248" t="str">
        <f t="shared" si="38"/>
        <v>SIKADUR PANEL (Adhesivo sellador de juntas rígidas en plac</v>
      </c>
      <c r="M248" t="str">
        <f t="shared" si="39"/>
        <v>KL</v>
      </c>
      <c r="N248" s="183">
        <f t="shared" si="40"/>
        <v>4738.308</v>
      </c>
    </row>
    <row r="249" spans="1:14" ht="15.75" x14ac:dyDescent="0.25">
      <c r="A249" s="89"/>
      <c r="B249" s="80" t="s">
        <v>340</v>
      </c>
      <c r="C249" s="75" t="s">
        <v>117</v>
      </c>
      <c r="D249" s="75">
        <v>0.73</v>
      </c>
      <c r="E249" s="76">
        <v>208</v>
      </c>
      <c r="F249" s="76">
        <f t="shared" ref="F249:F259" si="42">+E249*D249</f>
        <v>151.84</v>
      </c>
      <c r="G249">
        <v>1.1299999999999999</v>
      </c>
      <c r="H249" t="str">
        <f t="shared" si="38"/>
        <v>CINTA PAPEL SELLAPANEL</v>
      </c>
      <c r="M249" t="str">
        <f t="shared" si="39"/>
        <v>ML</v>
      </c>
      <c r="N249" s="183">
        <f t="shared" si="40"/>
        <v>151.84</v>
      </c>
    </row>
    <row r="250" spans="1:14" ht="15.75" x14ac:dyDescent="0.25">
      <c r="A250" s="89"/>
      <c r="B250" s="80" t="s">
        <v>341</v>
      </c>
      <c r="C250" s="75" t="s">
        <v>263</v>
      </c>
      <c r="D250" s="75">
        <v>0.16700000000000001</v>
      </c>
      <c r="E250" s="76">
        <v>14075</v>
      </c>
      <c r="F250" s="76">
        <f t="shared" si="42"/>
        <v>2350.5250000000001</v>
      </c>
      <c r="G250">
        <v>1.1299999999999999</v>
      </c>
      <c r="H250" t="str">
        <f t="shared" si="38"/>
        <v>MASILLA PANEL-TEC</v>
      </c>
      <c r="M250" t="str">
        <f t="shared" si="39"/>
        <v xml:space="preserve">GALON </v>
      </c>
      <c r="N250" s="183">
        <f t="shared" si="40"/>
        <v>2350.5250000000001</v>
      </c>
    </row>
    <row r="251" spans="1:14" ht="15.75" x14ac:dyDescent="0.25">
      <c r="A251" s="89"/>
      <c r="B251" s="80" t="s">
        <v>323</v>
      </c>
      <c r="C251" s="75" t="s">
        <v>263</v>
      </c>
      <c r="D251" s="75">
        <v>0.02</v>
      </c>
      <c r="E251" s="76">
        <v>91956</v>
      </c>
      <c r="F251" s="76">
        <f t="shared" si="42"/>
        <v>1839.1200000000001</v>
      </c>
      <c r="G251">
        <v>1.1299999999999999</v>
      </c>
      <c r="H251" t="str">
        <f t="shared" si="38"/>
        <v>PINTURA TIPO 1</v>
      </c>
      <c r="M251" t="str">
        <f t="shared" si="39"/>
        <v xml:space="preserve">GALON </v>
      </c>
      <c r="N251" s="183">
        <f t="shared" si="40"/>
        <v>1839.1200000000001</v>
      </c>
    </row>
    <row r="252" spans="1:14" ht="15.75" x14ac:dyDescent="0.25">
      <c r="A252" s="89"/>
      <c r="B252" s="77" t="s">
        <v>264</v>
      </c>
      <c r="C252" s="78"/>
      <c r="D252" s="78"/>
      <c r="E252" s="76"/>
      <c r="F252" s="76">
        <f t="shared" si="42"/>
        <v>0</v>
      </c>
      <c r="N252" s="183"/>
    </row>
    <row r="253" spans="1:14" ht="15.75" x14ac:dyDescent="0.25">
      <c r="A253" s="89"/>
      <c r="B253" s="80" t="s">
        <v>319</v>
      </c>
      <c r="C253" s="78" t="s">
        <v>297</v>
      </c>
      <c r="D253" s="78">
        <v>0.55000000000000004</v>
      </c>
      <c r="E253" s="76">
        <v>5246</v>
      </c>
      <c r="F253" s="76">
        <f t="shared" si="42"/>
        <v>2885.3</v>
      </c>
      <c r="N253" s="183"/>
    </row>
    <row r="254" spans="1:14" ht="15.75" x14ac:dyDescent="0.25">
      <c r="A254" s="89"/>
      <c r="B254" s="80" t="s">
        <v>320</v>
      </c>
      <c r="C254" s="78" t="s">
        <v>297</v>
      </c>
      <c r="D254" s="78">
        <v>0.55000000000000004</v>
      </c>
      <c r="E254" s="76">
        <v>2233</v>
      </c>
      <c r="F254" s="76">
        <f t="shared" si="42"/>
        <v>1228.1500000000001</v>
      </c>
      <c r="N254" s="183"/>
    </row>
    <row r="255" spans="1:14" ht="15.75" x14ac:dyDescent="0.25">
      <c r="A255" s="89"/>
      <c r="B255" t="s">
        <v>322</v>
      </c>
      <c r="C255" s="78" t="s">
        <v>93</v>
      </c>
      <c r="D255" s="81">
        <v>8.9999999999999998E-4</v>
      </c>
      <c r="E255" s="76">
        <v>202225</v>
      </c>
      <c r="F255" s="76">
        <f t="shared" si="42"/>
        <v>182.0025</v>
      </c>
      <c r="N255" s="183"/>
    </row>
    <row r="256" spans="1:14" ht="15.75" x14ac:dyDescent="0.25">
      <c r="A256" s="89"/>
      <c r="B256" s="77" t="s">
        <v>266</v>
      </c>
      <c r="C256" s="78"/>
      <c r="D256" s="78"/>
      <c r="E256" s="76"/>
      <c r="F256" s="76">
        <f t="shared" si="42"/>
        <v>0</v>
      </c>
      <c r="N256" s="183"/>
    </row>
    <row r="257" spans="1:14" ht="15.75" x14ac:dyDescent="0.25">
      <c r="A257" s="89"/>
      <c r="B257" s="82" t="s">
        <v>267</v>
      </c>
      <c r="C257" s="78" t="s">
        <v>268</v>
      </c>
      <c r="D257" s="78">
        <v>0.02</v>
      </c>
      <c r="E257" s="76">
        <v>40431</v>
      </c>
      <c r="F257" s="76">
        <f>+E257*D257</f>
        <v>808.62</v>
      </c>
      <c r="N257" s="183"/>
    </row>
    <row r="258" spans="1:14" ht="15.75" x14ac:dyDescent="0.25">
      <c r="A258" s="89"/>
      <c r="B258" s="77" t="s">
        <v>269</v>
      </c>
      <c r="C258" s="78"/>
      <c r="D258" s="78"/>
      <c r="E258" s="76"/>
      <c r="F258" s="76">
        <f t="shared" si="42"/>
        <v>0</v>
      </c>
      <c r="N258" s="183"/>
    </row>
    <row r="259" spans="1:14" ht="15.75" x14ac:dyDescent="0.25">
      <c r="A259" s="89"/>
      <c r="B259" s="82" t="s">
        <v>270</v>
      </c>
      <c r="C259" s="78" t="s">
        <v>265</v>
      </c>
      <c r="D259" s="78">
        <v>8.9300000000000004E-2</v>
      </c>
      <c r="E259" s="76">
        <v>215236</v>
      </c>
      <c r="F259" s="76">
        <f t="shared" si="42"/>
        <v>19220.574800000002</v>
      </c>
      <c r="N259" s="183"/>
    </row>
    <row r="260" spans="1:14" ht="15.75" x14ac:dyDescent="0.25">
      <c r="A260" s="89"/>
      <c r="B260" s="82"/>
      <c r="C260" s="78"/>
      <c r="D260" s="78"/>
      <c r="E260" s="85" t="s">
        <v>271</v>
      </c>
      <c r="F260" s="86">
        <f>ROUND(SUM(F248:F259), 0)</f>
        <v>33404</v>
      </c>
      <c r="N260" s="183"/>
    </row>
    <row r="261" spans="1:14" ht="63" x14ac:dyDescent="0.25">
      <c r="A261" s="90">
        <f>+PRESUPUESTO!A29</f>
        <v>1.1399999999999999</v>
      </c>
      <c r="B261" s="71" t="str">
        <f>+PRESUPUESTO!B29</f>
        <v>SUMINISTRO Y APLICACIÓN  DE PINTURA  PARA EXTERIOR TIPO KORAZA.NCLUYE LIMPIEZA , RASPADO, RESANES, LIJADO FILOS EN ESCUADRAS DE MUROS DE VENTANA Y PUERTAS</v>
      </c>
      <c r="C261" s="72"/>
      <c r="D261" s="72"/>
      <c r="E261" s="73"/>
      <c r="F261" s="73" t="str">
        <f>+PRESUPUESTO!D29</f>
        <v>M2</v>
      </c>
      <c r="N261" s="183"/>
    </row>
    <row r="262" spans="1:14" ht="15.75" x14ac:dyDescent="0.25">
      <c r="A262" s="89"/>
      <c r="B262" s="74" t="s">
        <v>92</v>
      </c>
      <c r="C262" s="75" t="s">
        <v>93</v>
      </c>
      <c r="D262" s="75" t="s">
        <v>259</v>
      </c>
      <c r="E262" s="76" t="s">
        <v>260</v>
      </c>
      <c r="F262" s="76" t="s">
        <v>261</v>
      </c>
      <c r="N262" s="183"/>
    </row>
    <row r="263" spans="1:14" ht="15.75" x14ac:dyDescent="0.25">
      <c r="A263" s="89"/>
      <c r="B263" s="77" t="s">
        <v>262</v>
      </c>
      <c r="C263" s="78"/>
      <c r="D263" s="78"/>
      <c r="E263" s="79"/>
      <c r="F263" s="79"/>
      <c r="N263" s="183"/>
    </row>
    <row r="264" spans="1:14" ht="15.75" x14ac:dyDescent="0.25">
      <c r="A264" s="89"/>
      <c r="B264" s="80" t="s">
        <v>342</v>
      </c>
      <c r="C264" s="78" t="s">
        <v>316</v>
      </c>
      <c r="D264" s="78">
        <v>0.16</v>
      </c>
      <c r="E264" s="79">
        <v>19111</v>
      </c>
      <c r="F264" s="76">
        <f>+E264*D264</f>
        <v>3057.76</v>
      </c>
      <c r="G264">
        <v>1.1399999999999999</v>
      </c>
      <c r="H264" t="str">
        <f t="shared" si="38"/>
        <v>IMPRIMANTE ACRONAL</v>
      </c>
      <c r="M264" t="str">
        <f t="shared" si="39"/>
        <v>LT</v>
      </c>
      <c r="N264" s="183">
        <f t="shared" si="40"/>
        <v>3057.76</v>
      </c>
    </row>
    <row r="265" spans="1:14" ht="15.75" x14ac:dyDescent="0.25">
      <c r="A265" s="89"/>
      <c r="B265" s="80" t="s">
        <v>343</v>
      </c>
      <c r="C265" s="78" t="s">
        <v>263</v>
      </c>
      <c r="D265" s="78">
        <v>0.1</v>
      </c>
      <c r="E265" s="79">
        <v>119781</v>
      </c>
      <c r="F265" s="76">
        <f t="shared" ref="F265:F274" si="43">+E265*D265</f>
        <v>11978.1</v>
      </c>
      <c r="G265">
        <v>1.1399999999999999</v>
      </c>
      <c r="H265" t="str">
        <f t="shared" si="38"/>
        <v>PINTURA KORAZA</v>
      </c>
      <c r="M265" t="str">
        <f t="shared" si="39"/>
        <v xml:space="preserve">GALON </v>
      </c>
      <c r="N265" s="183">
        <f t="shared" si="40"/>
        <v>11978.1</v>
      </c>
    </row>
    <row r="266" spans="1:14" ht="15.75" x14ac:dyDescent="0.25">
      <c r="A266" s="89"/>
      <c r="B266" s="77" t="s">
        <v>264</v>
      </c>
      <c r="C266" s="78"/>
      <c r="D266" s="78"/>
      <c r="E266" s="79"/>
      <c r="F266" s="76"/>
      <c r="N266" s="183"/>
    </row>
    <row r="267" spans="1:14" ht="15.75" x14ac:dyDescent="0.25">
      <c r="A267" s="89"/>
      <c r="B267" t="s">
        <v>344</v>
      </c>
      <c r="C267" s="78" t="s">
        <v>93</v>
      </c>
      <c r="D267" s="78">
        <v>8.9999999999999998E-4</v>
      </c>
      <c r="E267" s="79">
        <v>3899</v>
      </c>
      <c r="F267" s="76">
        <f t="shared" si="43"/>
        <v>3.5091000000000001</v>
      </c>
      <c r="N267" s="183"/>
    </row>
    <row r="268" spans="1:14" ht="15.75" x14ac:dyDescent="0.25">
      <c r="A268" s="89"/>
      <c r="B268" s="80" t="s">
        <v>319</v>
      </c>
      <c r="C268" s="78" t="s">
        <v>297</v>
      </c>
      <c r="D268" s="78">
        <v>0.3</v>
      </c>
      <c r="E268" s="79">
        <v>5246</v>
      </c>
      <c r="F268" s="76">
        <f t="shared" si="43"/>
        <v>1573.8</v>
      </c>
      <c r="N268" s="183"/>
    </row>
    <row r="269" spans="1:14" ht="15.75" x14ac:dyDescent="0.25">
      <c r="A269" s="89"/>
      <c r="B269" s="80" t="s">
        <v>320</v>
      </c>
      <c r="C269" s="78" t="s">
        <v>297</v>
      </c>
      <c r="D269" s="78">
        <v>0.3</v>
      </c>
      <c r="E269" s="79">
        <v>2233</v>
      </c>
      <c r="F269" s="76">
        <f t="shared" si="43"/>
        <v>669.9</v>
      </c>
      <c r="N269" s="183"/>
    </row>
    <row r="270" spans="1:14" ht="15.75" x14ac:dyDescent="0.25">
      <c r="A270" s="89"/>
      <c r="B270" t="s">
        <v>322</v>
      </c>
      <c r="C270" s="78" t="s">
        <v>93</v>
      </c>
      <c r="D270" s="81">
        <v>8.9999999999999998E-4</v>
      </c>
      <c r="E270" s="79">
        <v>202225</v>
      </c>
      <c r="F270" s="76">
        <f t="shared" si="43"/>
        <v>182.0025</v>
      </c>
      <c r="N270" s="183"/>
    </row>
    <row r="271" spans="1:14" ht="15.75" x14ac:dyDescent="0.25">
      <c r="A271" s="89"/>
      <c r="B271" s="77" t="s">
        <v>266</v>
      </c>
      <c r="C271" s="78"/>
      <c r="D271" s="78"/>
      <c r="E271" s="79"/>
      <c r="F271" s="76"/>
      <c r="N271" s="183"/>
    </row>
    <row r="272" spans="1:14" ht="15.75" x14ac:dyDescent="0.25">
      <c r="A272" s="89"/>
      <c r="B272" s="82" t="s">
        <v>267</v>
      </c>
      <c r="C272" s="78" t="s">
        <v>268</v>
      </c>
      <c r="D272" s="78">
        <v>0.02</v>
      </c>
      <c r="E272" s="79">
        <v>40431</v>
      </c>
      <c r="F272" s="76">
        <f t="shared" si="43"/>
        <v>808.62</v>
      </c>
      <c r="N272" s="183"/>
    </row>
    <row r="273" spans="1:14" ht="15.75" x14ac:dyDescent="0.25">
      <c r="A273" s="89"/>
      <c r="B273" s="77" t="s">
        <v>269</v>
      </c>
      <c r="C273" s="78"/>
      <c r="D273" s="78"/>
      <c r="E273" s="79"/>
      <c r="F273" s="76"/>
      <c r="N273" s="183"/>
    </row>
    <row r="274" spans="1:14" ht="15.75" x14ac:dyDescent="0.25">
      <c r="A274" s="89"/>
      <c r="B274" s="82" t="s">
        <v>270</v>
      </c>
      <c r="C274" s="78" t="s">
        <v>265</v>
      </c>
      <c r="D274" s="78">
        <v>9.1999999999999998E-2</v>
      </c>
      <c r="E274" s="79">
        <v>215236</v>
      </c>
      <c r="F274" s="76">
        <f t="shared" si="43"/>
        <v>19801.712</v>
      </c>
      <c r="N274" s="183"/>
    </row>
    <row r="275" spans="1:14" ht="15.75" x14ac:dyDescent="0.25">
      <c r="A275" s="89"/>
      <c r="B275" s="82"/>
      <c r="C275" s="78"/>
      <c r="D275" s="78"/>
      <c r="E275" s="85" t="s">
        <v>271</v>
      </c>
      <c r="F275" s="86">
        <f>ROUND(SUM(F264:F274), 0)</f>
        <v>38075</v>
      </c>
      <c r="N275" s="183"/>
    </row>
    <row r="276" spans="1:14" ht="47.25" x14ac:dyDescent="0.25">
      <c r="A276" s="90">
        <f>+PRESUPUESTO!A30</f>
        <v>1.1499999999999999</v>
      </c>
      <c r="B276" s="71" t="str">
        <f>+PRESUPUESTO!B30</f>
        <v xml:space="preserve">SUMINISTRO Y APLICACIÓN  DE ANTICORROSIVO Y PINTURA ESMALTE  PARA  PUERTAS METALICAS .NCLUYE LIMPIEZA , LIJADO  RASPADO, RESANES </v>
      </c>
      <c r="C276" s="72"/>
      <c r="D276" s="72"/>
      <c r="E276" s="73"/>
      <c r="F276" s="73" t="str">
        <f>+PRESUPUESTO!D43</f>
        <v>M2</v>
      </c>
      <c r="N276" s="183"/>
    </row>
    <row r="277" spans="1:14" ht="15.75" x14ac:dyDescent="0.25">
      <c r="A277" s="89"/>
      <c r="B277" s="74" t="s">
        <v>92</v>
      </c>
      <c r="C277" s="75" t="s">
        <v>93</v>
      </c>
      <c r="D277" s="75" t="s">
        <v>259</v>
      </c>
      <c r="E277" s="76" t="s">
        <v>260</v>
      </c>
      <c r="F277" s="76" t="s">
        <v>261</v>
      </c>
      <c r="N277" s="183"/>
    </row>
    <row r="278" spans="1:14" ht="15.75" x14ac:dyDescent="0.25">
      <c r="A278" s="89"/>
      <c r="B278" s="77" t="s">
        <v>262</v>
      </c>
      <c r="C278" s="78"/>
      <c r="D278" s="78"/>
      <c r="E278" s="79"/>
      <c r="F278" s="79"/>
      <c r="N278" s="183"/>
    </row>
    <row r="279" spans="1:14" ht="15.75" x14ac:dyDescent="0.25">
      <c r="A279" s="89"/>
      <c r="B279" s="80" t="s">
        <v>345</v>
      </c>
      <c r="C279" s="75" t="s">
        <v>350</v>
      </c>
      <c r="D279" s="75">
        <v>0.63</v>
      </c>
      <c r="E279" s="76">
        <v>1328</v>
      </c>
      <c r="F279" s="76">
        <f>+E279*D279</f>
        <v>836.64</v>
      </c>
      <c r="G279">
        <v>1.1499999999999999</v>
      </c>
      <c r="H279" t="str">
        <f t="shared" ref="H279:H327" si="44">+B279</f>
        <v>LIJA SECA</v>
      </c>
      <c r="M279" t="str">
        <f t="shared" ref="M279:M327" si="45">+C279</f>
        <v>PLIEGO</v>
      </c>
      <c r="N279" s="183">
        <f t="shared" ref="N279:N327" si="46">+F279</f>
        <v>836.64</v>
      </c>
    </row>
    <row r="280" spans="1:14" ht="15.75" x14ac:dyDescent="0.25">
      <c r="A280" s="89"/>
      <c r="B280" s="80" t="s">
        <v>346</v>
      </c>
      <c r="C280" s="75" t="s">
        <v>351</v>
      </c>
      <c r="D280" s="75">
        <v>3.8E-3</v>
      </c>
      <c r="E280" s="76">
        <v>918</v>
      </c>
      <c r="F280" s="76">
        <f t="shared" ref="F280:F289" si="47">+E280*D280</f>
        <v>3.4883999999999999</v>
      </c>
      <c r="G280">
        <v>1.1499999999999999</v>
      </c>
      <c r="H280" t="str">
        <f t="shared" si="44"/>
        <v>GUANTES DE VINILO</v>
      </c>
      <c r="M280" t="str">
        <f t="shared" si="45"/>
        <v>PAR</v>
      </c>
      <c r="N280" s="183">
        <f t="shared" si="46"/>
        <v>3.4883999999999999</v>
      </c>
    </row>
    <row r="281" spans="1:14" ht="15.75" x14ac:dyDescent="0.25">
      <c r="A281" s="89"/>
      <c r="B281" s="80" t="s">
        <v>347</v>
      </c>
      <c r="C281" s="75" t="s">
        <v>263</v>
      </c>
      <c r="D281" s="75">
        <v>3.7199999999999997E-2</v>
      </c>
      <c r="E281" s="76">
        <v>62634</v>
      </c>
      <c r="F281" s="76">
        <f t="shared" si="47"/>
        <v>2329.9847999999997</v>
      </c>
      <c r="G281">
        <v>1.1499999999999999</v>
      </c>
      <c r="H281" t="str">
        <f t="shared" si="44"/>
        <v>DISOLVENTE</v>
      </c>
      <c r="M281" t="str">
        <f t="shared" si="45"/>
        <v xml:space="preserve">GALON </v>
      </c>
      <c r="N281" s="183">
        <f t="shared" si="46"/>
        <v>2329.9847999999997</v>
      </c>
    </row>
    <row r="282" spans="1:14" ht="15.75" x14ac:dyDescent="0.25">
      <c r="A282" s="89"/>
      <c r="B282" s="80" t="s">
        <v>348</v>
      </c>
      <c r="C282" s="75" t="s">
        <v>263</v>
      </c>
      <c r="D282" s="75">
        <v>7.4399999999999994E-2</v>
      </c>
      <c r="E282" s="76">
        <v>104520</v>
      </c>
      <c r="F282" s="76">
        <f t="shared" si="47"/>
        <v>7776.2879999999996</v>
      </c>
      <c r="G282">
        <v>1.1499999999999999</v>
      </c>
      <c r="H282" t="str">
        <f t="shared" si="44"/>
        <v>PINTURA ESMALTE</v>
      </c>
      <c r="M282" t="str">
        <f t="shared" si="45"/>
        <v xml:space="preserve">GALON </v>
      </c>
      <c r="N282" s="183">
        <f t="shared" si="46"/>
        <v>7776.2879999999996</v>
      </c>
    </row>
    <row r="283" spans="1:14" ht="15.75" x14ac:dyDescent="0.25">
      <c r="A283" s="89"/>
      <c r="B283" s="80" t="s">
        <v>355</v>
      </c>
      <c r="C283" s="75" t="s">
        <v>263</v>
      </c>
      <c r="D283" s="75">
        <v>7.4399999999999994E-2</v>
      </c>
      <c r="E283" s="76">
        <v>89136</v>
      </c>
      <c r="F283" s="76">
        <f t="shared" ref="F283" si="48">+E283*D283</f>
        <v>6631.7183999999997</v>
      </c>
      <c r="G283">
        <v>1.1499999999999999</v>
      </c>
      <c r="H283" t="str">
        <f t="shared" si="44"/>
        <v>PINTURA anticorrosivo</v>
      </c>
      <c r="M283" t="str">
        <f t="shared" si="45"/>
        <v xml:space="preserve">GALON </v>
      </c>
      <c r="N283" s="183">
        <f t="shared" si="46"/>
        <v>6631.7183999999997</v>
      </c>
    </row>
    <row r="284" spans="1:14" ht="15.75" x14ac:dyDescent="0.25">
      <c r="A284" s="89"/>
      <c r="B284" s="77" t="s">
        <v>264</v>
      </c>
      <c r="C284" s="78"/>
      <c r="D284" s="78"/>
      <c r="E284" s="76"/>
      <c r="F284" s="76"/>
      <c r="N284" s="183"/>
    </row>
    <row r="285" spans="1:14" ht="15.75" x14ac:dyDescent="0.25">
      <c r="A285" s="89"/>
      <c r="B285" s="80" t="s">
        <v>349</v>
      </c>
      <c r="C285" s="78" t="s">
        <v>265</v>
      </c>
      <c r="D285" s="78">
        <v>6.0000000000000001E-3</v>
      </c>
      <c r="E285" s="76">
        <v>93132</v>
      </c>
      <c r="F285" s="76">
        <f t="shared" si="47"/>
        <v>558.79200000000003</v>
      </c>
      <c r="N285" s="183"/>
    </row>
    <row r="286" spans="1:14" ht="15.75" x14ac:dyDescent="0.25">
      <c r="A286" s="89"/>
      <c r="B286" s="77" t="s">
        <v>266</v>
      </c>
      <c r="C286" s="78"/>
      <c r="D286" s="78"/>
      <c r="E286" s="76"/>
      <c r="F286" s="76"/>
      <c r="N286" s="183"/>
    </row>
    <row r="287" spans="1:14" ht="15.75" x14ac:dyDescent="0.25">
      <c r="A287" s="89"/>
      <c r="B287" s="82" t="s">
        <v>267</v>
      </c>
      <c r="C287" s="78" t="s">
        <v>268</v>
      </c>
      <c r="D287" s="78">
        <v>0.02</v>
      </c>
      <c r="E287" s="76">
        <v>40431</v>
      </c>
      <c r="F287" s="76">
        <f t="shared" si="47"/>
        <v>808.62</v>
      </c>
      <c r="N287" s="183"/>
    </row>
    <row r="288" spans="1:14" ht="15.75" x14ac:dyDescent="0.25">
      <c r="A288" s="89"/>
      <c r="B288" s="77" t="s">
        <v>269</v>
      </c>
      <c r="C288" s="78"/>
      <c r="D288" s="78"/>
      <c r="E288" s="76"/>
      <c r="F288" s="76"/>
      <c r="N288" s="183"/>
    </row>
    <row r="289" spans="1:14" ht="15.75" x14ac:dyDescent="0.25">
      <c r="A289" s="89"/>
      <c r="B289" s="82" t="s">
        <v>270</v>
      </c>
      <c r="C289" s="78" t="s">
        <v>265</v>
      </c>
      <c r="D289" s="78">
        <v>5.7000000000000002E-2</v>
      </c>
      <c r="E289" s="76">
        <v>215236</v>
      </c>
      <c r="F289" s="76">
        <f t="shared" si="47"/>
        <v>12268.452000000001</v>
      </c>
      <c r="N289" s="183"/>
    </row>
    <row r="290" spans="1:14" ht="15.75" x14ac:dyDescent="0.25">
      <c r="A290" s="89"/>
      <c r="B290" s="82"/>
      <c r="C290" s="78"/>
      <c r="D290" s="78"/>
      <c r="E290" s="85" t="s">
        <v>271</v>
      </c>
      <c r="F290" s="86">
        <f>ROUND(SUM(F279:F289), 0)</f>
        <v>31214</v>
      </c>
      <c r="N290" s="183"/>
    </row>
    <row r="291" spans="1:14" ht="61.5" customHeight="1" x14ac:dyDescent="0.25">
      <c r="A291" s="90">
        <f>+PRESUPUESTO!A31</f>
        <v>1.1599999999999999</v>
      </c>
      <c r="B291" s="71" t="str">
        <f>+PRESUPUESTO!B31</f>
        <v xml:space="preserve">SUMINISTRO Y APLICACIÓN  DE ANTICORROSIVOO Y PINTURA ESMALTE  PARA  REJAS DE VENTANAS  METALICAS .NCLUYE LIMPIEZA , LIJADO  RASPADO, RESANES </v>
      </c>
      <c r="C291" s="72"/>
      <c r="D291" s="72"/>
      <c r="E291" s="73"/>
      <c r="F291" s="73" t="str">
        <f>+PRESUPUESTO!D31</f>
        <v>M2</v>
      </c>
      <c r="N291" s="183"/>
    </row>
    <row r="292" spans="1:14" ht="15.75" x14ac:dyDescent="0.25">
      <c r="A292" s="89"/>
      <c r="B292" s="74" t="s">
        <v>92</v>
      </c>
      <c r="C292" s="75" t="s">
        <v>93</v>
      </c>
      <c r="D292" s="75" t="s">
        <v>259</v>
      </c>
      <c r="E292" s="76" t="s">
        <v>260</v>
      </c>
      <c r="F292" s="76" t="s">
        <v>261</v>
      </c>
      <c r="N292" s="183"/>
    </row>
    <row r="293" spans="1:14" ht="15.75" x14ac:dyDescent="0.25">
      <c r="A293" s="89"/>
      <c r="B293" s="77" t="s">
        <v>262</v>
      </c>
      <c r="C293" s="78"/>
      <c r="D293" s="78"/>
      <c r="E293" s="79"/>
      <c r="F293" s="79"/>
      <c r="N293" s="183"/>
    </row>
    <row r="294" spans="1:14" ht="15.75" x14ac:dyDescent="0.25">
      <c r="A294" s="89"/>
      <c r="B294" s="80" t="s">
        <v>345</v>
      </c>
      <c r="C294" s="75" t="s">
        <v>350</v>
      </c>
      <c r="D294" s="75">
        <v>0.63</v>
      </c>
      <c r="E294" s="76">
        <v>1328</v>
      </c>
      <c r="F294" s="76">
        <f>+E294*D294</f>
        <v>836.64</v>
      </c>
      <c r="G294">
        <v>1.1599999999999999</v>
      </c>
      <c r="H294" t="str">
        <f t="shared" si="44"/>
        <v>LIJA SECA</v>
      </c>
      <c r="M294" t="str">
        <f t="shared" si="45"/>
        <v>PLIEGO</v>
      </c>
      <c r="N294" s="183">
        <f t="shared" si="46"/>
        <v>836.64</v>
      </c>
    </row>
    <row r="295" spans="1:14" ht="15.75" x14ac:dyDescent="0.25">
      <c r="A295" s="89"/>
      <c r="B295" s="80" t="s">
        <v>346</v>
      </c>
      <c r="C295" s="75" t="s">
        <v>351</v>
      </c>
      <c r="D295" s="75">
        <v>3.8E-3</v>
      </c>
      <c r="E295" s="76">
        <v>918</v>
      </c>
      <c r="F295" s="76">
        <f t="shared" ref="F295:F298" si="49">+E295*D295</f>
        <v>3.4883999999999999</v>
      </c>
      <c r="G295">
        <v>1.1599999999999999</v>
      </c>
      <c r="H295" t="str">
        <f t="shared" si="44"/>
        <v>GUANTES DE VINILO</v>
      </c>
      <c r="M295" t="str">
        <f t="shared" si="45"/>
        <v>PAR</v>
      </c>
      <c r="N295" s="183">
        <f t="shared" si="46"/>
        <v>3.4883999999999999</v>
      </c>
    </row>
    <row r="296" spans="1:14" ht="15.75" x14ac:dyDescent="0.25">
      <c r="A296" s="89"/>
      <c r="B296" s="80" t="s">
        <v>347</v>
      </c>
      <c r="C296" s="75" t="s">
        <v>263</v>
      </c>
      <c r="D296" s="75">
        <v>3.7199999999999997E-2</v>
      </c>
      <c r="E296" s="76">
        <v>62634</v>
      </c>
      <c r="F296" s="76">
        <f t="shared" si="49"/>
        <v>2329.9847999999997</v>
      </c>
      <c r="G296">
        <v>1.1599999999999999</v>
      </c>
      <c r="H296" t="str">
        <f t="shared" si="44"/>
        <v>DISOLVENTE</v>
      </c>
      <c r="M296" t="str">
        <f t="shared" si="45"/>
        <v xml:space="preserve">GALON </v>
      </c>
      <c r="N296" s="183">
        <f t="shared" si="46"/>
        <v>2329.9847999999997</v>
      </c>
    </row>
    <row r="297" spans="1:14" ht="15.75" x14ac:dyDescent="0.25">
      <c r="A297" s="89"/>
      <c r="B297" s="80" t="s">
        <v>348</v>
      </c>
      <c r="C297" s="75" t="s">
        <v>263</v>
      </c>
      <c r="D297" s="75">
        <v>7.4399999999999994E-2</v>
      </c>
      <c r="E297" s="76">
        <v>104520</v>
      </c>
      <c r="F297" s="76">
        <f t="shared" si="49"/>
        <v>7776.2879999999996</v>
      </c>
      <c r="G297">
        <v>1.1599999999999999</v>
      </c>
      <c r="H297" t="str">
        <f t="shared" si="44"/>
        <v>PINTURA ESMALTE</v>
      </c>
      <c r="M297" t="str">
        <f t="shared" si="45"/>
        <v xml:space="preserve">GALON </v>
      </c>
      <c r="N297" s="183">
        <f t="shared" si="46"/>
        <v>7776.2879999999996</v>
      </c>
    </row>
    <row r="298" spans="1:14" ht="15.75" x14ac:dyDescent="0.25">
      <c r="A298" s="89"/>
      <c r="B298" s="80" t="s">
        <v>355</v>
      </c>
      <c r="C298" s="75" t="s">
        <v>263</v>
      </c>
      <c r="D298" s="75">
        <v>7.4399999999999994E-2</v>
      </c>
      <c r="E298" s="76">
        <v>89136</v>
      </c>
      <c r="F298" s="76">
        <f t="shared" si="49"/>
        <v>6631.7183999999997</v>
      </c>
      <c r="G298">
        <v>1.1599999999999999</v>
      </c>
      <c r="H298" t="str">
        <f t="shared" si="44"/>
        <v>PINTURA anticorrosivo</v>
      </c>
      <c r="M298" t="str">
        <f t="shared" si="45"/>
        <v xml:space="preserve">GALON </v>
      </c>
      <c r="N298" s="183">
        <f t="shared" si="46"/>
        <v>6631.7183999999997</v>
      </c>
    </row>
    <row r="299" spans="1:14" ht="15.75" x14ac:dyDescent="0.25">
      <c r="A299" s="89"/>
      <c r="B299" s="77" t="s">
        <v>264</v>
      </c>
      <c r="C299" s="78"/>
      <c r="D299" s="78"/>
      <c r="E299" s="76"/>
      <c r="F299" s="76"/>
      <c r="N299" s="183"/>
    </row>
    <row r="300" spans="1:14" ht="15.75" x14ac:dyDescent="0.25">
      <c r="A300" s="89"/>
      <c r="B300" s="80" t="s">
        <v>349</v>
      </c>
      <c r="C300" s="78" t="s">
        <v>265</v>
      </c>
      <c r="D300" s="78">
        <v>6.0000000000000001E-3</v>
      </c>
      <c r="E300" s="76">
        <v>93132</v>
      </c>
      <c r="F300" s="76">
        <f t="shared" ref="F300" si="50">+E300*D300</f>
        <v>558.79200000000003</v>
      </c>
      <c r="N300" s="183"/>
    </row>
    <row r="301" spans="1:14" ht="15.75" x14ac:dyDescent="0.25">
      <c r="A301" s="89"/>
      <c r="B301" s="77" t="s">
        <v>266</v>
      </c>
      <c r="C301" s="78"/>
      <c r="D301" s="78"/>
      <c r="E301" s="76"/>
      <c r="F301" s="76"/>
      <c r="N301" s="183"/>
    </row>
    <row r="302" spans="1:14" ht="15.75" x14ac:dyDescent="0.25">
      <c r="A302" s="89"/>
      <c r="B302" s="82" t="s">
        <v>267</v>
      </c>
      <c r="C302" s="78" t="s">
        <v>268</v>
      </c>
      <c r="D302" s="78">
        <v>0.02</v>
      </c>
      <c r="E302" s="76">
        <v>40431</v>
      </c>
      <c r="F302" s="76">
        <f t="shared" ref="F302" si="51">+E302*D302</f>
        <v>808.62</v>
      </c>
      <c r="N302" s="183"/>
    </row>
    <row r="303" spans="1:14" ht="15.75" x14ac:dyDescent="0.25">
      <c r="A303" s="89"/>
      <c r="B303" s="77" t="s">
        <v>269</v>
      </c>
      <c r="C303" s="78"/>
      <c r="D303" s="78"/>
      <c r="E303" s="76"/>
      <c r="F303" s="76"/>
      <c r="N303" s="183"/>
    </row>
    <row r="304" spans="1:14" ht="15.75" x14ac:dyDescent="0.25">
      <c r="A304" s="89"/>
      <c r="B304" s="82" t="s">
        <v>270</v>
      </c>
      <c r="C304" s="78" t="s">
        <v>265</v>
      </c>
      <c r="D304" s="78">
        <v>5.7000000000000002E-2</v>
      </c>
      <c r="E304" s="76">
        <v>215236</v>
      </c>
      <c r="F304" s="76">
        <f t="shared" ref="F304" si="52">+E304*D304</f>
        <v>12268.452000000001</v>
      </c>
      <c r="N304" s="183"/>
    </row>
    <row r="305" spans="1:14" ht="15.75" x14ac:dyDescent="0.25">
      <c r="A305" s="89"/>
      <c r="B305" s="82"/>
      <c r="C305" s="78"/>
      <c r="D305" s="78"/>
      <c r="E305" s="85" t="s">
        <v>271</v>
      </c>
      <c r="F305" s="86">
        <f>ROUND(SUM(F294:F304), 0)</f>
        <v>31214</v>
      </c>
      <c r="N305" s="183"/>
    </row>
    <row r="306" spans="1:14" ht="31.5" x14ac:dyDescent="0.25">
      <c r="A306" s="90">
        <f>+PRESUPUESTO!A32</f>
        <v>1.17</v>
      </c>
      <c r="B306" s="71" t="str">
        <f>+PRESUPUESTO!B32</f>
        <v xml:space="preserve">DESMONTE  DE TEJAS EXITENTES EN CUBIERTA INCLUYE RETIRO Y DISPOSICION FINAL </v>
      </c>
      <c r="C306" s="72"/>
      <c r="D306" s="72"/>
      <c r="E306" s="73"/>
      <c r="F306" s="73" t="str">
        <f>+PRESUPUESTO!D32</f>
        <v>M2</v>
      </c>
      <c r="N306" s="183"/>
    </row>
    <row r="307" spans="1:14" ht="15.75" x14ac:dyDescent="0.25">
      <c r="A307" s="89"/>
      <c r="B307" s="74" t="s">
        <v>92</v>
      </c>
      <c r="C307" s="75" t="s">
        <v>93</v>
      </c>
      <c r="D307" s="75" t="s">
        <v>259</v>
      </c>
      <c r="E307" s="76" t="s">
        <v>260</v>
      </c>
      <c r="F307" s="76" t="s">
        <v>261</v>
      </c>
      <c r="N307" s="183"/>
    </row>
    <row r="308" spans="1:14" ht="15.75" x14ac:dyDescent="0.25">
      <c r="A308" s="89"/>
      <c r="B308" s="77" t="s">
        <v>262</v>
      </c>
      <c r="C308" s="78"/>
      <c r="D308" s="78"/>
      <c r="E308" s="79"/>
      <c r="F308" s="79"/>
      <c r="N308" s="183"/>
    </row>
    <row r="309" spans="1:14" ht="15.75" x14ac:dyDescent="0.25">
      <c r="A309" s="89"/>
      <c r="B309" s="74"/>
      <c r="C309" s="75"/>
      <c r="D309" s="75"/>
      <c r="E309" s="76"/>
      <c r="F309" s="76"/>
      <c r="N309" s="183"/>
    </row>
    <row r="310" spans="1:14" ht="15.75" x14ac:dyDescent="0.25">
      <c r="A310" s="89"/>
      <c r="B310" s="77" t="s">
        <v>264</v>
      </c>
      <c r="C310" s="78"/>
      <c r="D310" s="78"/>
      <c r="E310" s="79"/>
      <c r="F310" s="76"/>
      <c r="N310" s="183"/>
    </row>
    <row r="311" spans="1:14" ht="15.75" x14ac:dyDescent="0.25">
      <c r="A311" s="89"/>
      <c r="B311" s="80" t="s">
        <v>352</v>
      </c>
      <c r="C311" s="78" t="s">
        <v>93</v>
      </c>
      <c r="D311" s="78">
        <v>5.0000000000000001E-4</v>
      </c>
      <c r="E311" s="76">
        <v>773875</v>
      </c>
      <c r="F311" s="76">
        <f t="shared" ref="F311:F318" si="53">+E311*D311</f>
        <v>386.9375</v>
      </c>
      <c r="N311" s="183"/>
    </row>
    <row r="312" spans="1:14" ht="15.75" x14ac:dyDescent="0.25">
      <c r="A312" s="89"/>
      <c r="B312" s="80" t="s">
        <v>319</v>
      </c>
      <c r="C312" s="78" t="s">
        <v>265</v>
      </c>
      <c r="D312" s="78">
        <v>0.22</v>
      </c>
      <c r="E312" s="76">
        <v>5246</v>
      </c>
      <c r="F312" s="76">
        <f t="shared" si="53"/>
        <v>1154.1200000000001</v>
      </c>
      <c r="N312" s="183"/>
    </row>
    <row r="313" spans="1:14" ht="15.75" x14ac:dyDescent="0.25">
      <c r="A313" s="89"/>
      <c r="B313" s="80" t="s">
        <v>353</v>
      </c>
      <c r="C313" s="78" t="s">
        <v>354</v>
      </c>
      <c r="D313" s="81">
        <v>1.2500000000000001E-2</v>
      </c>
      <c r="E313" s="76">
        <v>4803</v>
      </c>
      <c r="F313" s="76">
        <f t="shared" si="53"/>
        <v>60.037500000000001</v>
      </c>
      <c r="N313" s="183"/>
    </row>
    <row r="314" spans="1:14" ht="15.75" x14ac:dyDescent="0.25">
      <c r="A314" s="89"/>
      <c r="B314" s="80"/>
      <c r="C314" s="78"/>
      <c r="D314" s="81"/>
      <c r="E314" s="76"/>
      <c r="F314" s="76"/>
      <c r="N314" s="183"/>
    </row>
    <row r="315" spans="1:14" ht="15.75" x14ac:dyDescent="0.25">
      <c r="A315" s="89"/>
      <c r="B315" s="77" t="s">
        <v>266</v>
      </c>
      <c r="C315" s="78"/>
      <c r="D315" s="78"/>
      <c r="E315" s="76"/>
      <c r="F315" s="76"/>
      <c r="N315" s="183"/>
    </row>
    <row r="316" spans="1:14" ht="15.75" x14ac:dyDescent="0.25">
      <c r="A316" s="89"/>
      <c r="B316" s="82" t="s">
        <v>267</v>
      </c>
      <c r="C316" s="78"/>
      <c r="D316" s="78"/>
      <c r="E316" s="83"/>
      <c r="F316" s="76"/>
      <c r="N316" s="183"/>
    </row>
    <row r="317" spans="1:14" ht="15.75" x14ac:dyDescent="0.25">
      <c r="A317" s="89"/>
      <c r="B317" s="77" t="s">
        <v>269</v>
      </c>
      <c r="C317" s="78"/>
      <c r="D317" s="78"/>
      <c r="E317" s="79"/>
      <c r="F317" s="76"/>
      <c r="N317" s="183"/>
    </row>
    <row r="318" spans="1:14" ht="15.75" x14ac:dyDescent="0.25">
      <c r="A318" s="89"/>
      <c r="B318" t="s">
        <v>307</v>
      </c>
      <c r="C318" s="78" t="s">
        <v>265</v>
      </c>
      <c r="D318" s="78">
        <v>2.5000000000000001E-2</v>
      </c>
      <c r="E318" s="84">
        <v>305075</v>
      </c>
      <c r="F318" s="76">
        <f t="shared" si="53"/>
        <v>7626.875</v>
      </c>
      <c r="N318" s="183"/>
    </row>
    <row r="319" spans="1:14" ht="15.75" x14ac:dyDescent="0.25">
      <c r="A319" s="89"/>
      <c r="B319" s="82"/>
      <c r="C319" s="78"/>
      <c r="D319" s="78"/>
      <c r="E319" s="85" t="s">
        <v>271</v>
      </c>
      <c r="F319" s="86">
        <f>ROUND(SUM(F309:F318), 0)</f>
        <v>9228</v>
      </c>
      <c r="N319" s="183"/>
    </row>
    <row r="320" spans="1:14" ht="47.25" x14ac:dyDescent="0.25">
      <c r="A320" s="90">
        <f>+PRESUPUESTO!A33</f>
        <v>1.18</v>
      </c>
      <c r="B320" s="71" t="str">
        <f>+PRESUPUESTO!B33</f>
        <v>MANTENIMIENTO DE ESTRUCTURA DE CUBIERTA, INCLUYE  LIMPIEZA, APLICACIÓN ANTICORROSIVO Y PIINTURA  ESMALTE, REPARACION  Y AJUSTE QUE SE REQUIERA</v>
      </c>
      <c r="C320" s="72"/>
      <c r="D320" s="72"/>
      <c r="E320" s="73"/>
      <c r="F320" s="73" t="str">
        <f>+PRESUPUESTO!D33</f>
        <v>M2</v>
      </c>
      <c r="N320" s="183"/>
    </row>
    <row r="321" spans="1:14" ht="15.75" x14ac:dyDescent="0.25">
      <c r="A321" s="89"/>
      <c r="B321" s="74" t="s">
        <v>92</v>
      </c>
      <c r="C321" s="75" t="s">
        <v>93</v>
      </c>
      <c r="D321" s="75" t="s">
        <v>259</v>
      </c>
      <c r="E321" s="76" t="s">
        <v>260</v>
      </c>
      <c r="F321" s="76" t="s">
        <v>261</v>
      </c>
      <c r="N321" s="183"/>
    </row>
    <row r="322" spans="1:14" ht="15.75" x14ac:dyDescent="0.25">
      <c r="A322" s="89"/>
      <c r="B322" s="77" t="s">
        <v>262</v>
      </c>
      <c r="C322" s="78"/>
      <c r="D322" s="78"/>
      <c r="E322" s="79"/>
      <c r="F322" s="79"/>
      <c r="N322" s="183"/>
    </row>
    <row r="323" spans="1:14" ht="15.75" x14ac:dyDescent="0.25">
      <c r="A323" s="89"/>
      <c r="B323" s="80" t="s">
        <v>345</v>
      </c>
      <c r="C323" s="75" t="s">
        <v>350</v>
      </c>
      <c r="D323" s="75">
        <v>0.63</v>
      </c>
      <c r="E323" s="76">
        <v>1328</v>
      </c>
      <c r="F323" s="76">
        <f>+E323*D323</f>
        <v>836.64</v>
      </c>
      <c r="G323">
        <v>1.18</v>
      </c>
      <c r="H323" t="str">
        <f t="shared" si="44"/>
        <v>LIJA SECA</v>
      </c>
      <c r="M323" t="str">
        <f t="shared" si="45"/>
        <v>PLIEGO</v>
      </c>
      <c r="N323" s="183">
        <f t="shared" si="46"/>
        <v>836.64</v>
      </c>
    </row>
    <row r="324" spans="1:14" ht="15.75" x14ac:dyDescent="0.25">
      <c r="A324" s="89"/>
      <c r="B324" s="80" t="s">
        <v>346</v>
      </c>
      <c r="C324" s="75" t="s">
        <v>351</v>
      </c>
      <c r="D324" s="75">
        <v>3.8E-3</v>
      </c>
      <c r="E324" s="76">
        <v>918</v>
      </c>
      <c r="F324" s="76">
        <f t="shared" ref="F324:F327" si="54">+E324*D324</f>
        <v>3.4883999999999999</v>
      </c>
      <c r="G324">
        <v>1.18</v>
      </c>
      <c r="H324" t="str">
        <f t="shared" si="44"/>
        <v>GUANTES DE VINILO</v>
      </c>
      <c r="M324" t="str">
        <f t="shared" si="45"/>
        <v>PAR</v>
      </c>
      <c r="N324" s="183">
        <f t="shared" si="46"/>
        <v>3.4883999999999999</v>
      </c>
    </row>
    <row r="325" spans="1:14" ht="15.75" x14ac:dyDescent="0.25">
      <c r="A325" s="89"/>
      <c r="B325" s="80" t="s">
        <v>347</v>
      </c>
      <c r="C325" s="75" t="s">
        <v>263</v>
      </c>
      <c r="D325" s="75">
        <v>3.7199999999999997E-2</v>
      </c>
      <c r="E325" s="76">
        <v>62634</v>
      </c>
      <c r="F325" s="76">
        <f t="shared" si="54"/>
        <v>2329.9847999999997</v>
      </c>
      <c r="G325">
        <v>1.18</v>
      </c>
      <c r="H325" t="str">
        <f t="shared" si="44"/>
        <v>DISOLVENTE</v>
      </c>
      <c r="M325" t="str">
        <f t="shared" si="45"/>
        <v xml:space="preserve">GALON </v>
      </c>
      <c r="N325" s="183">
        <f t="shared" si="46"/>
        <v>2329.9847999999997</v>
      </c>
    </row>
    <row r="326" spans="1:14" ht="15.75" x14ac:dyDescent="0.25">
      <c r="A326" s="89"/>
      <c r="B326" s="80" t="s">
        <v>348</v>
      </c>
      <c r="C326" s="75" t="s">
        <v>263</v>
      </c>
      <c r="D326" s="75">
        <v>7.4399999999999994E-2</v>
      </c>
      <c r="E326" s="76">
        <v>104520</v>
      </c>
      <c r="F326" s="76">
        <f t="shared" si="54"/>
        <v>7776.2879999999996</v>
      </c>
      <c r="G326">
        <v>1.18</v>
      </c>
      <c r="H326" t="str">
        <f t="shared" si="44"/>
        <v>PINTURA ESMALTE</v>
      </c>
      <c r="M326" t="str">
        <f t="shared" si="45"/>
        <v xml:space="preserve">GALON </v>
      </c>
      <c r="N326" s="183">
        <f t="shared" si="46"/>
        <v>7776.2879999999996</v>
      </c>
    </row>
    <row r="327" spans="1:14" ht="15.75" x14ac:dyDescent="0.25">
      <c r="A327" s="89"/>
      <c r="B327" s="80" t="s">
        <v>355</v>
      </c>
      <c r="C327" s="75" t="s">
        <v>263</v>
      </c>
      <c r="D327" s="75">
        <v>7.4399999999999994E-2</v>
      </c>
      <c r="E327" s="76">
        <v>89136</v>
      </c>
      <c r="F327" s="76">
        <f t="shared" si="54"/>
        <v>6631.7183999999997</v>
      </c>
      <c r="G327">
        <v>1.18</v>
      </c>
      <c r="H327" t="str">
        <f t="shared" si="44"/>
        <v>PINTURA anticorrosivo</v>
      </c>
      <c r="M327" t="str">
        <f t="shared" si="45"/>
        <v xml:space="preserve">GALON </v>
      </c>
      <c r="N327" s="183">
        <f t="shared" si="46"/>
        <v>6631.7183999999997</v>
      </c>
    </row>
    <row r="328" spans="1:14" ht="15.75" x14ac:dyDescent="0.25">
      <c r="A328" s="89"/>
      <c r="B328" s="77" t="s">
        <v>264</v>
      </c>
      <c r="C328" s="78"/>
      <c r="D328" s="78"/>
      <c r="E328" s="76"/>
      <c r="F328" s="76"/>
      <c r="N328" s="183"/>
    </row>
    <row r="329" spans="1:14" ht="15.75" x14ac:dyDescent="0.25">
      <c r="A329" s="89"/>
      <c r="B329" s="80" t="s">
        <v>349</v>
      </c>
      <c r="C329" s="78" t="s">
        <v>265</v>
      </c>
      <c r="D329" s="78">
        <v>6.0000000000000001E-3</v>
      </c>
      <c r="E329" s="76">
        <v>93132</v>
      </c>
      <c r="F329" s="76">
        <f t="shared" ref="F329" si="55">+E329*D329</f>
        <v>558.79200000000003</v>
      </c>
      <c r="N329" s="183"/>
    </row>
    <row r="330" spans="1:14" ht="15.75" x14ac:dyDescent="0.25">
      <c r="A330" s="89"/>
      <c r="B330" s="77" t="s">
        <v>266</v>
      </c>
      <c r="C330" s="78"/>
      <c r="D330" s="78"/>
      <c r="E330" s="76"/>
      <c r="F330" s="76"/>
      <c r="N330" s="183"/>
    </row>
    <row r="331" spans="1:14" ht="15.75" x14ac:dyDescent="0.25">
      <c r="A331" s="89"/>
      <c r="B331" s="82" t="s">
        <v>267</v>
      </c>
      <c r="C331" s="78" t="s">
        <v>268</v>
      </c>
      <c r="D331" s="78">
        <v>0.02</v>
      </c>
      <c r="E331" s="76">
        <v>40431</v>
      </c>
      <c r="F331" s="76">
        <f t="shared" ref="F331" si="56">+E331*D331</f>
        <v>808.62</v>
      </c>
      <c r="N331" s="183"/>
    </row>
    <row r="332" spans="1:14" ht="15.75" x14ac:dyDescent="0.25">
      <c r="A332" s="89"/>
      <c r="B332" s="77" t="s">
        <v>269</v>
      </c>
      <c r="C332" s="78"/>
      <c r="D332" s="78"/>
      <c r="E332" s="76"/>
      <c r="F332" s="76"/>
      <c r="N332" s="183"/>
    </row>
    <row r="333" spans="1:14" ht="15.75" x14ac:dyDescent="0.25">
      <c r="A333" s="89"/>
      <c r="B333" s="82" t="s">
        <v>270</v>
      </c>
      <c r="C333" s="78" t="s">
        <v>265</v>
      </c>
      <c r="D333" s="78">
        <v>5.7000000000000002E-2</v>
      </c>
      <c r="E333" s="76">
        <v>215236</v>
      </c>
      <c r="F333" s="76">
        <f t="shared" ref="F333" si="57">+E333*D333</f>
        <v>12268.452000000001</v>
      </c>
      <c r="N333" s="183"/>
    </row>
    <row r="334" spans="1:14" ht="15.75" x14ac:dyDescent="0.25">
      <c r="A334" s="89"/>
      <c r="B334" s="82"/>
      <c r="C334" s="78"/>
      <c r="D334" s="78"/>
      <c r="E334" s="85" t="s">
        <v>271</v>
      </c>
      <c r="F334" s="86">
        <f>ROUND(SUM(F323:F333), 0)</f>
        <v>31214</v>
      </c>
      <c r="N334" s="183"/>
    </row>
    <row r="335" spans="1:14" ht="31.5" x14ac:dyDescent="0.25">
      <c r="A335" s="90">
        <f>+PRESUPUESTO!A34</f>
        <v>1.19</v>
      </c>
      <c r="B335" s="71" t="str">
        <f>+PRESUPUESTO!B34</f>
        <v>SUINISTRO E  INSTALACCION DE TEJA  DE FIBRO CEMENTO No 8 CON TODOS SUS ACCESORIOS DEE SUJECION</v>
      </c>
      <c r="C335" s="72"/>
      <c r="D335" s="72"/>
      <c r="E335" s="73"/>
      <c r="F335" s="73" t="str">
        <f>+PRESUPUESTO!D34</f>
        <v>M2</v>
      </c>
      <c r="N335" s="183"/>
    </row>
    <row r="336" spans="1:14" ht="15.75" x14ac:dyDescent="0.25">
      <c r="A336" s="89"/>
      <c r="B336" s="74" t="s">
        <v>92</v>
      </c>
      <c r="C336" s="75" t="s">
        <v>93</v>
      </c>
      <c r="D336" s="75" t="s">
        <v>259</v>
      </c>
      <c r="E336" s="76" t="s">
        <v>260</v>
      </c>
      <c r="F336" s="76" t="s">
        <v>261</v>
      </c>
      <c r="N336" s="183"/>
    </row>
    <row r="337" spans="1:14" ht="15.75" x14ac:dyDescent="0.25">
      <c r="A337" s="89"/>
      <c r="B337" s="77" t="s">
        <v>262</v>
      </c>
      <c r="C337" s="78"/>
      <c r="D337" s="78"/>
      <c r="E337" s="79"/>
      <c r="F337" s="79"/>
      <c r="N337" s="183"/>
    </row>
    <row r="338" spans="1:14" ht="15.75" x14ac:dyDescent="0.25">
      <c r="A338" s="89"/>
      <c r="B338" s="80" t="s">
        <v>657</v>
      </c>
      <c r="C338" s="78" t="s">
        <v>93</v>
      </c>
      <c r="D338" s="78">
        <v>1.0580000000000001</v>
      </c>
      <c r="E338" s="79">
        <v>45200</v>
      </c>
      <c r="F338" s="76">
        <f t="shared" ref="F338:F341" si="58">+E338*D338</f>
        <v>47821.600000000006</v>
      </c>
      <c r="G338">
        <v>1.19</v>
      </c>
      <c r="H338" t="str">
        <f t="shared" ref="H338:H397" si="59">+B338</f>
        <v xml:space="preserve">TEJA ONDULADA P7 #8 </v>
      </c>
      <c r="M338" t="str">
        <f t="shared" ref="M338:M397" si="60">+C338</f>
        <v>UNIDAD</v>
      </c>
      <c r="N338" s="183">
        <f t="shared" ref="N338:N397" si="61">+F338</f>
        <v>47821.600000000006</v>
      </c>
    </row>
    <row r="339" spans="1:14" ht="15.75" x14ac:dyDescent="0.25">
      <c r="A339" s="89"/>
      <c r="B339" s="80" t="s">
        <v>356</v>
      </c>
      <c r="C339" s="78" t="s">
        <v>93</v>
      </c>
      <c r="D339" s="78">
        <v>1</v>
      </c>
      <c r="E339" s="79">
        <v>368</v>
      </c>
      <c r="F339" s="76">
        <f t="shared" si="58"/>
        <v>368</v>
      </c>
      <c r="G339">
        <v>1.19</v>
      </c>
      <c r="H339" t="str">
        <f t="shared" si="59"/>
        <v>AMARRE TAPA METÁLICA Cal. 18</v>
      </c>
      <c r="M339" t="str">
        <f t="shared" si="60"/>
        <v>UNIDAD</v>
      </c>
      <c r="N339" s="183">
        <f t="shared" si="61"/>
        <v>368</v>
      </c>
    </row>
    <row r="340" spans="1:14" ht="15.75" x14ac:dyDescent="0.25">
      <c r="A340" s="89"/>
      <c r="B340" s="80" t="s">
        <v>357</v>
      </c>
      <c r="C340" s="78" t="s">
        <v>315</v>
      </c>
      <c r="D340" s="78">
        <v>0.04</v>
      </c>
      <c r="E340" s="79">
        <v>16198</v>
      </c>
      <c r="F340" s="76">
        <f t="shared" si="58"/>
        <v>647.91999999999996</v>
      </c>
      <c r="G340">
        <v>1.19</v>
      </c>
      <c r="H340" t="str">
        <f t="shared" si="59"/>
        <v>IGASOL CUBIERTA (Impermeabilizante asfáltico para cubierta</v>
      </c>
      <c r="M340" t="str">
        <f t="shared" si="60"/>
        <v>KL</v>
      </c>
      <c r="N340" s="183">
        <f t="shared" si="61"/>
        <v>647.91999999999996</v>
      </c>
    </row>
    <row r="341" spans="1:14" ht="15.75" x14ac:dyDescent="0.25">
      <c r="A341" s="89"/>
      <c r="B341" s="80" t="s">
        <v>358</v>
      </c>
      <c r="C341" s="78" t="s">
        <v>93</v>
      </c>
      <c r="D341" s="78">
        <v>2</v>
      </c>
      <c r="E341" s="79">
        <v>929</v>
      </c>
      <c r="F341" s="76">
        <f t="shared" si="58"/>
        <v>1858</v>
      </c>
      <c r="G341">
        <v>1.19</v>
      </c>
      <c r="H341" t="str">
        <f t="shared" si="59"/>
        <v>GANCHO PARA TEJA GALVANIZADO</v>
      </c>
      <c r="M341" t="str">
        <f t="shared" si="60"/>
        <v>UNIDAD</v>
      </c>
      <c r="N341" s="183">
        <f t="shared" si="61"/>
        <v>1858</v>
      </c>
    </row>
    <row r="342" spans="1:14" ht="15.75" x14ac:dyDescent="0.25">
      <c r="A342" s="89"/>
      <c r="B342" s="74"/>
      <c r="C342" s="75"/>
      <c r="D342" s="75"/>
      <c r="E342" s="76"/>
      <c r="F342" s="76"/>
      <c r="N342" s="183"/>
    </row>
    <row r="343" spans="1:14" ht="15.75" x14ac:dyDescent="0.25">
      <c r="A343" s="89"/>
      <c r="B343" s="77" t="s">
        <v>264</v>
      </c>
      <c r="C343" s="78"/>
      <c r="D343" s="78"/>
      <c r="E343" s="79"/>
      <c r="F343" s="76"/>
      <c r="N343" s="183"/>
    </row>
    <row r="344" spans="1:14" ht="15.75" x14ac:dyDescent="0.25">
      <c r="A344" s="89"/>
      <c r="B344" s="80" t="s">
        <v>352</v>
      </c>
      <c r="C344" s="78" t="s">
        <v>93</v>
      </c>
      <c r="D344" s="78">
        <v>0.03</v>
      </c>
      <c r="E344" s="76">
        <v>773875</v>
      </c>
      <c r="F344" s="76">
        <f t="shared" ref="F344:F351" si="62">+E344*D344</f>
        <v>23216.25</v>
      </c>
      <c r="N344" s="183"/>
    </row>
    <row r="345" spans="1:14" ht="15.75" x14ac:dyDescent="0.25">
      <c r="A345" s="89"/>
      <c r="B345" s="80" t="s">
        <v>319</v>
      </c>
      <c r="C345" s="78" t="s">
        <v>265</v>
      </c>
      <c r="D345" s="78">
        <v>0.03</v>
      </c>
      <c r="E345" s="76">
        <v>5246</v>
      </c>
      <c r="F345" s="76">
        <f t="shared" si="62"/>
        <v>157.38</v>
      </c>
      <c r="N345" s="183"/>
    </row>
    <row r="346" spans="1:14" ht="15.75" x14ac:dyDescent="0.25">
      <c r="A346" s="89"/>
      <c r="B346" s="80" t="s">
        <v>359</v>
      </c>
      <c r="C346" s="78" t="s">
        <v>93</v>
      </c>
      <c r="D346" s="81">
        <v>6.0000000000000001E-3</v>
      </c>
      <c r="E346" s="76">
        <v>19396</v>
      </c>
      <c r="F346" s="76">
        <f t="shared" si="62"/>
        <v>116.376</v>
      </c>
      <c r="N346" s="183"/>
    </row>
    <row r="347" spans="1:14" ht="15.75" x14ac:dyDescent="0.25">
      <c r="A347" s="89"/>
      <c r="B347" s="80"/>
      <c r="C347" s="78"/>
      <c r="D347" s="81"/>
      <c r="E347" s="76"/>
      <c r="F347" s="76"/>
      <c r="N347" s="183"/>
    </row>
    <row r="348" spans="1:14" ht="15.75" x14ac:dyDescent="0.25">
      <c r="A348" s="89"/>
      <c r="B348" s="77" t="s">
        <v>266</v>
      </c>
      <c r="C348" s="78"/>
      <c r="D348" s="78"/>
      <c r="E348" s="76"/>
      <c r="F348" s="76"/>
      <c r="N348" s="183"/>
    </row>
    <row r="349" spans="1:14" ht="15.75" x14ac:dyDescent="0.25">
      <c r="A349" s="89"/>
      <c r="B349" s="82" t="s">
        <v>360</v>
      </c>
      <c r="C349" s="78" t="s">
        <v>268</v>
      </c>
      <c r="D349" s="78">
        <v>0.01</v>
      </c>
      <c r="E349" s="76">
        <v>64688</v>
      </c>
      <c r="F349" s="76">
        <f t="shared" si="62"/>
        <v>646.88</v>
      </c>
      <c r="N349" s="183"/>
    </row>
    <row r="350" spans="1:14" ht="15.75" x14ac:dyDescent="0.25">
      <c r="A350" s="89"/>
      <c r="B350" s="77" t="s">
        <v>269</v>
      </c>
      <c r="C350" s="78"/>
      <c r="D350" s="78"/>
      <c r="E350" s="76"/>
      <c r="F350" s="76">
        <f t="shared" si="62"/>
        <v>0</v>
      </c>
      <c r="N350" s="183"/>
    </row>
    <row r="351" spans="1:14" ht="15.75" x14ac:dyDescent="0.25">
      <c r="A351" s="89"/>
      <c r="B351" t="s">
        <v>293</v>
      </c>
      <c r="C351" s="78" t="s">
        <v>265</v>
      </c>
      <c r="D351" s="78">
        <v>5.8000000000000003E-2</v>
      </c>
      <c r="E351" s="76">
        <v>215235</v>
      </c>
      <c r="F351" s="76">
        <f t="shared" si="62"/>
        <v>12483.630000000001</v>
      </c>
      <c r="N351" s="183"/>
    </row>
    <row r="352" spans="1:14" ht="15.75" x14ac:dyDescent="0.25">
      <c r="A352" s="89"/>
      <c r="B352" s="82"/>
      <c r="C352" s="78"/>
      <c r="D352" s="78"/>
      <c r="E352" s="85" t="s">
        <v>271</v>
      </c>
      <c r="F352" s="86">
        <f>ROUND(SUM(F338:F351), 0)</f>
        <v>87316</v>
      </c>
      <c r="N352" s="183"/>
    </row>
    <row r="353" spans="1:14" ht="15.75" x14ac:dyDescent="0.25">
      <c r="A353" s="143">
        <f>+PRESUPUESTO!A35</f>
        <v>1.2</v>
      </c>
      <c r="B353" s="144" t="str">
        <f>+PRESUPUESTO!B35</f>
        <v>DESMONTE DE  LAVAMANOS Y SANITARIOS</v>
      </c>
      <c r="C353" s="145"/>
      <c r="D353" s="145"/>
      <c r="E353" s="146"/>
      <c r="F353" s="146" t="str">
        <f>+PRESUPUESTO!D35</f>
        <v>UNIDAD</v>
      </c>
      <c r="N353" s="183"/>
    </row>
    <row r="354" spans="1:14" ht="15.75" x14ac:dyDescent="0.25">
      <c r="A354" s="147"/>
      <c r="B354" s="148" t="s">
        <v>92</v>
      </c>
      <c r="C354" s="149" t="s">
        <v>93</v>
      </c>
      <c r="D354" s="149" t="s">
        <v>259</v>
      </c>
      <c r="E354" s="150" t="s">
        <v>260</v>
      </c>
      <c r="F354" s="150" t="s">
        <v>261</v>
      </c>
      <c r="N354" s="183"/>
    </row>
    <row r="355" spans="1:14" ht="15.75" x14ac:dyDescent="0.25">
      <c r="A355" s="147"/>
      <c r="B355" s="151" t="s">
        <v>262</v>
      </c>
      <c r="C355" s="149"/>
      <c r="D355" s="149"/>
      <c r="E355" s="152"/>
      <c r="F355" s="152"/>
      <c r="N355" s="183"/>
    </row>
    <row r="356" spans="1:14" ht="15.75" x14ac:dyDescent="0.25">
      <c r="A356" s="147"/>
      <c r="B356" s="148"/>
      <c r="C356" s="149"/>
      <c r="D356" s="149"/>
      <c r="E356" s="150"/>
      <c r="F356" s="150"/>
      <c r="N356" s="183"/>
    </row>
    <row r="357" spans="1:14" ht="15.75" x14ac:dyDescent="0.25">
      <c r="A357" s="147"/>
      <c r="B357" s="151" t="s">
        <v>264</v>
      </c>
      <c r="C357" s="149"/>
      <c r="D357" s="149"/>
      <c r="E357" s="152"/>
      <c r="F357" s="150"/>
      <c r="N357" s="183"/>
    </row>
    <row r="358" spans="1:14" ht="15.75" x14ac:dyDescent="0.25">
      <c r="A358" s="147"/>
      <c r="B358" s="157" t="s">
        <v>361</v>
      </c>
      <c r="C358" s="149" t="s">
        <v>93</v>
      </c>
      <c r="D358" s="149">
        <v>2.7000000000000001E-3</v>
      </c>
      <c r="E358" s="150">
        <f>302379*1.0716</f>
        <v>324029.33640000003</v>
      </c>
      <c r="F358" s="150">
        <f t="shared" ref="F358:F362" si="63">+E358*D358</f>
        <v>874.87920828000017</v>
      </c>
      <c r="N358" s="183"/>
    </row>
    <row r="359" spans="1:14" ht="15.75" x14ac:dyDescent="0.25">
      <c r="A359" s="147"/>
      <c r="B359" s="151" t="s">
        <v>266</v>
      </c>
      <c r="C359" s="149"/>
      <c r="D359" s="149"/>
      <c r="E359" s="150"/>
      <c r="F359" s="150"/>
      <c r="N359" s="183"/>
    </row>
    <row r="360" spans="1:14" ht="15.75" x14ac:dyDescent="0.25">
      <c r="A360" s="147"/>
      <c r="B360" s="148" t="s">
        <v>267</v>
      </c>
      <c r="C360" s="149"/>
      <c r="D360" s="149"/>
      <c r="E360" s="153"/>
      <c r="F360" s="150"/>
      <c r="N360" s="183"/>
    </row>
    <row r="361" spans="1:14" ht="15.75" x14ac:dyDescent="0.25">
      <c r="A361" s="147"/>
      <c r="B361" s="151" t="s">
        <v>269</v>
      </c>
      <c r="C361" s="149"/>
      <c r="D361" s="149"/>
      <c r="E361" s="152"/>
      <c r="F361" s="150">
        <f t="shared" si="63"/>
        <v>0</v>
      </c>
      <c r="N361" s="183"/>
    </row>
    <row r="362" spans="1:14" ht="15.75" x14ac:dyDescent="0.25">
      <c r="A362" s="147"/>
      <c r="B362" s="157" t="s">
        <v>362</v>
      </c>
      <c r="C362" s="149" t="s">
        <v>265</v>
      </c>
      <c r="D362" s="149">
        <f>0.267+0.1621</f>
        <v>0.42910000000000004</v>
      </c>
      <c r="E362" s="154">
        <f>92489*1.0716</f>
        <v>99111.212400000004</v>
      </c>
      <c r="F362" s="150">
        <f t="shared" si="63"/>
        <v>42528.621240840002</v>
      </c>
      <c r="N362" s="183"/>
    </row>
    <row r="363" spans="1:14" ht="15.75" x14ac:dyDescent="0.25">
      <c r="A363" s="147"/>
      <c r="B363" s="148"/>
      <c r="C363" s="149"/>
      <c r="D363" s="149"/>
      <c r="E363" s="155" t="s">
        <v>271</v>
      </c>
      <c r="F363" s="156">
        <f>ROUND(SUM(F356:F362), 0)</f>
        <v>43404</v>
      </c>
      <c r="N363" s="183"/>
    </row>
    <row r="364" spans="1:14" ht="81.75" customHeight="1" x14ac:dyDescent="0.25">
      <c r="A364" s="90">
        <f>+PRESUPUESTO!A36</f>
        <v>1.21</v>
      </c>
      <c r="B364" s="71" t="str">
        <f>+PRESUPUESTO!B36</f>
        <v>SUMINISTRO E INSTALACION DE SANITARIOS  REFERENCIA SANITARIO SMART ALONGADO SINGLE BLANCO INCLUYE TODOS SU ACCESORIOS CON VALVULA AHORRADORA Y TODOS SUS ACCESORIOS PARA SU CORRECTO FUNCIONAMIENTO</v>
      </c>
      <c r="C364" s="72"/>
      <c r="D364" s="72"/>
      <c r="E364" s="73"/>
      <c r="F364" s="73" t="str">
        <f>+PRESUPUESTO!D36</f>
        <v>UNIDAD</v>
      </c>
      <c r="N364" s="183"/>
    </row>
    <row r="365" spans="1:14" ht="15.75" x14ac:dyDescent="0.25">
      <c r="A365" s="89"/>
      <c r="B365" s="74" t="s">
        <v>92</v>
      </c>
      <c r="C365" s="75" t="s">
        <v>93</v>
      </c>
      <c r="D365" s="75" t="s">
        <v>259</v>
      </c>
      <c r="E365" s="76" t="s">
        <v>260</v>
      </c>
      <c r="F365" s="76" t="s">
        <v>261</v>
      </c>
      <c r="N365" s="183"/>
    </row>
    <row r="366" spans="1:14" ht="15.75" x14ac:dyDescent="0.25">
      <c r="A366" s="89"/>
      <c r="B366" s="77" t="s">
        <v>262</v>
      </c>
      <c r="C366" s="78"/>
      <c r="D366" s="78"/>
      <c r="E366" s="79"/>
      <c r="F366" s="79"/>
      <c r="N366" s="183"/>
    </row>
    <row r="367" spans="1:14" ht="15.75" x14ac:dyDescent="0.25">
      <c r="A367" s="89"/>
      <c r="B367" s="80" t="s">
        <v>363</v>
      </c>
      <c r="C367" s="78" t="s">
        <v>93</v>
      </c>
      <c r="D367" s="78">
        <v>1</v>
      </c>
      <c r="E367" s="79">
        <v>579900</v>
      </c>
      <c r="F367" s="76">
        <f t="shared" ref="F367:F377" si="64">+E367*D367</f>
        <v>579900</v>
      </c>
      <c r="G367">
        <v>1.21</v>
      </c>
      <c r="H367" t="str">
        <f t="shared" si="59"/>
        <v>SANITARIO SMART ALONGADO SINGLE BLANCO</v>
      </c>
      <c r="M367" t="str">
        <f t="shared" si="60"/>
        <v>UNIDAD</v>
      </c>
      <c r="N367" s="183">
        <f t="shared" si="61"/>
        <v>579900</v>
      </c>
    </row>
    <row r="368" spans="1:14" ht="15.75" x14ac:dyDescent="0.25">
      <c r="A368" s="89"/>
      <c r="B368" s="80" t="s">
        <v>364</v>
      </c>
      <c r="C368" s="78" t="s">
        <v>315</v>
      </c>
      <c r="D368" s="78">
        <v>0.5</v>
      </c>
      <c r="E368" s="79">
        <v>1923</v>
      </c>
      <c r="F368" s="76">
        <f t="shared" si="64"/>
        <v>961.5</v>
      </c>
      <c r="G368">
        <v>1.21</v>
      </c>
      <c r="H368" t="str">
        <f t="shared" si="59"/>
        <v>CEMENTO BLANCO</v>
      </c>
      <c r="M368" t="str">
        <f t="shared" si="60"/>
        <v>KL</v>
      </c>
      <c r="N368" s="183">
        <f t="shared" si="61"/>
        <v>961.5</v>
      </c>
    </row>
    <row r="369" spans="1:14" ht="15.75" x14ac:dyDescent="0.25">
      <c r="A369" s="89"/>
      <c r="B369" s="80" t="s">
        <v>365</v>
      </c>
      <c r="C369" s="78" t="s">
        <v>93</v>
      </c>
      <c r="D369" s="78">
        <v>1</v>
      </c>
      <c r="E369" s="79">
        <v>6629</v>
      </c>
      <c r="F369" s="76">
        <f t="shared" si="64"/>
        <v>6629</v>
      </c>
      <c r="G369">
        <v>1.21</v>
      </c>
      <c r="H369" t="str">
        <f t="shared" si="59"/>
        <v>ACOPLE SANITARIO PLÁSTICO 1/2"</v>
      </c>
      <c r="M369" t="str">
        <f t="shared" si="60"/>
        <v>UNIDAD</v>
      </c>
      <c r="N369" s="183">
        <f t="shared" si="61"/>
        <v>6629</v>
      </c>
    </row>
    <row r="370" spans="1:14" ht="15.75" x14ac:dyDescent="0.25">
      <c r="A370" s="89"/>
      <c r="B370" s="80" t="s">
        <v>366</v>
      </c>
      <c r="C370" s="78" t="s">
        <v>93</v>
      </c>
      <c r="D370" s="78">
        <v>0.2</v>
      </c>
      <c r="E370" s="79">
        <v>1523</v>
      </c>
      <c r="F370" s="76">
        <f t="shared" si="64"/>
        <v>304.60000000000002</v>
      </c>
      <c r="G370">
        <v>1.21</v>
      </c>
      <c r="H370" t="str">
        <f t="shared" si="59"/>
        <v>CINTA TEFLÓN 1/2" x 10 m</v>
      </c>
      <c r="M370" t="str">
        <f t="shared" si="60"/>
        <v>UNIDAD</v>
      </c>
      <c r="N370" s="183">
        <f t="shared" si="61"/>
        <v>304.60000000000002</v>
      </c>
    </row>
    <row r="371" spans="1:14" ht="15.75" x14ac:dyDescent="0.25">
      <c r="A371" s="89"/>
      <c r="B371" s="80" t="s">
        <v>367</v>
      </c>
      <c r="C371" s="75" t="s">
        <v>93</v>
      </c>
      <c r="D371" s="75">
        <v>1</v>
      </c>
      <c r="E371" s="76">
        <v>153900</v>
      </c>
      <c r="F371" s="76">
        <f t="shared" si="64"/>
        <v>153900</v>
      </c>
      <c r="G371">
        <v>1.21</v>
      </c>
      <c r="H371" t="str">
        <f t="shared" si="59"/>
        <v>KIT GRIFERÍA SANITARIO ONE PIECE</v>
      </c>
      <c r="M371" t="str">
        <f t="shared" si="60"/>
        <v>UNIDAD</v>
      </c>
      <c r="N371" s="183">
        <f t="shared" si="61"/>
        <v>153900</v>
      </c>
    </row>
    <row r="372" spans="1:14" ht="15.75" x14ac:dyDescent="0.25">
      <c r="A372" s="89"/>
      <c r="B372" s="77" t="s">
        <v>264</v>
      </c>
      <c r="C372" s="78"/>
      <c r="D372" s="78"/>
      <c r="E372" s="79"/>
      <c r="F372" s="76">
        <f t="shared" si="64"/>
        <v>0</v>
      </c>
      <c r="N372" s="183"/>
    </row>
    <row r="373" spans="1:14" ht="15.75" x14ac:dyDescent="0.25">
      <c r="A373" s="89"/>
      <c r="B373" s="80" t="s">
        <v>361</v>
      </c>
      <c r="C373" s="78" t="s">
        <v>265</v>
      </c>
      <c r="D373" s="78">
        <v>3.8E-3</v>
      </c>
      <c r="E373" s="76">
        <v>373506</v>
      </c>
      <c r="F373" s="76">
        <f t="shared" si="64"/>
        <v>1419.3227999999999</v>
      </c>
      <c r="N373" s="183"/>
    </row>
    <row r="374" spans="1:14" ht="15.75" x14ac:dyDescent="0.25">
      <c r="A374" s="89"/>
      <c r="B374" s="77" t="s">
        <v>266</v>
      </c>
      <c r="C374" s="78"/>
      <c r="D374" s="78"/>
      <c r="E374" s="76"/>
      <c r="F374" s="76">
        <f t="shared" si="64"/>
        <v>0</v>
      </c>
      <c r="N374" s="183"/>
    </row>
    <row r="375" spans="1:14" ht="15.75" x14ac:dyDescent="0.25">
      <c r="A375" s="89"/>
      <c r="B375" s="82" t="s">
        <v>267</v>
      </c>
      <c r="C375" s="78" t="s">
        <v>268</v>
      </c>
      <c r="D375" s="78">
        <v>0.02</v>
      </c>
      <c r="E375" s="83">
        <v>40431</v>
      </c>
      <c r="F375" s="76">
        <f t="shared" si="64"/>
        <v>808.62</v>
      </c>
      <c r="N375" s="183"/>
    </row>
    <row r="376" spans="1:14" ht="15.75" x14ac:dyDescent="0.25">
      <c r="A376" s="89"/>
      <c r="B376" s="77" t="s">
        <v>269</v>
      </c>
      <c r="C376" s="78"/>
      <c r="D376" s="78"/>
      <c r="E376" s="79"/>
      <c r="F376" s="76">
        <f t="shared" si="64"/>
        <v>0</v>
      </c>
      <c r="N376" s="183"/>
    </row>
    <row r="377" spans="1:14" ht="15.75" x14ac:dyDescent="0.25">
      <c r="A377" s="89"/>
      <c r="B377" s="80" t="s">
        <v>362</v>
      </c>
      <c r="C377" s="78" t="s">
        <v>265</v>
      </c>
      <c r="D377" s="78">
        <v>0.375</v>
      </c>
      <c r="E377" s="84">
        <v>116507</v>
      </c>
      <c r="F377" s="76">
        <f t="shared" si="64"/>
        <v>43690.125</v>
      </c>
      <c r="N377" s="183"/>
    </row>
    <row r="378" spans="1:14" ht="15.75" x14ac:dyDescent="0.25">
      <c r="A378" s="89"/>
      <c r="B378" s="82"/>
      <c r="C378" s="78"/>
      <c r="D378" s="78"/>
      <c r="E378" s="85" t="s">
        <v>271</v>
      </c>
      <c r="F378" s="86">
        <f>ROUND(SUM(F367:F377), 0)</f>
        <v>787613</v>
      </c>
      <c r="N378" s="183"/>
    </row>
    <row r="379" spans="1:14" ht="94.5" x14ac:dyDescent="0.25">
      <c r="A379" s="90">
        <f>+PRESUPUESTO!A37</f>
        <v>1.22</v>
      </c>
      <c r="B379" s="71" t="str">
        <f>+PRESUPUESTO!B37</f>
        <v>SUMINISTRO E INSTALACION DE LAVAMANOS CON  MUEBLE ALUVIA ELEVADO 60X45 CM MILAN CON LAVAMANOS CORONA
 CON SISTEMA AHORRADOR DE AGUA INSTITUCIONAL.INCLUYE TODOS SUS ACCESORIOS PARA SU CORRECTO FUNCIONAMIENTO</v>
      </c>
      <c r="C379" s="72"/>
      <c r="D379" s="72"/>
      <c r="E379" s="73"/>
      <c r="F379" s="73" t="str">
        <f>+PRESUPUESTO!D37</f>
        <v>UNIDAD</v>
      </c>
      <c r="N379" s="183"/>
    </row>
    <row r="380" spans="1:14" ht="15.75" x14ac:dyDescent="0.25">
      <c r="A380" s="89"/>
      <c r="B380" s="74" t="s">
        <v>92</v>
      </c>
      <c r="C380" s="75" t="s">
        <v>93</v>
      </c>
      <c r="D380" s="75" t="s">
        <v>259</v>
      </c>
      <c r="E380" s="76" t="s">
        <v>260</v>
      </c>
      <c r="F380" s="76" t="s">
        <v>261</v>
      </c>
      <c r="N380" s="183"/>
    </row>
    <row r="381" spans="1:14" ht="15.75" x14ac:dyDescent="0.25">
      <c r="A381" s="89"/>
      <c r="B381" s="77" t="s">
        <v>262</v>
      </c>
      <c r="C381" s="78"/>
      <c r="D381" s="78"/>
      <c r="E381" s="79"/>
      <c r="F381" s="79"/>
      <c r="N381" s="183"/>
    </row>
    <row r="382" spans="1:14" ht="15.75" x14ac:dyDescent="0.25">
      <c r="A382" s="89"/>
      <c r="B382" s="80" t="s">
        <v>368</v>
      </c>
      <c r="C382" s="78" t="s">
        <v>93</v>
      </c>
      <c r="D382" s="78">
        <v>1</v>
      </c>
      <c r="E382" s="79">
        <v>386200</v>
      </c>
      <c r="F382" s="76">
        <f t="shared" ref="F382:F391" si="65">+E382*D382</f>
        <v>386200</v>
      </c>
      <c r="G382">
        <v>1.22</v>
      </c>
      <c r="H382" t="str">
        <f t="shared" si="59"/>
        <v xml:space="preserve"> MUEBLE ALUVIA ELEVADO 60X45 CM MILAN CON LAVAMANOS CORONA</v>
      </c>
      <c r="M382" t="str">
        <f t="shared" si="60"/>
        <v>UNIDAD</v>
      </c>
      <c r="N382" s="183">
        <f t="shared" si="61"/>
        <v>386200</v>
      </c>
    </row>
    <row r="383" spans="1:14" ht="15.75" x14ac:dyDescent="0.25">
      <c r="A383" s="89"/>
      <c r="B383" s="80" t="s">
        <v>369</v>
      </c>
      <c r="C383" s="78" t="s">
        <v>315</v>
      </c>
      <c r="D383" s="78">
        <v>1</v>
      </c>
      <c r="E383" s="79">
        <v>175900</v>
      </c>
      <c r="F383" s="76">
        <f t="shared" si="65"/>
        <v>175900</v>
      </c>
      <c r="G383">
        <v>1.22</v>
      </c>
      <c r="H383" t="str">
        <f t="shared" si="59"/>
        <v>GRIFERÍA LAVAMANOS TEMPORIZADOR DIAGONAL PUSH</v>
      </c>
      <c r="M383" t="str">
        <f t="shared" si="60"/>
        <v>KL</v>
      </c>
      <c r="N383" s="183">
        <f t="shared" si="61"/>
        <v>175900</v>
      </c>
    </row>
    <row r="384" spans="1:14" ht="15.75" x14ac:dyDescent="0.25">
      <c r="A384" s="89"/>
      <c r="B384" s="80" t="s">
        <v>370</v>
      </c>
      <c r="C384" s="78" t="s">
        <v>93</v>
      </c>
      <c r="D384" s="78">
        <v>1</v>
      </c>
      <c r="E384" s="79">
        <v>6629</v>
      </c>
      <c r="F384" s="76">
        <f t="shared" si="65"/>
        <v>6629</v>
      </c>
      <c r="G384">
        <v>1.22</v>
      </c>
      <c r="H384" t="str">
        <f t="shared" si="59"/>
        <v>ACOPLEMANGUERA PLÁSTICO 1/2"</v>
      </c>
      <c r="M384" t="str">
        <f t="shared" si="60"/>
        <v>UNIDAD</v>
      </c>
      <c r="N384" s="183">
        <f t="shared" si="61"/>
        <v>6629</v>
      </c>
    </row>
    <row r="385" spans="1:14" ht="15.75" x14ac:dyDescent="0.25">
      <c r="A385" s="89"/>
      <c r="B385" s="80" t="s">
        <v>366</v>
      </c>
      <c r="C385" s="78" t="s">
        <v>93</v>
      </c>
      <c r="D385" s="78">
        <v>0.2</v>
      </c>
      <c r="E385" s="79">
        <v>1523</v>
      </c>
      <c r="F385" s="76">
        <f t="shared" si="65"/>
        <v>304.60000000000002</v>
      </c>
      <c r="G385">
        <v>1.22</v>
      </c>
      <c r="H385" t="str">
        <f t="shared" si="59"/>
        <v>CINTA TEFLÓN 1/2" x 10 m</v>
      </c>
      <c r="M385" t="str">
        <f t="shared" si="60"/>
        <v>UNIDAD</v>
      </c>
      <c r="N385" s="183">
        <f t="shared" si="61"/>
        <v>304.60000000000002</v>
      </c>
    </row>
    <row r="386" spans="1:14" ht="15.75" x14ac:dyDescent="0.25">
      <c r="A386" s="89"/>
      <c r="B386" s="77" t="s">
        <v>264</v>
      </c>
      <c r="C386" s="78"/>
      <c r="D386" s="78"/>
      <c r="E386" s="79"/>
      <c r="F386" s="76">
        <f t="shared" si="65"/>
        <v>0</v>
      </c>
      <c r="N386" s="183"/>
    </row>
    <row r="387" spans="1:14" ht="15.75" x14ac:dyDescent="0.25">
      <c r="A387" s="89"/>
      <c r="B387" s="80" t="s">
        <v>361</v>
      </c>
      <c r="C387" s="78" t="s">
        <v>265</v>
      </c>
      <c r="D387" s="78">
        <v>3.8E-3</v>
      </c>
      <c r="E387" s="76">
        <v>373506</v>
      </c>
      <c r="F387" s="76">
        <f t="shared" si="65"/>
        <v>1419.3227999999999</v>
      </c>
      <c r="N387" s="183"/>
    </row>
    <row r="388" spans="1:14" ht="15.75" x14ac:dyDescent="0.25">
      <c r="A388" s="89"/>
      <c r="B388" s="77" t="s">
        <v>266</v>
      </c>
      <c r="C388" s="78"/>
      <c r="D388" s="78"/>
      <c r="E388" s="76"/>
      <c r="F388" s="76">
        <f t="shared" si="65"/>
        <v>0</v>
      </c>
      <c r="N388" s="183"/>
    </row>
    <row r="389" spans="1:14" ht="15.75" x14ac:dyDescent="0.25">
      <c r="A389" s="89"/>
      <c r="B389" s="82" t="s">
        <v>267</v>
      </c>
      <c r="C389" s="78" t="s">
        <v>268</v>
      </c>
      <c r="D389" s="78">
        <v>0.02</v>
      </c>
      <c r="E389" s="76">
        <v>40431</v>
      </c>
      <c r="F389" s="76">
        <f t="shared" si="65"/>
        <v>808.62</v>
      </c>
      <c r="N389" s="183"/>
    </row>
    <row r="390" spans="1:14" ht="15.75" x14ac:dyDescent="0.25">
      <c r="A390" s="89"/>
      <c r="B390" s="77" t="s">
        <v>269</v>
      </c>
      <c r="C390" s="78"/>
      <c r="D390" s="78"/>
      <c r="E390" s="79"/>
      <c r="F390" s="76">
        <f t="shared" si="65"/>
        <v>0</v>
      </c>
      <c r="N390" s="183"/>
    </row>
    <row r="391" spans="1:14" ht="15.75" x14ac:dyDescent="0.25">
      <c r="A391" s="89"/>
      <c r="B391" s="80" t="s">
        <v>362</v>
      </c>
      <c r="C391" s="78" t="s">
        <v>265</v>
      </c>
      <c r="D391" s="78">
        <v>0.375</v>
      </c>
      <c r="E391" s="84">
        <v>116507</v>
      </c>
      <c r="F391" s="76">
        <f t="shared" si="65"/>
        <v>43690.125</v>
      </c>
      <c r="N391" s="183"/>
    </row>
    <row r="392" spans="1:14" ht="15.75" x14ac:dyDescent="0.25">
      <c r="A392" s="89"/>
      <c r="B392" s="82"/>
      <c r="C392" s="78"/>
      <c r="D392" s="78"/>
      <c r="E392" s="85" t="s">
        <v>271</v>
      </c>
      <c r="F392" s="86">
        <f>ROUND(SUM(F382:F391), 0)</f>
        <v>614952</v>
      </c>
      <c r="N392" s="183"/>
    </row>
    <row r="393" spans="1:14" ht="78.75" x14ac:dyDescent="0.25">
      <c r="A393" s="90">
        <f>+PRESUPUESTO!A38</f>
        <v>1.23</v>
      </c>
      <c r="B393" s="71" t="str">
        <f>+PRESUPUESTO!B38</f>
        <v>SUMINISTRO E INSTALACION DE PUERTA EN VIDRIO DE SEGURIDAD DE 2.00 DE ALTO X 0,0,8 DE 10 mm  CON SANBLASTING INCLUYE BISAGRA DE PISO SPEEDY M60 , MANIJA DE ACERO INOXIDABLE. ESQUINERO SUPERIOR E INFERIOR.</v>
      </c>
      <c r="C393" s="72"/>
      <c r="D393" s="72"/>
      <c r="E393" s="73"/>
      <c r="F393" s="73" t="str">
        <f>+PRESUPUESTO!D38</f>
        <v>UNIDAD</v>
      </c>
      <c r="N393" s="183"/>
    </row>
    <row r="394" spans="1:14" ht="15.75" x14ac:dyDescent="0.25">
      <c r="A394" s="89"/>
      <c r="B394" s="74" t="s">
        <v>92</v>
      </c>
      <c r="C394" s="75" t="s">
        <v>93</v>
      </c>
      <c r="D394" s="75" t="s">
        <v>259</v>
      </c>
      <c r="E394" s="76" t="s">
        <v>260</v>
      </c>
      <c r="F394" s="76" t="s">
        <v>261</v>
      </c>
      <c r="N394" s="183"/>
    </row>
    <row r="395" spans="1:14" ht="15.75" x14ac:dyDescent="0.25">
      <c r="A395" s="89"/>
      <c r="B395" s="77" t="s">
        <v>262</v>
      </c>
      <c r="C395" s="78"/>
      <c r="D395" s="78"/>
      <c r="E395" s="79"/>
      <c r="F395" s="79"/>
      <c r="N395" s="183"/>
    </row>
    <row r="396" spans="1:14" ht="15.75" x14ac:dyDescent="0.25">
      <c r="A396" s="89"/>
      <c r="B396" s="74" t="s">
        <v>371</v>
      </c>
      <c r="C396" s="75" t="s">
        <v>93</v>
      </c>
      <c r="D396" s="75">
        <v>1</v>
      </c>
      <c r="E396" s="76">
        <v>776400</v>
      </c>
      <c r="F396" s="76">
        <f>+E396*D396</f>
        <v>776400</v>
      </c>
      <c r="G396">
        <v>1.23</v>
      </c>
      <c r="H396" t="str">
        <f t="shared" si="59"/>
        <v>PUERTA EN VIDRIO TEMPLADO DE 10 MM</v>
      </c>
      <c r="M396" t="str">
        <f t="shared" si="60"/>
        <v>UNIDAD</v>
      </c>
      <c r="N396" s="183">
        <f t="shared" si="61"/>
        <v>776400</v>
      </c>
    </row>
    <row r="397" spans="1:14" ht="15.75" x14ac:dyDescent="0.25">
      <c r="A397" s="89"/>
      <c r="B397" s="74" t="s">
        <v>375</v>
      </c>
      <c r="C397" s="75" t="s">
        <v>98</v>
      </c>
      <c r="D397" s="75">
        <v>1.05</v>
      </c>
      <c r="E397" s="76">
        <f>39195*1.0716</f>
        <v>42001.362000000001</v>
      </c>
      <c r="F397" s="76">
        <f>+E397*D397</f>
        <v>44101.430100000005</v>
      </c>
      <c r="G397">
        <v>1.23</v>
      </c>
      <c r="H397" t="str">
        <f t="shared" si="59"/>
        <v xml:space="preserve">PELÍCULA DE SAMBLASTING PARA  VIDRIO DE 4 micras </v>
      </c>
      <c r="M397" t="str">
        <f t="shared" si="60"/>
        <v>M2</v>
      </c>
      <c r="N397" s="183">
        <f t="shared" si="61"/>
        <v>44101.430100000005</v>
      </c>
    </row>
    <row r="398" spans="1:14" ht="15.75" x14ac:dyDescent="0.25">
      <c r="A398" s="89"/>
      <c r="B398" s="80" t="s">
        <v>658</v>
      </c>
      <c r="C398" s="75" t="s">
        <v>93</v>
      </c>
      <c r="D398" s="75">
        <v>1</v>
      </c>
      <c r="E398" s="76">
        <v>757</v>
      </c>
      <c r="F398" s="76">
        <f t="shared" ref="F398:F399" si="66">+E398*D398</f>
        <v>757</v>
      </c>
      <c r="G398">
        <v>1.23</v>
      </c>
      <c r="H398" t="str">
        <f t="shared" ref="H398:H451" si="67">+B398</f>
        <v>CHAZO CON TORNILLO 12-14 x 2"</v>
      </c>
      <c r="M398" t="str">
        <f t="shared" ref="M398:M451" si="68">+C398</f>
        <v>UNIDAD</v>
      </c>
      <c r="N398" s="183">
        <f t="shared" ref="N398:N451" si="69">+F398</f>
        <v>757</v>
      </c>
    </row>
    <row r="399" spans="1:14" ht="15.75" x14ac:dyDescent="0.25">
      <c r="A399" s="89"/>
      <c r="B399" s="80" t="s">
        <v>659</v>
      </c>
      <c r="C399" s="75" t="s">
        <v>93</v>
      </c>
      <c r="D399" s="75">
        <v>0.05</v>
      </c>
      <c r="E399" s="76">
        <v>71866</v>
      </c>
      <c r="F399" s="76">
        <f t="shared" si="66"/>
        <v>3593.3</v>
      </c>
      <c r="G399">
        <v>1.23</v>
      </c>
      <c r="H399" t="str">
        <f t="shared" si="67"/>
        <v>SIKAFLEX 1A (Sellador elástico de Poliuretano) x 300 cm³</v>
      </c>
      <c r="M399" t="str">
        <f t="shared" si="68"/>
        <v>UNIDAD</v>
      </c>
      <c r="N399" s="183">
        <f t="shared" si="69"/>
        <v>3593.3</v>
      </c>
    </row>
    <row r="400" spans="1:14" ht="15.75" x14ac:dyDescent="0.25">
      <c r="A400" s="89"/>
      <c r="B400" s="74"/>
      <c r="C400" s="75"/>
      <c r="D400" s="75"/>
      <c r="E400" s="76"/>
      <c r="F400" s="76"/>
      <c r="N400" s="183"/>
    </row>
    <row r="401" spans="1:14" ht="15.75" x14ac:dyDescent="0.25">
      <c r="A401" s="89"/>
      <c r="B401" s="77" t="s">
        <v>264</v>
      </c>
      <c r="C401" s="78"/>
      <c r="D401" s="78"/>
      <c r="E401" s="79"/>
      <c r="F401" s="76"/>
      <c r="N401" s="183"/>
    </row>
    <row r="402" spans="1:14" ht="15.75" x14ac:dyDescent="0.25">
      <c r="A402" s="89"/>
      <c r="B402" s="80" t="s">
        <v>335</v>
      </c>
      <c r="C402" s="78" t="s">
        <v>93</v>
      </c>
      <c r="D402" s="78">
        <v>5.0000000000000001E-3</v>
      </c>
      <c r="E402" s="76">
        <v>62851</v>
      </c>
      <c r="F402" s="76">
        <f t="shared" ref="F402:F410" si="70">+E402*D402</f>
        <v>314.255</v>
      </c>
      <c r="N402" s="183"/>
    </row>
    <row r="403" spans="1:14" ht="15.75" x14ac:dyDescent="0.25">
      <c r="A403" s="89"/>
      <c r="B403" s="80" t="s">
        <v>372</v>
      </c>
      <c r="C403" s="78" t="s">
        <v>93</v>
      </c>
      <c r="D403" s="78">
        <v>5.0000000000000001E-3</v>
      </c>
      <c r="E403" s="76">
        <v>548800</v>
      </c>
      <c r="F403" s="76">
        <f t="shared" si="70"/>
        <v>2744</v>
      </c>
      <c r="N403" s="183"/>
    </row>
    <row r="404" spans="1:14" ht="15.75" x14ac:dyDescent="0.25">
      <c r="A404" s="89"/>
      <c r="B404" s="80" t="s">
        <v>373</v>
      </c>
      <c r="C404" s="78" t="s">
        <v>93</v>
      </c>
      <c r="D404" s="78">
        <v>5.0000000000000001E-3</v>
      </c>
      <c r="E404" s="76">
        <v>25133</v>
      </c>
      <c r="F404" s="76">
        <f t="shared" si="70"/>
        <v>125.66500000000001</v>
      </c>
      <c r="N404" s="183"/>
    </row>
    <row r="405" spans="1:14" ht="15.75" x14ac:dyDescent="0.25">
      <c r="A405" s="89"/>
      <c r="B405" s="80" t="s">
        <v>374</v>
      </c>
      <c r="C405" s="78" t="s">
        <v>93</v>
      </c>
      <c r="D405" s="78">
        <v>5.0000000000000001E-3</v>
      </c>
      <c r="E405" s="76">
        <v>50658</v>
      </c>
      <c r="F405" s="76">
        <f t="shared" si="70"/>
        <v>253.29</v>
      </c>
      <c r="N405" s="183"/>
    </row>
    <row r="406" spans="1:14" ht="15.75" x14ac:dyDescent="0.25">
      <c r="A406" s="89"/>
      <c r="B406" s="80"/>
      <c r="C406" s="78"/>
      <c r="D406" s="81"/>
      <c r="E406" s="76"/>
      <c r="F406" s="76"/>
      <c r="N406" s="183"/>
    </row>
    <row r="407" spans="1:14" ht="15.75" x14ac:dyDescent="0.25">
      <c r="A407" s="89"/>
      <c r="B407" s="77" t="s">
        <v>266</v>
      </c>
      <c r="C407" s="78"/>
      <c r="D407" s="78"/>
      <c r="E407" s="76"/>
      <c r="F407" s="76"/>
      <c r="N407" s="183"/>
    </row>
    <row r="408" spans="1:14" ht="15.75" x14ac:dyDescent="0.25">
      <c r="A408" s="89"/>
      <c r="B408" s="82" t="s">
        <v>267</v>
      </c>
      <c r="C408" s="78" t="s">
        <v>268</v>
      </c>
      <c r="D408" s="78">
        <v>0.1</v>
      </c>
      <c r="E408" s="76">
        <f>34381*1.0716</f>
        <v>36842.679600000003</v>
      </c>
      <c r="F408" s="76">
        <f t="shared" si="70"/>
        <v>3684.2679600000006</v>
      </c>
      <c r="N408" s="183"/>
    </row>
    <row r="409" spans="1:14" ht="15.75" x14ac:dyDescent="0.25">
      <c r="A409" s="89"/>
      <c r="B409" s="77" t="s">
        <v>269</v>
      </c>
      <c r="C409" s="78"/>
      <c r="D409" s="78"/>
      <c r="E409" s="79"/>
      <c r="F409" s="76">
        <f t="shared" si="70"/>
        <v>0</v>
      </c>
      <c r="N409" s="183"/>
    </row>
    <row r="410" spans="1:14" ht="15.75" x14ac:dyDescent="0.25">
      <c r="A410" s="89"/>
      <c r="B410" t="s">
        <v>293</v>
      </c>
      <c r="C410" s="78" t="s">
        <v>265</v>
      </c>
      <c r="D410" s="78">
        <v>0.1</v>
      </c>
      <c r="E410" s="84">
        <f>173078*1.0716</f>
        <v>185470.38480000003</v>
      </c>
      <c r="F410" s="76">
        <f t="shared" si="70"/>
        <v>18547.038480000003</v>
      </c>
      <c r="N410" s="183"/>
    </row>
    <row r="411" spans="1:14" ht="15.75" x14ac:dyDescent="0.25">
      <c r="A411" s="89"/>
      <c r="B411" s="82"/>
      <c r="C411" s="78"/>
      <c r="D411" s="78"/>
      <c r="E411" s="85" t="s">
        <v>271</v>
      </c>
      <c r="F411" s="86">
        <f>ROUND(SUM(F396:F410), 0)</f>
        <v>850520</v>
      </c>
      <c r="N411" s="183"/>
    </row>
    <row r="412" spans="1:14" ht="47.25" x14ac:dyDescent="0.25">
      <c r="A412" s="90">
        <f>+PRESUPUESTO!A39</f>
        <v>1.24</v>
      </c>
      <c r="B412" s="71" t="str">
        <f>+PRESUPUESTO!B39</f>
        <v>ARREGLO DE PUERTAS Y VENTANERIA DE EXISTENTE EN ALUMINIO ADECUACION  Y AJUSTE  DE HOJAS  Y MARCOS PARA SU CORRECTO FUNCIONAMMIENTO.</v>
      </c>
      <c r="C412" s="72"/>
      <c r="D412" s="72"/>
      <c r="E412" s="73"/>
      <c r="F412" s="73" t="str">
        <f>+PRESUPUESTO!D39</f>
        <v>M2</v>
      </c>
      <c r="N412" s="183"/>
    </row>
    <row r="413" spans="1:14" ht="15.75" x14ac:dyDescent="0.25">
      <c r="A413" s="89"/>
      <c r="B413" s="74" t="s">
        <v>92</v>
      </c>
      <c r="C413" s="75" t="s">
        <v>93</v>
      </c>
      <c r="D413" s="75" t="s">
        <v>259</v>
      </c>
      <c r="E413" s="76" t="s">
        <v>260</v>
      </c>
      <c r="F413" s="76" t="s">
        <v>261</v>
      </c>
      <c r="N413" s="183"/>
    </row>
    <row r="414" spans="1:14" ht="15.75" x14ac:dyDescent="0.25">
      <c r="A414" s="89"/>
      <c r="B414" s="77" t="s">
        <v>262</v>
      </c>
      <c r="C414" s="78"/>
      <c r="D414" s="78"/>
      <c r="E414" s="79"/>
      <c r="F414" s="79"/>
      <c r="N414" s="183"/>
    </row>
    <row r="415" spans="1:14" ht="15.75" x14ac:dyDescent="0.25">
      <c r="A415" s="89"/>
      <c r="B415" s="80" t="s">
        <v>346</v>
      </c>
      <c r="C415" s="75" t="s">
        <v>351</v>
      </c>
      <c r="D415" s="75">
        <v>3.7999999999999999E-2</v>
      </c>
      <c r="E415" s="76">
        <v>918</v>
      </c>
      <c r="F415" s="76">
        <f t="shared" ref="F415:F419" si="71">+E415*D415</f>
        <v>34.884</v>
      </c>
      <c r="G415">
        <v>1.24</v>
      </c>
      <c r="H415" t="str">
        <f t="shared" si="67"/>
        <v>GUANTES DE VINILO</v>
      </c>
      <c r="M415" t="str">
        <f t="shared" si="68"/>
        <v>PAR</v>
      </c>
      <c r="N415" s="183">
        <f t="shared" si="69"/>
        <v>34.884</v>
      </c>
    </row>
    <row r="416" spans="1:14" ht="15.75" x14ac:dyDescent="0.25">
      <c r="A416" s="89"/>
      <c r="B416" s="74"/>
      <c r="C416" s="75"/>
      <c r="D416" s="75"/>
      <c r="E416" s="76"/>
      <c r="F416" s="76">
        <f t="shared" si="71"/>
        <v>0</v>
      </c>
      <c r="N416" s="183"/>
    </row>
    <row r="417" spans="1:14" ht="15.75" x14ac:dyDescent="0.25">
      <c r="A417" s="89"/>
      <c r="B417" s="77" t="s">
        <v>264</v>
      </c>
      <c r="C417" s="78"/>
      <c r="D417" s="78"/>
      <c r="E417" s="76"/>
      <c r="F417" s="76">
        <f t="shared" si="71"/>
        <v>0</v>
      </c>
      <c r="N417" s="183"/>
    </row>
    <row r="418" spans="1:14" ht="15.75" x14ac:dyDescent="0.25">
      <c r="A418" s="89"/>
      <c r="B418" s="80" t="s">
        <v>319</v>
      </c>
      <c r="C418" s="78" t="s">
        <v>265</v>
      </c>
      <c r="D418" s="78">
        <v>0.22</v>
      </c>
      <c r="E418" s="76">
        <v>5246</v>
      </c>
      <c r="F418" s="76">
        <f t="shared" si="71"/>
        <v>1154.1200000000001</v>
      </c>
      <c r="N418" s="183"/>
    </row>
    <row r="419" spans="1:14" ht="15.75" x14ac:dyDescent="0.25">
      <c r="A419" s="89"/>
      <c r="B419" s="80" t="s">
        <v>376</v>
      </c>
      <c r="C419" s="78" t="s">
        <v>93</v>
      </c>
      <c r="D419" s="78">
        <v>6.9999999999999999E-4</v>
      </c>
      <c r="E419" s="76">
        <v>348121</v>
      </c>
      <c r="F419" s="76">
        <f t="shared" si="71"/>
        <v>243.68469999999999</v>
      </c>
      <c r="N419" s="183"/>
    </row>
    <row r="420" spans="1:14" ht="15.75" x14ac:dyDescent="0.25">
      <c r="A420" s="89"/>
      <c r="B420" s="77" t="s">
        <v>266</v>
      </c>
      <c r="C420" s="78"/>
      <c r="D420" s="78"/>
      <c r="E420" s="76"/>
      <c r="F420" s="76">
        <f t="shared" ref="F420:F423" si="72">+E420*D420</f>
        <v>0</v>
      </c>
      <c r="N420" s="183"/>
    </row>
    <row r="421" spans="1:14" ht="15.75" x14ac:dyDescent="0.25">
      <c r="A421" s="89"/>
      <c r="B421" s="82" t="s">
        <v>267</v>
      </c>
      <c r="C421" s="78"/>
      <c r="D421" s="78"/>
      <c r="E421" s="76"/>
      <c r="F421" s="76"/>
      <c r="N421" s="183"/>
    </row>
    <row r="422" spans="1:14" ht="15.75" x14ac:dyDescent="0.25">
      <c r="A422" s="89"/>
      <c r="B422" s="77" t="s">
        <v>269</v>
      </c>
      <c r="C422" s="78"/>
      <c r="D422" s="78"/>
      <c r="E422" s="76"/>
      <c r="F422" s="76">
        <f t="shared" si="72"/>
        <v>0</v>
      </c>
      <c r="N422" s="183"/>
    </row>
    <row r="423" spans="1:14" ht="15.75" x14ac:dyDescent="0.25">
      <c r="A423" s="89"/>
      <c r="B423" t="s">
        <v>293</v>
      </c>
      <c r="C423" s="78" t="s">
        <v>265</v>
      </c>
      <c r="D423" s="78">
        <v>6.9800000000000001E-2</v>
      </c>
      <c r="E423" s="76">
        <v>394915</v>
      </c>
      <c r="F423" s="76">
        <f t="shared" si="72"/>
        <v>27565.066999999999</v>
      </c>
      <c r="N423" s="183"/>
    </row>
    <row r="424" spans="1:14" ht="15.75" x14ac:dyDescent="0.25">
      <c r="A424" s="89"/>
      <c r="B424" s="82"/>
      <c r="C424" s="78"/>
      <c r="D424" s="78"/>
      <c r="E424" s="85" t="s">
        <v>271</v>
      </c>
      <c r="F424" s="86">
        <f>ROUND(SUM(F415:F423), 0)</f>
        <v>28998</v>
      </c>
      <c r="N424" s="183"/>
    </row>
    <row r="425" spans="1:14" ht="54" customHeight="1" x14ac:dyDescent="0.25">
      <c r="A425" s="90">
        <f>+PRESUPUESTO!A40</f>
        <v>1.25</v>
      </c>
      <c r="B425" s="71" t="str">
        <f>+PRESUPUESTO!B40</f>
        <v>ARREGLO  Y AJUSTE SUMINISTRO DE AGUA  PARA BAÑOS DE MUJER  Y DE HOMBRE PARA LAVAMNOS Y   SANITARIOS  PARA SU CORRECTO FUNCIONAMIENTO</v>
      </c>
      <c r="C425" s="72"/>
      <c r="D425" s="72"/>
      <c r="E425" s="73"/>
      <c r="F425" s="73" t="str">
        <f>+PRESUPUESTO!D40</f>
        <v>UNIDAD</v>
      </c>
      <c r="N425" s="183"/>
    </row>
    <row r="426" spans="1:14" ht="15.75" x14ac:dyDescent="0.25">
      <c r="A426" s="89"/>
      <c r="B426" s="74" t="s">
        <v>92</v>
      </c>
      <c r="C426" s="75" t="s">
        <v>93</v>
      </c>
      <c r="D426" s="75" t="s">
        <v>259</v>
      </c>
      <c r="E426" s="76" t="s">
        <v>260</v>
      </c>
      <c r="F426" s="76" t="s">
        <v>261</v>
      </c>
      <c r="N426" s="183"/>
    </row>
    <row r="427" spans="1:14" ht="15.75" x14ac:dyDescent="0.25">
      <c r="A427" s="89"/>
      <c r="B427" s="77" t="s">
        <v>262</v>
      </c>
      <c r="C427" s="78"/>
      <c r="D427" s="78"/>
      <c r="E427" s="79"/>
      <c r="F427" s="79"/>
      <c r="N427" s="183"/>
    </row>
    <row r="428" spans="1:14" ht="15.75" x14ac:dyDescent="0.25">
      <c r="A428" s="89"/>
      <c r="B428" s="80" t="s">
        <v>366</v>
      </c>
      <c r="C428" s="78" t="s">
        <v>93</v>
      </c>
      <c r="D428" s="78">
        <v>0.2</v>
      </c>
      <c r="E428" s="79">
        <v>1523</v>
      </c>
      <c r="F428" s="76">
        <f t="shared" ref="F428:F434" si="73">+E428*D428</f>
        <v>304.60000000000002</v>
      </c>
      <c r="G428">
        <v>1.25</v>
      </c>
      <c r="H428" t="str">
        <f t="shared" si="67"/>
        <v>CINTA TEFLÓN 1/2" x 10 m</v>
      </c>
      <c r="M428" t="str">
        <f t="shared" si="68"/>
        <v>UNIDAD</v>
      </c>
      <c r="N428" s="183">
        <f t="shared" si="69"/>
        <v>304.60000000000002</v>
      </c>
    </row>
    <row r="429" spans="1:14" ht="15.75" x14ac:dyDescent="0.25">
      <c r="A429" s="89"/>
      <c r="B429" s="77" t="s">
        <v>264</v>
      </c>
      <c r="C429" s="78"/>
      <c r="D429" s="78"/>
      <c r="E429" s="79"/>
      <c r="F429" s="76">
        <f t="shared" si="73"/>
        <v>0</v>
      </c>
      <c r="N429" s="183"/>
    </row>
    <row r="430" spans="1:14" ht="15.75" x14ac:dyDescent="0.25">
      <c r="A430" s="89"/>
      <c r="B430" s="80" t="s">
        <v>361</v>
      </c>
      <c r="C430" s="78" t="s">
        <v>265</v>
      </c>
      <c r="D430" s="78">
        <v>3.8E-3</v>
      </c>
      <c r="E430" s="76">
        <v>348121</v>
      </c>
      <c r="F430" s="76">
        <f t="shared" si="73"/>
        <v>1322.8598</v>
      </c>
      <c r="N430" s="183"/>
    </row>
    <row r="431" spans="1:14" ht="15.75" x14ac:dyDescent="0.25">
      <c r="A431" s="89"/>
      <c r="B431" s="77" t="s">
        <v>266</v>
      </c>
      <c r="C431" s="78"/>
      <c r="D431" s="78"/>
      <c r="E431" s="76"/>
      <c r="F431" s="76">
        <f t="shared" si="73"/>
        <v>0</v>
      </c>
      <c r="N431" s="183"/>
    </row>
    <row r="432" spans="1:14" ht="15.75" x14ac:dyDescent="0.25">
      <c r="A432" s="89"/>
      <c r="B432" s="82" t="s">
        <v>267</v>
      </c>
      <c r="C432" s="78"/>
      <c r="D432" s="78"/>
      <c r="E432" s="83"/>
      <c r="F432" s="76"/>
      <c r="N432" s="183"/>
    </row>
    <row r="433" spans="1:14" ht="15.75" x14ac:dyDescent="0.25">
      <c r="A433" s="89"/>
      <c r="B433" s="77" t="s">
        <v>269</v>
      </c>
      <c r="C433" s="78"/>
      <c r="D433" s="78"/>
      <c r="E433" s="79"/>
      <c r="F433" s="76">
        <f t="shared" si="73"/>
        <v>0</v>
      </c>
      <c r="N433" s="183"/>
    </row>
    <row r="434" spans="1:14" ht="15.75" x14ac:dyDescent="0.25">
      <c r="A434" s="89"/>
      <c r="B434" s="80" t="s">
        <v>362</v>
      </c>
      <c r="C434" s="78" t="s">
        <v>265</v>
      </c>
      <c r="D434" s="78">
        <v>0.375</v>
      </c>
      <c r="E434" s="84">
        <v>224125</v>
      </c>
      <c r="F434" s="76">
        <f t="shared" si="73"/>
        <v>84046.875</v>
      </c>
      <c r="N434" s="183"/>
    </row>
    <row r="435" spans="1:14" ht="15.75" x14ac:dyDescent="0.25">
      <c r="A435" s="89"/>
      <c r="B435" s="82"/>
      <c r="C435" s="78"/>
      <c r="D435" s="78"/>
      <c r="E435" s="85" t="s">
        <v>271</v>
      </c>
      <c r="F435" s="86">
        <f>ROUND(SUM(F428:F434), 0)</f>
        <v>85674</v>
      </c>
      <c r="N435" s="183"/>
    </row>
    <row r="436" spans="1:14" ht="47.25" x14ac:dyDescent="0.25">
      <c r="A436" s="90">
        <f>+PRESUPUESTO!A41</f>
        <v>1.26</v>
      </c>
      <c r="B436" s="71" t="str">
        <f>+PRESUPUESTO!B41</f>
        <v xml:space="preserve">RETIRO DE MANIJAS DE PUERTA EXISTENTESY SUMINISTRO E INSTALCION DE CERRADURA  DE INCRUSTRAR DE TRES BULONES EN PUERTAS EXISTENTES  </v>
      </c>
      <c r="C436" s="72"/>
      <c r="D436" s="72"/>
      <c r="E436" s="73"/>
      <c r="F436" s="73" t="str">
        <f>+PRESUPUESTO!D41</f>
        <v>UNIDAD</v>
      </c>
      <c r="N436" s="183"/>
    </row>
    <row r="437" spans="1:14" ht="15.75" x14ac:dyDescent="0.25">
      <c r="A437" s="89"/>
      <c r="B437" s="74" t="s">
        <v>92</v>
      </c>
      <c r="C437" s="75" t="s">
        <v>93</v>
      </c>
      <c r="D437" s="75" t="s">
        <v>259</v>
      </c>
      <c r="E437" s="76" t="s">
        <v>260</v>
      </c>
      <c r="F437" s="76" t="s">
        <v>261</v>
      </c>
      <c r="N437" s="183"/>
    </row>
    <row r="438" spans="1:14" ht="15.75" x14ac:dyDescent="0.25">
      <c r="A438" s="89"/>
      <c r="B438" s="77" t="s">
        <v>262</v>
      </c>
      <c r="C438" s="78"/>
      <c r="D438" s="78"/>
      <c r="E438" s="79"/>
      <c r="F438" s="79"/>
      <c r="N438" s="183"/>
    </row>
    <row r="439" spans="1:14" ht="15.75" x14ac:dyDescent="0.25">
      <c r="A439" s="89"/>
      <c r="B439" s="80" t="s">
        <v>662</v>
      </c>
      <c r="C439" s="78" t="s">
        <v>93</v>
      </c>
      <c r="D439" s="78">
        <v>1</v>
      </c>
      <c r="E439" s="79">
        <v>183900</v>
      </c>
      <c r="F439" s="76">
        <f t="shared" ref="F439:F444" si="74">+E439*D439</f>
        <v>183900</v>
      </c>
      <c r="G439">
        <v>1.26</v>
      </c>
      <c r="H439" t="str">
        <f t="shared" si="67"/>
        <v>CERRADURA  DE INCRUSTRAR DE TRES BULONES</v>
      </c>
      <c r="M439" t="str">
        <f t="shared" si="68"/>
        <v>UNIDAD</v>
      </c>
      <c r="N439" s="183">
        <f t="shared" si="69"/>
        <v>183900</v>
      </c>
    </row>
    <row r="440" spans="1:14" ht="15.75" x14ac:dyDescent="0.25">
      <c r="A440" s="89"/>
      <c r="B440" s="80"/>
      <c r="C440" s="78"/>
      <c r="D440" s="78"/>
      <c r="E440" s="79"/>
      <c r="F440" s="76"/>
      <c r="N440" s="183"/>
    </row>
    <row r="441" spans="1:14" ht="15.75" x14ac:dyDescent="0.25">
      <c r="A441" s="89"/>
      <c r="B441" s="77" t="s">
        <v>264</v>
      </c>
      <c r="C441" s="78"/>
      <c r="D441" s="78"/>
      <c r="E441" s="79"/>
      <c r="F441" s="76">
        <f t="shared" si="74"/>
        <v>0</v>
      </c>
      <c r="N441" s="183"/>
    </row>
    <row r="442" spans="1:14" ht="15.75" x14ac:dyDescent="0.25">
      <c r="A442" s="89"/>
      <c r="B442" s="80" t="s">
        <v>379</v>
      </c>
      <c r="C442" s="78" t="s">
        <v>265</v>
      </c>
      <c r="D442" s="78">
        <v>3.8E-3</v>
      </c>
      <c r="E442" s="76">
        <v>348121</v>
      </c>
      <c r="F442" s="76">
        <f t="shared" si="74"/>
        <v>1322.8598</v>
      </c>
      <c r="N442" s="183"/>
    </row>
    <row r="443" spans="1:14" ht="15.75" x14ac:dyDescent="0.25">
      <c r="A443" s="89"/>
      <c r="B443" s="77" t="s">
        <v>266</v>
      </c>
      <c r="C443" s="78"/>
      <c r="D443" s="78"/>
      <c r="E443" s="76"/>
      <c r="F443" s="76">
        <f t="shared" si="74"/>
        <v>0</v>
      </c>
      <c r="N443" s="183"/>
    </row>
    <row r="444" spans="1:14" ht="15.75" x14ac:dyDescent="0.25">
      <c r="A444" s="89"/>
      <c r="B444" s="82" t="s">
        <v>267</v>
      </c>
      <c r="C444" s="78" t="s">
        <v>268</v>
      </c>
      <c r="D444" s="78">
        <v>1</v>
      </c>
      <c r="E444" s="95">
        <f>34381*1.0716</f>
        <v>36842.679600000003</v>
      </c>
      <c r="F444" s="76">
        <f t="shared" si="74"/>
        <v>36842.679600000003</v>
      </c>
      <c r="N444" s="183"/>
    </row>
    <row r="445" spans="1:14" ht="15.75" x14ac:dyDescent="0.25">
      <c r="A445" s="89"/>
      <c r="B445" s="77" t="s">
        <v>269</v>
      </c>
      <c r="C445" s="78"/>
      <c r="D445" s="78"/>
      <c r="E445" s="79"/>
      <c r="F445" s="76">
        <f t="shared" ref="F445:F446" si="75">+E445*D445</f>
        <v>0</v>
      </c>
      <c r="N445" s="183"/>
    </row>
    <row r="446" spans="1:14" ht="15.75" x14ac:dyDescent="0.25">
      <c r="A446" s="89"/>
      <c r="B446" s="80" t="s">
        <v>380</v>
      </c>
      <c r="C446" s="78" t="s">
        <v>265</v>
      </c>
      <c r="D446" s="78">
        <v>0.375</v>
      </c>
      <c r="E446" s="84">
        <v>215235</v>
      </c>
      <c r="F446" s="76">
        <f t="shared" si="75"/>
        <v>80713.125</v>
      </c>
      <c r="N446" s="183"/>
    </row>
    <row r="447" spans="1:14" ht="15.75" x14ac:dyDescent="0.25">
      <c r="A447" s="89"/>
      <c r="B447" s="82"/>
      <c r="C447" s="78"/>
      <c r="D447" s="78"/>
      <c r="E447" s="85" t="s">
        <v>271</v>
      </c>
      <c r="F447" s="86">
        <f>ROUND(SUM(F439:F446), 0)</f>
        <v>302779</v>
      </c>
      <c r="N447" s="183"/>
    </row>
    <row r="448" spans="1:14" ht="63" x14ac:dyDescent="0.25">
      <c r="A448" s="90">
        <f>+PRESUPUESTO!A42</f>
        <v>1.27</v>
      </c>
      <c r="B448" s="71" t="str">
        <f>+PRESUPUESTO!B42</f>
        <v>RETIRO DE MANIJA DE PUERTA EXISTENTE DE ACCESO PRINCIPAL Y SUMINISTRO E INSTALCION DE MANIJA TIPO CERRADURA INCRUSTAR 4 BULONES ROSETA BARI
 EN PUERTA ACCESO PRINCIAPAL</v>
      </c>
      <c r="C448" s="72"/>
      <c r="D448" s="72"/>
      <c r="E448" s="73"/>
      <c r="F448" s="73" t="str">
        <f>+PRESUPUESTO!D41</f>
        <v>UNIDAD</v>
      </c>
      <c r="N448" s="183"/>
    </row>
    <row r="449" spans="1:14" ht="15.75" x14ac:dyDescent="0.25">
      <c r="A449" s="89"/>
      <c r="B449" s="74" t="s">
        <v>92</v>
      </c>
      <c r="C449" s="75" t="s">
        <v>93</v>
      </c>
      <c r="D449" s="75" t="s">
        <v>259</v>
      </c>
      <c r="E449" s="76" t="s">
        <v>260</v>
      </c>
      <c r="F449" s="76" t="s">
        <v>261</v>
      </c>
      <c r="N449" s="183"/>
    </row>
    <row r="450" spans="1:14" ht="15.75" x14ac:dyDescent="0.25">
      <c r="A450" s="89"/>
      <c r="B450" s="77" t="s">
        <v>262</v>
      </c>
      <c r="C450" s="78"/>
      <c r="D450" s="78"/>
      <c r="E450" s="79"/>
      <c r="F450" s="79"/>
      <c r="N450" s="183"/>
    </row>
    <row r="451" spans="1:14" ht="15.75" x14ac:dyDescent="0.25">
      <c r="A451" s="89"/>
      <c r="B451" s="80" t="s">
        <v>377</v>
      </c>
      <c r="C451" s="78" t="s">
        <v>93</v>
      </c>
      <c r="D451" s="78">
        <v>1</v>
      </c>
      <c r="E451" s="79">
        <v>419900</v>
      </c>
      <c r="F451" s="76">
        <f t="shared" ref="F451" si="76">+E451*D451</f>
        <v>419900</v>
      </c>
      <c r="G451">
        <v>1.27</v>
      </c>
      <c r="H451" t="str">
        <f t="shared" si="67"/>
        <v>CERRADURA INCRUSTAR 4 BULONES ROSETA BARI</v>
      </c>
      <c r="M451" t="str">
        <f t="shared" si="68"/>
        <v>UNIDAD</v>
      </c>
      <c r="N451" s="183">
        <f t="shared" si="69"/>
        <v>419900</v>
      </c>
    </row>
    <row r="452" spans="1:14" ht="15.75" x14ac:dyDescent="0.25">
      <c r="A452" s="89"/>
      <c r="B452" s="77" t="s">
        <v>264</v>
      </c>
      <c r="C452" s="78"/>
      <c r="D452" s="78"/>
      <c r="E452" s="79"/>
      <c r="F452" s="76">
        <f t="shared" ref="F452:F455" si="77">+E452*D452</f>
        <v>0</v>
      </c>
      <c r="N452" s="183"/>
    </row>
    <row r="453" spans="1:14" ht="15.75" x14ac:dyDescent="0.25">
      <c r="A453" s="89"/>
      <c r="B453" s="80" t="s">
        <v>379</v>
      </c>
      <c r="C453" s="78" t="s">
        <v>265</v>
      </c>
      <c r="D453" s="78">
        <v>3.8E-3</v>
      </c>
      <c r="E453" s="76">
        <v>348121</v>
      </c>
      <c r="F453" s="76">
        <f t="shared" si="77"/>
        <v>1322.8598</v>
      </c>
      <c r="N453" s="183"/>
    </row>
    <row r="454" spans="1:14" ht="15.75" x14ac:dyDescent="0.25">
      <c r="A454" s="89"/>
      <c r="B454" s="77" t="s">
        <v>266</v>
      </c>
      <c r="C454" s="78"/>
      <c r="D454" s="78"/>
      <c r="E454" s="76"/>
      <c r="F454" s="76">
        <f t="shared" si="77"/>
        <v>0</v>
      </c>
      <c r="N454" s="183"/>
    </row>
    <row r="455" spans="1:14" ht="15.75" x14ac:dyDescent="0.25">
      <c r="A455" s="89"/>
      <c r="B455" s="82" t="s">
        <v>267</v>
      </c>
      <c r="C455" s="78" t="s">
        <v>268</v>
      </c>
      <c r="D455" s="78">
        <v>1</v>
      </c>
      <c r="E455" s="95">
        <f>34381*1.0716</f>
        <v>36842.679600000003</v>
      </c>
      <c r="F455" s="76">
        <f t="shared" si="77"/>
        <v>36842.679600000003</v>
      </c>
      <c r="N455" s="183"/>
    </row>
    <row r="456" spans="1:14" ht="15.75" x14ac:dyDescent="0.25">
      <c r="A456" s="89"/>
      <c r="B456" s="77" t="s">
        <v>269</v>
      </c>
      <c r="C456" s="78"/>
      <c r="D456" s="78"/>
      <c r="E456" s="79"/>
      <c r="F456" s="76">
        <f t="shared" ref="F456:F457" si="78">+E456*D456</f>
        <v>0</v>
      </c>
      <c r="N456" s="183"/>
    </row>
    <row r="457" spans="1:14" ht="15.75" x14ac:dyDescent="0.25">
      <c r="A457" s="89"/>
      <c r="B457" s="80" t="s">
        <v>269</v>
      </c>
      <c r="C457" s="78" t="s">
        <v>265</v>
      </c>
      <c r="D457" s="78">
        <v>0.375</v>
      </c>
      <c r="E457" s="84">
        <v>215235</v>
      </c>
      <c r="F457" s="76">
        <f t="shared" si="78"/>
        <v>80713.125</v>
      </c>
      <c r="N457" s="183"/>
    </row>
    <row r="458" spans="1:14" ht="15.75" x14ac:dyDescent="0.25">
      <c r="A458" s="89"/>
      <c r="B458" s="82"/>
      <c r="C458" s="78"/>
      <c r="D458" s="78"/>
      <c r="E458" s="85" t="s">
        <v>271</v>
      </c>
      <c r="F458" s="86">
        <f>ROUND(SUM(F451:F457), 0)</f>
        <v>538779</v>
      </c>
      <c r="N458" s="183"/>
    </row>
    <row r="459" spans="1:14" ht="47.25" x14ac:dyDescent="0.25">
      <c r="A459" s="90">
        <f>+PRESUPUESTO!A43</f>
        <v>1.28</v>
      </c>
      <c r="B459" s="71" t="str">
        <f>+PRESUPUESTO!B43</f>
        <v>SUMINISTRO EN INSTALACION DE MAMPOSTERIA PARA SELLO DE MUROS EN BAÑOS EN CUCHILLA  EN BLOQUE No 4 MORTERO 1:4</v>
      </c>
      <c r="C459" s="72"/>
      <c r="D459" s="72"/>
      <c r="E459" s="73"/>
      <c r="F459" s="73" t="str">
        <f>+PRESUPUESTO!D43</f>
        <v>M2</v>
      </c>
      <c r="N459" s="183"/>
    </row>
    <row r="460" spans="1:14" ht="15.75" x14ac:dyDescent="0.25">
      <c r="A460" s="89"/>
      <c r="B460" s="74" t="s">
        <v>92</v>
      </c>
      <c r="C460" s="75" t="s">
        <v>93</v>
      </c>
      <c r="D460" s="75" t="s">
        <v>259</v>
      </c>
      <c r="E460" s="76" t="s">
        <v>260</v>
      </c>
      <c r="F460" s="76" t="s">
        <v>261</v>
      </c>
      <c r="N460" s="183"/>
    </row>
    <row r="461" spans="1:14" ht="15.75" x14ac:dyDescent="0.25">
      <c r="A461" s="89"/>
      <c r="B461" s="77" t="s">
        <v>262</v>
      </c>
      <c r="C461" s="78"/>
      <c r="D461" s="78"/>
      <c r="E461" s="79"/>
      <c r="F461" s="79"/>
      <c r="N461" s="183"/>
    </row>
    <row r="462" spans="1:14" ht="15.75" x14ac:dyDescent="0.25">
      <c r="A462" s="89"/>
      <c r="B462" s="80" t="s">
        <v>309</v>
      </c>
      <c r="C462" s="75" t="s">
        <v>316</v>
      </c>
      <c r="D462" s="75">
        <v>30</v>
      </c>
      <c r="E462" s="76">
        <v>78</v>
      </c>
      <c r="F462" s="76">
        <f>+E462*D462</f>
        <v>2340</v>
      </c>
      <c r="G462">
        <v>1.28</v>
      </c>
      <c r="H462" t="str">
        <f t="shared" ref="H462:H525" si="79">+B462</f>
        <v>AGUA</v>
      </c>
      <c r="M462" t="str">
        <f t="shared" ref="M462:M525" si="80">+C462</f>
        <v>LT</v>
      </c>
      <c r="N462" s="183">
        <f t="shared" ref="N462:N525" si="81">+F462</f>
        <v>2340</v>
      </c>
    </row>
    <row r="463" spans="1:14" ht="15.75" x14ac:dyDescent="0.25">
      <c r="A463" s="89"/>
      <c r="B463" s="80" t="s">
        <v>664</v>
      </c>
      <c r="C463" s="75" t="s">
        <v>93</v>
      </c>
      <c r="D463" s="75">
        <v>15.2</v>
      </c>
      <c r="E463" s="76">
        <v>1941</v>
      </c>
      <c r="F463" s="76">
        <f t="shared" ref="F463:F464" si="82">+E463*D463</f>
        <v>29503.199999999997</v>
      </c>
      <c r="G463">
        <v>1.28</v>
      </c>
      <c r="H463" t="str">
        <f t="shared" si="79"/>
        <v>BLOQUE No. 5 ESTANDAR 30x20x12 cm</v>
      </c>
      <c r="M463" t="str">
        <f t="shared" si="80"/>
        <v>UNIDAD</v>
      </c>
      <c r="N463" s="183">
        <f t="shared" si="81"/>
        <v>29503.199999999997</v>
      </c>
    </row>
    <row r="464" spans="1:14" ht="15.75" x14ac:dyDescent="0.25">
      <c r="A464" s="89"/>
      <c r="B464" s="80" t="s">
        <v>289</v>
      </c>
      <c r="C464" s="75" t="s">
        <v>145</v>
      </c>
      <c r="D464" s="75">
        <v>1.44E-2</v>
      </c>
      <c r="E464" s="76">
        <v>425444</v>
      </c>
      <c r="F464" s="76">
        <f t="shared" si="82"/>
        <v>6126.3935999999994</v>
      </c>
      <c r="G464">
        <v>1.28</v>
      </c>
      <c r="H464" t="str">
        <f t="shared" si="79"/>
        <v>MORTERO 1:4</v>
      </c>
      <c r="M464" t="str">
        <f t="shared" si="80"/>
        <v>M3</v>
      </c>
      <c r="N464" s="183">
        <f t="shared" si="81"/>
        <v>6126.3935999999994</v>
      </c>
    </row>
    <row r="465" spans="1:14" ht="15.75" x14ac:dyDescent="0.25">
      <c r="A465" s="89"/>
      <c r="B465" s="77" t="s">
        <v>264</v>
      </c>
      <c r="C465" s="78"/>
      <c r="D465" s="78"/>
      <c r="E465" s="79"/>
      <c r="F465" s="76">
        <f t="shared" ref="F465:F473" si="83">+E465*D465</f>
        <v>0</v>
      </c>
      <c r="N465" s="183"/>
    </row>
    <row r="466" spans="1:14" ht="15.75" x14ac:dyDescent="0.25">
      <c r="A466" s="89"/>
      <c r="B466" s="80" t="s">
        <v>352</v>
      </c>
      <c r="C466" s="78" t="s">
        <v>93</v>
      </c>
      <c r="D466" s="78">
        <v>1.1999999999999999E-3</v>
      </c>
      <c r="E466" s="76">
        <v>773875</v>
      </c>
      <c r="F466" s="76">
        <f t="shared" si="83"/>
        <v>928.64999999999986</v>
      </c>
      <c r="N466" s="183"/>
    </row>
    <row r="467" spans="1:14" ht="15.75" x14ac:dyDescent="0.25">
      <c r="A467" s="89"/>
      <c r="B467" s="80" t="s">
        <v>319</v>
      </c>
      <c r="C467" s="78" t="s">
        <v>297</v>
      </c>
      <c r="D467" s="78">
        <v>0.22</v>
      </c>
      <c r="E467" s="76">
        <v>5246</v>
      </c>
      <c r="F467" s="76">
        <f t="shared" si="83"/>
        <v>1154.1200000000001</v>
      </c>
      <c r="N467" s="183"/>
    </row>
    <row r="468" spans="1:14" ht="15.75" x14ac:dyDescent="0.25">
      <c r="A468" s="89"/>
      <c r="B468" s="80" t="s">
        <v>291</v>
      </c>
      <c r="C468" s="78" t="s">
        <v>93</v>
      </c>
      <c r="D468" s="78">
        <v>1.1999999999999999E-3</v>
      </c>
      <c r="E468" s="76">
        <v>31315</v>
      </c>
      <c r="F468" s="76">
        <f t="shared" si="83"/>
        <v>37.577999999999996</v>
      </c>
      <c r="N468" s="183"/>
    </row>
    <row r="469" spans="1:14" ht="15.75" x14ac:dyDescent="0.25">
      <c r="A469" s="89"/>
      <c r="B469" s="80" t="s">
        <v>296</v>
      </c>
      <c r="C469" s="78" t="s">
        <v>93</v>
      </c>
      <c r="D469" s="78">
        <v>1.1999999999999999E-3</v>
      </c>
      <c r="E469" s="76">
        <v>348121</v>
      </c>
      <c r="F469" s="76">
        <f t="shared" si="83"/>
        <v>417.74519999999995</v>
      </c>
      <c r="N469" s="183"/>
    </row>
    <row r="470" spans="1:14" ht="15.75" x14ac:dyDescent="0.25">
      <c r="A470" s="89"/>
      <c r="B470" s="77" t="s">
        <v>266</v>
      </c>
      <c r="C470" s="78"/>
      <c r="D470" s="78"/>
      <c r="E470" s="76"/>
      <c r="F470" s="76">
        <f t="shared" si="83"/>
        <v>0</v>
      </c>
      <c r="N470" s="183"/>
    </row>
    <row r="471" spans="1:14" ht="15.75" x14ac:dyDescent="0.25">
      <c r="A471" s="89"/>
      <c r="B471" s="80" t="s">
        <v>381</v>
      </c>
      <c r="C471" s="78" t="s">
        <v>268</v>
      </c>
      <c r="D471" s="78">
        <v>2.75E-2</v>
      </c>
      <c r="E471" s="83">
        <v>64688</v>
      </c>
      <c r="F471" s="76">
        <f t="shared" si="83"/>
        <v>1778.92</v>
      </c>
      <c r="N471" s="183"/>
    </row>
    <row r="472" spans="1:14" ht="15.75" x14ac:dyDescent="0.25">
      <c r="A472" s="89"/>
      <c r="B472" s="77" t="s">
        <v>269</v>
      </c>
      <c r="C472" s="78"/>
      <c r="D472" s="78"/>
      <c r="E472" s="79"/>
      <c r="F472" s="76">
        <f t="shared" si="83"/>
        <v>0</v>
      </c>
      <c r="N472" s="183"/>
    </row>
    <row r="473" spans="1:14" ht="15.75" x14ac:dyDescent="0.25">
      <c r="A473" s="89"/>
      <c r="B473" t="s">
        <v>293</v>
      </c>
      <c r="C473" s="78" t="s">
        <v>265</v>
      </c>
      <c r="D473" s="78">
        <v>0.11600000000000001</v>
      </c>
      <c r="E473" s="84">
        <v>215235</v>
      </c>
      <c r="F473" s="76">
        <f t="shared" si="83"/>
        <v>24967.260000000002</v>
      </c>
      <c r="N473" s="183"/>
    </row>
    <row r="474" spans="1:14" ht="15.75" x14ac:dyDescent="0.25">
      <c r="A474" s="89"/>
      <c r="B474" s="82"/>
      <c r="C474" s="78"/>
      <c r="D474" s="78"/>
      <c r="E474" s="85" t="s">
        <v>271</v>
      </c>
      <c r="F474" s="86">
        <f>ROUND(SUM(F462:F473), 0)</f>
        <v>67254</v>
      </c>
      <c r="N474" s="183"/>
    </row>
    <row r="475" spans="1:14" ht="47.25" x14ac:dyDescent="0.25">
      <c r="A475" s="90">
        <f>+PRESUPUESTO!A44</f>
        <v>1.29</v>
      </c>
      <c r="B475" s="71" t="str">
        <f>+PRESUPUESTO!B44</f>
        <v xml:space="preserve">SUMINISTRO E  INSTALACION DE FLANCHE CAL 26 EN LAMINA GALVANIZADA SEGÚN DISEÑO INCLUYE CORTE  EN MURO Y SELLO EN SILICONA </v>
      </c>
      <c r="C475" s="72"/>
      <c r="D475" s="72"/>
      <c r="E475" s="73"/>
      <c r="F475" s="73" t="str">
        <f>+PRESUPUESTO!D44</f>
        <v>ML</v>
      </c>
      <c r="N475" s="183"/>
    </row>
    <row r="476" spans="1:14" ht="15.75" x14ac:dyDescent="0.25">
      <c r="A476" s="89"/>
      <c r="B476" s="74" t="s">
        <v>92</v>
      </c>
      <c r="C476" s="75" t="s">
        <v>93</v>
      </c>
      <c r="D476" s="75" t="s">
        <v>259</v>
      </c>
      <c r="E476" s="76" t="s">
        <v>260</v>
      </c>
      <c r="F476" s="76" t="s">
        <v>261</v>
      </c>
      <c r="N476" s="183"/>
    </row>
    <row r="477" spans="1:14" ht="15.75" x14ac:dyDescent="0.25">
      <c r="A477" s="89"/>
      <c r="B477" s="77" t="s">
        <v>262</v>
      </c>
      <c r="C477" s="78"/>
      <c r="D477" s="78"/>
      <c r="E477" s="79"/>
      <c r="F477" s="79"/>
      <c r="N477" s="183"/>
    </row>
    <row r="478" spans="1:14" ht="15.75" x14ac:dyDescent="0.25">
      <c r="A478" s="89"/>
      <c r="B478" s="80" t="s">
        <v>382</v>
      </c>
      <c r="C478" s="75" t="s">
        <v>98</v>
      </c>
      <c r="D478" s="75">
        <v>0.6</v>
      </c>
      <c r="E478" s="76">
        <v>23668</v>
      </c>
      <c r="F478" s="76">
        <f>+E478*D478</f>
        <v>14200.8</v>
      </c>
      <c r="G478">
        <v>1.29</v>
      </c>
      <c r="H478" t="str">
        <f t="shared" si="79"/>
        <v>LÁMINA GALVANIZADA Cal. 26</v>
      </c>
      <c r="M478" t="str">
        <f t="shared" si="80"/>
        <v>M2</v>
      </c>
      <c r="N478" s="183">
        <f t="shared" si="81"/>
        <v>14200.8</v>
      </c>
    </row>
    <row r="479" spans="1:14" ht="15.75" x14ac:dyDescent="0.25">
      <c r="A479" s="89"/>
      <c r="B479" s="80" t="s">
        <v>384</v>
      </c>
      <c r="C479" s="75" t="s">
        <v>314</v>
      </c>
      <c r="D479" s="75">
        <v>0.01</v>
      </c>
      <c r="E479" s="76">
        <v>4967</v>
      </c>
      <c r="F479" s="76">
        <f t="shared" ref="F479:F494" si="84">+E479*D479</f>
        <v>49.67</v>
      </c>
      <c r="G479">
        <v>1.29</v>
      </c>
      <c r="H479" t="str">
        <f t="shared" si="79"/>
        <v>PUNTILLA 1 1/2" a 3"</v>
      </c>
      <c r="M479" t="str">
        <f t="shared" si="80"/>
        <v>LB</v>
      </c>
      <c r="N479" s="183">
        <f t="shared" si="81"/>
        <v>49.67</v>
      </c>
    </row>
    <row r="480" spans="1:14" ht="15.75" x14ac:dyDescent="0.25">
      <c r="A480" s="89"/>
      <c r="B480" s="80" t="s">
        <v>385</v>
      </c>
      <c r="C480" s="75" t="s">
        <v>145</v>
      </c>
      <c r="D480" s="75">
        <v>4.0000000000000001E-3</v>
      </c>
      <c r="E480" s="76">
        <v>749938</v>
      </c>
      <c r="F480" s="76">
        <f t="shared" si="84"/>
        <v>2999.752</v>
      </c>
      <c r="G480">
        <v>1.29</v>
      </c>
      <c r="H480" t="str">
        <f t="shared" si="79"/>
        <v>MORTERO 1:3 (Impermeabilizado)</v>
      </c>
      <c r="M480" t="str">
        <f t="shared" si="80"/>
        <v>M3</v>
      </c>
      <c r="N480" s="183">
        <f t="shared" si="81"/>
        <v>2999.752</v>
      </c>
    </row>
    <row r="481" spans="1:14" ht="15.75" x14ac:dyDescent="0.25">
      <c r="A481" s="89"/>
      <c r="B481" s="80" t="s">
        <v>347</v>
      </c>
      <c r="C481" s="75" t="s">
        <v>302</v>
      </c>
      <c r="D481" s="75">
        <v>2.5000000000000001E-2</v>
      </c>
      <c r="E481" s="76">
        <v>62634</v>
      </c>
      <c r="F481" s="76">
        <f t="shared" si="84"/>
        <v>1565.8500000000001</v>
      </c>
      <c r="G481">
        <v>1.29</v>
      </c>
      <c r="H481" t="str">
        <f t="shared" si="79"/>
        <v>DISOLVENTE</v>
      </c>
      <c r="M481" t="str">
        <f t="shared" si="80"/>
        <v>GL</v>
      </c>
      <c r="N481" s="183">
        <f t="shared" si="81"/>
        <v>1565.8500000000001</v>
      </c>
    </row>
    <row r="482" spans="1:14" ht="15.75" x14ac:dyDescent="0.25">
      <c r="A482" s="89"/>
      <c r="B482" s="80" t="s">
        <v>386</v>
      </c>
      <c r="C482" s="75" t="s">
        <v>302</v>
      </c>
      <c r="D482" s="75">
        <v>2.5000000000000001E-2</v>
      </c>
      <c r="E482" s="76">
        <v>89136</v>
      </c>
      <c r="F482" s="76">
        <f t="shared" si="84"/>
        <v>2228.4</v>
      </c>
      <c r="G482">
        <v>1.29</v>
      </c>
      <c r="H482" t="str">
        <f t="shared" si="79"/>
        <v>PINTURA ANTICORROSIVA PREMIUM</v>
      </c>
      <c r="M482" t="str">
        <f t="shared" si="80"/>
        <v>GL</v>
      </c>
      <c r="N482" s="183">
        <f t="shared" si="81"/>
        <v>2228.4</v>
      </c>
    </row>
    <row r="483" spans="1:14" ht="15.75" x14ac:dyDescent="0.25">
      <c r="A483" s="89"/>
      <c r="B483" s="77" t="s">
        <v>264</v>
      </c>
      <c r="C483" s="78"/>
      <c r="D483" s="78"/>
      <c r="E483" s="79"/>
      <c r="F483" s="76">
        <f t="shared" si="84"/>
        <v>0</v>
      </c>
      <c r="N483" s="183"/>
    </row>
    <row r="484" spans="1:14" ht="15.75" x14ac:dyDescent="0.25">
      <c r="A484" s="89"/>
      <c r="B484" s="80" t="s">
        <v>352</v>
      </c>
      <c r="C484" s="78" t="s">
        <v>93</v>
      </c>
      <c r="D484" s="78">
        <v>8.0000000000000004E-4</v>
      </c>
      <c r="E484" s="76">
        <v>773875</v>
      </c>
      <c r="F484" s="76">
        <f t="shared" si="84"/>
        <v>619.1</v>
      </c>
      <c r="N484" s="183"/>
    </row>
    <row r="485" spans="1:14" ht="15.75" x14ac:dyDescent="0.25">
      <c r="A485" s="89"/>
      <c r="B485" s="80" t="s">
        <v>319</v>
      </c>
      <c r="C485" s="78" t="s">
        <v>265</v>
      </c>
      <c r="D485" s="78">
        <v>0.09</v>
      </c>
      <c r="E485" s="76">
        <v>5246</v>
      </c>
      <c r="F485" s="76">
        <f t="shared" si="84"/>
        <v>472.14</v>
      </c>
      <c r="N485" s="183"/>
    </row>
    <row r="486" spans="1:14" ht="15.75" x14ac:dyDescent="0.25">
      <c r="A486" s="89"/>
      <c r="B486" s="80" t="s">
        <v>387</v>
      </c>
      <c r="C486" s="78" t="s">
        <v>93</v>
      </c>
      <c r="D486" s="81">
        <v>4.0000000000000002E-4</v>
      </c>
      <c r="E486" s="76">
        <v>42131</v>
      </c>
      <c r="F486" s="76">
        <f t="shared" si="84"/>
        <v>16.852399999999999</v>
      </c>
      <c r="N486" s="183"/>
    </row>
    <row r="487" spans="1:14" ht="15.75" x14ac:dyDescent="0.25">
      <c r="A487" s="89"/>
      <c r="B487" s="80" t="s">
        <v>388</v>
      </c>
      <c r="C487" s="78" t="s">
        <v>93</v>
      </c>
      <c r="D487" s="81">
        <v>4.0000000000000002E-4</v>
      </c>
      <c r="E487" s="76">
        <v>39898</v>
      </c>
      <c r="F487" s="76">
        <f t="shared" si="84"/>
        <v>15.959200000000001</v>
      </c>
      <c r="N487" s="183"/>
    </row>
    <row r="488" spans="1:14" ht="15.75" x14ac:dyDescent="0.25">
      <c r="A488" s="89"/>
      <c r="B488" s="80" t="s">
        <v>389</v>
      </c>
      <c r="C488" s="78" t="s">
        <v>93</v>
      </c>
      <c r="D488" s="81">
        <v>4.0000000000000002E-4</v>
      </c>
      <c r="E488" s="76">
        <v>7010</v>
      </c>
      <c r="F488" s="76">
        <f t="shared" si="84"/>
        <v>2.8040000000000003</v>
      </c>
      <c r="N488" s="183"/>
    </row>
    <row r="489" spans="1:14" ht="15.75" x14ac:dyDescent="0.25">
      <c r="A489" s="89"/>
      <c r="B489" s="80" t="s">
        <v>292</v>
      </c>
      <c r="C489" s="78" t="s">
        <v>93</v>
      </c>
      <c r="D489" s="81">
        <v>4.0000000000000002E-4</v>
      </c>
      <c r="E489" s="76">
        <v>16059</v>
      </c>
      <c r="F489" s="76">
        <f t="shared" si="84"/>
        <v>6.4236000000000004</v>
      </c>
      <c r="N489" s="183"/>
    </row>
    <row r="490" spans="1:14" ht="15.75" x14ac:dyDescent="0.25">
      <c r="A490" s="89"/>
      <c r="B490" s="80" t="s">
        <v>390</v>
      </c>
      <c r="C490" s="78" t="s">
        <v>93</v>
      </c>
      <c r="D490" s="81">
        <v>4.0000000000000002E-4</v>
      </c>
      <c r="E490" s="76">
        <v>18495</v>
      </c>
      <c r="F490" s="76">
        <f t="shared" si="84"/>
        <v>7.3980000000000006</v>
      </c>
      <c r="N490" s="183"/>
    </row>
    <row r="491" spans="1:14" ht="15.75" x14ac:dyDescent="0.25">
      <c r="A491" s="89"/>
      <c r="B491" s="77" t="s">
        <v>266</v>
      </c>
      <c r="C491" s="78"/>
      <c r="D491" s="78"/>
      <c r="E491" s="76"/>
      <c r="F491" s="76">
        <f t="shared" si="84"/>
        <v>0</v>
      </c>
      <c r="N491" s="183"/>
    </row>
    <row r="492" spans="1:14" ht="15.75" x14ac:dyDescent="0.25">
      <c r="A492" s="89"/>
      <c r="B492" s="82" t="s">
        <v>267</v>
      </c>
      <c r="C492" s="78" t="s">
        <v>268</v>
      </c>
      <c r="D492" s="78">
        <v>0.01</v>
      </c>
      <c r="E492" s="76">
        <v>40431</v>
      </c>
      <c r="F492" s="76">
        <f t="shared" si="84"/>
        <v>404.31</v>
      </c>
      <c r="N492" s="183"/>
    </row>
    <row r="493" spans="1:14" ht="15.75" x14ac:dyDescent="0.25">
      <c r="A493" s="89"/>
      <c r="B493" s="77" t="s">
        <v>269</v>
      </c>
      <c r="C493" s="78"/>
      <c r="D493" s="78"/>
      <c r="E493" s="79"/>
      <c r="F493" s="76">
        <f t="shared" si="84"/>
        <v>0</v>
      </c>
      <c r="N493" s="183"/>
    </row>
    <row r="494" spans="1:14" ht="15.75" x14ac:dyDescent="0.25">
      <c r="A494" s="89"/>
      <c r="B494" t="s">
        <v>293</v>
      </c>
      <c r="C494" s="78" t="s">
        <v>265</v>
      </c>
      <c r="D494" s="78">
        <v>0.04</v>
      </c>
      <c r="E494" s="76">
        <v>215235</v>
      </c>
      <c r="F494" s="76">
        <f t="shared" si="84"/>
        <v>8609.4</v>
      </c>
      <c r="N494" s="183"/>
    </row>
    <row r="495" spans="1:14" ht="15.75" x14ac:dyDescent="0.25">
      <c r="A495" s="89"/>
      <c r="B495" s="82"/>
      <c r="C495" s="78"/>
      <c r="D495" s="78"/>
      <c r="E495" s="85" t="s">
        <v>271</v>
      </c>
      <c r="F495" s="86">
        <f>ROUND(SUM(F478:F494), 0)</f>
        <v>31199</v>
      </c>
      <c r="N495" s="183"/>
    </row>
    <row r="496" spans="1:14" ht="15.75" x14ac:dyDescent="0.25">
      <c r="A496" s="88">
        <f>+PRESUPUESTO!A46</f>
        <v>2.1</v>
      </c>
      <c r="B496" s="71" t="str">
        <f>+PRESUPUESTO!B46</f>
        <v>SUMINISITRO E INSTALACION DE PERGOLA EN ESTRUCTURA  METALICA CONSTRUIDA EN PERFIL VIGA  IP 200 ESTRUCTURA PRINCIPAL Y BASES EN PLATINA DE 1/4  DE 0.25X0.25    Y HORIZONTALES EN TUBERIA RECTANGULAR  50 MM X 25 MM SEGÚN DISSEÑO PINTADA EN ANTICORROSIVO Y PINTURA ESMALTE ACABADO FINAL  PINTURA EPOXICA COLOR NEGRO.</v>
      </c>
      <c r="C496" s="72"/>
      <c r="D496" s="72"/>
      <c r="E496" s="73"/>
      <c r="F496" s="73" t="str">
        <f>+PRESUPUESTO!D46</f>
        <v>M2</v>
      </c>
      <c r="N496" s="183"/>
    </row>
    <row r="497" spans="1:14" ht="15.75" x14ac:dyDescent="0.25">
      <c r="A497" s="89"/>
      <c r="B497" s="74" t="s">
        <v>92</v>
      </c>
      <c r="C497" s="75" t="s">
        <v>93</v>
      </c>
      <c r="D497" s="75" t="s">
        <v>259</v>
      </c>
      <c r="E497" s="76" t="s">
        <v>260</v>
      </c>
      <c r="F497" s="76" t="s">
        <v>261</v>
      </c>
      <c r="N497" s="183"/>
    </row>
    <row r="498" spans="1:14" ht="15.75" x14ac:dyDescent="0.25">
      <c r="A498" s="89"/>
      <c r="B498" s="77" t="s">
        <v>262</v>
      </c>
      <c r="C498" s="78"/>
      <c r="D498" s="78"/>
      <c r="E498" s="79"/>
      <c r="F498" s="79"/>
      <c r="N498" s="183"/>
    </row>
    <row r="499" spans="1:14" ht="15.75" x14ac:dyDescent="0.25">
      <c r="A499" s="89"/>
      <c r="B499" s="80" t="s">
        <v>403</v>
      </c>
      <c r="C499" s="78" t="s">
        <v>93</v>
      </c>
      <c r="D499" s="78">
        <v>0.2</v>
      </c>
      <c r="E499" s="79">
        <v>799900</v>
      </c>
      <c r="F499" s="76">
        <f t="shared" ref="F499:F501" si="85">+E499*D499</f>
        <v>159980</v>
      </c>
      <c r="G499">
        <v>2.1</v>
      </c>
      <c r="H499" t="str">
        <f t="shared" si="79"/>
        <v>VIGA IPE 200MM X 6M A572/G50</v>
      </c>
      <c r="M499" t="str">
        <f t="shared" si="80"/>
        <v>UNIDAD</v>
      </c>
      <c r="N499" s="183">
        <f t="shared" si="81"/>
        <v>159980</v>
      </c>
    </row>
    <row r="500" spans="1:14" ht="15.75" x14ac:dyDescent="0.25">
      <c r="A500" s="89"/>
      <c r="B500" s="80" t="s">
        <v>404</v>
      </c>
      <c r="C500" s="78" t="s">
        <v>93</v>
      </c>
      <c r="D500" s="78">
        <v>1.7</v>
      </c>
      <c r="E500" s="79">
        <v>36800</v>
      </c>
      <c r="F500" s="76">
        <f t="shared" si="85"/>
        <v>62560</v>
      </c>
      <c r="G500">
        <v>2.1</v>
      </c>
      <c r="H500" t="str">
        <f t="shared" si="79"/>
        <v>TUBO RECTANGULAR 50 X 25 X 1.1MM C18 X 6M</v>
      </c>
      <c r="M500" t="str">
        <f t="shared" si="80"/>
        <v>UNIDAD</v>
      </c>
      <c r="N500" s="183">
        <f t="shared" si="81"/>
        <v>62560</v>
      </c>
    </row>
    <row r="501" spans="1:14" ht="15.75" x14ac:dyDescent="0.25">
      <c r="A501" s="89"/>
      <c r="B501" s="80" t="s">
        <v>405</v>
      </c>
      <c r="C501" s="78" t="s">
        <v>93</v>
      </c>
      <c r="D501" s="78">
        <v>8.2000000000000003E-2</v>
      </c>
      <c r="E501" s="79">
        <v>659900</v>
      </c>
      <c r="F501" s="76">
        <f t="shared" si="85"/>
        <v>54111.8</v>
      </c>
      <c r="G501">
        <v>2.1</v>
      </c>
      <c r="H501" t="str">
        <f t="shared" si="79"/>
        <v>LAMINA ALVEOLAR 6 MM 5.90X2.10 M BRONCE</v>
      </c>
      <c r="M501" t="str">
        <f t="shared" si="80"/>
        <v>UNIDAD</v>
      </c>
      <c r="N501" s="183">
        <f t="shared" si="81"/>
        <v>54111.8</v>
      </c>
    </row>
    <row r="502" spans="1:14" ht="15.75" x14ac:dyDescent="0.25">
      <c r="A502" s="89"/>
      <c r="B502" s="80" t="s">
        <v>393</v>
      </c>
      <c r="C502" s="78" t="s">
        <v>315</v>
      </c>
      <c r="D502" s="78">
        <v>2.5999999999999999E-2</v>
      </c>
      <c r="E502" s="79">
        <v>28051</v>
      </c>
      <c r="F502" s="76">
        <f t="shared" ref="F502:F520" si="86">+E502*D502</f>
        <v>729.32600000000002</v>
      </c>
      <c r="G502">
        <v>2.1</v>
      </c>
      <c r="H502" t="str">
        <f t="shared" si="79"/>
        <v>SOLDADURA ELÉCTRICA</v>
      </c>
      <c r="M502" t="str">
        <f t="shared" si="80"/>
        <v>KL</v>
      </c>
      <c r="N502" s="183">
        <f t="shared" si="81"/>
        <v>729.32600000000002</v>
      </c>
    </row>
    <row r="503" spans="1:14" ht="15.75" x14ac:dyDescent="0.25">
      <c r="A503" s="89"/>
      <c r="B503" s="80" t="s">
        <v>394</v>
      </c>
      <c r="C503" s="78" t="s">
        <v>351</v>
      </c>
      <c r="D503" s="78">
        <v>2.9999999999999997E-4</v>
      </c>
      <c r="E503" s="79">
        <v>54358</v>
      </c>
      <c r="F503" s="76">
        <f t="shared" si="86"/>
        <v>16.307399999999998</v>
      </c>
      <c r="G503">
        <v>2.1</v>
      </c>
      <c r="H503" t="str">
        <f t="shared" si="79"/>
        <v>GUANTES DE CARNAZA</v>
      </c>
      <c r="M503" t="str">
        <f t="shared" si="80"/>
        <v>PAR</v>
      </c>
      <c r="N503" s="183">
        <f t="shared" si="81"/>
        <v>16.307399999999998</v>
      </c>
    </row>
    <row r="504" spans="1:14" ht="15.75" x14ac:dyDescent="0.25">
      <c r="A504" s="89"/>
      <c r="B504" s="80" t="s">
        <v>347</v>
      </c>
      <c r="C504" s="78" t="s">
        <v>263</v>
      </c>
      <c r="D504" s="78">
        <v>1E-3</v>
      </c>
      <c r="E504" s="79">
        <v>62634</v>
      </c>
      <c r="F504" s="76">
        <f t="shared" si="86"/>
        <v>62.634</v>
      </c>
      <c r="G504">
        <v>2.1</v>
      </c>
      <c r="H504" t="str">
        <f t="shared" si="79"/>
        <v>DISOLVENTE</v>
      </c>
      <c r="M504" t="str">
        <f t="shared" si="80"/>
        <v xml:space="preserve">GALON </v>
      </c>
      <c r="N504" s="183">
        <f t="shared" si="81"/>
        <v>62.634</v>
      </c>
    </row>
    <row r="505" spans="1:14" ht="15.75" x14ac:dyDescent="0.25">
      <c r="A505" s="89"/>
      <c r="B505" s="80" t="s">
        <v>395</v>
      </c>
      <c r="C505" s="78" t="s">
        <v>263</v>
      </c>
      <c r="D505" s="78">
        <v>2E-3</v>
      </c>
      <c r="E505" s="79">
        <v>89136</v>
      </c>
      <c r="F505" s="76">
        <f t="shared" si="86"/>
        <v>178.27199999999999</v>
      </c>
      <c r="G505">
        <v>2.1</v>
      </c>
      <c r="H505" t="str">
        <f t="shared" si="79"/>
        <v xml:space="preserve">PINTURA ANTICORROSIVA </v>
      </c>
      <c r="M505" t="str">
        <f t="shared" si="80"/>
        <v xml:space="preserve">GALON </v>
      </c>
      <c r="N505" s="183">
        <f t="shared" si="81"/>
        <v>178.27199999999999</v>
      </c>
    </row>
    <row r="506" spans="1:14" ht="15.75" x14ac:dyDescent="0.25">
      <c r="A506" s="89"/>
      <c r="B506" s="80" t="s">
        <v>348</v>
      </c>
      <c r="C506" s="78" t="s">
        <v>263</v>
      </c>
      <c r="D506" s="78">
        <v>2E-3</v>
      </c>
      <c r="E506" s="79">
        <v>104520</v>
      </c>
      <c r="F506" s="76">
        <f t="shared" si="86"/>
        <v>209.04</v>
      </c>
      <c r="G506">
        <v>2.1</v>
      </c>
      <c r="H506" t="str">
        <f t="shared" si="79"/>
        <v>PINTURA ESMALTE</v>
      </c>
      <c r="M506" t="str">
        <f t="shared" si="80"/>
        <v xml:space="preserve">GALON </v>
      </c>
      <c r="N506" s="183">
        <f t="shared" si="81"/>
        <v>209.04</v>
      </c>
    </row>
    <row r="507" spans="1:14" ht="15.75" x14ac:dyDescent="0.25">
      <c r="A507" s="89"/>
      <c r="B507" s="77" t="s">
        <v>264</v>
      </c>
      <c r="C507" s="78"/>
      <c r="D507" s="78"/>
      <c r="E507" s="79"/>
      <c r="F507" s="76"/>
      <c r="N507" s="183"/>
    </row>
    <row r="508" spans="1:14" ht="15.75" x14ac:dyDescent="0.25">
      <c r="A508" s="89"/>
      <c r="B508" s="80" t="s">
        <v>396</v>
      </c>
      <c r="C508" s="78" t="s">
        <v>265</v>
      </c>
      <c r="D508" s="78">
        <v>2.1999999999999999E-2</v>
      </c>
      <c r="E508" s="79">
        <v>82486</v>
      </c>
      <c r="F508" s="76">
        <f t="shared" ref="F508" si="87">+E508*D508</f>
        <v>1814.692</v>
      </c>
      <c r="N508" s="183"/>
    </row>
    <row r="509" spans="1:14" ht="15.75" x14ac:dyDescent="0.25">
      <c r="A509" s="89"/>
      <c r="B509" s="80" t="s">
        <v>397</v>
      </c>
      <c r="C509" s="78" t="s">
        <v>93</v>
      </c>
      <c r="D509" s="78">
        <v>2.0000000000000001E-4</v>
      </c>
      <c r="E509" s="79">
        <v>1140504</v>
      </c>
      <c r="F509" s="76">
        <f t="shared" si="86"/>
        <v>228.10080000000002</v>
      </c>
      <c r="N509" s="183"/>
    </row>
    <row r="510" spans="1:14" ht="15.75" x14ac:dyDescent="0.25">
      <c r="A510" s="89"/>
      <c r="B510" s="80" t="s">
        <v>398</v>
      </c>
      <c r="C510" s="78" t="s">
        <v>93</v>
      </c>
      <c r="D510" s="78">
        <v>2.0000000000000001E-4</v>
      </c>
      <c r="E510" s="79">
        <v>24524</v>
      </c>
      <c r="F510" s="76">
        <f t="shared" si="86"/>
        <v>4.9047999999999998</v>
      </c>
      <c r="N510" s="183"/>
    </row>
    <row r="511" spans="1:14" ht="15.75" x14ac:dyDescent="0.25">
      <c r="A511" s="89"/>
      <c r="B511" s="80" t="s">
        <v>399</v>
      </c>
      <c r="C511" s="78" t="s">
        <v>93</v>
      </c>
      <c r="D511" s="78">
        <v>2.0000000000000001E-4</v>
      </c>
      <c r="E511" s="79">
        <v>1328630</v>
      </c>
      <c r="F511" s="76">
        <f t="shared" si="86"/>
        <v>265.726</v>
      </c>
      <c r="N511" s="183"/>
    </row>
    <row r="512" spans="1:14" ht="15.75" x14ac:dyDescent="0.25">
      <c r="A512" s="89"/>
      <c r="B512" s="80" t="s">
        <v>400</v>
      </c>
      <c r="C512" s="78" t="s">
        <v>93</v>
      </c>
      <c r="D512" s="78">
        <v>2.0000000000000001E-4</v>
      </c>
      <c r="E512" s="79">
        <v>86459</v>
      </c>
      <c r="F512" s="76">
        <f t="shared" si="86"/>
        <v>17.291800000000002</v>
      </c>
      <c r="N512" s="183"/>
    </row>
    <row r="513" spans="1:14" ht="15.75" x14ac:dyDescent="0.25">
      <c r="A513" s="89"/>
      <c r="B513" s="80" t="s">
        <v>352</v>
      </c>
      <c r="C513" s="78" t="s">
        <v>93</v>
      </c>
      <c r="D513" s="78">
        <v>4.0000000000000002E-4</v>
      </c>
      <c r="E513" s="79">
        <v>773875</v>
      </c>
      <c r="F513" s="76">
        <f t="shared" si="86"/>
        <v>309.55</v>
      </c>
      <c r="N513" s="183"/>
    </row>
    <row r="514" spans="1:14" ht="15.75" x14ac:dyDescent="0.25">
      <c r="A514" s="89"/>
      <c r="B514" s="80" t="s">
        <v>319</v>
      </c>
      <c r="C514" s="78" t="s">
        <v>297</v>
      </c>
      <c r="D514" s="78">
        <v>0.06</v>
      </c>
      <c r="E514" s="79">
        <v>5246</v>
      </c>
      <c r="F514" s="76">
        <f t="shared" si="86"/>
        <v>314.76</v>
      </c>
      <c r="N514" s="183"/>
    </row>
    <row r="515" spans="1:14" ht="15.75" x14ac:dyDescent="0.25">
      <c r="A515" s="89"/>
      <c r="B515" s="80" t="s">
        <v>349</v>
      </c>
      <c r="C515" s="78" t="s">
        <v>297</v>
      </c>
      <c r="D515" s="78">
        <v>4.0000000000000001E-3</v>
      </c>
      <c r="E515" s="79">
        <v>93132</v>
      </c>
      <c r="F515" s="76">
        <f t="shared" si="86"/>
        <v>372.52800000000002</v>
      </c>
      <c r="N515" s="183"/>
    </row>
    <row r="516" spans="1:14" ht="15.75" x14ac:dyDescent="0.25">
      <c r="A516" s="89"/>
      <c r="B516" s="77" t="s">
        <v>266</v>
      </c>
      <c r="C516" s="78"/>
      <c r="D516" s="78"/>
      <c r="E516" s="79"/>
      <c r="F516" s="76"/>
      <c r="N516" s="183"/>
    </row>
    <row r="517" spans="1:14" ht="15.75" x14ac:dyDescent="0.25">
      <c r="A517" s="89"/>
      <c r="B517" s="80" t="s">
        <v>381</v>
      </c>
      <c r="C517" s="78" t="s">
        <v>268</v>
      </c>
      <c r="D517" s="78">
        <v>1E-3</v>
      </c>
      <c r="E517" s="79">
        <v>64688</v>
      </c>
      <c r="F517" s="76">
        <f t="shared" si="86"/>
        <v>64.688000000000002</v>
      </c>
      <c r="N517" s="183"/>
    </row>
    <row r="518" spans="1:14" ht="15.75" x14ac:dyDescent="0.25">
      <c r="A518" s="89"/>
      <c r="B518" s="77" t="s">
        <v>269</v>
      </c>
      <c r="C518" s="78"/>
      <c r="D518" s="78"/>
      <c r="E518" s="79"/>
      <c r="F518" s="76"/>
      <c r="N518" s="183"/>
    </row>
    <row r="519" spans="1:14" ht="15.75" x14ac:dyDescent="0.25">
      <c r="A519" s="89"/>
      <c r="B519" s="80" t="s">
        <v>401</v>
      </c>
      <c r="C519" s="78" t="s">
        <v>297</v>
      </c>
      <c r="D519" s="78">
        <v>2.1999999999999999E-2</v>
      </c>
      <c r="E519" s="79">
        <v>226211</v>
      </c>
      <c r="F519" s="76">
        <f t="shared" si="86"/>
        <v>4976.6419999999998</v>
      </c>
      <c r="N519" s="183"/>
    </row>
    <row r="520" spans="1:14" ht="15.75" x14ac:dyDescent="0.25">
      <c r="A520" s="89"/>
      <c r="B520" s="80" t="s">
        <v>402</v>
      </c>
      <c r="C520" s="78" t="s">
        <v>297</v>
      </c>
      <c r="D520" s="78">
        <v>4.0000000000000001E-3</v>
      </c>
      <c r="E520" s="79">
        <v>215236</v>
      </c>
      <c r="F520" s="76">
        <f t="shared" si="86"/>
        <v>860.94400000000007</v>
      </c>
      <c r="N520" s="183"/>
    </row>
    <row r="521" spans="1:14" ht="15.75" x14ac:dyDescent="0.25">
      <c r="A521" s="89"/>
      <c r="B521" s="80"/>
      <c r="C521" s="78"/>
      <c r="D521" s="78"/>
      <c r="E521" s="85" t="s">
        <v>271</v>
      </c>
      <c r="F521" s="86">
        <f>ROUND(SUM(F499:F520), 0)</f>
        <v>287077</v>
      </c>
      <c r="N521" s="183"/>
    </row>
    <row r="522" spans="1:14" ht="76.5" customHeight="1" x14ac:dyDescent="0.25">
      <c r="A522" s="88">
        <f>+PRESUPUESTO!A47</f>
        <v>2.2000000000000002</v>
      </c>
      <c r="B522" s="71" t="str">
        <f>+PRESUPUESTO!B47</f>
        <v>ZAPATAS EN CONCRETO DE 3000 PSI, CONCRETO E 3000 PSI  PARA SOPORTE DE ESTRUCTURA METALIZA PARA PERGOLA</v>
      </c>
      <c r="C522" s="72"/>
      <c r="D522" s="72"/>
      <c r="E522" s="73"/>
      <c r="F522" s="73" t="str">
        <f>+PRESUPUESTO!D47</f>
        <v>M3</v>
      </c>
      <c r="N522" s="183"/>
    </row>
    <row r="523" spans="1:14" ht="15.75" x14ac:dyDescent="0.25">
      <c r="A523" s="89"/>
      <c r="B523" s="74" t="s">
        <v>92</v>
      </c>
      <c r="C523" s="75" t="s">
        <v>93</v>
      </c>
      <c r="D523" s="75" t="s">
        <v>259</v>
      </c>
      <c r="E523" s="76" t="s">
        <v>260</v>
      </c>
      <c r="F523" s="76" t="s">
        <v>261</v>
      </c>
      <c r="N523" s="183"/>
    </row>
    <row r="524" spans="1:14" ht="15.75" x14ac:dyDescent="0.25">
      <c r="A524" s="89"/>
      <c r="B524" s="77" t="s">
        <v>262</v>
      </c>
      <c r="C524" s="78"/>
      <c r="D524" s="78"/>
      <c r="E524" s="79"/>
      <c r="F524" s="79"/>
      <c r="N524" s="183"/>
    </row>
    <row r="525" spans="1:14" ht="15.75" x14ac:dyDescent="0.25">
      <c r="A525" s="89"/>
      <c r="B525" s="74" t="s">
        <v>299</v>
      </c>
      <c r="C525" s="75" t="s">
        <v>98</v>
      </c>
      <c r="D525" s="75">
        <v>0.06</v>
      </c>
      <c r="E525" s="76">
        <f>68073*1.0716</f>
        <v>72947.026800000007</v>
      </c>
      <c r="F525" s="76">
        <f>+E525*D525</f>
        <v>4376.8216080000002</v>
      </c>
      <c r="G525">
        <v>2.2000000000000002</v>
      </c>
      <c r="H525" t="str">
        <f t="shared" si="79"/>
        <v>FORMALETA</v>
      </c>
      <c r="M525" t="str">
        <f t="shared" si="80"/>
        <v>M2</v>
      </c>
      <c r="N525" s="183">
        <f t="shared" si="81"/>
        <v>4376.8216080000002</v>
      </c>
    </row>
    <row r="526" spans="1:14" ht="15.75" x14ac:dyDescent="0.25">
      <c r="A526" s="89"/>
      <c r="B526" s="80" t="s">
        <v>407</v>
      </c>
      <c r="C526" s="75" t="s">
        <v>315</v>
      </c>
      <c r="D526" s="75">
        <v>4.0000000000000001E-3</v>
      </c>
      <c r="E526" s="76">
        <f>13332*1.0716</f>
        <v>14286.571200000002</v>
      </c>
      <c r="F526" s="76">
        <f t="shared" ref="F526:F538" si="88">+E526*D526</f>
        <v>57.146284800000011</v>
      </c>
      <c r="G526">
        <v>2.2000000000000002</v>
      </c>
      <c r="H526" t="str">
        <f t="shared" ref="H526:H584" si="89">+B526</f>
        <v>SEPAROL N (Desformaleteante para fácil desencofre de concr</v>
      </c>
      <c r="M526" t="str">
        <f t="shared" ref="M526:M584" si="90">+C526</f>
        <v>KL</v>
      </c>
      <c r="N526" s="183">
        <f t="shared" ref="N526:N584" si="91">+F526</f>
        <v>57.146284800000011</v>
      </c>
    </row>
    <row r="527" spans="1:14" ht="15.75" x14ac:dyDescent="0.25">
      <c r="A527" s="89"/>
      <c r="B527" s="80" t="s">
        <v>665</v>
      </c>
      <c r="C527" s="75" t="s">
        <v>145</v>
      </c>
      <c r="D527" s="75">
        <v>1.03</v>
      </c>
      <c r="E527" s="76">
        <v>509960</v>
      </c>
      <c r="F527" s="76">
        <f t="shared" si="88"/>
        <v>525258.80000000005</v>
      </c>
      <c r="G527">
        <v>2.2000000000000002</v>
      </c>
      <c r="H527" t="str">
        <f t="shared" si="89"/>
        <v>CONCRETO 20.7 Mpa (3,000 psi)</v>
      </c>
      <c r="M527" t="str">
        <f t="shared" si="90"/>
        <v>M3</v>
      </c>
      <c r="N527" s="183">
        <f t="shared" si="91"/>
        <v>525258.80000000005</v>
      </c>
    </row>
    <row r="528" spans="1:14" ht="15.75" x14ac:dyDescent="0.25">
      <c r="A528" s="89"/>
      <c r="B528" s="77" t="s">
        <v>264</v>
      </c>
      <c r="C528" s="78"/>
      <c r="D528" s="78"/>
      <c r="E528" s="76"/>
      <c r="F528" s="76"/>
      <c r="N528" s="183"/>
    </row>
    <row r="529" spans="1:14" ht="15.75" x14ac:dyDescent="0.25">
      <c r="A529" s="89"/>
      <c r="B529" s="80" t="s">
        <v>390</v>
      </c>
      <c r="C529" s="78" t="s">
        <v>93</v>
      </c>
      <c r="D529" s="78">
        <v>8.3999999999999995E-3</v>
      </c>
      <c r="E529" s="76">
        <v>18495</v>
      </c>
      <c r="F529" s="76">
        <f t="shared" si="88"/>
        <v>155.358</v>
      </c>
      <c r="N529" s="183"/>
    </row>
    <row r="530" spans="1:14" ht="15.75" x14ac:dyDescent="0.25">
      <c r="A530" s="89"/>
      <c r="B530" s="80" t="s">
        <v>408</v>
      </c>
      <c r="C530" s="78" t="s">
        <v>93</v>
      </c>
      <c r="D530" s="78">
        <v>8.3999999999999995E-3</v>
      </c>
      <c r="E530" s="76">
        <v>350556</v>
      </c>
      <c r="F530" s="76">
        <f t="shared" si="88"/>
        <v>2944.6704</v>
      </c>
      <c r="N530" s="183"/>
    </row>
    <row r="531" spans="1:14" ht="15.75" x14ac:dyDescent="0.25">
      <c r="A531" s="89"/>
      <c r="B531" s="80" t="s">
        <v>409</v>
      </c>
      <c r="C531" s="78" t="s">
        <v>93</v>
      </c>
      <c r="D531" s="78">
        <v>1.26E-2</v>
      </c>
      <c r="E531" s="76">
        <v>38988</v>
      </c>
      <c r="F531" s="76">
        <f t="shared" si="88"/>
        <v>491.24880000000002</v>
      </c>
      <c r="N531" s="183"/>
    </row>
    <row r="532" spans="1:14" ht="15.75" x14ac:dyDescent="0.25">
      <c r="A532" s="89"/>
      <c r="B532" s="80" t="s">
        <v>335</v>
      </c>
      <c r="C532" s="96" t="s">
        <v>93</v>
      </c>
      <c r="D532" s="78">
        <v>4.1999999999999997E-3</v>
      </c>
      <c r="E532" s="76">
        <v>62851</v>
      </c>
      <c r="F532" s="76">
        <f t="shared" si="88"/>
        <v>263.9742</v>
      </c>
      <c r="N532" s="183"/>
    </row>
    <row r="533" spans="1:14" ht="15.75" x14ac:dyDescent="0.25">
      <c r="A533" s="89"/>
      <c r="B533" s="80" t="s">
        <v>410</v>
      </c>
      <c r="C533" s="96" t="s">
        <v>297</v>
      </c>
      <c r="D533" s="78">
        <v>0.125</v>
      </c>
      <c r="E533" s="76">
        <v>44822</v>
      </c>
      <c r="F533" s="76">
        <f t="shared" si="88"/>
        <v>5602.75</v>
      </c>
      <c r="N533" s="183"/>
    </row>
    <row r="534" spans="1:14" ht="15.75" x14ac:dyDescent="0.25">
      <c r="A534" s="89"/>
      <c r="B534" s="80" t="s">
        <v>296</v>
      </c>
      <c r="C534" s="96" t="s">
        <v>93</v>
      </c>
      <c r="D534" s="81">
        <v>4.1999999999999997E-3</v>
      </c>
      <c r="E534" s="76">
        <v>348121</v>
      </c>
      <c r="F534" s="76">
        <f t="shared" si="88"/>
        <v>1462.1081999999999</v>
      </c>
      <c r="N534" s="183"/>
    </row>
    <row r="535" spans="1:14" ht="15.75" x14ac:dyDescent="0.25">
      <c r="A535" s="89"/>
      <c r="B535" s="77" t="s">
        <v>269</v>
      </c>
      <c r="C535" s="78"/>
      <c r="D535" s="78"/>
      <c r="E535" s="76"/>
      <c r="F535" s="76"/>
      <c r="N535" s="183"/>
    </row>
    <row r="536" spans="1:14" ht="15.75" x14ac:dyDescent="0.25">
      <c r="A536" s="89"/>
      <c r="B536" s="80" t="s">
        <v>324</v>
      </c>
      <c r="C536" s="78" t="s">
        <v>297</v>
      </c>
      <c r="D536" s="78">
        <v>0.41699999999999998</v>
      </c>
      <c r="E536" s="76">
        <v>484755</v>
      </c>
      <c r="F536" s="76">
        <f t="shared" si="88"/>
        <v>202142.83499999999</v>
      </c>
      <c r="N536" s="183"/>
    </row>
    <row r="537" spans="1:14" ht="15.75" x14ac:dyDescent="0.25">
      <c r="A537" s="89"/>
      <c r="B537" s="77" t="s">
        <v>411</v>
      </c>
      <c r="C537" s="78"/>
      <c r="D537" s="78"/>
      <c r="E537" s="76"/>
      <c r="F537" s="76"/>
      <c r="N537" s="183"/>
    </row>
    <row r="538" spans="1:14" ht="15.75" x14ac:dyDescent="0.25">
      <c r="A538" s="89"/>
      <c r="B538" s="80" t="s">
        <v>412</v>
      </c>
      <c r="C538" s="78" t="s">
        <v>93</v>
      </c>
      <c r="D538" s="78">
        <v>0.05</v>
      </c>
      <c r="E538" s="76">
        <v>265468</v>
      </c>
      <c r="F538" s="76">
        <f t="shared" si="88"/>
        <v>13273.400000000001</v>
      </c>
      <c r="N538" s="183"/>
    </row>
    <row r="539" spans="1:14" ht="15.75" x14ac:dyDescent="0.25">
      <c r="A539" s="89"/>
      <c r="B539" s="80"/>
      <c r="C539" s="78"/>
      <c r="D539" s="78"/>
      <c r="E539" s="85" t="s">
        <v>271</v>
      </c>
      <c r="F539" s="86">
        <f>ROUND(SUM(F525:F538), 0)</f>
        <v>756029</v>
      </c>
      <c r="N539" s="183"/>
    </row>
    <row r="540" spans="1:14" ht="47.25" x14ac:dyDescent="0.25">
      <c r="A540" s="88">
        <f>+PRESUPUESTO!A48</f>
        <v>2.2999999999999998</v>
      </c>
      <c r="B540" s="71" t="str">
        <f>+PRESUPUESTO!B48</f>
        <v>PEDESTAL  EN CONCRETO DE 3000 PSI INCLUYE EXCAVACION,PARA SOPORTE DE ESTRUCTURA METALICA DE PERGOLA</v>
      </c>
      <c r="C540" s="72"/>
      <c r="D540" s="72"/>
      <c r="E540" s="73"/>
      <c r="F540" s="73" t="str">
        <f>+PRESUPUESTO!D48</f>
        <v>M3</v>
      </c>
      <c r="N540" s="183"/>
    </row>
    <row r="541" spans="1:14" ht="15.75" x14ac:dyDescent="0.25">
      <c r="A541" s="89"/>
      <c r="B541" s="74" t="s">
        <v>92</v>
      </c>
      <c r="C541" s="75" t="s">
        <v>93</v>
      </c>
      <c r="D541" s="75" t="s">
        <v>259</v>
      </c>
      <c r="E541" s="76" t="s">
        <v>260</v>
      </c>
      <c r="F541" s="76" t="s">
        <v>261</v>
      </c>
      <c r="N541" s="183"/>
    </row>
    <row r="542" spans="1:14" ht="15.75" x14ac:dyDescent="0.25">
      <c r="A542" s="89"/>
      <c r="B542" s="77" t="s">
        <v>262</v>
      </c>
      <c r="C542" s="78"/>
      <c r="D542" s="78"/>
      <c r="E542" s="79"/>
      <c r="F542" s="79"/>
      <c r="N542" s="183"/>
    </row>
    <row r="543" spans="1:14" ht="15.75" x14ac:dyDescent="0.25">
      <c r="A543" s="89"/>
      <c r="B543" s="74" t="s">
        <v>299</v>
      </c>
      <c r="C543" s="75" t="s">
        <v>98</v>
      </c>
      <c r="D543" s="75">
        <v>0.06</v>
      </c>
      <c r="E543" s="76">
        <f>68073*1.0716</f>
        <v>72947.026800000007</v>
      </c>
      <c r="F543" s="76">
        <f>+E543*D543</f>
        <v>4376.8216080000002</v>
      </c>
      <c r="G543">
        <v>2.2999999999999998</v>
      </c>
      <c r="H543" t="str">
        <f t="shared" si="89"/>
        <v>FORMALETA</v>
      </c>
      <c r="M543" t="str">
        <f t="shared" si="90"/>
        <v>M2</v>
      </c>
      <c r="N543" s="183">
        <f t="shared" si="91"/>
        <v>4376.8216080000002</v>
      </c>
    </row>
    <row r="544" spans="1:14" ht="15.75" x14ac:dyDescent="0.25">
      <c r="A544" s="89"/>
      <c r="B544" s="80" t="s">
        <v>407</v>
      </c>
      <c r="C544" s="75" t="s">
        <v>315</v>
      </c>
      <c r="D544" s="75">
        <v>4.0000000000000001E-3</v>
      </c>
      <c r="E544" s="76">
        <f>13332*1.0716</f>
        <v>14286.571200000002</v>
      </c>
      <c r="F544" s="76">
        <f t="shared" ref="F544:F545" si="92">+E544*D544</f>
        <v>57.146284800000011</v>
      </c>
      <c r="G544">
        <v>2.2999999999999998</v>
      </c>
      <c r="H544" t="str">
        <f t="shared" si="89"/>
        <v>SEPAROL N (Desformaleteante para fácil desencofre de concr</v>
      </c>
      <c r="M544" t="str">
        <f t="shared" si="90"/>
        <v>KL</v>
      </c>
      <c r="N544" s="183">
        <f t="shared" si="91"/>
        <v>57.146284800000011</v>
      </c>
    </row>
    <row r="545" spans="1:14" ht="15.75" x14ac:dyDescent="0.25">
      <c r="A545" s="89"/>
      <c r="B545" s="80" t="s">
        <v>665</v>
      </c>
      <c r="C545" s="75" t="s">
        <v>145</v>
      </c>
      <c r="D545" s="75">
        <v>1.03</v>
      </c>
      <c r="E545" s="76">
        <v>509960</v>
      </c>
      <c r="F545" s="76">
        <f t="shared" si="92"/>
        <v>525258.80000000005</v>
      </c>
      <c r="G545">
        <v>2.2999999999999998</v>
      </c>
      <c r="H545" t="str">
        <f t="shared" si="89"/>
        <v>CONCRETO 20.7 Mpa (3,000 psi)</v>
      </c>
      <c r="M545" t="str">
        <f t="shared" si="90"/>
        <v>M3</v>
      </c>
      <c r="N545" s="183">
        <f t="shared" si="91"/>
        <v>525258.80000000005</v>
      </c>
    </row>
    <row r="546" spans="1:14" ht="15.75" x14ac:dyDescent="0.25">
      <c r="A546" s="89"/>
      <c r="B546" s="77" t="s">
        <v>264</v>
      </c>
      <c r="C546" s="78"/>
      <c r="D546" s="78"/>
      <c r="E546" s="76"/>
      <c r="F546" s="76"/>
      <c r="N546" s="183"/>
    </row>
    <row r="547" spans="1:14" ht="15.75" x14ac:dyDescent="0.25">
      <c r="A547" s="89"/>
      <c r="B547" s="80" t="s">
        <v>390</v>
      </c>
      <c r="C547" s="78" t="s">
        <v>93</v>
      </c>
      <c r="D547" s="78">
        <v>8.3999999999999995E-3</v>
      </c>
      <c r="E547" s="76">
        <v>18495</v>
      </c>
      <c r="F547" s="76">
        <f t="shared" ref="F547:F552" si="93">+E547*D547</f>
        <v>155.358</v>
      </c>
      <c r="N547" s="183"/>
    </row>
    <row r="548" spans="1:14" ht="15.75" x14ac:dyDescent="0.25">
      <c r="A548" s="89"/>
      <c r="B548" s="80" t="s">
        <v>408</v>
      </c>
      <c r="C548" s="78" t="s">
        <v>93</v>
      </c>
      <c r="D548" s="78">
        <v>8.3999999999999995E-3</v>
      </c>
      <c r="E548" s="76">
        <v>350556</v>
      </c>
      <c r="F548" s="76">
        <f t="shared" si="93"/>
        <v>2944.6704</v>
      </c>
      <c r="N548" s="183"/>
    </row>
    <row r="549" spans="1:14" ht="15.75" x14ac:dyDescent="0.25">
      <c r="A549" s="89"/>
      <c r="B549" s="80" t="s">
        <v>409</v>
      </c>
      <c r="C549" s="78" t="s">
        <v>93</v>
      </c>
      <c r="D549" s="78">
        <v>1.26E-2</v>
      </c>
      <c r="E549" s="76">
        <v>38988</v>
      </c>
      <c r="F549" s="76">
        <f t="shared" si="93"/>
        <v>491.24880000000002</v>
      </c>
      <c r="N549" s="183"/>
    </row>
    <row r="550" spans="1:14" ht="15.75" x14ac:dyDescent="0.25">
      <c r="A550" s="89"/>
      <c r="B550" s="80" t="s">
        <v>335</v>
      </c>
      <c r="C550" s="96" t="s">
        <v>93</v>
      </c>
      <c r="D550" s="78">
        <v>4.1999999999999997E-3</v>
      </c>
      <c r="E550" s="76">
        <v>62851</v>
      </c>
      <c r="F550" s="76">
        <f t="shared" si="93"/>
        <v>263.9742</v>
      </c>
      <c r="N550" s="183"/>
    </row>
    <row r="551" spans="1:14" ht="15.75" x14ac:dyDescent="0.25">
      <c r="A551" s="89"/>
      <c r="B551" s="80" t="s">
        <v>410</v>
      </c>
      <c r="C551" s="96" t="s">
        <v>297</v>
      </c>
      <c r="D551" s="78">
        <v>0.125</v>
      </c>
      <c r="E551" s="76">
        <v>44822</v>
      </c>
      <c r="F551" s="76">
        <f t="shared" si="93"/>
        <v>5602.75</v>
      </c>
      <c r="N551" s="183"/>
    </row>
    <row r="552" spans="1:14" ht="15.75" x14ac:dyDescent="0.25">
      <c r="A552" s="89"/>
      <c r="B552" s="80" t="s">
        <v>296</v>
      </c>
      <c r="C552" s="96" t="s">
        <v>93</v>
      </c>
      <c r="D552" s="81">
        <v>4.1999999999999997E-3</v>
      </c>
      <c r="E552" s="76">
        <v>348121</v>
      </c>
      <c r="F552" s="76">
        <f t="shared" si="93"/>
        <v>1462.1081999999999</v>
      </c>
      <c r="N552" s="183"/>
    </row>
    <row r="553" spans="1:14" ht="15.75" x14ac:dyDescent="0.25">
      <c r="A553" s="89"/>
      <c r="B553" s="77" t="s">
        <v>269</v>
      </c>
      <c r="C553" s="78"/>
      <c r="D553" s="78"/>
      <c r="E553" s="76"/>
      <c r="F553" s="76"/>
      <c r="N553" s="183"/>
    </row>
    <row r="554" spans="1:14" ht="15.75" x14ac:dyDescent="0.25">
      <c r="A554" s="89"/>
      <c r="B554" s="80" t="s">
        <v>324</v>
      </c>
      <c r="C554" s="78" t="s">
        <v>297</v>
      </c>
      <c r="D554" s="78">
        <v>0.41699999999999998</v>
      </c>
      <c r="E554" s="76">
        <v>484755</v>
      </c>
      <c r="F554" s="76">
        <f t="shared" ref="F554" si="94">+E554*D554</f>
        <v>202142.83499999999</v>
      </c>
      <c r="N554" s="183"/>
    </row>
    <row r="555" spans="1:14" ht="15.75" x14ac:dyDescent="0.25">
      <c r="A555" s="89"/>
      <c r="B555" s="77" t="s">
        <v>411</v>
      </c>
      <c r="C555" s="78"/>
      <c r="D555" s="78"/>
      <c r="E555" s="76"/>
      <c r="F555" s="76"/>
      <c r="N555" s="183"/>
    </row>
    <row r="556" spans="1:14" ht="15.75" x14ac:dyDescent="0.25">
      <c r="A556" s="89"/>
      <c r="B556" s="80" t="s">
        <v>412</v>
      </c>
      <c r="C556" s="78" t="s">
        <v>93</v>
      </c>
      <c r="D556" s="78">
        <v>0.05</v>
      </c>
      <c r="E556" s="76">
        <v>265468</v>
      </c>
      <c r="F556" s="76">
        <f t="shared" ref="F556" si="95">+E556*D556</f>
        <v>13273.400000000001</v>
      </c>
      <c r="N556" s="183"/>
    </row>
    <row r="557" spans="1:14" ht="15.75" x14ac:dyDescent="0.25">
      <c r="A557" s="89"/>
      <c r="B557" s="80"/>
      <c r="C557" s="78"/>
      <c r="D557" s="78"/>
      <c r="E557" s="85" t="s">
        <v>271</v>
      </c>
      <c r="F557" s="86">
        <f>ROUND(SUM(F543:F556), 0)</f>
        <v>756029</v>
      </c>
      <c r="N557" s="183"/>
    </row>
    <row r="558" spans="1:14" ht="31.5" x14ac:dyDescent="0.25">
      <c r="A558" s="88">
        <f>+PRESUPUESTO!A49</f>
        <v>2.4</v>
      </c>
      <c r="B558" s="71" t="str">
        <f>+PRESUPUESTO!B49</f>
        <v>ACERO DE REFUERZO VARILLA DE 1/2 Y VARILLA DE  3/8" DE 60.000 PSI Y ALAMBRE NEGRO No 18</v>
      </c>
      <c r="C558" s="72"/>
      <c r="D558" s="72"/>
      <c r="E558" s="73"/>
      <c r="F558" s="73" t="str">
        <f>+PRESUPUESTO!D37</f>
        <v>UNIDAD</v>
      </c>
      <c r="N558" s="183"/>
    </row>
    <row r="559" spans="1:14" ht="15.75" x14ac:dyDescent="0.25">
      <c r="A559" s="89"/>
      <c r="B559" s="74" t="s">
        <v>92</v>
      </c>
      <c r="C559" s="75" t="s">
        <v>93</v>
      </c>
      <c r="D559" s="75" t="s">
        <v>259</v>
      </c>
      <c r="E559" s="76" t="s">
        <v>260</v>
      </c>
      <c r="F559" s="76" t="s">
        <v>261</v>
      </c>
      <c r="N559" s="183"/>
    </row>
    <row r="560" spans="1:14" ht="15.75" x14ac:dyDescent="0.25">
      <c r="A560" s="89"/>
      <c r="B560" s="77" t="s">
        <v>262</v>
      </c>
      <c r="C560" s="78"/>
      <c r="D560" s="78"/>
      <c r="E560" s="79"/>
      <c r="F560" s="79"/>
      <c r="N560" s="183"/>
    </row>
    <row r="561" spans="1:14" ht="15.75" x14ac:dyDescent="0.25">
      <c r="A561" s="89"/>
      <c r="B561" s="80" t="s">
        <v>422</v>
      </c>
      <c r="C561" s="75" t="s">
        <v>315</v>
      </c>
      <c r="D561" s="75">
        <v>1.03</v>
      </c>
      <c r="E561" s="76">
        <v>5415</v>
      </c>
      <c r="F561" s="76">
        <f>+E561*D561</f>
        <v>5577.45</v>
      </c>
      <c r="G561">
        <v>2.4</v>
      </c>
      <c r="H561" t="str">
        <f t="shared" si="89"/>
        <v>ACERO Fy= 420 MPa</v>
      </c>
      <c r="M561" t="str">
        <f t="shared" si="90"/>
        <v>KL</v>
      </c>
      <c r="N561" s="183">
        <f t="shared" si="91"/>
        <v>5577.45</v>
      </c>
    </row>
    <row r="562" spans="1:14" ht="15.75" x14ac:dyDescent="0.25">
      <c r="A562" s="89"/>
      <c r="B562" s="80" t="s">
        <v>413</v>
      </c>
      <c r="C562" s="75" t="s">
        <v>315</v>
      </c>
      <c r="D562" s="75">
        <v>0.03</v>
      </c>
      <c r="E562" s="76">
        <v>8156</v>
      </c>
      <c r="F562" s="76">
        <f>+E562*D562</f>
        <v>244.67999999999998</v>
      </c>
      <c r="G562">
        <v>2.4</v>
      </c>
      <c r="H562" t="str">
        <f t="shared" si="89"/>
        <v>ALAMBRE NEGRO #18</v>
      </c>
      <c r="M562" t="str">
        <f t="shared" si="90"/>
        <v>KL</v>
      </c>
      <c r="N562" s="183">
        <f t="shared" si="91"/>
        <v>244.67999999999998</v>
      </c>
    </row>
    <row r="563" spans="1:14" ht="15.75" x14ac:dyDescent="0.25">
      <c r="A563" s="89"/>
      <c r="B563" s="77" t="s">
        <v>264</v>
      </c>
      <c r="C563" s="78"/>
      <c r="D563" s="78"/>
      <c r="E563" s="79"/>
      <c r="F563" s="76">
        <f t="shared" ref="F563" si="96">+E563*D563</f>
        <v>0</v>
      </c>
      <c r="N563" s="183"/>
    </row>
    <row r="564" spans="1:14" ht="15.75" x14ac:dyDescent="0.25">
      <c r="A564" s="89"/>
      <c r="B564" s="80" t="s">
        <v>414</v>
      </c>
      <c r="C564" s="78" t="s">
        <v>297</v>
      </c>
      <c r="D564" s="78">
        <v>1.5999999999999999E-5</v>
      </c>
      <c r="E564" s="76">
        <v>18570</v>
      </c>
      <c r="F564" s="76"/>
      <c r="N564" s="183"/>
    </row>
    <row r="565" spans="1:14" ht="15.75" x14ac:dyDescent="0.25">
      <c r="A565" s="89"/>
      <c r="B565" s="80" t="s">
        <v>415</v>
      </c>
      <c r="C565" s="78" t="s">
        <v>93</v>
      </c>
      <c r="D565" s="78">
        <v>1.5999999999999999E-5</v>
      </c>
      <c r="E565" s="76">
        <v>1197253</v>
      </c>
      <c r="F565" s="76">
        <f t="shared" ref="F565:F572" si="97">+E565*D565</f>
        <v>19.156047999999998</v>
      </c>
      <c r="N565" s="183"/>
    </row>
    <row r="566" spans="1:14" ht="15.75" x14ac:dyDescent="0.25">
      <c r="A566" s="89"/>
      <c r="B566" s="80" t="s">
        <v>416</v>
      </c>
      <c r="C566" s="78" t="s">
        <v>93</v>
      </c>
      <c r="D566" s="78">
        <v>3.1999999999999999E-5</v>
      </c>
      <c r="E566" s="76">
        <v>6059</v>
      </c>
      <c r="F566" s="76">
        <f t="shared" si="97"/>
        <v>0.193888</v>
      </c>
      <c r="N566" s="183"/>
    </row>
    <row r="567" spans="1:14" ht="15.75" x14ac:dyDescent="0.25">
      <c r="A567" s="89"/>
      <c r="B567" s="80" t="s">
        <v>417</v>
      </c>
      <c r="C567" s="78" t="s">
        <v>93</v>
      </c>
      <c r="D567" s="78">
        <v>3.1999999999999999E-5</v>
      </c>
      <c r="E567" s="76">
        <v>443999</v>
      </c>
      <c r="F567" s="76">
        <f t="shared" si="97"/>
        <v>14.207967999999999</v>
      </c>
      <c r="N567" s="183"/>
    </row>
    <row r="568" spans="1:14" ht="15.75" x14ac:dyDescent="0.25">
      <c r="A568" s="89"/>
      <c r="B568" s="80"/>
      <c r="C568" s="78"/>
      <c r="D568" s="81"/>
      <c r="E568" s="76"/>
      <c r="F568" s="76">
        <f t="shared" si="97"/>
        <v>0</v>
      </c>
      <c r="N568" s="183"/>
    </row>
    <row r="569" spans="1:14" ht="15.75" x14ac:dyDescent="0.25">
      <c r="A569" s="89"/>
      <c r="B569" s="77" t="s">
        <v>266</v>
      </c>
      <c r="C569" s="78"/>
      <c r="D569" s="78"/>
      <c r="E569" s="76"/>
      <c r="F569" s="76">
        <f t="shared" si="97"/>
        <v>0</v>
      </c>
      <c r="N569" s="183"/>
    </row>
    <row r="570" spans="1:14" ht="15.75" x14ac:dyDescent="0.25">
      <c r="A570" s="89"/>
      <c r="B570" s="82" t="s">
        <v>267</v>
      </c>
      <c r="C570" s="78" t="s">
        <v>268</v>
      </c>
      <c r="D570" s="78"/>
      <c r="E570" s="83"/>
      <c r="F570" s="76">
        <f t="shared" si="97"/>
        <v>0</v>
      </c>
      <c r="N570" s="183"/>
    </row>
    <row r="571" spans="1:14" ht="15.75" x14ac:dyDescent="0.25">
      <c r="A571" s="89"/>
      <c r="B571" s="77" t="s">
        <v>269</v>
      </c>
      <c r="C571" s="78"/>
      <c r="D571" s="78"/>
      <c r="E571" s="79"/>
      <c r="F571" s="76">
        <f t="shared" si="97"/>
        <v>0</v>
      </c>
      <c r="N571" s="183"/>
    </row>
    <row r="572" spans="1:14" ht="15.75" x14ac:dyDescent="0.25">
      <c r="A572" s="89"/>
      <c r="B572" t="s">
        <v>418</v>
      </c>
      <c r="C572" s="78" t="s">
        <v>265</v>
      </c>
      <c r="D572" s="78">
        <v>1.6000000000000001E-3</v>
      </c>
      <c r="E572" s="76">
        <v>664436</v>
      </c>
      <c r="F572" s="76">
        <f t="shared" si="97"/>
        <v>1063.0976000000001</v>
      </c>
      <c r="N572" s="183"/>
    </row>
    <row r="573" spans="1:14" ht="15.75" x14ac:dyDescent="0.25">
      <c r="A573" s="89"/>
      <c r="B573" s="82"/>
      <c r="C573" s="78"/>
      <c r="D573" s="78"/>
      <c r="E573" s="85" t="s">
        <v>271</v>
      </c>
      <c r="F573" s="86">
        <f>ROUND(SUM(F561:F572), 0)</f>
        <v>6919</v>
      </c>
      <c r="N573" s="183"/>
    </row>
    <row r="574" spans="1:14" ht="39" customHeight="1" x14ac:dyDescent="0.25">
      <c r="A574" s="88" t="str">
        <f>+PRESUPUESTO!A50</f>
        <v>2.5</v>
      </c>
      <c r="B574" s="71" t="str">
        <f>+PRESUPUESTO!B50</f>
        <v>SUMINISITRO E INSTALACION DE FRONTON  EN ESTRUCTURA  METALICA CONSTRUIDA EN PERFIL VIGA  IP 200 ESTRUCTURA PRINCIPAL   Y HORIZONTALES EN TUBERIA RECTANGULAR  50 MM X 25 MM SEGÚN DISSEÑO PINTADA EN ANTICORROSIVO Y PINTURA ESMALTE ACABADO FINAL COLOR NEGRO.</v>
      </c>
      <c r="C574" s="72"/>
      <c r="D574" s="72"/>
      <c r="E574" s="73"/>
      <c r="F574" s="73" t="str">
        <f>+PRESUPUESTO!D50</f>
        <v>M2</v>
      </c>
      <c r="N574" s="183"/>
    </row>
    <row r="575" spans="1:14" ht="15.75" x14ac:dyDescent="0.25">
      <c r="A575" s="89"/>
      <c r="B575" s="74" t="s">
        <v>92</v>
      </c>
      <c r="C575" s="75" t="s">
        <v>93</v>
      </c>
      <c r="D575" s="75" t="s">
        <v>259</v>
      </c>
      <c r="E575" s="76" t="s">
        <v>260</v>
      </c>
      <c r="F575" s="76" t="s">
        <v>261</v>
      </c>
      <c r="N575" s="183"/>
    </row>
    <row r="576" spans="1:14" ht="15.75" x14ac:dyDescent="0.25">
      <c r="A576" s="89"/>
      <c r="B576" s="77" t="s">
        <v>262</v>
      </c>
      <c r="C576" s="78"/>
      <c r="D576" s="78"/>
      <c r="E576" s="79"/>
      <c r="F576" s="79"/>
      <c r="N576" s="183"/>
    </row>
    <row r="577" spans="1:14" ht="15.75" x14ac:dyDescent="0.25">
      <c r="A577" s="89"/>
      <c r="B577" s="80" t="s">
        <v>403</v>
      </c>
      <c r="C577" s="78" t="s">
        <v>93</v>
      </c>
      <c r="D577" s="78">
        <v>0.2</v>
      </c>
      <c r="E577" s="79">
        <v>799900</v>
      </c>
      <c r="F577" s="76">
        <f t="shared" ref="F577:F584" si="98">+E577*D577</f>
        <v>159980</v>
      </c>
      <c r="G577">
        <v>2.5</v>
      </c>
      <c r="H577" t="str">
        <f t="shared" si="89"/>
        <v>VIGA IPE 200MM X 6M A572/G50</v>
      </c>
      <c r="M577" t="str">
        <f t="shared" si="90"/>
        <v>UNIDAD</v>
      </c>
      <c r="N577" s="183">
        <f t="shared" si="91"/>
        <v>159980</v>
      </c>
    </row>
    <row r="578" spans="1:14" ht="15.75" x14ac:dyDescent="0.25">
      <c r="A578" s="89"/>
      <c r="B578" s="80" t="s">
        <v>404</v>
      </c>
      <c r="C578" s="78" t="s">
        <v>93</v>
      </c>
      <c r="D578" s="78">
        <v>1.7</v>
      </c>
      <c r="E578" s="79">
        <v>36800</v>
      </c>
      <c r="F578" s="76">
        <f t="shared" si="98"/>
        <v>62560</v>
      </c>
      <c r="G578">
        <v>2.5</v>
      </c>
      <c r="H578" t="str">
        <f t="shared" si="89"/>
        <v>TUBO RECTANGULAR 50 X 25 X 1.1MM C18 X 6M</v>
      </c>
      <c r="M578" t="str">
        <f t="shared" si="90"/>
        <v>UNIDAD</v>
      </c>
      <c r="N578" s="183">
        <f t="shared" si="91"/>
        <v>62560</v>
      </c>
    </row>
    <row r="579" spans="1:14" ht="15.75" x14ac:dyDescent="0.25">
      <c r="A579" s="89"/>
      <c r="B579" s="80" t="s">
        <v>405</v>
      </c>
      <c r="C579" s="78" t="s">
        <v>93</v>
      </c>
      <c r="D579" s="78">
        <v>8.2000000000000003E-2</v>
      </c>
      <c r="E579" s="79">
        <v>659900</v>
      </c>
      <c r="F579" s="76">
        <f t="shared" si="98"/>
        <v>54111.8</v>
      </c>
      <c r="G579">
        <v>2.5</v>
      </c>
      <c r="H579" t="str">
        <f t="shared" si="89"/>
        <v>LAMINA ALVEOLAR 6 MM 5.90X2.10 M BRONCE</v>
      </c>
      <c r="M579" t="str">
        <f t="shared" si="90"/>
        <v>UNIDAD</v>
      </c>
      <c r="N579" s="183">
        <f t="shared" si="91"/>
        <v>54111.8</v>
      </c>
    </row>
    <row r="580" spans="1:14" ht="15.75" x14ac:dyDescent="0.25">
      <c r="A580" s="89"/>
      <c r="B580" s="80" t="s">
        <v>393</v>
      </c>
      <c r="C580" s="78" t="s">
        <v>315</v>
      </c>
      <c r="D580" s="78">
        <v>2.5999999999999999E-2</v>
      </c>
      <c r="E580" s="79">
        <v>28051</v>
      </c>
      <c r="F580" s="76">
        <f t="shared" si="98"/>
        <v>729.32600000000002</v>
      </c>
      <c r="G580">
        <v>2.5</v>
      </c>
      <c r="H580" t="str">
        <f t="shared" si="89"/>
        <v>SOLDADURA ELÉCTRICA</v>
      </c>
      <c r="M580" t="str">
        <f t="shared" si="90"/>
        <v>KL</v>
      </c>
      <c r="N580" s="183">
        <f t="shared" si="91"/>
        <v>729.32600000000002</v>
      </c>
    </row>
    <row r="581" spans="1:14" ht="15.75" x14ac:dyDescent="0.25">
      <c r="A581" s="89"/>
      <c r="B581" s="80" t="s">
        <v>394</v>
      </c>
      <c r="C581" s="78" t="s">
        <v>351</v>
      </c>
      <c r="D581" s="78">
        <v>2.9999999999999997E-4</v>
      </c>
      <c r="E581" s="79">
        <v>54358</v>
      </c>
      <c r="F581" s="76">
        <f t="shared" si="98"/>
        <v>16.307399999999998</v>
      </c>
      <c r="G581">
        <v>2.5</v>
      </c>
      <c r="H581" t="str">
        <f t="shared" si="89"/>
        <v>GUANTES DE CARNAZA</v>
      </c>
      <c r="M581" t="str">
        <f t="shared" si="90"/>
        <v>PAR</v>
      </c>
      <c r="N581" s="183">
        <f t="shared" si="91"/>
        <v>16.307399999999998</v>
      </c>
    </row>
    <row r="582" spans="1:14" ht="15.75" x14ac:dyDescent="0.25">
      <c r="A582" s="89"/>
      <c r="B582" s="80" t="s">
        <v>347</v>
      </c>
      <c r="C582" s="78" t="s">
        <v>263</v>
      </c>
      <c r="D582" s="78">
        <v>1E-3</v>
      </c>
      <c r="E582" s="79">
        <v>62634</v>
      </c>
      <c r="F582" s="76">
        <f t="shared" si="98"/>
        <v>62.634</v>
      </c>
      <c r="G582">
        <v>2.5</v>
      </c>
      <c r="H582" t="str">
        <f t="shared" si="89"/>
        <v>DISOLVENTE</v>
      </c>
      <c r="M582" t="str">
        <f t="shared" si="90"/>
        <v xml:space="preserve">GALON </v>
      </c>
      <c r="N582" s="183">
        <f t="shared" si="91"/>
        <v>62.634</v>
      </c>
    </row>
    <row r="583" spans="1:14" ht="15.75" x14ac:dyDescent="0.25">
      <c r="A583" s="89"/>
      <c r="B583" s="80" t="s">
        <v>395</v>
      </c>
      <c r="C583" s="78" t="s">
        <v>263</v>
      </c>
      <c r="D583" s="78">
        <v>2E-3</v>
      </c>
      <c r="E583" s="79">
        <v>89136</v>
      </c>
      <c r="F583" s="76">
        <f t="shared" si="98"/>
        <v>178.27199999999999</v>
      </c>
      <c r="G583">
        <v>2.5</v>
      </c>
      <c r="H583" t="str">
        <f t="shared" si="89"/>
        <v xml:space="preserve">PINTURA ANTICORROSIVA </v>
      </c>
      <c r="M583" t="str">
        <f t="shared" si="90"/>
        <v xml:space="preserve">GALON </v>
      </c>
      <c r="N583" s="183">
        <f t="shared" si="91"/>
        <v>178.27199999999999</v>
      </c>
    </row>
    <row r="584" spans="1:14" ht="15.75" x14ac:dyDescent="0.25">
      <c r="A584" s="89"/>
      <c r="B584" s="80" t="s">
        <v>348</v>
      </c>
      <c r="C584" s="78" t="s">
        <v>263</v>
      </c>
      <c r="D584" s="78">
        <v>2E-3</v>
      </c>
      <c r="E584" s="79">
        <v>104520</v>
      </c>
      <c r="F584" s="76">
        <f t="shared" si="98"/>
        <v>209.04</v>
      </c>
      <c r="G584">
        <v>2.5</v>
      </c>
      <c r="H584" t="str">
        <f t="shared" si="89"/>
        <v>PINTURA ESMALTE</v>
      </c>
      <c r="M584" t="str">
        <f t="shared" si="90"/>
        <v xml:space="preserve">GALON </v>
      </c>
      <c r="N584" s="183">
        <f t="shared" si="91"/>
        <v>209.04</v>
      </c>
    </row>
    <row r="585" spans="1:14" ht="15.75" x14ac:dyDescent="0.25">
      <c r="A585" s="89"/>
      <c r="B585" s="77" t="s">
        <v>264</v>
      </c>
      <c r="C585" s="78"/>
      <c r="D585" s="78"/>
      <c r="E585" s="79"/>
      <c r="F585" s="76"/>
      <c r="N585" s="183"/>
    </row>
    <row r="586" spans="1:14" ht="15.75" x14ac:dyDescent="0.25">
      <c r="A586" s="89"/>
      <c r="B586" s="80" t="s">
        <v>396</v>
      </c>
      <c r="C586" s="78" t="s">
        <v>265</v>
      </c>
      <c r="D586" s="78">
        <v>2.1999999999999999E-2</v>
      </c>
      <c r="E586" s="79">
        <v>82486</v>
      </c>
      <c r="F586" s="76">
        <f t="shared" ref="F586:F593" si="99">+E586*D586</f>
        <v>1814.692</v>
      </c>
      <c r="N586" s="183"/>
    </row>
    <row r="587" spans="1:14" ht="15.75" x14ac:dyDescent="0.25">
      <c r="A587" s="89"/>
      <c r="B587" s="80" t="s">
        <v>397</v>
      </c>
      <c r="C587" s="78" t="s">
        <v>93</v>
      </c>
      <c r="D587" s="78">
        <v>2.0000000000000001E-4</v>
      </c>
      <c r="E587" s="79">
        <v>1140504</v>
      </c>
      <c r="F587" s="76">
        <f t="shared" si="99"/>
        <v>228.10080000000002</v>
      </c>
      <c r="N587" s="183"/>
    </row>
    <row r="588" spans="1:14" ht="15.75" x14ac:dyDescent="0.25">
      <c r="A588" s="89"/>
      <c r="B588" s="80" t="s">
        <v>398</v>
      </c>
      <c r="C588" s="78" t="s">
        <v>93</v>
      </c>
      <c r="D588" s="78">
        <v>2.0000000000000001E-4</v>
      </c>
      <c r="E588" s="79">
        <v>24524</v>
      </c>
      <c r="F588" s="76">
        <f t="shared" si="99"/>
        <v>4.9047999999999998</v>
      </c>
      <c r="N588" s="183"/>
    </row>
    <row r="589" spans="1:14" ht="15.75" x14ac:dyDescent="0.25">
      <c r="A589" s="89"/>
      <c r="B589" s="80" t="s">
        <v>399</v>
      </c>
      <c r="C589" s="78" t="s">
        <v>93</v>
      </c>
      <c r="D589" s="78">
        <v>2.0000000000000001E-4</v>
      </c>
      <c r="E589" s="79">
        <v>1328630</v>
      </c>
      <c r="F589" s="76">
        <f t="shared" si="99"/>
        <v>265.726</v>
      </c>
      <c r="N589" s="183"/>
    </row>
    <row r="590" spans="1:14" ht="15.75" x14ac:dyDescent="0.25">
      <c r="A590" s="89"/>
      <c r="B590" s="80" t="s">
        <v>400</v>
      </c>
      <c r="C590" s="78" t="s">
        <v>93</v>
      </c>
      <c r="D590" s="78">
        <v>2.0000000000000001E-4</v>
      </c>
      <c r="E590" s="79">
        <v>86459</v>
      </c>
      <c r="F590" s="76">
        <f t="shared" si="99"/>
        <v>17.291800000000002</v>
      </c>
      <c r="N590" s="183"/>
    </row>
    <row r="591" spans="1:14" ht="15.75" x14ac:dyDescent="0.25">
      <c r="A591" s="89"/>
      <c r="B591" s="80" t="s">
        <v>352</v>
      </c>
      <c r="C591" s="78" t="s">
        <v>93</v>
      </c>
      <c r="D591" s="78">
        <v>4.0000000000000002E-4</v>
      </c>
      <c r="E591" s="79">
        <v>773875</v>
      </c>
      <c r="F591" s="76">
        <f t="shared" si="99"/>
        <v>309.55</v>
      </c>
      <c r="N591" s="183"/>
    </row>
    <row r="592" spans="1:14" ht="15.75" x14ac:dyDescent="0.25">
      <c r="A592" s="89"/>
      <c r="B592" s="80" t="s">
        <v>319</v>
      </c>
      <c r="C592" s="78" t="s">
        <v>297</v>
      </c>
      <c r="D592" s="78">
        <v>0.06</v>
      </c>
      <c r="E592" s="79">
        <v>5246</v>
      </c>
      <c r="F592" s="76">
        <f t="shared" si="99"/>
        <v>314.76</v>
      </c>
      <c r="N592" s="183"/>
    </row>
    <row r="593" spans="1:14" ht="15.75" x14ac:dyDescent="0.25">
      <c r="A593" s="89"/>
      <c r="B593" s="80" t="s">
        <v>349</v>
      </c>
      <c r="C593" s="78" t="s">
        <v>297</v>
      </c>
      <c r="D593" s="78">
        <v>4.0000000000000001E-3</v>
      </c>
      <c r="E593" s="79">
        <v>93132</v>
      </c>
      <c r="F593" s="76">
        <f t="shared" si="99"/>
        <v>372.52800000000002</v>
      </c>
      <c r="N593" s="183"/>
    </row>
    <row r="594" spans="1:14" ht="15.75" x14ac:dyDescent="0.25">
      <c r="A594" s="89"/>
      <c r="B594" s="77" t="s">
        <v>266</v>
      </c>
      <c r="C594" s="78"/>
      <c r="D594" s="78"/>
      <c r="E594" s="79"/>
      <c r="F594" s="76"/>
      <c r="N594" s="183"/>
    </row>
    <row r="595" spans="1:14" ht="15.75" x14ac:dyDescent="0.25">
      <c r="A595" s="89"/>
      <c r="B595" s="80" t="s">
        <v>381</v>
      </c>
      <c r="C595" s="78" t="s">
        <v>268</v>
      </c>
      <c r="D595" s="78">
        <v>1E-3</v>
      </c>
      <c r="E595" s="79">
        <v>64688</v>
      </c>
      <c r="F595" s="76">
        <f t="shared" ref="F595" si="100">+E595*D595</f>
        <v>64.688000000000002</v>
      </c>
      <c r="N595" s="183"/>
    </row>
    <row r="596" spans="1:14" ht="15.75" x14ac:dyDescent="0.25">
      <c r="A596" s="89"/>
      <c r="B596" s="77" t="s">
        <v>269</v>
      </c>
      <c r="C596" s="78"/>
      <c r="D596" s="78"/>
      <c r="E596" s="79"/>
      <c r="F596" s="76"/>
      <c r="N596" s="183"/>
    </row>
    <row r="597" spans="1:14" ht="15.75" x14ac:dyDescent="0.25">
      <c r="A597" s="89"/>
      <c r="B597" s="80" t="s">
        <v>401</v>
      </c>
      <c r="C597" s="78" t="s">
        <v>297</v>
      </c>
      <c r="D597" s="78">
        <v>2.1999999999999999E-2</v>
      </c>
      <c r="E597" s="79">
        <v>226211</v>
      </c>
      <c r="F597" s="76">
        <f t="shared" ref="F597:F598" si="101">+E597*D597</f>
        <v>4976.6419999999998</v>
      </c>
      <c r="N597" s="183"/>
    </row>
    <row r="598" spans="1:14" ht="15.75" x14ac:dyDescent="0.25">
      <c r="A598" s="89"/>
      <c r="B598" s="80" t="s">
        <v>402</v>
      </c>
      <c r="C598" s="78" t="s">
        <v>297</v>
      </c>
      <c r="D598" s="78">
        <v>4.0000000000000001E-3</v>
      </c>
      <c r="E598" s="79">
        <v>215236</v>
      </c>
      <c r="F598" s="76">
        <f t="shared" si="101"/>
        <v>860.94400000000007</v>
      </c>
      <c r="N598" s="183"/>
    </row>
    <row r="599" spans="1:14" ht="15.75" x14ac:dyDescent="0.25">
      <c r="A599" s="89"/>
      <c r="B599" s="80"/>
      <c r="C599" s="78"/>
      <c r="D599" s="78"/>
      <c r="E599" s="85" t="s">
        <v>271</v>
      </c>
      <c r="F599" s="86">
        <f>ROUND(SUM(F577:F598), 0)</f>
        <v>287077</v>
      </c>
      <c r="N599" s="183"/>
    </row>
    <row r="600" spans="1:14" ht="15.75" x14ac:dyDescent="0.25">
      <c r="A600" s="97">
        <f>+PRESUPUESTO!A52</f>
        <v>3.1</v>
      </c>
      <c r="B600" s="98" t="str">
        <f>+PRESUPUESTO!B52</f>
        <v xml:space="preserve">LOCALIZACION Y REPLANTEO MANUAL </v>
      </c>
      <c r="C600" s="99"/>
      <c r="D600" s="99"/>
      <c r="E600" s="100"/>
      <c r="F600" s="100" t="str">
        <f>+PRESUPUESTO!D52</f>
        <v>ML</v>
      </c>
      <c r="N600" s="183"/>
    </row>
    <row r="601" spans="1:14" ht="15.75" x14ac:dyDescent="0.25">
      <c r="A601" s="89"/>
      <c r="B601" s="74" t="s">
        <v>92</v>
      </c>
      <c r="C601" s="75" t="s">
        <v>93</v>
      </c>
      <c r="D601" s="75" t="s">
        <v>259</v>
      </c>
      <c r="E601" s="76" t="s">
        <v>260</v>
      </c>
      <c r="F601" s="76" t="s">
        <v>261</v>
      </c>
      <c r="N601" s="183"/>
    </row>
    <row r="602" spans="1:14" ht="15.75" x14ac:dyDescent="0.25">
      <c r="A602" s="89"/>
      <c r="B602" s="77" t="s">
        <v>262</v>
      </c>
      <c r="C602" s="78"/>
      <c r="D602" s="78"/>
      <c r="E602" s="79"/>
      <c r="F602" s="79"/>
      <c r="N602" s="183"/>
    </row>
    <row r="603" spans="1:14" ht="15.75" x14ac:dyDescent="0.25">
      <c r="A603" s="89"/>
      <c r="B603" s="80" t="s">
        <v>456</v>
      </c>
      <c r="C603" s="75" t="s">
        <v>117</v>
      </c>
      <c r="D603" s="75">
        <v>0.03</v>
      </c>
      <c r="E603" s="76">
        <v>5687</v>
      </c>
      <c r="F603" s="76">
        <f t="shared" ref="F603:F611" si="102">+E603*D603</f>
        <v>170.60999999999999</v>
      </c>
      <c r="G603">
        <v>3.1</v>
      </c>
      <c r="H603" t="str">
        <f t="shared" ref="H603:H649" si="103">+B603</f>
        <v>LISTÓN 2" x 4"</v>
      </c>
      <c r="M603" t="str">
        <f t="shared" ref="M603:M649" si="104">+C603</f>
        <v>ML</v>
      </c>
      <c r="N603" s="183">
        <f t="shared" ref="N603:N649" si="105">+F603</f>
        <v>170.60999999999999</v>
      </c>
    </row>
    <row r="604" spans="1:14" ht="15.75" x14ac:dyDescent="0.25">
      <c r="A604" s="89"/>
      <c r="B604" s="80" t="s">
        <v>457</v>
      </c>
      <c r="C604" s="75" t="s">
        <v>117</v>
      </c>
      <c r="D604" s="75">
        <v>0.03</v>
      </c>
      <c r="E604" s="76">
        <v>1425</v>
      </c>
      <c r="F604" s="76">
        <f t="shared" si="102"/>
        <v>42.75</v>
      </c>
      <c r="G604">
        <v>3.1</v>
      </c>
      <c r="H604" t="str">
        <f t="shared" si="103"/>
        <v>LISTÓN 1" x 2"</v>
      </c>
      <c r="M604" t="str">
        <f t="shared" si="104"/>
        <v>ML</v>
      </c>
      <c r="N604" s="183">
        <f t="shared" si="105"/>
        <v>42.75</v>
      </c>
    </row>
    <row r="605" spans="1:14" ht="15.75" x14ac:dyDescent="0.25">
      <c r="A605" s="89"/>
      <c r="B605" s="80" t="s">
        <v>384</v>
      </c>
      <c r="C605" s="75" t="s">
        <v>314</v>
      </c>
      <c r="D605" s="75">
        <v>2E-3</v>
      </c>
      <c r="E605" s="76">
        <v>4967</v>
      </c>
      <c r="F605" s="76">
        <f t="shared" si="102"/>
        <v>9.9340000000000011</v>
      </c>
      <c r="G605">
        <v>3.1</v>
      </c>
      <c r="H605" t="str">
        <f t="shared" si="103"/>
        <v>PUNTILLA 1 1/2" a 3"</v>
      </c>
      <c r="M605" t="str">
        <f t="shared" si="104"/>
        <v>LB</v>
      </c>
      <c r="N605" s="183">
        <f t="shared" si="105"/>
        <v>9.9340000000000011</v>
      </c>
    </row>
    <row r="606" spans="1:14" ht="15.75" x14ac:dyDescent="0.25">
      <c r="A606" s="89"/>
      <c r="B606" s="80" t="s">
        <v>347</v>
      </c>
      <c r="C606" s="75" t="s">
        <v>451</v>
      </c>
      <c r="D606" s="75">
        <v>2E-3</v>
      </c>
      <c r="E606" s="76">
        <v>62634</v>
      </c>
      <c r="F606" s="76">
        <f t="shared" si="102"/>
        <v>125.268</v>
      </c>
      <c r="G606">
        <v>3.1</v>
      </c>
      <c r="H606" t="str">
        <f t="shared" si="103"/>
        <v>DISOLVENTE</v>
      </c>
      <c r="M606" t="str">
        <f t="shared" si="104"/>
        <v>GALON</v>
      </c>
      <c r="N606" s="183">
        <f t="shared" si="105"/>
        <v>125.268</v>
      </c>
    </row>
    <row r="607" spans="1:14" ht="15.75" x14ac:dyDescent="0.25">
      <c r="A607" s="89"/>
      <c r="B607" s="80" t="s">
        <v>348</v>
      </c>
      <c r="C607" s="75" t="s">
        <v>451</v>
      </c>
      <c r="D607" s="75">
        <v>2E-3</v>
      </c>
      <c r="E607" s="76">
        <v>104520</v>
      </c>
      <c r="F607" s="76">
        <f t="shared" si="102"/>
        <v>209.04</v>
      </c>
      <c r="G607">
        <v>3.1</v>
      </c>
      <c r="H607" t="str">
        <f t="shared" si="103"/>
        <v>PINTURA ESMALTE</v>
      </c>
      <c r="M607" t="str">
        <f t="shared" si="104"/>
        <v>GALON</v>
      </c>
      <c r="N607" s="183">
        <f t="shared" si="105"/>
        <v>209.04</v>
      </c>
    </row>
    <row r="608" spans="1:14" ht="15.75" x14ac:dyDescent="0.25">
      <c r="A608" s="89"/>
      <c r="B608" s="77" t="s">
        <v>264</v>
      </c>
      <c r="C608" s="78"/>
      <c r="D608" s="78"/>
      <c r="E608" s="76"/>
      <c r="F608" s="76"/>
      <c r="N608" s="183"/>
    </row>
    <row r="609" spans="1:14" ht="15.75" x14ac:dyDescent="0.25">
      <c r="A609" s="89"/>
      <c r="B609" s="80" t="s">
        <v>458</v>
      </c>
      <c r="C609" s="78" t="s">
        <v>93</v>
      </c>
      <c r="D609" s="78">
        <v>1E-4</v>
      </c>
      <c r="E609" s="76">
        <v>9006</v>
      </c>
      <c r="F609" s="76">
        <f t="shared" si="102"/>
        <v>0.90060000000000007</v>
      </c>
      <c r="N609" s="183"/>
    </row>
    <row r="610" spans="1:14" ht="15.75" x14ac:dyDescent="0.25">
      <c r="A610" s="89"/>
      <c r="B610" s="80" t="s">
        <v>459</v>
      </c>
      <c r="C610" s="78" t="s">
        <v>297</v>
      </c>
      <c r="D610" s="78">
        <v>5.0000000000000001E-3</v>
      </c>
      <c r="E610" s="76">
        <v>184721</v>
      </c>
      <c r="F610" s="76">
        <f t="shared" si="102"/>
        <v>923.60500000000002</v>
      </c>
      <c r="N610" s="183"/>
    </row>
    <row r="611" spans="1:14" ht="15.75" x14ac:dyDescent="0.25">
      <c r="A611" s="89"/>
      <c r="B611" s="80" t="s">
        <v>460</v>
      </c>
      <c r="C611" s="78" t="s">
        <v>93</v>
      </c>
      <c r="D611" s="78">
        <v>1E-4</v>
      </c>
      <c r="E611" s="76">
        <v>348121</v>
      </c>
      <c r="F611" s="76">
        <f t="shared" si="102"/>
        <v>34.812100000000001</v>
      </c>
      <c r="N611" s="183"/>
    </row>
    <row r="612" spans="1:14" ht="15.75" x14ac:dyDescent="0.25">
      <c r="A612" s="89"/>
      <c r="B612" s="77" t="s">
        <v>266</v>
      </c>
      <c r="C612" s="78"/>
      <c r="D612" s="78"/>
      <c r="E612" s="76"/>
      <c r="F612" s="76"/>
      <c r="N612" s="183"/>
    </row>
    <row r="613" spans="1:14" ht="15.75" x14ac:dyDescent="0.25">
      <c r="A613" s="89"/>
      <c r="B613" s="82" t="s">
        <v>267</v>
      </c>
      <c r="C613" s="78" t="s">
        <v>461</v>
      </c>
      <c r="D613" s="78">
        <v>0.01</v>
      </c>
      <c r="E613" s="76">
        <v>40431</v>
      </c>
      <c r="F613" s="76">
        <f t="shared" ref="F613:F615" si="106">+E613*D613</f>
        <v>404.31</v>
      </c>
      <c r="N613" s="183"/>
    </row>
    <row r="614" spans="1:14" ht="15.75" x14ac:dyDescent="0.25">
      <c r="A614" s="89"/>
      <c r="B614" s="77" t="s">
        <v>269</v>
      </c>
      <c r="C614" s="78"/>
      <c r="D614" s="78"/>
      <c r="E614" s="76"/>
      <c r="F614" s="76"/>
      <c r="N614" s="183"/>
    </row>
    <row r="615" spans="1:14" ht="15.75" x14ac:dyDescent="0.25">
      <c r="A615" s="89"/>
      <c r="B615" s="80" t="s">
        <v>293</v>
      </c>
      <c r="C615" s="78" t="s">
        <v>297</v>
      </c>
      <c r="D615" s="78">
        <v>5.0000000000000001E-3</v>
      </c>
      <c r="E615" s="76">
        <v>333711</v>
      </c>
      <c r="F615" s="76">
        <f t="shared" si="106"/>
        <v>1668.5550000000001</v>
      </c>
      <c r="N615" s="183"/>
    </row>
    <row r="616" spans="1:14" ht="15.75" x14ac:dyDescent="0.25">
      <c r="A616" s="89"/>
      <c r="B616" s="82"/>
      <c r="C616" s="78"/>
      <c r="D616" s="78"/>
      <c r="E616" s="85" t="s">
        <v>271</v>
      </c>
      <c r="F616" s="86">
        <f>ROUND(SUM(F603:F615), 0)</f>
        <v>3590</v>
      </c>
      <c r="N616" s="183"/>
    </row>
    <row r="617" spans="1:14" ht="47.25" x14ac:dyDescent="0.25">
      <c r="A617" s="97">
        <f>+PRESUPUESTO!A53</f>
        <v>3.2</v>
      </c>
      <c r="B617" s="98" t="str">
        <f>+PRESUPUESTO!B53</f>
        <v>EXCAVACION DE ZAPATAS  PARA CERRAMIENTO  ENTRE 0,0 Y 1,00  MTS INCLUYE Y RETIRO DE MATERIAL Y DISPOSICION FINAL</v>
      </c>
      <c r="C617" s="99"/>
      <c r="D617" s="99"/>
      <c r="E617" s="100"/>
      <c r="F617" s="100" t="str">
        <f>+PRESUPUESTO!D53</f>
        <v>M3</v>
      </c>
      <c r="N617" s="183"/>
    </row>
    <row r="618" spans="1:14" ht="15.75" x14ac:dyDescent="0.25">
      <c r="A618" s="89"/>
      <c r="B618" s="74" t="s">
        <v>92</v>
      </c>
      <c r="C618" s="75" t="s">
        <v>93</v>
      </c>
      <c r="D618" s="75" t="s">
        <v>259</v>
      </c>
      <c r="E618" s="76" t="s">
        <v>260</v>
      </c>
      <c r="F618" s="76" t="s">
        <v>261</v>
      </c>
      <c r="N618" s="183"/>
    </row>
    <row r="619" spans="1:14" ht="15.75" x14ac:dyDescent="0.25">
      <c r="A619" s="89"/>
      <c r="B619" s="77" t="s">
        <v>262</v>
      </c>
      <c r="C619" s="78"/>
      <c r="D619" s="78"/>
      <c r="E619" s="79"/>
      <c r="F619" s="79"/>
      <c r="N619" s="183"/>
    </row>
    <row r="620" spans="1:14" ht="15.75" x14ac:dyDescent="0.25">
      <c r="A620" s="89"/>
      <c r="B620" s="80" t="s">
        <v>303</v>
      </c>
      <c r="C620" s="75" t="s">
        <v>306</v>
      </c>
      <c r="D620" s="75">
        <v>1</v>
      </c>
      <c r="E620" s="76">
        <v>195</v>
      </c>
      <c r="F620" s="76">
        <f>+E620*D620</f>
        <v>195</v>
      </c>
      <c r="G620">
        <v>3.2</v>
      </c>
      <c r="H620" t="str">
        <f t="shared" si="103"/>
        <v>CINTA DE SEÑALIZACIÓN a=7 cm</v>
      </c>
      <c r="M620" t="str">
        <f t="shared" si="104"/>
        <v>MTR</v>
      </c>
      <c r="N620" s="183">
        <f t="shared" si="105"/>
        <v>195</v>
      </c>
    </row>
    <row r="621" spans="1:14" ht="30" x14ac:dyDescent="0.25">
      <c r="A621" s="89"/>
      <c r="B621" s="101" t="s">
        <v>304</v>
      </c>
      <c r="C621" s="75" t="s">
        <v>93</v>
      </c>
      <c r="D621" s="75">
        <v>0.05</v>
      </c>
      <c r="E621" s="76">
        <v>23945</v>
      </c>
      <c r="F621" s="76">
        <f>+E621*D621</f>
        <v>1197.25</v>
      </c>
      <c r="G621">
        <v>3.2</v>
      </c>
      <c r="H621" t="str">
        <f t="shared" si="103"/>
        <v>POSTE DE SEÑALIZACIÓN EN MADERA PINTADO + MUERTO EN CONCRE</v>
      </c>
      <c r="M621" t="str">
        <f t="shared" si="104"/>
        <v>UNIDAD</v>
      </c>
      <c r="N621" s="183">
        <f t="shared" si="105"/>
        <v>1197.25</v>
      </c>
    </row>
    <row r="622" spans="1:14" ht="15.75" x14ac:dyDescent="0.25">
      <c r="A622" s="89"/>
      <c r="B622" s="77" t="s">
        <v>264</v>
      </c>
      <c r="C622" s="78"/>
      <c r="D622" s="78"/>
      <c r="E622" s="79"/>
      <c r="F622" s="76">
        <f t="shared" ref="F622" si="107">+E622*D622</f>
        <v>0</v>
      </c>
      <c r="N622" s="183"/>
    </row>
    <row r="623" spans="1:14" ht="15.75" x14ac:dyDescent="0.25">
      <c r="A623" s="89"/>
      <c r="B623" s="80" t="s">
        <v>305</v>
      </c>
      <c r="C623" s="78" t="s">
        <v>93</v>
      </c>
      <c r="D623" s="78">
        <v>1.1999999999999999E-3</v>
      </c>
      <c r="E623" s="76">
        <v>456817</v>
      </c>
      <c r="F623" s="76">
        <f t="shared" ref="F623" si="108">+E623*D623</f>
        <v>548.18039999999996</v>
      </c>
      <c r="N623" s="183"/>
    </row>
    <row r="624" spans="1:14" ht="15.75" x14ac:dyDescent="0.25">
      <c r="A624" s="89"/>
      <c r="B624" s="77" t="s">
        <v>266</v>
      </c>
      <c r="C624" s="78"/>
      <c r="D624" s="78"/>
      <c r="E624" s="76"/>
      <c r="F624" s="76"/>
      <c r="N624" s="183"/>
    </row>
    <row r="625" spans="1:14" ht="15.75" x14ac:dyDescent="0.25">
      <c r="A625" s="89"/>
      <c r="B625" s="82" t="s">
        <v>267</v>
      </c>
      <c r="C625" s="78"/>
      <c r="D625" s="78"/>
      <c r="E625" s="83"/>
      <c r="F625" s="76"/>
      <c r="N625" s="183"/>
    </row>
    <row r="626" spans="1:14" ht="15.75" x14ac:dyDescent="0.25">
      <c r="A626" s="89"/>
      <c r="B626" s="77" t="s">
        <v>269</v>
      </c>
      <c r="C626" s="78"/>
      <c r="D626" s="78"/>
      <c r="E626" s="79"/>
      <c r="F626" s="76">
        <f t="shared" ref="F626:F627" si="109">+E626*D626</f>
        <v>0</v>
      </c>
      <c r="N626" s="183"/>
    </row>
    <row r="627" spans="1:14" ht="15.75" x14ac:dyDescent="0.25">
      <c r="A627" s="89"/>
      <c r="B627" s="80" t="s">
        <v>678</v>
      </c>
      <c r="C627" s="78" t="s">
        <v>297</v>
      </c>
      <c r="D627" s="78">
        <v>0.12039999999999999</v>
      </c>
      <c r="E627" s="84">
        <v>305075</v>
      </c>
      <c r="F627" s="76">
        <f t="shared" si="109"/>
        <v>36731.03</v>
      </c>
      <c r="N627" s="183"/>
    </row>
    <row r="628" spans="1:14" ht="15.75" x14ac:dyDescent="0.25">
      <c r="A628" s="89"/>
      <c r="B628" s="82"/>
      <c r="C628" s="78"/>
      <c r="D628" s="78"/>
      <c r="E628" s="85" t="s">
        <v>271</v>
      </c>
      <c r="F628" s="86">
        <f>ROUND(SUM(F620:F627), 0)</f>
        <v>38671</v>
      </c>
      <c r="N628" s="183"/>
    </row>
    <row r="629" spans="1:14" ht="53.25" customHeight="1" x14ac:dyDescent="0.25">
      <c r="A629" s="158">
        <f>+PRESUPUESTO!A54</f>
        <v>3.3</v>
      </c>
      <c r="B629" s="144" t="str">
        <f>+PRESUPUESTO!B54</f>
        <v>DESMONTE DE CERRAMIENTO EXISTENTE Y DEMOLICION DE VIGA EN PISO EXISTENTE  ENTRE 0 Y 25  CM DE ANCHO Y 0 A 0.80 MTS DE ALTO APROX. RETIRO Y DISPOSICION FINAL DE ESCOMBRO</v>
      </c>
      <c r="C629" s="145"/>
      <c r="D629" s="145"/>
      <c r="E629" s="146"/>
      <c r="F629" s="146" t="str">
        <f>+PRESUPUESTO!D54</f>
        <v>ML</v>
      </c>
      <c r="N629" s="183"/>
    </row>
    <row r="630" spans="1:14" ht="15.75" x14ac:dyDescent="0.25">
      <c r="A630" s="147"/>
      <c r="B630" s="148" t="s">
        <v>92</v>
      </c>
      <c r="C630" s="149" t="s">
        <v>93</v>
      </c>
      <c r="D630" s="149" t="s">
        <v>259</v>
      </c>
      <c r="E630" s="150" t="s">
        <v>260</v>
      </c>
      <c r="F630" s="150" t="s">
        <v>261</v>
      </c>
      <c r="N630" s="183"/>
    </row>
    <row r="631" spans="1:14" ht="15.75" x14ac:dyDescent="0.25">
      <c r="A631" s="147"/>
      <c r="B631" s="151" t="s">
        <v>262</v>
      </c>
      <c r="C631" s="149"/>
      <c r="D631" s="149"/>
      <c r="E631" s="152"/>
      <c r="F631" s="152"/>
      <c r="N631" s="183"/>
    </row>
    <row r="632" spans="1:14" ht="15.75" x14ac:dyDescent="0.25">
      <c r="A632" s="147"/>
      <c r="B632" s="151" t="s">
        <v>264</v>
      </c>
      <c r="C632" s="149"/>
      <c r="D632" s="149"/>
      <c r="E632" s="152"/>
      <c r="F632" s="150"/>
      <c r="N632" s="183"/>
    </row>
    <row r="633" spans="1:14" ht="15.75" x14ac:dyDescent="0.25">
      <c r="A633" s="147"/>
      <c r="B633" s="157" t="s">
        <v>448</v>
      </c>
      <c r="C633" s="149" t="s">
        <v>239</v>
      </c>
      <c r="D633" s="149">
        <v>7.3999999999999999E-4</v>
      </c>
      <c r="E633" s="150">
        <f>107752*1.0716</f>
        <v>115467.04320000001</v>
      </c>
      <c r="F633" s="150">
        <f t="shared" ref="F633:F638" si="110">+E633*D633</f>
        <v>85.445611968000009</v>
      </c>
      <c r="N633" s="183"/>
    </row>
    <row r="634" spans="1:14" ht="15.75" x14ac:dyDescent="0.25">
      <c r="A634" s="147"/>
      <c r="B634" s="157" t="s">
        <v>274</v>
      </c>
      <c r="C634" s="149" t="s">
        <v>239</v>
      </c>
      <c r="D634" s="149">
        <v>8.0000000000000004E-4</v>
      </c>
      <c r="E634" s="150">
        <f>27075*1.0716</f>
        <v>29013.570000000003</v>
      </c>
      <c r="F634" s="150">
        <f t="shared" si="110"/>
        <v>23.210856000000003</v>
      </c>
      <c r="N634" s="183"/>
    </row>
    <row r="635" spans="1:14" ht="15.75" x14ac:dyDescent="0.25">
      <c r="A635" s="147"/>
      <c r="B635" s="157" t="s">
        <v>275</v>
      </c>
      <c r="C635" s="149" t="s">
        <v>239</v>
      </c>
      <c r="D635" s="149">
        <v>1.8E-3</v>
      </c>
      <c r="E635" s="150">
        <f>94500*1.0716</f>
        <v>101266.20000000001</v>
      </c>
      <c r="F635" s="150">
        <f t="shared" si="110"/>
        <v>182.27916000000002</v>
      </c>
      <c r="N635" s="183"/>
    </row>
    <row r="636" spans="1:14" ht="15.75" x14ac:dyDescent="0.25">
      <c r="A636" s="147"/>
      <c r="B636" s="157" t="s">
        <v>408</v>
      </c>
      <c r="C636" s="149" t="s">
        <v>239</v>
      </c>
      <c r="D636" s="149">
        <v>1.8E-3</v>
      </c>
      <c r="E636" s="150">
        <f>283800*1.0716</f>
        <v>304120.08</v>
      </c>
      <c r="F636" s="150">
        <f t="shared" si="110"/>
        <v>547.41614400000003</v>
      </c>
      <c r="N636" s="183"/>
    </row>
    <row r="637" spans="1:14" ht="15.75" x14ac:dyDescent="0.25">
      <c r="A637" s="147"/>
      <c r="B637" s="157" t="s">
        <v>409</v>
      </c>
      <c r="C637" s="149" t="s">
        <v>239</v>
      </c>
      <c r="D637" s="149">
        <v>1.8E-3</v>
      </c>
      <c r="E637" s="150">
        <f>37400*1.0716</f>
        <v>40077.840000000004</v>
      </c>
      <c r="F637" s="150">
        <f t="shared" si="110"/>
        <v>72.140112000000002</v>
      </c>
      <c r="N637" s="183"/>
    </row>
    <row r="638" spans="1:14" ht="15.75" x14ac:dyDescent="0.25">
      <c r="A638" s="147"/>
      <c r="B638" s="157" t="s">
        <v>450</v>
      </c>
      <c r="C638" s="149" t="s">
        <v>239</v>
      </c>
      <c r="D638" s="149">
        <v>8.9999999999999998E-4</v>
      </c>
      <c r="E638" s="150">
        <f>61886*1.0716</f>
        <v>66317.037600000011</v>
      </c>
      <c r="F638" s="150">
        <f t="shared" si="110"/>
        <v>59.685333840000006</v>
      </c>
      <c r="N638" s="183"/>
    </row>
    <row r="639" spans="1:14" ht="15.75" x14ac:dyDescent="0.25">
      <c r="A639" s="147"/>
      <c r="B639" s="151" t="s">
        <v>266</v>
      </c>
      <c r="C639" s="149"/>
      <c r="D639" s="149"/>
      <c r="E639" s="150"/>
      <c r="F639" s="150"/>
      <c r="N639" s="183"/>
    </row>
    <row r="640" spans="1:14" ht="15.75" x14ac:dyDescent="0.25">
      <c r="A640" s="147"/>
      <c r="B640" s="148" t="s">
        <v>267</v>
      </c>
      <c r="C640" s="149"/>
      <c r="D640" s="149"/>
      <c r="E640" s="153"/>
      <c r="F640" s="150">
        <f t="shared" ref="F640:F642" si="111">+E640*D640</f>
        <v>0</v>
      </c>
      <c r="N640" s="183"/>
    </row>
    <row r="641" spans="1:14" ht="15.75" x14ac:dyDescent="0.25">
      <c r="A641" s="147"/>
      <c r="B641" s="151" t="s">
        <v>269</v>
      </c>
      <c r="C641" s="149"/>
      <c r="D641" s="149"/>
      <c r="E641" s="152"/>
      <c r="F641" s="150">
        <f t="shared" si="111"/>
        <v>0</v>
      </c>
      <c r="N641" s="183"/>
    </row>
    <row r="642" spans="1:14" ht="15.75" x14ac:dyDescent="0.25">
      <c r="A642" s="147"/>
      <c r="B642" s="159" t="s">
        <v>449</v>
      </c>
      <c r="C642" s="149" t="s">
        <v>297</v>
      </c>
      <c r="D642" s="160">
        <v>0.06</v>
      </c>
      <c r="E642" s="150">
        <f>390000*1.0716</f>
        <v>417924.00000000006</v>
      </c>
      <c r="F642" s="150">
        <f t="shared" si="111"/>
        <v>25075.440000000002</v>
      </c>
      <c r="N642" s="183"/>
    </row>
    <row r="643" spans="1:14" ht="15.75" x14ac:dyDescent="0.25">
      <c r="A643" s="147"/>
      <c r="B643" s="148"/>
      <c r="C643" s="149"/>
      <c r="D643" s="149"/>
      <c r="E643" s="155" t="s">
        <v>271</v>
      </c>
      <c r="F643" s="156">
        <f>ROUND(SUM(F632:F642), 0)</f>
        <v>26046</v>
      </c>
      <c r="N643" s="183"/>
    </row>
    <row r="644" spans="1:14" ht="31.5" x14ac:dyDescent="0.25">
      <c r="A644" s="97">
        <f>+PRESUPUESTO!A55</f>
        <v>3.4</v>
      </c>
      <c r="B644" s="98" t="str">
        <f>+PRESUPUESTO!B55</f>
        <v xml:space="preserve">BASE EN RECEBO COMPACTADO  DE ESPSOR DE 10 CMS PARA VIGA DE CIEMENTACION </v>
      </c>
      <c r="C644" s="99"/>
      <c r="D644" s="99"/>
      <c r="E644" s="100"/>
      <c r="F644" s="100" t="str">
        <f>+PRESUPUESTO!D55</f>
        <v>M3</v>
      </c>
      <c r="N644" s="183"/>
    </row>
    <row r="645" spans="1:14" ht="15.75" x14ac:dyDescent="0.25">
      <c r="A645" s="89"/>
      <c r="B645" s="74" t="s">
        <v>92</v>
      </c>
      <c r="C645" s="75" t="s">
        <v>93</v>
      </c>
      <c r="D645" s="75" t="s">
        <v>259</v>
      </c>
      <c r="E645" s="76" t="s">
        <v>260</v>
      </c>
      <c r="F645" s="76" t="s">
        <v>261</v>
      </c>
      <c r="N645" s="183"/>
    </row>
    <row r="646" spans="1:14" ht="15.75" x14ac:dyDescent="0.25">
      <c r="A646" s="89"/>
      <c r="B646" s="77" t="s">
        <v>262</v>
      </c>
      <c r="C646" s="78"/>
      <c r="D646" s="78"/>
      <c r="E646" s="79"/>
      <c r="F646" s="79"/>
      <c r="N646" s="183"/>
    </row>
    <row r="647" spans="1:14" ht="15.75" x14ac:dyDescent="0.25">
      <c r="A647" s="89"/>
      <c r="B647" s="80" t="s">
        <v>435</v>
      </c>
      <c r="C647" s="75" t="s">
        <v>145</v>
      </c>
      <c r="D647" s="75">
        <v>1.3</v>
      </c>
      <c r="E647" s="76">
        <v>81541</v>
      </c>
      <c r="F647" s="76">
        <f>+E647*D647</f>
        <v>106003.3</v>
      </c>
      <c r="G647">
        <v>3.4</v>
      </c>
      <c r="H647" t="str">
        <f t="shared" si="103"/>
        <v>RECEBO COMÚN</v>
      </c>
      <c r="M647" t="str">
        <f t="shared" si="104"/>
        <v>M3</v>
      </c>
      <c r="N647" s="183">
        <f t="shared" si="105"/>
        <v>106003.3</v>
      </c>
    </row>
    <row r="648" spans="1:14" ht="15.75" x14ac:dyDescent="0.25">
      <c r="A648" s="89"/>
      <c r="B648" s="80" t="s">
        <v>309</v>
      </c>
      <c r="C648" s="75" t="s">
        <v>316</v>
      </c>
      <c r="D648" s="75">
        <v>18</v>
      </c>
      <c r="E648" s="76">
        <v>78</v>
      </c>
      <c r="F648" s="76">
        <f>+E648*D648</f>
        <v>1404</v>
      </c>
      <c r="G648">
        <v>3.4</v>
      </c>
      <c r="H648" t="str">
        <f t="shared" si="103"/>
        <v>AGUA</v>
      </c>
      <c r="M648" t="str">
        <f t="shared" si="104"/>
        <v>LT</v>
      </c>
      <c r="N648" s="183">
        <f t="shared" si="105"/>
        <v>1404</v>
      </c>
    </row>
    <row r="649" spans="1:14" ht="15.75" x14ac:dyDescent="0.25">
      <c r="A649" s="89"/>
      <c r="B649" s="80" t="s">
        <v>436</v>
      </c>
      <c r="C649" s="75" t="s">
        <v>451</v>
      </c>
      <c r="D649" s="75">
        <v>4.2000000000000003E-2</v>
      </c>
      <c r="E649" s="76">
        <v>16182</v>
      </c>
      <c r="F649" s="76">
        <f>+E649*D649</f>
        <v>679.64400000000001</v>
      </c>
      <c r="G649">
        <v>3.4</v>
      </c>
      <c r="H649" t="str">
        <f t="shared" si="103"/>
        <v>GASOLINA</v>
      </c>
      <c r="M649" t="str">
        <f t="shared" si="104"/>
        <v>GALON</v>
      </c>
      <c r="N649" s="183">
        <f t="shared" si="105"/>
        <v>679.64400000000001</v>
      </c>
    </row>
    <row r="650" spans="1:14" ht="15.75" x14ac:dyDescent="0.25">
      <c r="A650" s="89"/>
      <c r="B650" s="77" t="s">
        <v>264</v>
      </c>
      <c r="C650" s="78"/>
      <c r="D650" s="78"/>
      <c r="E650" s="76"/>
      <c r="F650" s="76"/>
      <c r="N650" s="183"/>
    </row>
    <row r="651" spans="1:14" ht="15.75" x14ac:dyDescent="0.25">
      <c r="A651" s="89"/>
      <c r="B651" s="80" t="s">
        <v>305</v>
      </c>
      <c r="C651" s="78" t="s">
        <v>93</v>
      </c>
      <c r="D651" s="78">
        <v>1.8E-3</v>
      </c>
      <c r="E651" s="76">
        <v>456917</v>
      </c>
      <c r="F651" s="76">
        <f t="shared" ref="F651:F652" si="112">+E651*D651</f>
        <v>822.45060000000001</v>
      </c>
      <c r="N651" s="183"/>
    </row>
    <row r="652" spans="1:14" ht="15.75" x14ac:dyDescent="0.25">
      <c r="A652" s="89"/>
      <c r="B652" s="80" t="s">
        <v>437</v>
      </c>
      <c r="C652" s="78" t="s">
        <v>297</v>
      </c>
      <c r="D652" s="78">
        <v>4.2000000000000003E-2</v>
      </c>
      <c r="E652" s="76">
        <v>57951</v>
      </c>
      <c r="F652" s="76">
        <f t="shared" si="112"/>
        <v>2433.942</v>
      </c>
      <c r="N652" s="183"/>
    </row>
    <row r="653" spans="1:14" ht="15.75" x14ac:dyDescent="0.25">
      <c r="A653" s="89"/>
      <c r="B653" s="77" t="s">
        <v>266</v>
      </c>
      <c r="C653" s="78"/>
      <c r="D653" s="78"/>
      <c r="E653" s="76"/>
      <c r="F653" s="76"/>
      <c r="N653" s="183"/>
    </row>
    <row r="654" spans="1:14" ht="15.75" x14ac:dyDescent="0.25">
      <c r="A654" s="89"/>
      <c r="B654" s="82" t="s">
        <v>267</v>
      </c>
      <c r="C654" s="78"/>
      <c r="D654" s="78"/>
      <c r="E654" s="76"/>
      <c r="F654" s="76"/>
      <c r="N654" s="183"/>
    </row>
    <row r="655" spans="1:14" ht="15.75" x14ac:dyDescent="0.25">
      <c r="A655" s="89"/>
      <c r="B655" s="77" t="s">
        <v>269</v>
      </c>
      <c r="C655" s="78"/>
      <c r="D655" s="78"/>
      <c r="E655" s="76"/>
      <c r="F655" s="76"/>
      <c r="N655" s="183"/>
    </row>
    <row r="656" spans="1:14" ht="15.75" x14ac:dyDescent="0.25">
      <c r="A656" s="89"/>
      <c r="B656" s="80" t="s">
        <v>678</v>
      </c>
      <c r="C656" s="78" t="s">
        <v>297</v>
      </c>
      <c r="D656" s="78">
        <v>0.09</v>
      </c>
      <c r="E656" s="76">
        <v>394915</v>
      </c>
      <c r="F656" s="76">
        <f t="shared" ref="F656" si="113">+E656*D656</f>
        <v>35542.35</v>
      </c>
      <c r="N656" s="183"/>
    </row>
    <row r="657" spans="1:14" ht="15.75" x14ac:dyDescent="0.25">
      <c r="A657" s="89"/>
      <c r="B657" s="82"/>
      <c r="C657" s="78"/>
      <c r="D657" s="78"/>
      <c r="E657" s="85" t="s">
        <v>271</v>
      </c>
      <c r="F657" s="86">
        <f>ROUND(SUM(F647:F656), 0)</f>
        <v>146886</v>
      </c>
      <c r="N657" s="183"/>
    </row>
    <row r="658" spans="1:14" ht="42.75" customHeight="1" x14ac:dyDescent="0.25">
      <c r="A658" s="97">
        <f>+PRESUPUESTO!A56</f>
        <v>3.5</v>
      </c>
      <c r="B658" s="98" t="str">
        <f>+PRESUPUESTO!B56</f>
        <v>SUMINISTRO E INSTALACION DE CONCRETO   DE 3.000 PSI PARA ZAPATAS PEDESTAL Y VIGA INCLUYE ALFAJIA EN CONCRETO SEGÚN DISEÑO</v>
      </c>
      <c r="C658" s="99"/>
      <c r="D658" s="99"/>
      <c r="E658" s="100"/>
      <c r="F658" s="100" t="str">
        <f>+PRESUPUESTO!D56</f>
        <v>M3</v>
      </c>
      <c r="N658" s="183"/>
    </row>
    <row r="659" spans="1:14" ht="15.75" x14ac:dyDescent="0.25">
      <c r="A659" s="89"/>
      <c r="B659" s="74" t="s">
        <v>92</v>
      </c>
      <c r="C659" s="75" t="s">
        <v>93</v>
      </c>
      <c r="D659" s="75" t="s">
        <v>259</v>
      </c>
      <c r="E659" s="76" t="s">
        <v>260</v>
      </c>
      <c r="F659" s="76" t="s">
        <v>261</v>
      </c>
      <c r="N659" s="183"/>
    </row>
    <row r="660" spans="1:14" ht="15.75" x14ac:dyDescent="0.25">
      <c r="A660" s="89"/>
      <c r="B660" s="77" t="s">
        <v>262</v>
      </c>
      <c r="C660" s="78"/>
      <c r="D660" s="78"/>
      <c r="E660" s="79"/>
      <c r="F660" s="79"/>
      <c r="N660" s="183"/>
    </row>
    <row r="661" spans="1:14" ht="15.75" x14ac:dyDescent="0.25">
      <c r="A661" s="89"/>
      <c r="B661" s="80" t="s">
        <v>299</v>
      </c>
      <c r="C661" s="78" t="s">
        <v>98</v>
      </c>
      <c r="D661" s="78">
        <v>0.06</v>
      </c>
      <c r="E661" s="79">
        <v>84004</v>
      </c>
      <c r="F661" s="76">
        <f t="shared" ref="F661" si="114">+E661*D661</f>
        <v>5040.24</v>
      </c>
      <c r="G661">
        <v>3.5</v>
      </c>
      <c r="H661" t="str">
        <f t="shared" ref="H661:H703" si="115">+B661</f>
        <v>FORMALETA</v>
      </c>
      <c r="M661" t="str">
        <f t="shared" ref="M661:M703" si="116">+C661</f>
        <v>M2</v>
      </c>
      <c r="N661" s="183">
        <f t="shared" ref="N661:N703" si="117">+F661</f>
        <v>5040.24</v>
      </c>
    </row>
    <row r="662" spans="1:14" ht="15.75" x14ac:dyDescent="0.25">
      <c r="A662" s="89"/>
      <c r="B662" s="80" t="s">
        <v>407</v>
      </c>
      <c r="C662" s="75" t="s">
        <v>316</v>
      </c>
      <c r="D662" s="75">
        <v>0.3</v>
      </c>
      <c r="E662" s="76">
        <v>14174</v>
      </c>
      <c r="F662" s="76">
        <f t="shared" ref="F662:F663" si="118">+E662*D662</f>
        <v>4252.2</v>
      </c>
      <c r="G662">
        <v>3.5</v>
      </c>
      <c r="H662" t="str">
        <f t="shared" si="115"/>
        <v>SEPAROL N (Desformaleteante para fácil desencofre de concr</v>
      </c>
      <c r="M662" t="str">
        <f t="shared" si="116"/>
        <v>LT</v>
      </c>
      <c r="N662" s="183">
        <f t="shared" si="117"/>
        <v>4252.2</v>
      </c>
    </row>
    <row r="663" spans="1:14" ht="15.75" x14ac:dyDescent="0.25">
      <c r="A663" s="89"/>
      <c r="B663" s="80" t="s">
        <v>301</v>
      </c>
      <c r="C663" s="75" t="s">
        <v>451</v>
      </c>
      <c r="D663" s="75">
        <v>1.03</v>
      </c>
      <c r="E663" s="76">
        <v>509960</v>
      </c>
      <c r="F663" s="76">
        <f t="shared" si="118"/>
        <v>525258.80000000005</v>
      </c>
      <c r="G663">
        <v>3.5</v>
      </c>
      <c r="H663" t="str">
        <f t="shared" si="115"/>
        <v>CONCRETO 20.7 MPa</v>
      </c>
      <c r="M663" t="str">
        <f t="shared" si="116"/>
        <v>GALON</v>
      </c>
      <c r="N663" s="183">
        <f t="shared" si="117"/>
        <v>525258.80000000005</v>
      </c>
    </row>
    <row r="664" spans="1:14" ht="15.75" x14ac:dyDescent="0.25">
      <c r="A664" s="89"/>
      <c r="B664" s="80"/>
      <c r="C664" s="75"/>
      <c r="D664" s="75"/>
      <c r="E664" s="76"/>
      <c r="F664" s="76"/>
      <c r="N664" s="183"/>
    </row>
    <row r="665" spans="1:14" ht="15.75" x14ac:dyDescent="0.25">
      <c r="A665" s="89"/>
      <c r="B665" s="77" t="s">
        <v>264</v>
      </c>
      <c r="C665" s="78"/>
      <c r="D665" s="78"/>
      <c r="E665" s="76"/>
      <c r="F665" s="76"/>
      <c r="N665" s="183"/>
    </row>
    <row r="666" spans="1:14" ht="15.75" x14ac:dyDescent="0.25">
      <c r="A666" s="89"/>
      <c r="B666" s="80" t="s">
        <v>390</v>
      </c>
      <c r="C666" s="78" t="s">
        <v>93</v>
      </c>
      <c r="D666" s="78">
        <v>1.6199999999999999E-2</v>
      </c>
      <c r="E666" s="76">
        <v>18495</v>
      </c>
      <c r="F666" s="76">
        <f t="shared" ref="F666:F670" si="119">+E666*D666</f>
        <v>299.61899999999997</v>
      </c>
      <c r="N666" s="183"/>
    </row>
    <row r="667" spans="1:14" ht="15.75" x14ac:dyDescent="0.25">
      <c r="A667" s="89"/>
      <c r="B667" s="80" t="s">
        <v>295</v>
      </c>
      <c r="C667" s="78" t="s">
        <v>93</v>
      </c>
      <c r="D667" s="78">
        <v>1.6199999999999999E-2</v>
      </c>
      <c r="E667" s="76">
        <v>350556</v>
      </c>
      <c r="F667" s="76">
        <f t="shared" si="119"/>
        <v>5679.0072</v>
      </c>
      <c r="N667" s="183"/>
    </row>
    <row r="668" spans="1:14" ht="15.75" x14ac:dyDescent="0.25">
      <c r="A668" s="89"/>
      <c r="B668" s="80" t="s">
        <v>335</v>
      </c>
      <c r="C668" s="78" t="s">
        <v>297</v>
      </c>
      <c r="D668" s="78">
        <v>8.0999999999999996E-3</v>
      </c>
      <c r="E668" s="76">
        <v>62851</v>
      </c>
      <c r="F668" s="76">
        <f t="shared" si="119"/>
        <v>509.09309999999999</v>
      </c>
      <c r="N668" s="183"/>
    </row>
    <row r="669" spans="1:14" ht="15.75" x14ac:dyDescent="0.25">
      <c r="A669" s="89"/>
      <c r="B669" s="80" t="s">
        <v>410</v>
      </c>
      <c r="C669" s="78" t="s">
        <v>297</v>
      </c>
      <c r="D669" s="78">
        <v>0.125</v>
      </c>
      <c r="E669" s="76">
        <v>44882</v>
      </c>
      <c r="F669" s="76">
        <f t="shared" si="119"/>
        <v>5610.25</v>
      </c>
      <c r="N669" s="183"/>
    </row>
    <row r="670" spans="1:14" ht="15.75" x14ac:dyDescent="0.25">
      <c r="A670" s="89"/>
      <c r="B670" s="80" t="s">
        <v>296</v>
      </c>
      <c r="C670" s="78" t="s">
        <v>93</v>
      </c>
      <c r="D670" s="78">
        <v>8.0999999999999996E-3</v>
      </c>
      <c r="E670" s="76">
        <v>348121</v>
      </c>
      <c r="F670" s="76">
        <f t="shared" si="119"/>
        <v>2819.7800999999999</v>
      </c>
      <c r="N670" s="183"/>
    </row>
    <row r="671" spans="1:14" ht="15.75" x14ac:dyDescent="0.25">
      <c r="A671" s="89"/>
      <c r="B671" s="77" t="s">
        <v>266</v>
      </c>
      <c r="C671" s="78"/>
      <c r="D671" s="78"/>
      <c r="E671" s="76"/>
      <c r="F671" s="76"/>
      <c r="N671" s="183"/>
    </row>
    <row r="672" spans="1:14" ht="15.75" x14ac:dyDescent="0.25">
      <c r="A672" s="89"/>
      <c r="B672" s="82" t="s">
        <v>267</v>
      </c>
      <c r="C672" s="78"/>
      <c r="D672" s="78"/>
      <c r="E672" s="76"/>
      <c r="F672" s="76"/>
      <c r="N672" s="183"/>
    </row>
    <row r="673" spans="1:14" ht="15.75" x14ac:dyDescent="0.25">
      <c r="A673" s="89"/>
      <c r="B673" s="77" t="s">
        <v>269</v>
      </c>
      <c r="C673" s="78"/>
      <c r="D673" s="78"/>
      <c r="E673" s="76"/>
      <c r="F673" s="76"/>
      <c r="N673" s="183"/>
    </row>
    <row r="674" spans="1:14" ht="15.75" x14ac:dyDescent="0.25">
      <c r="A674" s="89"/>
      <c r="B674" s="80" t="s">
        <v>324</v>
      </c>
      <c r="C674" s="78" t="s">
        <v>297</v>
      </c>
      <c r="D674" s="78">
        <v>0.4</v>
      </c>
      <c r="E674" s="76">
        <v>484755</v>
      </c>
      <c r="F674" s="76">
        <f t="shared" ref="F674:F676" si="120">+E674*D674</f>
        <v>193902</v>
      </c>
      <c r="N674" s="183"/>
    </row>
    <row r="675" spans="1:14" ht="15.75" x14ac:dyDescent="0.25">
      <c r="A675" s="89"/>
      <c r="B675" s="164" t="s">
        <v>411</v>
      </c>
      <c r="C675" s="78"/>
      <c r="D675" s="78"/>
      <c r="E675" s="76"/>
      <c r="F675" s="76">
        <f t="shared" si="120"/>
        <v>0</v>
      </c>
      <c r="N675" s="183"/>
    </row>
    <row r="676" spans="1:14" ht="15.75" x14ac:dyDescent="0.25">
      <c r="A676" s="89"/>
      <c r="B676" t="s">
        <v>412</v>
      </c>
      <c r="C676" s="78" t="s">
        <v>93</v>
      </c>
      <c r="D676" s="78">
        <v>0.05</v>
      </c>
      <c r="E676" s="76">
        <v>265468</v>
      </c>
      <c r="F676" s="76">
        <f t="shared" si="120"/>
        <v>13273.400000000001</v>
      </c>
      <c r="N676" s="183"/>
    </row>
    <row r="677" spans="1:14" ht="15.75" x14ac:dyDescent="0.25">
      <c r="A677" s="89"/>
      <c r="B677" s="80"/>
      <c r="C677" s="78"/>
      <c r="D677" s="78"/>
      <c r="E677" s="76"/>
      <c r="F677" s="76"/>
      <c r="N677" s="183"/>
    </row>
    <row r="678" spans="1:14" ht="15.75" x14ac:dyDescent="0.25">
      <c r="A678" s="89"/>
      <c r="B678" s="82"/>
      <c r="C678" s="78"/>
      <c r="D678" s="78"/>
      <c r="E678" s="85" t="s">
        <v>271</v>
      </c>
      <c r="F678" s="86">
        <f>ROUND(SUM(F661:F676), 0)</f>
        <v>756644</v>
      </c>
      <c r="N678" s="183"/>
    </row>
    <row r="679" spans="1:14" ht="38.25" customHeight="1" x14ac:dyDescent="0.25">
      <c r="A679" s="97">
        <f>+PRESUPUESTO!A57</f>
        <v>3.6</v>
      </c>
      <c r="B679" s="98" t="str">
        <f>+PRESUPUESTO!B57</f>
        <v>VARILA DE 1/2 " Y VARILLA DE  3/8"  ACERO DE REFUERZO DE 60.000 Y ALAMBRE NEGRO No 18</v>
      </c>
      <c r="C679" s="99"/>
      <c r="D679" s="99"/>
      <c r="E679" s="100"/>
      <c r="F679" s="100" t="str">
        <f>+PRESUPUESTO!D57</f>
        <v>KL</v>
      </c>
      <c r="N679" s="183"/>
    </row>
    <row r="680" spans="1:14" ht="15.75" x14ac:dyDescent="0.25">
      <c r="A680" s="89"/>
      <c r="B680" s="74" t="s">
        <v>92</v>
      </c>
      <c r="C680" s="75" t="s">
        <v>93</v>
      </c>
      <c r="D680" s="75" t="s">
        <v>259</v>
      </c>
      <c r="E680" s="76" t="s">
        <v>260</v>
      </c>
      <c r="F680" s="76" t="s">
        <v>261</v>
      </c>
      <c r="N680" s="183"/>
    </row>
    <row r="681" spans="1:14" ht="15.75" x14ac:dyDescent="0.25">
      <c r="A681" s="89"/>
      <c r="B681" s="77" t="s">
        <v>262</v>
      </c>
      <c r="C681" s="78"/>
      <c r="D681" s="78"/>
      <c r="E681" s="79"/>
      <c r="F681" s="79"/>
      <c r="N681" s="183"/>
    </row>
    <row r="682" spans="1:14" ht="15.75" x14ac:dyDescent="0.25">
      <c r="A682" s="89"/>
      <c r="B682" s="80" t="s">
        <v>422</v>
      </c>
      <c r="C682" s="75" t="s">
        <v>315</v>
      </c>
      <c r="D682" s="75">
        <v>1.04</v>
      </c>
      <c r="E682" s="76">
        <f>5093*1.0716</f>
        <v>5457.6588000000002</v>
      </c>
      <c r="F682" s="76">
        <f>+E682*D682</f>
        <v>5675.9651520000007</v>
      </c>
      <c r="G682">
        <v>3.6</v>
      </c>
      <c r="H682" t="str">
        <f t="shared" si="115"/>
        <v>ACERO Fy= 420 MPa</v>
      </c>
      <c r="M682" t="str">
        <f t="shared" si="116"/>
        <v>KL</v>
      </c>
      <c r="N682" s="183">
        <f t="shared" si="117"/>
        <v>5675.9651520000007</v>
      </c>
    </row>
    <row r="683" spans="1:14" ht="15.75" x14ac:dyDescent="0.25">
      <c r="A683" s="89"/>
      <c r="B683" s="80" t="s">
        <v>413</v>
      </c>
      <c r="C683" s="75" t="s">
        <v>315</v>
      </c>
      <c r="D683" s="75">
        <v>0.03</v>
      </c>
      <c r="E683" s="76">
        <f>7584*1.0716</f>
        <v>8127.0144000000009</v>
      </c>
      <c r="F683" s="76">
        <f>+E683*D683</f>
        <v>243.81043200000002</v>
      </c>
      <c r="G683">
        <v>3.6</v>
      </c>
      <c r="H683" t="str">
        <f t="shared" si="115"/>
        <v>ALAMBRE NEGRO #18</v>
      </c>
      <c r="M683" t="str">
        <f t="shared" si="116"/>
        <v>KL</v>
      </c>
      <c r="N683" s="183">
        <f t="shared" si="117"/>
        <v>243.81043200000002</v>
      </c>
    </row>
    <row r="684" spans="1:14" ht="15.75" x14ac:dyDescent="0.25">
      <c r="A684" s="89"/>
      <c r="B684" s="77" t="s">
        <v>264</v>
      </c>
      <c r="C684" s="78"/>
      <c r="D684" s="78"/>
      <c r="E684" s="79"/>
      <c r="F684" s="76">
        <f t="shared" ref="F684" si="121">+E684*D684</f>
        <v>0</v>
      </c>
      <c r="N684" s="183"/>
    </row>
    <row r="685" spans="1:14" ht="15.75" x14ac:dyDescent="0.25">
      <c r="A685" s="89"/>
      <c r="B685" s="80" t="s">
        <v>414</v>
      </c>
      <c r="C685" s="78" t="s">
        <v>297</v>
      </c>
      <c r="D685" s="78">
        <v>1.5999999999999999E-5</v>
      </c>
      <c r="E685" s="76">
        <f>15791*1.0716</f>
        <v>16921.635600000001</v>
      </c>
      <c r="F685" s="76"/>
      <c r="N685" s="183"/>
    </row>
    <row r="686" spans="1:14" ht="15.75" x14ac:dyDescent="0.25">
      <c r="A686" s="89"/>
      <c r="B686" s="80" t="s">
        <v>415</v>
      </c>
      <c r="C686" s="78" t="s">
        <v>93</v>
      </c>
      <c r="D686" s="78">
        <v>1.5999999999999999E-5</v>
      </c>
      <c r="E686" s="76">
        <f>969259*1.0716</f>
        <v>1038657.9444000002</v>
      </c>
      <c r="F686" s="76">
        <f t="shared" ref="F686:F693" si="122">+E686*D686</f>
        <v>16.618527110400002</v>
      </c>
      <c r="N686" s="183"/>
    </row>
    <row r="687" spans="1:14" ht="15.75" x14ac:dyDescent="0.25">
      <c r="A687" s="89"/>
      <c r="B687" s="80" t="s">
        <v>416</v>
      </c>
      <c r="C687" s="78" t="s">
        <v>93</v>
      </c>
      <c r="D687" s="78">
        <v>3.1999999999999999E-5</v>
      </c>
      <c r="E687" s="76">
        <f>5004*1.0716</f>
        <v>5362.2864000000009</v>
      </c>
      <c r="F687" s="76">
        <f t="shared" si="122"/>
        <v>0.17159316480000003</v>
      </c>
      <c r="N687" s="183"/>
    </row>
    <row r="688" spans="1:14" ht="15.75" x14ac:dyDescent="0.25">
      <c r="A688" s="89"/>
      <c r="B688" s="80" t="s">
        <v>417</v>
      </c>
      <c r="C688" s="78" t="s">
        <v>93</v>
      </c>
      <c r="D688" s="78">
        <v>3.1999999999999999E-5</v>
      </c>
      <c r="E688" s="76">
        <f>356848*1.0716</f>
        <v>382398.31680000003</v>
      </c>
      <c r="F688" s="76">
        <f t="shared" si="122"/>
        <v>12.236746137600001</v>
      </c>
      <c r="N688" s="183"/>
    </row>
    <row r="689" spans="1:14" ht="15.75" x14ac:dyDescent="0.25">
      <c r="A689" s="89"/>
      <c r="B689" s="80"/>
      <c r="C689" s="78"/>
      <c r="D689" s="81"/>
      <c r="E689" s="76"/>
      <c r="F689" s="76">
        <f t="shared" si="122"/>
        <v>0</v>
      </c>
      <c r="N689" s="183"/>
    </row>
    <row r="690" spans="1:14" ht="15.75" x14ac:dyDescent="0.25">
      <c r="A690" s="89"/>
      <c r="B690" s="77" t="s">
        <v>266</v>
      </c>
      <c r="C690" s="78"/>
      <c r="D690" s="78"/>
      <c r="E690" s="76"/>
      <c r="F690" s="76">
        <f t="shared" si="122"/>
        <v>0</v>
      </c>
      <c r="N690" s="183"/>
    </row>
    <row r="691" spans="1:14" ht="15.75" x14ac:dyDescent="0.25">
      <c r="A691" s="89"/>
      <c r="B691" s="82" t="s">
        <v>267</v>
      </c>
      <c r="C691" s="78" t="s">
        <v>268</v>
      </c>
      <c r="D691" s="78"/>
      <c r="E691" s="83"/>
      <c r="F691" s="76">
        <f t="shared" si="122"/>
        <v>0</v>
      </c>
      <c r="N691" s="183"/>
    </row>
    <row r="692" spans="1:14" ht="15.75" x14ac:dyDescent="0.25">
      <c r="A692" s="89"/>
      <c r="B692" s="77" t="s">
        <v>269</v>
      </c>
      <c r="C692" s="78"/>
      <c r="D692" s="78"/>
      <c r="E692" s="79"/>
      <c r="F692" s="76">
        <f t="shared" si="122"/>
        <v>0</v>
      </c>
      <c r="N692" s="183"/>
    </row>
    <row r="693" spans="1:14" ht="15.75" x14ac:dyDescent="0.25">
      <c r="A693" s="89"/>
      <c r="B693" t="s">
        <v>418</v>
      </c>
      <c r="C693" s="78" t="s">
        <v>265</v>
      </c>
      <c r="D693" s="78">
        <v>1.6000000000000001E-3</v>
      </c>
      <c r="E693" s="76">
        <f>525933*1.0716</f>
        <v>563589.80280000006</v>
      </c>
      <c r="F693" s="76">
        <f t="shared" si="122"/>
        <v>901.74368448000018</v>
      </c>
      <c r="N693" s="183"/>
    </row>
    <row r="694" spans="1:14" ht="15.75" x14ac:dyDescent="0.25">
      <c r="A694" s="89"/>
      <c r="B694" s="82"/>
      <c r="C694" s="78"/>
      <c r="D694" s="78"/>
      <c r="E694" s="85" t="s">
        <v>271</v>
      </c>
      <c r="F694" s="86">
        <f>ROUND(SUM(F682:F693), 0)</f>
        <v>6851</v>
      </c>
      <c r="N694" s="183"/>
    </row>
    <row r="695" spans="1:14" ht="87.75" customHeight="1" x14ac:dyDescent="0.25">
      <c r="A695" s="97">
        <f>+PRESUPUESTO!A58</f>
        <v>3.7</v>
      </c>
      <c r="B695" s="98" t="str">
        <f>+PRESUPUESTO!B58</f>
        <v>SUMINISTRO E INSTALACION DE CERRAMIENTO EN TUBERIA REDONDA  3"  GALVANIZADA DE 2,20 MTS DE ALTO , TUBO CAD 15 CMS CON TAPA PUNTA CHAFLAN PINTADA EN WASH PRIMER  Y TERMINACION EN ESMALTE  EN COLOR DESEADO</v>
      </c>
      <c r="C695" s="99"/>
      <c r="D695" s="99"/>
      <c r="E695" s="100"/>
      <c r="F695" s="100" t="str">
        <f>+PRESUPUESTO!D58</f>
        <v>ML</v>
      </c>
      <c r="N695" s="183"/>
    </row>
    <row r="696" spans="1:14" ht="15.75" x14ac:dyDescent="0.25">
      <c r="A696" s="89"/>
      <c r="B696" s="74" t="s">
        <v>92</v>
      </c>
      <c r="C696" s="75" t="s">
        <v>93</v>
      </c>
      <c r="D696" s="75" t="s">
        <v>259</v>
      </c>
      <c r="E696" s="76" t="s">
        <v>260</v>
      </c>
      <c r="F696" s="76" t="s">
        <v>261</v>
      </c>
      <c r="N696" s="183"/>
    </row>
    <row r="697" spans="1:14" ht="15.75" x14ac:dyDescent="0.25">
      <c r="A697" s="89"/>
      <c r="B697" s="77" t="s">
        <v>262</v>
      </c>
      <c r="C697" s="78"/>
      <c r="D697" s="78"/>
      <c r="E697" s="79"/>
      <c r="F697" s="79"/>
      <c r="N697" s="183"/>
    </row>
    <row r="698" spans="1:14" ht="15.75" x14ac:dyDescent="0.25">
      <c r="A698" s="89"/>
      <c r="B698" s="80" t="s">
        <v>452</v>
      </c>
      <c r="C698" s="75" t="s">
        <v>239</v>
      </c>
      <c r="D698" s="75">
        <v>3</v>
      </c>
      <c r="E698" s="76">
        <v>45625</v>
      </c>
      <c r="F698" s="76">
        <f>+E698*D698</f>
        <v>136875</v>
      </c>
      <c r="G698" s="33">
        <v>3.7</v>
      </c>
      <c r="H698" t="str">
        <f t="shared" si="115"/>
        <v>TUBERIA CERRAMIENTO GALVANIZADO 3"</v>
      </c>
      <c r="M698" t="str">
        <f t="shared" si="116"/>
        <v>UN</v>
      </c>
      <c r="N698" s="183">
        <f t="shared" si="117"/>
        <v>136875</v>
      </c>
    </row>
    <row r="699" spans="1:14" ht="15.75" x14ac:dyDescent="0.25">
      <c r="A699" s="89"/>
      <c r="B699" s="80" t="s">
        <v>393</v>
      </c>
      <c r="C699" s="78" t="s">
        <v>315</v>
      </c>
      <c r="D699" s="78">
        <v>2.5999999999999999E-2</v>
      </c>
      <c r="E699" s="79">
        <v>28051</v>
      </c>
      <c r="F699" s="76">
        <f t="shared" ref="F699:F703" si="123">+E699*D699</f>
        <v>729.32600000000002</v>
      </c>
      <c r="G699" s="33">
        <v>3.7</v>
      </c>
      <c r="H699" t="str">
        <f t="shared" si="115"/>
        <v>SOLDADURA ELÉCTRICA</v>
      </c>
      <c r="M699" t="str">
        <f t="shared" si="116"/>
        <v>KL</v>
      </c>
      <c r="N699" s="183">
        <f t="shared" si="117"/>
        <v>729.32600000000002</v>
      </c>
    </row>
    <row r="700" spans="1:14" ht="15.75" x14ac:dyDescent="0.25">
      <c r="A700" s="89"/>
      <c r="B700" s="80" t="s">
        <v>394</v>
      </c>
      <c r="C700" s="78" t="s">
        <v>351</v>
      </c>
      <c r="D700" s="78">
        <v>2.9999999999999997E-4</v>
      </c>
      <c r="E700" s="79">
        <v>54358</v>
      </c>
      <c r="F700" s="76">
        <f t="shared" si="123"/>
        <v>16.307399999999998</v>
      </c>
      <c r="G700" s="33">
        <v>3.7</v>
      </c>
      <c r="H700" t="str">
        <f t="shared" si="115"/>
        <v>GUANTES DE CARNAZA</v>
      </c>
      <c r="M700" t="str">
        <f t="shared" si="116"/>
        <v>PAR</v>
      </c>
      <c r="N700" s="183">
        <f t="shared" si="117"/>
        <v>16.307399999999998</v>
      </c>
    </row>
    <row r="701" spans="1:14" ht="15.75" x14ac:dyDescent="0.25">
      <c r="A701" s="89"/>
      <c r="B701" s="80" t="s">
        <v>347</v>
      </c>
      <c r="C701" s="78" t="s">
        <v>263</v>
      </c>
      <c r="D701" s="78">
        <v>1E-3</v>
      </c>
      <c r="E701" s="79">
        <v>62634</v>
      </c>
      <c r="F701" s="76">
        <f t="shared" si="123"/>
        <v>62.634</v>
      </c>
      <c r="G701" s="33">
        <v>3.7</v>
      </c>
      <c r="H701" t="str">
        <f t="shared" si="115"/>
        <v>DISOLVENTE</v>
      </c>
      <c r="M701" t="str">
        <f t="shared" si="116"/>
        <v xml:space="preserve">GALON </v>
      </c>
      <c r="N701" s="183">
        <f t="shared" si="117"/>
        <v>62.634</v>
      </c>
    </row>
    <row r="702" spans="1:14" ht="15.75" x14ac:dyDescent="0.25">
      <c r="A702" s="89"/>
      <c r="B702" s="80" t="s">
        <v>454</v>
      </c>
      <c r="C702" s="78" t="s">
        <v>263</v>
      </c>
      <c r="D702" s="78">
        <v>2E-3</v>
      </c>
      <c r="E702" s="79">
        <v>199900</v>
      </c>
      <c r="F702" s="76">
        <f t="shared" si="123"/>
        <v>399.8</v>
      </c>
      <c r="G702" s="33">
        <v>3.7</v>
      </c>
      <c r="H702" t="str">
        <f t="shared" si="115"/>
        <v>PINTURA ANTICORROSIVA WASH PRIMER</v>
      </c>
      <c r="M702" t="str">
        <f t="shared" si="116"/>
        <v xml:space="preserve">GALON </v>
      </c>
      <c r="N702" s="183">
        <f t="shared" si="117"/>
        <v>399.8</v>
      </c>
    </row>
    <row r="703" spans="1:14" ht="15.75" x14ac:dyDescent="0.25">
      <c r="A703" s="89"/>
      <c r="B703" s="80" t="s">
        <v>348</v>
      </c>
      <c r="C703" s="78" t="s">
        <v>263</v>
      </c>
      <c r="D703" s="78">
        <v>2E-3</v>
      </c>
      <c r="E703" s="79">
        <v>104520</v>
      </c>
      <c r="F703" s="76">
        <f t="shared" si="123"/>
        <v>209.04</v>
      </c>
      <c r="G703" s="33">
        <v>3.7</v>
      </c>
      <c r="H703" t="str">
        <f t="shared" si="115"/>
        <v>PINTURA ESMALTE</v>
      </c>
      <c r="M703" t="str">
        <f t="shared" si="116"/>
        <v xml:space="preserve">GALON </v>
      </c>
      <c r="N703" s="183">
        <f t="shared" si="117"/>
        <v>209.04</v>
      </c>
    </row>
    <row r="704" spans="1:14" ht="15.75" x14ac:dyDescent="0.25">
      <c r="A704" s="89"/>
      <c r="B704" s="77" t="s">
        <v>264</v>
      </c>
      <c r="C704" s="78"/>
      <c r="D704" s="78"/>
      <c r="E704" s="79"/>
      <c r="F704" s="76"/>
      <c r="N704" s="183"/>
    </row>
    <row r="705" spans="1:14" ht="15.75" x14ac:dyDescent="0.25">
      <c r="A705" s="89"/>
      <c r="B705" s="80" t="s">
        <v>396</v>
      </c>
      <c r="C705" s="78" t="s">
        <v>265</v>
      </c>
      <c r="D705" s="78">
        <v>2.1999999999999999E-2</v>
      </c>
      <c r="E705" s="79">
        <v>82486</v>
      </c>
      <c r="F705" s="76">
        <f t="shared" ref="F705:F712" si="124">+E705*D705</f>
        <v>1814.692</v>
      </c>
      <c r="N705" s="183"/>
    </row>
    <row r="706" spans="1:14" ht="15.75" x14ac:dyDescent="0.25">
      <c r="A706" s="89"/>
      <c r="B706" s="80" t="s">
        <v>397</v>
      </c>
      <c r="C706" s="78" t="s">
        <v>93</v>
      </c>
      <c r="D706" s="78">
        <v>2.0000000000000001E-4</v>
      </c>
      <c r="E706" s="79">
        <v>1140504</v>
      </c>
      <c r="F706" s="76">
        <f t="shared" si="124"/>
        <v>228.10080000000002</v>
      </c>
      <c r="N706" s="183"/>
    </row>
    <row r="707" spans="1:14" ht="15.75" x14ac:dyDescent="0.25">
      <c r="A707" s="89"/>
      <c r="B707" s="80" t="s">
        <v>398</v>
      </c>
      <c r="C707" s="78" t="s">
        <v>93</v>
      </c>
      <c r="D707" s="78">
        <v>2.0000000000000001E-4</v>
      </c>
      <c r="E707" s="79">
        <v>24524</v>
      </c>
      <c r="F707" s="76">
        <f t="shared" si="124"/>
        <v>4.9047999999999998</v>
      </c>
      <c r="N707" s="183"/>
    </row>
    <row r="708" spans="1:14" ht="15.75" x14ac:dyDescent="0.25">
      <c r="A708" s="89"/>
      <c r="B708" s="80" t="s">
        <v>399</v>
      </c>
      <c r="C708" s="78" t="s">
        <v>93</v>
      </c>
      <c r="D708" s="78">
        <v>2.0000000000000001E-4</v>
      </c>
      <c r="E708" s="79">
        <v>1328630</v>
      </c>
      <c r="F708" s="76">
        <f t="shared" si="124"/>
        <v>265.726</v>
      </c>
      <c r="N708" s="183"/>
    </row>
    <row r="709" spans="1:14" ht="15.75" x14ac:dyDescent="0.25">
      <c r="A709" s="89"/>
      <c r="B709" s="80" t="s">
        <v>400</v>
      </c>
      <c r="C709" s="78" t="s">
        <v>93</v>
      </c>
      <c r="D709" s="78">
        <v>2.0000000000000001E-4</v>
      </c>
      <c r="E709" s="79">
        <v>86459</v>
      </c>
      <c r="F709" s="76">
        <f t="shared" si="124"/>
        <v>17.291800000000002</v>
      </c>
      <c r="N709" s="183"/>
    </row>
    <row r="710" spans="1:14" ht="15.75" x14ac:dyDescent="0.25">
      <c r="A710" s="89"/>
      <c r="B710" s="80" t="s">
        <v>352</v>
      </c>
      <c r="C710" s="78" t="s">
        <v>93</v>
      </c>
      <c r="D710" s="78">
        <v>4.0000000000000002E-4</v>
      </c>
      <c r="E710" s="79">
        <v>773875</v>
      </c>
      <c r="F710" s="76">
        <f t="shared" si="124"/>
        <v>309.55</v>
      </c>
      <c r="N710" s="183"/>
    </row>
    <row r="711" spans="1:14" ht="15.75" x14ac:dyDescent="0.25">
      <c r="A711" s="89"/>
      <c r="B711" s="80" t="s">
        <v>319</v>
      </c>
      <c r="C711" s="78" t="s">
        <v>297</v>
      </c>
      <c r="D711" s="78">
        <v>0.06</v>
      </c>
      <c r="E711" s="79">
        <v>5246</v>
      </c>
      <c r="F711" s="76">
        <f t="shared" si="124"/>
        <v>314.76</v>
      </c>
      <c r="N711" s="183"/>
    </row>
    <row r="712" spans="1:14" ht="15.75" x14ac:dyDescent="0.25">
      <c r="A712" s="89"/>
      <c r="B712" s="80" t="s">
        <v>349</v>
      </c>
      <c r="C712" s="78" t="s">
        <v>297</v>
      </c>
      <c r="D712" s="78">
        <v>4.0000000000000001E-3</v>
      </c>
      <c r="E712" s="79">
        <v>93132</v>
      </c>
      <c r="F712" s="76">
        <f t="shared" si="124"/>
        <v>372.52800000000002</v>
      </c>
      <c r="N712" s="183"/>
    </row>
    <row r="713" spans="1:14" ht="15.75" x14ac:dyDescent="0.25">
      <c r="A713" s="89"/>
      <c r="B713" s="77" t="s">
        <v>266</v>
      </c>
      <c r="C713" s="78"/>
      <c r="D713" s="78"/>
      <c r="E713" s="79"/>
      <c r="F713" s="76"/>
      <c r="N713" s="183"/>
    </row>
    <row r="714" spans="1:14" ht="15.75" x14ac:dyDescent="0.25">
      <c r="A714" s="89"/>
      <c r="B714" s="80" t="s">
        <v>381</v>
      </c>
      <c r="C714" s="78" t="s">
        <v>268</v>
      </c>
      <c r="D714" s="78">
        <v>1E-3</v>
      </c>
      <c r="E714" s="79">
        <v>64688</v>
      </c>
      <c r="F714" s="76">
        <f t="shared" ref="F714" si="125">+E714*D714</f>
        <v>64.688000000000002</v>
      </c>
      <c r="N714" s="183"/>
    </row>
    <row r="715" spans="1:14" ht="15.75" x14ac:dyDescent="0.25">
      <c r="A715" s="89"/>
      <c r="B715" s="77" t="s">
        <v>269</v>
      </c>
      <c r="C715" s="78"/>
      <c r="D715" s="78"/>
      <c r="E715" s="79"/>
      <c r="F715" s="76"/>
      <c r="N715" s="183"/>
    </row>
    <row r="716" spans="1:14" ht="15.75" x14ac:dyDescent="0.25">
      <c r="A716" s="89"/>
      <c r="B716" s="80" t="s">
        <v>401</v>
      </c>
      <c r="C716" s="78" t="s">
        <v>297</v>
      </c>
      <c r="D716" s="78">
        <v>2.1999999999999999E-2</v>
      </c>
      <c r="E716" s="79">
        <v>226211</v>
      </c>
      <c r="F716" s="76">
        <f t="shared" ref="F716:F717" si="126">+E716*D716</f>
        <v>4976.6419999999998</v>
      </c>
      <c r="N716" s="183"/>
    </row>
    <row r="717" spans="1:14" ht="15.75" x14ac:dyDescent="0.25">
      <c r="A717" s="89"/>
      <c r="B717" s="80" t="s">
        <v>402</v>
      </c>
      <c r="C717" s="78" t="s">
        <v>297</v>
      </c>
      <c r="D717" s="78">
        <v>4.0000000000000001E-3</v>
      </c>
      <c r="E717" s="79">
        <v>215236</v>
      </c>
      <c r="F717" s="76">
        <f t="shared" si="126"/>
        <v>860.94400000000007</v>
      </c>
      <c r="N717" s="183"/>
    </row>
    <row r="718" spans="1:14" ht="15.75" x14ac:dyDescent="0.25">
      <c r="A718" s="89"/>
      <c r="B718" s="82"/>
      <c r="C718" s="78"/>
      <c r="D718" s="78"/>
      <c r="E718" s="85" t="s">
        <v>271</v>
      </c>
      <c r="F718" s="86">
        <f>ROUND(SUM(F698:F717), 0)</f>
        <v>147522</v>
      </c>
      <c r="N718" s="183"/>
    </row>
    <row r="719" spans="1:14" ht="63" x14ac:dyDescent="0.25">
      <c r="A719" s="97">
        <f>+PRESUPUESTO!A59</f>
        <v>3.8</v>
      </c>
      <c r="B719" s="98" t="str">
        <f>+PRESUPUESTO!B59</f>
        <v>SUMINISTRO E INSTALACION DE PUERTA  EN TUBERIA REDONDA  3"  GALVANIZADA DE 2,20 MTS DE ALTO , TUBO CAD 15 CMS CON TAPA PUNTA CHAFLAN PINTADA EN WASH SEGÚN DISEÑO.</v>
      </c>
      <c r="C719" s="99"/>
      <c r="D719" s="99"/>
      <c r="E719" s="100"/>
      <c r="F719" s="100" t="str">
        <f>+PRESUPUESTO!D59</f>
        <v>M2</v>
      </c>
      <c r="N719" s="183"/>
    </row>
    <row r="720" spans="1:14" ht="15.75" x14ac:dyDescent="0.25">
      <c r="A720" s="89"/>
      <c r="B720" s="74" t="s">
        <v>92</v>
      </c>
      <c r="C720" s="75" t="s">
        <v>93</v>
      </c>
      <c r="D720" s="75" t="s">
        <v>259</v>
      </c>
      <c r="E720" s="76" t="s">
        <v>260</v>
      </c>
      <c r="F720" s="76" t="s">
        <v>261</v>
      </c>
      <c r="N720" s="183"/>
    </row>
    <row r="721" spans="1:14" ht="15.75" x14ac:dyDescent="0.25">
      <c r="A721" s="89"/>
      <c r="B721" s="77" t="s">
        <v>262</v>
      </c>
      <c r="C721" s="78"/>
      <c r="D721" s="78"/>
      <c r="E721" s="79"/>
      <c r="F721" s="79"/>
      <c r="N721" s="183"/>
    </row>
    <row r="722" spans="1:14" ht="15.75" x14ac:dyDescent="0.25">
      <c r="A722" s="89"/>
      <c r="B722" s="80" t="s">
        <v>452</v>
      </c>
      <c r="C722" s="75" t="s">
        <v>239</v>
      </c>
      <c r="D722" s="75">
        <v>3</v>
      </c>
      <c r="E722" s="76">
        <v>45625</v>
      </c>
      <c r="F722" s="76">
        <f>+E722*D722</f>
        <v>136875</v>
      </c>
      <c r="G722" s="33">
        <v>3.8</v>
      </c>
      <c r="H722" t="str">
        <f t="shared" ref="H722:H776" si="127">+B722</f>
        <v>TUBERIA CERRAMIENTO GALVANIZADO 3"</v>
      </c>
      <c r="M722" t="str">
        <f t="shared" ref="M722:M776" si="128">+C722</f>
        <v>UN</v>
      </c>
      <c r="N722" s="183">
        <f t="shared" ref="N722:N776" si="129">+F722</f>
        <v>136875</v>
      </c>
    </row>
    <row r="723" spans="1:14" ht="15.75" x14ac:dyDescent="0.25">
      <c r="A723" s="89"/>
      <c r="B723" s="80" t="s">
        <v>393</v>
      </c>
      <c r="C723" s="78" t="s">
        <v>315</v>
      </c>
      <c r="D723" s="78">
        <v>2.5999999999999999E-2</v>
      </c>
      <c r="E723" s="79">
        <v>28051</v>
      </c>
      <c r="F723" s="76">
        <f>+E723*D723</f>
        <v>729.32600000000002</v>
      </c>
      <c r="G723" s="33">
        <v>3.8</v>
      </c>
      <c r="H723" t="str">
        <f t="shared" si="127"/>
        <v>SOLDADURA ELÉCTRICA</v>
      </c>
      <c r="M723" t="str">
        <f t="shared" si="128"/>
        <v>KL</v>
      </c>
      <c r="N723" s="183">
        <f t="shared" si="129"/>
        <v>729.32600000000002</v>
      </c>
    </row>
    <row r="724" spans="1:14" ht="15.75" x14ac:dyDescent="0.25">
      <c r="A724" s="89"/>
      <c r="B724" s="80" t="s">
        <v>394</v>
      </c>
      <c r="C724" s="78" t="s">
        <v>351</v>
      </c>
      <c r="D724" s="78">
        <v>2.9999999999999997E-4</v>
      </c>
      <c r="E724" s="79">
        <v>54358</v>
      </c>
      <c r="F724" s="76">
        <f t="shared" ref="F724:F728" si="130">+E724*D724</f>
        <v>16.307399999999998</v>
      </c>
      <c r="G724" s="33">
        <v>3.8</v>
      </c>
      <c r="H724" t="str">
        <f t="shared" si="127"/>
        <v>GUANTES DE CARNAZA</v>
      </c>
      <c r="M724" t="str">
        <f t="shared" si="128"/>
        <v>PAR</v>
      </c>
      <c r="N724" s="183">
        <f t="shared" si="129"/>
        <v>16.307399999999998</v>
      </c>
    </row>
    <row r="725" spans="1:14" ht="15.75" x14ac:dyDescent="0.25">
      <c r="A725" s="89"/>
      <c r="B725" s="80" t="s">
        <v>347</v>
      </c>
      <c r="C725" s="78" t="s">
        <v>263</v>
      </c>
      <c r="D725" s="78">
        <v>1E-3</v>
      </c>
      <c r="E725" s="79">
        <v>62634</v>
      </c>
      <c r="F725" s="76">
        <f t="shared" si="130"/>
        <v>62.634</v>
      </c>
      <c r="G725" s="33">
        <v>3.8</v>
      </c>
      <c r="H725" t="str">
        <f t="shared" si="127"/>
        <v>DISOLVENTE</v>
      </c>
      <c r="M725" t="str">
        <f t="shared" si="128"/>
        <v xml:space="preserve">GALON </v>
      </c>
      <c r="N725" s="183">
        <f t="shared" si="129"/>
        <v>62.634</v>
      </c>
    </row>
    <row r="726" spans="1:14" ht="15.75" x14ac:dyDescent="0.25">
      <c r="A726" s="89"/>
      <c r="B726" s="80" t="s">
        <v>454</v>
      </c>
      <c r="C726" s="78" t="s">
        <v>263</v>
      </c>
      <c r="D726" s="78">
        <v>2E-3</v>
      </c>
      <c r="E726" s="79">
        <v>199900</v>
      </c>
      <c r="F726" s="76">
        <f t="shared" si="130"/>
        <v>399.8</v>
      </c>
      <c r="G726" s="33">
        <v>3.8</v>
      </c>
      <c r="H726" t="str">
        <f t="shared" si="127"/>
        <v>PINTURA ANTICORROSIVA WASH PRIMER</v>
      </c>
      <c r="M726" t="str">
        <f t="shared" si="128"/>
        <v xml:space="preserve">GALON </v>
      </c>
      <c r="N726" s="183">
        <f t="shared" si="129"/>
        <v>399.8</v>
      </c>
    </row>
    <row r="727" spans="1:14" ht="15.75" x14ac:dyDescent="0.25">
      <c r="A727" s="89"/>
      <c r="B727" s="80" t="s">
        <v>348</v>
      </c>
      <c r="C727" s="78" t="s">
        <v>263</v>
      </c>
      <c r="D727" s="78">
        <v>2E-3</v>
      </c>
      <c r="E727" s="79">
        <v>104520</v>
      </c>
      <c r="F727" s="76">
        <f t="shared" si="130"/>
        <v>209.04</v>
      </c>
      <c r="G727" s="33">
        <v>3.8</v>
      </c>
      <c r="H727" t="str">
        <f t="shared" si="127"/>
        <v>PINTURA ESMALTE</v>
      </c>
      <c r="M727" t="str">
        <f t="shared" si="128"/>
        <v xml:space="preserve">GALON </v>
      </c>
      <c r="N727" s="183">
        <f t="shared" si="129"/>
        <v>209.04</v>
      </c>
    </row>
    <row r="728" spans="1:14" ht="15.75" x14ac:dyDescent="0.25">
      <c r="A728" s="89"/>
      <c r="B728" s="80" t="s">
        <v>471</v>
      </c>
      <c r="C728" s="78" t="s">
        <v>93</v>
      </c>
      <c r="D728" s="78">
        <v>6</v>
      </c>
      <c r="E728" s="79">
        <v>100000</v>
      </c>
      <c r="F728" s="76">
        <f t="shared" si="130"/>
        <v>600000</v>
      </c>
      <c r="G728" s="33">
        <v>3.8</v>
      </c>
      <c r="H728" t="str">
        <f t="shared" si="127"/>
        <v>BISGRAS BUJE  PIVOTADAS</v>
      </c>
      <c r="M728" t="str">
        <f t="shared" si="128"/>
        <v>UNIDAD</v>
      </c>
      <c r="N728" s="183">
        <f t="shared" si="129"/>
        <v>600000</v>
      </c>
    </row>
    <row r="729" spans="1:14" ht="15.75" x14ac:dyDescent="0.25">
      <c r="A729" s="89"/>
      <c r="B729" s="77" t="s">
        <v>264</v>
      </c>
      <c r="C729" s="78"/>
      <c r="D729" s="78"/>
      <c r="E729" s="79"/>
      <c r="F729" s="76"/>
      <c r="N729" s="183"/>
    </row>
    <row r="730" spans="1:14" ht="15.75" x14ac:dyDescent="0.25">
      <c r="A730" s="89"/>
      <c r="B730" s="80" t="s">
        <v>396</v>
      </c>
      <c r="C730" s="78" t="s">
        <v>265</v>
      </c>
      <c r="D730" s="78">
        <v>2.1999999999999999E-2</v>
      </c>
      <c r="E730" s="79">
        <v>82486</v>
      </c>
      <c r="F730" s="76">
        <f t="shared" ref="F730:F737" si="131">+E730*D730</f>
        <v>1814.692</v>
      </c>
      <c r="N730" s="183"/>
    </row>
    <row r="731" spans="1:14" ht="15.75" x14ac:dyDescent="0.25">
      <c r="A731" s="89"/>
      <c r="B731" s="80" t="s">
        <v>397</v>
      </c>
      <c r="C731" s="78" t="s">
        <v>93</v>
      </c>
      <c r="D731" s="78">
        <v>2.0000000000000001E-4</v>
      </c>
      <c r="E731" s="79">
        <f>923317*1.0716</f>
        <v>989426.4972000001</v>
      </c>
      <c r="F731" s="76">
        <f t="shared" si="131"/>
        <v>197.88529944000004</v>
      </c>
      <c r="N731" s="183"/>
    </row>
    <row r="732" spans="1:14" ht="15.75" x14ac:dyDescent="0.25">
      <c r="A732" s="89"/>
      <c r="B732" s="80" t="s">
        <v>398</v>
      </c>
      <c r="C732" s="78" t="s">
        <v>93</v>
      </c>
      <c r="D732" s="78">
        <v>2.0000000000000001E-4</v>
      </c>
      <c r="E732" s="79">
        <f>19280*1.0716</f>
        <v>20660.448</v>
      </c>
      <c r="F732" s="76">
        <f t="shared" si="131"/>
        <v>4.1320896000000005</v>
      </c>
      <c r="N732" s="183"/>
    </row>
    <row r="733" spans="1:14" ht="15.75" x14ac:dyDescent="0.25">
      <c r="A733" s="89"/>
      <c r="B733" s="80" t="s">
        <v>399</v>
      </c>
      <c r="C733" s="78" t="s">
        <v>93</v>
      </c>
      <c r="D733" s="78">
        <v>2.0000000000000001E-4</v>
      </c>
      <c r="E733" s="79">
        <v>1328630</v>
      </c>
      <c r="F733" s="76">
        <f t="shared" si="131"/>
        <v>265.726</v>
      </c>
      <c r="N733" s="183"/>
    </row>
    <row r="734" spans="1:14" ht="15.75" x14ac:dyDescent="0.25">
      <c r="A734" s="89"/>
      <c r="B734" s="80" t="s">
        <v>400</v>
      </c>
      <c r="C734" s="78" t="s">
        <v>93</v>
      </c>
      <c r="D734" s="78">
        <v>2.0000000000000001E-4</v>
      </c>
      <c r="E734" s="79">
        <v>86459</v>
      </c>
      <c r="F734" s="76">
        <f t="shared" si="131"/>
        <v>17.291800000000002</v>
      </c>
      <c r="N734" s="183"/>
    </row>
    <row r="735" spans="1:14" ht="15.75" x14ac:dyDescent="0.25">
      <c r="A735" s="89"/>
      <c r="B735" s="80" t="s">
        <v>352</v>
      </c>
      <c r="C735" s="78" t="s">
        <v>93</v>
      </c>
      <c r="D735" s="78">
        <v>4.0000000000000002E-4</v>
      </c>
      <c r="E735" s="79">
        <v>773875</v>
      </c>
      <c r="F735" s="76">
        <f t="shared" si="131"/>
        <v>309.55</v>
      </c>
      <c r="N735" s="183"/>
    </row>
    <row r="736" spans="1:14" ht="15.75" x14ac:dyDescent="0.25">
      <c r="A736" s="89"/>
      <c r="B736" s="80" t="s">
        <v>319</v>
      </c>
      <c r="C736" s="78" t="s">
        <v>297</v>
      </c>
      <c r="D736" s="78">
        <v>0.06</v>
      </c>
      <c r="E736" s="79">
        <v>5246</v>
      </c>
      <c r="F736" s="76">
        <f t="shared" si="131"/>
        <v>314.76</v>
      </c>
      <c r="N736" s="183"/>
    </row>
    <row r="737" spans="1:14" ht="15.75" x14ac:dyDescent="0.25">
      <c r="A737" s="89"/>
      <c r="B737" s="80" t="s">
        <v>349</v>
      </c>
      <c r="C737" s="78" t="s">
        <v>297</v>
      </c>
      <c r="D737" s="78">
        <v>4.0000000000000001E-3</v>
      </c>
      <c r="E737" s="79">
        <v>93132</v>
      </c>
      <c r="F737" s="76">
        <f t="shared" si="131"/>
        <v>372.52800000000002</v>
      </c>
      <c r="N737" s="183"/>
    </row>
    <row r="738" spans="1:14" ht="15.75" x14ac:dyDescent="0.25">
      <c r="A738" s="89"/>
      <c r="B738" s="77" t="s">
        <v>266</v>
      </c>
      <c r="C738" s="78"/>
      <c r="D738" s="78"/>
      <c r="E738" s="79"/>
      <c r="F738" s="76"/>
      <c r="N738" s="183"/>
    </row>
    <row r="739" spans="1:14" ht="15.75" x14ac:dyDescent="0.25">
      <c r="A739" s="89"/>
      <c r="B739" s="80" t="s">
        <v>381</v>
      </c>
      <c r="C739" s="78" t="s">
        <v>268</v>
      </c>
      <c r="D739" s="78">
        <v>1E-3</v>
      </c>
      <c r="E739" s="79">
        <v>64688</v>
      </c>
      <c r="F739" s="76">
        <f t="shared" ref="F739" si="132">+E739*D739</f>
        <v>64.688000000000002</v>
      </c>
      <c r="N739" s="183"/>
    </row>
    <row r="740" spans="1:14" ht="15.75" x14ac:dyDescent="0.25">
      <c r="A740" s="89"/>
      <c r="B740" s="77" t="s">
        <v>269</v>
      </c>
      <c r="C740" s="78"/>
      <c r="D740" s="78"/>
      <c r="E740" s="79"/>
      <c r="F740" s="76"/>
      <c r="N740" s="183"/>
    </row>
    <row r="741" spans="1:14" ht="15.75" x14ac:dyDescent="0.25">
      <c r="A741" s="89"/>
      <c r="B741" s="80" t="s">
        <v>401</v>
      </c>
      <c r="C741" s="78" t="s">
        <v>297</v>
      </c>
      <c r="D741" s="78">
        <v>2.1999999999999999E-2</v>
      </c>
      <c r="E741" s="79">
        <v>226211</v>
      </c>
      <c r="F741" s="76">
        <f t="shared" ref="F741:F742" si="133">+E741*D741</f>
        <v>4976.6419999999998</v>
      </c>
      <c r="N741" s="183"/>
    </row>
    <row r="742" spans="1:14" ht="15.75" x14ac:dyDescent="0.25">
      <c r="A742" s="89"/>
      <c r="B742" s="80" t="s">
        <v>402</v>
      </c>
      <c r="C742" s="78" t="s">
        <v>297</v>
      </c>
      <c r="D742" s="78">
        <v>4.0000000000000001E-3</v>
      </c>
      <c r="E742" s="79">
        <v>215236</v>
      </c>
      <c r="F742" s="76">
        <f t="shared" si="133"/>
        <v>860.94400000000007</v>
      </c>
      <c r="N742" s="183"/>
    </row>
    <row r="743" spans="1:14" ht="15.75" x14ac:dyDescent="0.25">
      <c r="A743" s="89"/>
      <c r="B743" s="82"/>
      <c r="C743" s="78"/>
      <c r="D743" s="78"/>
      <c r="E743" s="85" t="s">
        <v>271</v>
      </c>
      <c r="F743" s="86">
        <f>ROUND(SUM(F722:F742), 0)</f>
        <v>747491</v>
      </c>
      <c r="N743" s="183"/>
    </row>
    <row r="744" spans="1:14" ht="47.25" x14ac:dyDescent="0.25">
      <c r="A744" s="103">
        <f>+PRESUPUESTO!A61</f>
        <v>4.0999999999999996</v>
      </c>
      <c r="B744" s="104" t="str">
        <f>+PRESUPUESTO!B61</f>
        <v>Suministro e instalación de Luminaria de emergencia certificada RETIE  para cuartos tecnicos. Incluye 1 metro de cable encauchetado 3x18 HF FR LS y clavija.</v>
      </c>
      <c r="C744" s="105"/>
      <c r="D744" s="105"/>
      <c r="E744" s="106"/>
      <c r="F744" s="107" t="str">
        <f>+PRESUPUESTO!D61</f>
        <v>UNIDAD</v>
      </c>
      <c r="N744" s="183"/>
    </row>
    <row r="745" spans="1:14" ht="15.75" x14ac:dyDescent="0.25">
      <c r="A745" s="108"/>
      <c r="B745" s="74" t="s">
        <v>92</v>
      </c>
      <c r="C745" s="75" t="s">
        <v>93</v>
      </c>
      <c r="D745" s="75" t="s">
        <v>259</v>
      </c>
      <c r="E745" s="76" t="s">
        <v>260</v>
      </c>
      <c r="F745" s="76" t="s">
        <v>261</v>
      </c>
      <c r="N745" s="183"/>
    </row>
    <row r="746" spans="1:14" ht="15.75" x14ac:dyDescent="0.25">
      <c r="A746" s="108"/>
      <c r="B746" s="77" t="s">
        <v>262</v>
      </c>
      <c r="C746" s="78"/>
      <c r="D746" s="78"/>
      <c r="E746" s="79"/>
      <c r="F746" s="79"/>
      <c r="N746" s="183"/>
    </row>
    <row r="747" spans="1:14" ht="15.75" x14ac:dyDescent="0.25">
      <c r="A747" s="108"/>
      <c r="B747" s="109" t="s">
        <v>486</v>
      </c>
      <c r="C747" s="81" t="s">
        <v>239</v>
      </c>
      <c r="D747" s="81">
        <v>1</v>
      </c>
      <c r="E747" s="110">
        <v>75389.153142688607</v>
      </c>
      <c r="F747" s="110">
        <f t="shared" ref="F747:F749" si="134">+E747*D747</f>
        <v>75389.153142688607</v>
      </c>
      <c r="G747">
        <v>4.0999999999999996</v>
      </c>
      <c r="H747" t="str">
        <f t="shared" si="127"/>
        <v xml:space="preserve">Luminaria de emergencia autonomia 90 min </v>
      </c>
      <c r="M747" t="str">
        <f t="shared" si="128"/>
        <v>UN</v>
      </c>
      <c r="N747" s="183">
        <f t="shared" si="129"/>
        <v>75389.153142688607</v>
      </c>
    </row>
    <row r="748" spans="1:14" ht="15.75" x14ac:dyDescent="0.25">
      <c r="A748" s="108"/>
      <c r="B748" s="109" t="s">
        <v>487</v>
      </c>
      <c r="C748" s="81" t="s">
        <v>117</v>
      </c>
      <c r="D748" s="81">
        <v>1</v>
      </c>
      <c r="E748" s="110">
        <v>3681</v>
      </c>
      <c r="F748" s="110">
        <f t="shared" si="134"/>
        <v>3681</v>
      </c>
      <c r="G748">
        <v>4.0999999999999996</v>
      </c>
      <c r="H748" t="str">
        <f t="shared" si="127"/>
        <v>Cable encauchetado 3x18 HF FR LS</v>
      </c>
      <c r="M748" t="str">
        <f t="shared" si="128"/>
        <v>ML</v>
      </c>
      <c r="N748" s="183">
        <f t="shared" si="129"/>
        <v>3681</v>
      </c>
    </row>
    <row r="749" spans="1:14" ht="15.75" x14ac:dyDescent="0.25">
      <c r="A749" s="108"/>
      <c r="B749" s="109" t="s">
        <v>488</v>
      </c>
      <c r="C749" s="81" t="s">
        <v>239</v>
      </c>
      <c r="D749" s="81">
        <v>1</v>
      </c>
      <c r="E749" s="110">
        <v>16900</v>
      </c>
      <c r="F749" s="110">
        <f t="shared" si="134"/>
        <v>16900</v>
      </c>
      <c r="G749">
        <v>4.0999999999999996</v>
      </c>
      <c r="H749" t="str">
        <f t="shared" si="127"/>
        <v>Clavija con polo a tierra</v>
      </c>
      <c r="M749" t="str">
        <f t="shared" si="128"/>
        <v>UN</v>
      </c>
      <c r="N749" s="183">
        <f t="shared" si="129"/>
        <v>16900</v>
      </c>
    </row>
    <row r="750" spans="1:14" ht="15.75" x14ac:dyDescent="0.25">
      <c r="A750" s="108"/>
      <c r="B750" s="82"/>
      <c r="C750" s="78"/>
      <c r="D750" s="78"/>
      <c r="E750" s="111" t="s">
        <v>489</v>
      </c>
      <c r="F750" s="112">
        <f>SUM(F747:F749)</f>
        <v>95970.153142688607</v>
      </c>
      <c r="N750" s="183"/>
    </row>
    <row r="751" spans="1:14" ht="15.75" x14ac:dyDescent="0.25">
      <c r="A751" s="108"/>
      <c r="B751" s="113"/>
      <c r="C751" s="113"/>
      <c r="D751" s="113"/>
      <c r="E751" s="113"/>
      <c r="F751" s="113"/>
      <c r="N751" s="183"/>
    </row>
    <row r="752" spans="1:14" ht="15.75" x14ac:dyDescent="0.25">
      <c r="A752" s="108"/>
      <c r="B752" s="77" t="s">
        <v>490</v>
      </c>
      <c r="C752" s="78"/>
      <c r="D752" s="78"/>
      <c r="E752" s="79"/>
      <c r="F752" s="79"/>
      <c r="N752" s="183"/>
    </row>
    <row r="753" spans="1:14" ht="15.75" x14ac:dyDescent="0.25">
      <c r="A753" s="108"/>
      <c r="B753" s="109" t="s">
        <v>491</v>
      </c>
      <c r="C753" s="78" t="s">
        <v>239</v>
      </c>
      <c r="D753" s="78">
        <v>0.01</v>
      </c>
      <c r="E753" s="79">
        <v>302379</v>
      </c>
      <c r="F753" s="79">
        <f>+E753*D753</f>
        <v>3023.79</v>
      </c>
      <c r="N753" s="183"/>
    </row>
    <row r="754" spans="1:14" ht="15.75" x14ac:dyDescent="0.25">
      <c r="A754" s="108"/>
      <c r="B754" s="82"/>
      <c r="C754" s="78"/>
      <c r="D754" s="78"/>
      <c r="E754" s="111" t="s">
        <v>489</v>
      </c>
      <c r="F754" s="112">
        <f>SUM(F753:F753)</f>
        <v>3023.79</v>
      </c>
      <c r="N754" s="183"/>
    </row>
    <row r="755" spans="1:14" ht="15.75" x14ac:dyDescent="0.25">
      <c r="A755" s="108"/>
      <c r="B755" s="82"/>
      <c r="C755" s="78"/>
      <c r="D755" s="78"/>
      <c r="E755" s="111"/>
      <c r="F755" s="112"/>
      <c r="N755" s="183"/>
    </row>
    <row r="756" spans="1:14" ht="15.75" x14ac:dyDescent="0.25">
      <c r="A756" s="108"/>
      <c r="B756" s="77" t="s">
        <v>492</v>
      </c>
      <c r="C756" s="78"/>
      <c r="D756" s="78"/>
      <c r="E756" s="79"/>
      <c r="F756" s="79"/>
      <c r="N756" s="183"/>
    </row>
    <row r="757" spans="1:14" ht="15.75" x14ac:dyDescent="0.25">
      <c r="A757" s="108"/>
      <c r="B757" s="109" t="s">
        <v>493</v>
      </c>
      <c r="C757" s="78" t="s">
        <v>268</v>
      </c>
      <c r="D757" s="78">
        <v>0.4</v>
      </c>
      <c r="E757" s="79">
        <v>78471</v>
      </c>
      <c r="F757" s="114">
        <f>E757*D757</f>
        <v>31388.400000000001</v>
      </c>
      <c r="N757" s="183"/>
    </row>
    <row r="758" spans="1:14" ht="15.75" x14ac:dyDescent="0.25">
      <c r="A758" s="108"/>
      <c r="B758" s="82"/>
      <c r="C758" s="78"/>
      <c r="D758" s="78"/>
      <c r="E758" s="111" t="s">
        <v>489</v>
      </c>
      <c r="F758" s="112">
        <f>SUM(F757:F757)</f>
        <v>31388.400000000001</v>
      </c>
      <c r="N758" s="183"/>
    </row>
    <row r="759" spans="1:14" ht="15.75" x14ac:dyDescent="0.25">
      <c r="A759" s="108"/>
      <c r="B759" s="82"/>
      <c r="C759" s="78"/>
      <c r="D759" s="78"/>
      <c r="E759" s="111"/>
      <c r="F759" s="112"/>
      <c r="N759" s="183"/>
    </row>
    <row r="760" spans="1:14" ht="15.75" x14ac:dyDescent="0.25">
      <c r="A760" s="115"/>
      <c r="B760" s="77" t="s">
        <v>494</v>
      </c>
      <c r="C760" s="78"/>
      <c r="D760" s="78"/>
      <c r="E760" s="79"/>
      <c r="F760" s="79"/>
      <c r="N760" s="183"/>
    </row>
    <row r="761" spans="1:14" ht="15.75" x14ac:dyDescent="0.25">
      <c r="A761" s="115"/>
      <c r="B761" s="82" t="s">
        <v>495</v>
      </c>
      <c r="C761" s="78" t="s">
        <v>268</v>
      </c>
      <c r="D761" s="78">
        <v>0.1</v>
      </c>
      <c r="E761" s="79">
        <v>34381</v>
      </c>
      <c r="F761" s="114">
        <f>E761*D761</f>
        <v>3438.1000000000004</v>
      </c>
      <c r="N761" s="183"/>
    </row>
    <row r="762" spans="1:14" ht="15.75" x14ac:dyDescent="0.25">
      <c r="A762" s="115"/>
      <c r="B762" s="82"/>
      <c r="C762" s="78"/>
      <c r="D762" s="78"/>
      <c r="E762" s="111" t="s">
        <v>489</v>
      </c>
      <c r="F762" s="112">
        <f>SUM(F761:F761)</f>
        <v>3438.1000000000004</v>
      </c>
      <c r="N762" s="183"/>
    </row>
    <row r="763" spans="1:14" ht="15.75" x14ac:dyDescent="0.25">
      <c r="A763" s="115"/>
      <c r="B763" s="82"/>
      <c r="C763" s="78"/>
      <c r="D763" s="78"/>
      <c r="E763" s="79"/>
      <c r="F763" s="79"/>
      <c r="N763" s="183"/>
    </row>
    <row r="764" spans="1:14" ht="15.75" x14ac:dyDescent="0.25">
      <c r="A764" s="108"/>
      <c r="B764" s="82"/>
      <c r="C764" s="78"/>
      <c r="D764" s="78"/>
      <c r="E764" s="85" t="s">
        <v>271</v>
      </c>
      <c r="F764" s="116">
        <f>ROUND(SUM(F746:F762)/2, 0)</f>
        <v>133820</v>
      </c>
      <c r="N764" s="183"/>
    </row>
    <row r="765" spans="1:14" ht="15.75" x14ac:dyDescent="0.25">
      <c r="A765" s="115"/>
      <c r="B765" s="113"/>
      <c r="C765" s="113"/>
      <c r="D765" s="113"/>
      <c r="E765" s="113"/>
      <c r="F765" s="113"/>
      <c r="N765" s="183"/>
    </row>
    <row r="766" spans="1:14" ht="47.25" x14ac:dyDescent="0.25">
      <c r="A766" s="103">
        <f>+PRESUPUESTO!A62</f>
        <v>4.2</v>
      </c>
      <c r="B766" s="104" t="str">
        <f>+PRESUPUESTO!B62</f>
        <v>Suministro e instalación salida de iluminacion en tuberia EMT 3/4", con caja rawelt 5800, toma corriente, incluye curvas, y accesorios para fijacion.</v>
      </c>
      <c r="C766" s="105"/>
      <c r="D766" s="105"/>
      <c r="E766" s="106"/>
      <c r="F766" s="107" t="str">
        <f>+PRESUPUESTO!D62</f>
        <v>UNIDAD</v>
      </c>
      <c r="N766" s="183"/>
    </row>
    <row r="767" spans="1:14" ht="15.75" x14ac:dyDescent="0.25">
      <c r="A767" s="108"/>
      <c r="B767" s="74" t="s">
        <v>92</v>
      </c>
      <c r="C767" s="75" t="s">
        <v>93</v>
      </c>
      <c r="D767" s="75" t="s">
        <v>259</v>
      </c>
      <c r="E767" s="76" t="s">
        <v>260</v>
      </c>
      <c r="F767" s="76" t="s">
        <v>261</v>
      </c>
      <c r="N767" s="183"/>
    </row>
    <row r="768" spans="1:14" ht="15.75" x14ac:dyDescent="0.25">
      <c r="A768" s="108"/>
      <c r="B768" s="77" t="s">
        <v>262</v>
      </c>
      <c r="C768" s="78"/>
      <c r="D768" s="78"/>
      <c r="E768" s="79"/>
      <c r="F768" s="79"/>
      <c r="N768" s="183"/>
    </row>
    <row r="769" spans="1:14" ht="15.75" x14ac:dyDescent="0.25">
      <c r="A769" s="108"/>
      <c r="B769" s="109" t="s">
        <v>496</v>
      </c>
      <c r="C769" s="81" t="s">
        <v>117</v>
      </c>
      <c r="D769" s="81">
        <v>4</v>
      </c>
      <c r="E769" s="110">
        <v>19351</v>
      </c>
      <c r="F769" s="110">
        <f t="shared" ref="F769:F773" si="135">+E769*D769</f>
        <v>77404</v>
      </c>
      <c r="G769">
        <v>4.2</v>
      </c>
      <c r="H769" t="str">
        <f t="shared" si="127"/>
        <v>Tubo EMT 3/4"</v>
      </c>
      <c r="M769" t="str">
        <f t="shared" si="128"/>
        <v>ML</v>
      </c>
      <c r="N769" s="183">
        <f t="shared" si="129"/>
        <v>77404</v>
      </c>
    </row>
    <row r="770" spans="1:14" ht="15.75" x14ac:dyDescent="0.25">
      <c r="A770" s="108"/>
      <c r="B770" s="109" t="s">
        <v>497</v>
      </c>
      <c r="C770" s="81" t="s">
        <v>117</v>
      </c>
      <c r="D770" s="81">
        <v>12.05</v>
      </c>
      <c r="E770" s="110">
        <v>3164</v>
      </c>
      <c r="F770" s="110">
        <f t="shared" si="135"/>
        <v>38126.200000000004</v>
      </c>
      <c r="G770">
        <v>4.2</v>
      </c>
      <c r="H770" t="str">
        <f t="shared" si="127"/>
        <v xml:space="preserve">Cable CU LIBRE DE HALÓGENOS 12AWG </v>
      </c>
      <c r="M770" t="str">
        <f t="shared" si="128"/>
        <v>ML</v>
      </c>
      <c r="N770" s="183">
        <f t="shared" si="129"/>
        <v>38126.200000000004</v>
      </c>
    </row>
    <row r="771" spans="1:14" ht="15.75" x14ac:dyDescent="0.25">
      <c r="A771" s="108"/>
      <c r="B771" s="109" t="s">
        <v>498</v>
      </c>
      <c r="C771" s="81" t="s">
        <v>239</v>
      </c>
      <c r="D771" s="81">
        <v>1</v>
      </c>
      <c r="E771" s="110">
        <v>9435</v>
      </c>
      <c r="F771" s="110">
        <f t="shared" si="135"/>
        <v>9435</v>
      </c>
      <c r="G771">
        <v>4.2</v>
      </c>
      <c r="H771" t="str">
        <f t="shared" si="127"/>
        <v>Toma doble con polo a tierra</v>
      </c>
      <c r="M771" t="str">
        <f t="shared" si="128"/>
        <v>UN</v>
      </c>
      <c r="N771" s="183">
        <f t="shared" si="129"/>
        <v>9435</v>
      </c>
    </row>
    <row r="772" spans="1:14" ht="15.75" x14ac:dyDescent="0.25">
      <c r="A772" s="108"/>
      <c r="B772" s="109" t="s">
        <v>499</v>
      </c>
      <c r="C772" s="81" t="s">
        <v>239</v>
      </c>
      <c r="D772" s="81">
        <v>1</v>
      </c>
      <c r="E772" s="110">
        <v>12617</v>
      </c>
      <c r="F772" s="110">
        <f t="shared" si="135"/>
        <v>12617</v>
      </c>
      <c r="G772">
        <v>4.2</v>
      </c>
      <c r="H772" t="str">
        <f t="shared" si="127"/>
        <v xml:space="preserve">Caja 5800 Aluminio findido </v>
      </c>
      <c r="M772" t="str">
        <f t="shared" si="128"/>
        <v>UN</v>
      </c>
      <c r="N772" s="183">
        <f t="shared" si="129"/>
        <v>12617</v>
      </c>
    </row>
    <row r="773" spans="1:14" ht="15.75" x14ac:dyDescent="0.25">
      <c r="A773" s="108"/>
      <c r="B773" s="109" t="s">
        <v>500</v>
      </c>
      <c r="C773" s="81" t="s">
        <v>239</v>
      </c>
      <c r="D773" s="81">
        <v>2</v>
      </c>
      <c r="E773" s="110">
        <v>2070</v>
      </c>
      <c r="F773" s="110">
        <f t="shared" si="135"/>
        <v>4140</v>
      </c>
      <c r="G773">
        <v>4.2</v>
      </c>
      <c r="H773" t="str">
        <f t="shared" si="127"/>
        <v>Terminales EMT 3/4"</v>
      </c>
      <c r="M773" t="str">
        <f t="shared" si="128"/>
        <v>UN</v>
      </c>
      <c r="N773" s="183">
        <f t="shared" si="129"/>
        <v>4140</v>
      </c>
    </row>
    <row r="774" spans="1:14" ht="15.75" x14ac:dyDescent="0.25">
      <c r="A774" s="108"/>
      <c r="B774" s="109" t="s">
        <v>501</v>
      </c>
      <c r="C774" s="81" t="s">
        <v>239</v>
      </c>
      <c r="D774" s="81">
        <v>1</v>
      </c>
      <c r="E774" s="110">
        <v>893</v>
      </c>
      <c r="F774" s="110">
        <f>+E774*D774</f>
        <v>893</v>
      </c>
      <c r="G774">
        <v>4.2</v>
      </c>
      <c r="H774" t="str">
        <f t="shared" si="127"/>
        <v>Uniones EMT 3/4"</v>
      </c>
      <c r="M774" t="str">
        <f t="shared" si="128"/>
        <v>UN</v>
      </c>
      <c r="N774" s="183">
        <f t="shared" si="129"/>
        <v>893</v>
      </c>
    </row>
    <row r="775" spans="1:14" ht="15.75" x14ac:dyDescent="0.25">
      <c r="A775" s="108"/>
      <c r="B775" s="82" t="s">
        <v>502</v>
      </c>
      <c r="C775" s="81" t="s">
        <v>239</v>
      </c>
      <c r="D775" s="81">
        <v>1</v>
      </c>
      <c r="E775" s="110">
        <v>2560</v>
      </c>
      <c r="F775" s="110">
        <f t="shared" ref="F775:F776" si="136">+E775*D775</f>
        <v>2560</v>
      </c>
      <c r="G775">
        <v>4.2</v>
      </c>
      <c r="H775" t="str">
        <f t="shared" si="127"/>
        <v xml:space="preserve">Elementos de fijacion </v>
      </c>
      <c r="M775" t="str">
        <f t="shared" si="128"/>
        <v>UN</v>
      </c>
      <c r="N775" s="183">
        <f t="shared" si="129"/>
        <v>2560</v>
      </c>
    </row>
    <row r="776" spans="1:14" ht="15.75" x14ac:dyDescent="0.25">
      <c r="A776" s="108"/>
      <c r="B776" s="113" t="s">
        <v>503</v>
      </c>
      <c r="C776" s="81" t="s">
        <v>239</v>
      </c>
      <c r="D776" s="81">
        <v>3</v>
      </c>
      <c r="E776" s="110">
        <v>1800</v>
      </c>
      <c r="F776" s="110">
        <f t="shared" si="136"/>
        <v>5400</v>
      </c>
      <c r="G776">
        <v>4.2</v>
      </c>
      <c r="H776" t="str">
        <f t="shared" si="127"/>
        <v xml:space="preserve">CONECT. RESORTE ROJO/AMARILLO 18-12AWG </v>
      </c>
      <c r="M776" t="str">
        <f t="shared" si="128"/>
        <v>UN</v>
      </c>
      <c r="N776" s="183">
        <f t="shared" si="129"/>
        <v>5400</v>
      </c>
    </row>
    <row r="777" spans="1:14" ht="15.75" x14ac:dyDescent="0.25">
      <c r="A777" s="108"/>
      <c r="B777" s="113"/>
      <c r="C777" s="113"/>
      <c r="D777" s="113"/>
      <c r="E777" s="113"/>
      <c r="F777" s="113"/>
      <c r="N777" s="183"/>
    </row>
    <row r="778" spans="1:14" ht="15.75" x14ac:dyDescent="0.25">
      <c r="A778" s="108"/>
      <c r="B778" s="113"/>
      <c r="C778" s="113"/>
      <c r="D778" s="113"/>
      <c r="E778" s="111" t="s">
        <v>489</v>
      </c>
      <c r="F778" s="112">
        <f>SUM(F769:F776)</f>
        <v>150575.20000000001</v>
      </c>
      <c r="N778" s="183"/>
    </row>
    <row r="779" spans="1:14" ht="15.75" x14ac:dyDescent="0.25">
      <c r="A779" s="108"/>
      <c r="B779" s="77" t="s">
        <v>490</v>
      </c>
      <c r="C779" s="78"/>
      <c r="D779" s="78"/>
      <c r="E779" s="79"/>
      <c r="F779" s="79"/>
      <c r="N779" s="183"/>
    </row>
    <row r="780" spans="1:14" ht="15.75" x14ac:dyDescent="0.25">
      <c r="A780" s="108"/>
      <c r="B780" s="109" t="s">
        <v>491</v>
      </c>
      <c r="C780" s="78" t="s">
        <v>239</v>
      </c>
      <c r="D780" s="78">
        <v>0.01</v>
      </c>
      <c r="E780" s="79">
        <v>302379</v>
      </c>
      <c r="F780" s="79">
        <f>+E780*D780</f>
        <v>3023.79</v>
      </c>
      <c r="N780" s="183"/>
    </row>
    <row r="781" spans="1:14" ht="15.75" x14ac:dyDescent="0.25">
      <c r="A781" s="108"/>
      <c r="B781" s="82"/>
      <c r="C781" s="78"/>
      <c r="D781" s="78"/>
      <c r="E781" s="111" t="s">
        <v>489</v>
      </c>
      <c r="F781" s="112">
        <f>SUM(F780:F780)</f>
        <v>3023.79</v>
      </c>
      <c r="N781" s="183"/>
    </row>
    <row r="782" spans="1:14" ht="15.75" x14ac:dyDescent="0.25">
      <c r="A782" s="108"/>
      <c r="B782" s="82"/>
      <c r="C782" s="78"/>
      <c r="D782" s="78"/>
      <c r="E782" s="111"/>
      <c r="F782" s="112"/>
      <c r="N782" s="183"/>
    </row>
    <row r="783" spans="1:14" ht="15.75" x14ac:dyDescent="0.25">
      <c r="A783" s="108"/>
      <c r="B783" s="77" t="s">
        <v>492</v>
      </c>
      <c r="C783" s="78"/>
      <c r="D783" s="78"/>
      <c r="E783" s="79"/>
      <c r="F783" s="79"/>
      <c r="N783" s="183"/>
    </row>
    <row r="784" spans="1:14" ht="15.75" x14ac:dyDescent="0.25">
      <c r="A784" s="108"/>
      <c r="B784" s="109" t="s">
        <v>493</v>
      </c>
      <c r="C784" s="78" t="s">
        <v>268</v>
      </c>
      <c r="D784" s="78">
        <v>0.76115119596846181</v>
      </c>
      <c r="E784" s="79">
        <v>78471</v>
      </c>
      <c r="F784" s="114">
        <f>E784*D784</f>
        <v>59728.295498841166</v>
      </c>
      <c r="N784" s="183"/>
    </row>
    <row r="785" spans="1:14" ht="15.75" x14ac:dyDescent="0.25">
      <c r="A785" s="108"/>
      <c r="B785" s="82" t="s">
        <v>504</v>
      </c>
      <c r="C785" s="78" t="s">
        <v>268</v>
      </c>
      <c r="D785" s="78">
        <v>1</v>
      </c>
      <c r="E785" s="79"/>
      <c r="F785" s="114"/>
      <c r="N785" s="183"/>
    </row>
    <row r="786" spans="1:14" ht="15.75" x14ac:dyDescent="0.25">
      <c r="A786" s="108"/>
      <c r="B786" s="82"/>
      <c r="C786" s="78"/>
      <c r="D786" s="78"/>
      <c r="E786" s="111" t="s">
        <v>489</v>
      </c>
      <c r="F786" s="112">
        <f>SUM(F784:F784)</f>
        <v>59728.295498841166</v>
      </c>
      <c r="N786" s="183"/>
    </row>
    <row r="787" spans="1:14" ht="15.75" x14ac:dyDescent="0.25">
      <c r="A787" s="115"/>
      <c r="B787" s="77" t="s">
        <v>494</v>
      </c>
      <c r="C787" s="78"/>
      <c r="D787" s="78"/>
      <c r="E787" s="79"/>
      <c r="F787" s="79"/>
      <c r="N787" s="183"/>
    </row>
    <row r="788" spans="1:14" ht="15.75" x14ac:dyDescent="0.25">
      <c r="A788" s="115"/>
      <c r="B788" s="82" t="s">
        <v>495</v>
      </c>
      <c r="C788" s="78" t="s">
        <v>268</v>
      </c>
      <c r="D788" s="78">
        <v>0.01</v>
      </c>
      <c r="E788" s="79">
        <v>34381</v>
      </c>
      <c r="F788" s="114">
        <f>E788*D788</f>
        <v>343.81</v>
      </c>
      <c r="N788" s="183"/>
    </row>
    <row r="789" spans="1:14" ht="15.75" x14ac:dyDescent="0.25">
      <c r="A789" s="115"/>
      <c r="B789" s="82"/>
      <c r="C789" s="78"/>
      <c r="D789" s="78"/>
      <c r="E789" s="111" t="s">
        <v>489</v>
      </c>
      <c r="F789" s="112">
        <f>SUM(F788:F788)</f>
        <v>343.81</v>
      </c>
      <c r="N789" s="183"/>
    </row>
    <row r="790" spans="1:14" ht="15.75" x14ac:dyDescent="0.25">
      <c r="A790" s="115"/>
      <c r="B790" s="82"/>
      <c r="C790" s="78"/>
      <c r="D790" s="78"/>
      <c r="E790" s="79"/>
      <c r="F790" s="79"/>
      <c r="N790" s="183"/>
    </row>
    <row r="791" spans="1:14" ht="15.75" x14ac:dyDescent="0.25">
      <c r="A791" s="108"/>
      <c r="B791" s="82"/>
      <c r="C791" s="78"/>
      <c r="D791" s="78"/>
      <c r="E791" s="85" t="s">
        <v>271</v>
      </c>
      <c r="F791" s="116">
        <f>ROUND(SUM(F768:F789)/2, 0)</f>
        <v>213671</v>
      </c>
      <c r="N791" s="183"/>
    </row>
    <row r="792" spans="1:14" ht="15.75" x14ac:dyDescent="0.25">
      <c r="A792" s="115"/>
      <c r="B792" s="113"/>
      <c r="C792" s="113"/>
      <c r="D792" s="113"/>
      <c r="E792" s="113"/>
      <c r="F792" s="113"/>
      <c r="N792" s="183"/>
    </row>
    <row r="793" spans="1:14" ht="47.25" x14ac:dyDescent="0.25">
      <c r="A793" s="103">
        <f>+PRESUPUESTO!A63</f>
        <v>4.3</v>
      </c>
      <c r="B793" s="104" t="str">
        <f>+PRESUPUESTO!B63</f>
        <v>Suministro e instalación salida de interruptor doble en tuberia EMT 3/4", con caja rawelt 2400, interruptor, incluye curvas, y accesorios para fijacion. AUDITORIO</v>
      </c>
      <c r="C793" s="105"/>
      <c r="D793" s="105"/>
      <c r="E793" s="106"/>
      <c r="F793" s="107" t="str">
        <f>+PRESUPUESTO!D63</f>
        <v>UNIDAD</v>
      </c>
      <c r="N793" s="183"/>
    </row>
    <row r="794" spans="1:14" ht="15.75" x14ac:dyDescent="0.25">
      <c r="A794" s="108"/>
      <c r="B794" s="74" t="s">
        <v>92</v>
      </c>
      <c r="C794" s="75" t="s">
        <v>93</v>
      </c>
      <c r="D794" s="75" t="s">
        <v>259</v>
      </c>
      <c r="E794" s="76" t="s">
        <v>260</v>
      </c>
      <c r="F794" s="76" t="s">
        <v>261</v>
      </c>
      <c r="N794" s="183"/>
    </row>
    <row r="795" spans="1:14" ht="15.75" x14ac:dyDescent="0.25">
      <c r="A795" s="108"/>
      <c r="B795" s="77" t="s">
        <v>262</v>
      </c>
      <c r="C795" s="78"/>
      <c r="D795" s="78"/>
      <c r="E795" s="79"/>
      <c r="F795" s="79"/>
      <c r="N795" s="183"/>
    </row>
    <row r="796" spans="1:14" ht="15.75" x14ac:dyDescent="0.25">
      <c r="A796" s="108"/>
      <c r="B796" s="109" t="s">
        <v>505</v>
      </c>
      <c r="C796" s="81" t="s">
        <v>117</v>
      </c>
      <c r="D796" s="81">
        <v>3</v>
      </c>
      <c r="E796" s="110">
        <v>19351</v>
      </c>
      <c r="F796" s="110">
        <f t="shared" ref="F796:F804" si="137">+E796*D796</f>
        <v>58053</v>
      </c>
      <c r="G796">
        <v>4.3</v>
      </c>
      <c r="H796" t="str">
        <f t="shared" ref="H796:H831" si="138">+B796</f>
        <v>Tubo EMT  3/4"</v>
      </c>
      <c r="M796" t="str">
        <f t="shared" ref="M796:M831" si="139">+C796</f>
        <v>ML</v>
      </c>
      <c r="N796" s="183">
        <f t="shared" ref="N796:N831" si="140">+F796</f>
        <v>58053</v>
      </c>
    </row>
    <row r="797" spans="1:14" ht="15.75" x14ac:dyDescent="0.25">
      <c r="A797" s="108"/>
      <c r="B797" s="109" t="s">
        <v>497</v>
      </c>
      <c r="C797" s="81" t="s">
        <v>117</v>
      </c>
      <c r="D797" s="81">
        <v>12.05</v>
      </c>
      <c r="E797" s="110">
        <v>3164</v>
      </c>
      <c r="F797" s="110">
        <f t="shared" si="137"/>
        <v>38126.200000000004</v>
      </c>
      <c r="G797">
        <v>4.3</v>
      </c>
      <c r="H797" t="str">
        <f t="shared" si="138"/>
        <v xml:space="preserve">Cable CU LIBRE DE HALÓGENOS 12AWG </v>
      </c>
      <c r="M797" t="str">
        <f t="shared" si="139"/>
        <v>ML</v>
      </c>
      <c r="N797" s="183">
        <f t="shared" si="140"/>
        <v>38126.200000000004</v>
      </c>
    </row>
    <row r="798" spans="1:14" ht="15.75" x14ac:dyDescent="0.25">
      <c r="A798" s="108"/>
      <c r="B798" s="109" t="s">
        <v>506</v>
      </c>
      <c r="C798" s="81" t="s">
        <v>239</v>
      </c>
      <c r="D798" s="81">
        <v>1</v>
      </c>
      <c r="E798" s="110">
        <v>18810</v>
      </c>
      <c r="F798" s="110">
        <f t="shared" si="137"/>
        <v>18810</v>
      </c>
      <c r="G798">
        <v>4.3</v>
      </c>
      <c r="H798" t="str">
        <f t="shared" si="138"/>
        <v>Interruptor DOBLE</v>
      </c>
      <c r="M798" t="str">
        <f t="shared" si="139"/>
        <v>UN</v>
      </c>
      <c r="N798" s="183">
        <f t="shared" si="140"/>
        <v>18810</v>
      </c>
    </row>
    <row r="799" spans="1:14" ht="15.75" x14ac:dyDescent="0.25">
      <c r="A799" s="108"/>
      <c r="B799" s="109" t="s">
        <v>499</v>
      </c>
      <c r="C799" s="81" t="s">
        <v>239</v>
      </c>
      <c r="D799" s="81">
        <v>1</v>
      </c>
      <c r="E799" s="110">
        <v>12617</v>
      </c>
      <c r="F799" s="110">
        <f t="shared" si="137"/>
        <v>12617</v>
      </c>
      <c r="G799">
        <v>4.3</v>
      </c>
      <c r="H799" t="str">
        <f t="shared" si="138"/>
        <v xml:space="preserve">Caja 5800 Aluminio findido </v>
      </c>
      <c r="M799" t="str">
        <f t="shared" si="139"/>
        <v>UN</v>
      </c>
      <c r="N799" s="183">
        <f t="shared" si="140"/>
        <v>12617</v>
      </c>
    </row>
    <row r="800" spans="1:14" ht="15.75" x14ac:dyDescent="0.25">
      <c r="A800" s="108"/>
      <c r="B800" s="109" t="s">
        <v>500</v>
      </c>
      <c r="C800" s="81" t="s">
        <v>239</v>
      </c>
      <c r="D800" s="81">
        <v>2</v>
      </c>
      <c r="E800" s="110">
        <v>2070</v>
      </c>
      <c r="F800" s="110">
        <f t="shared" si="137"/>
        <v>4140</v>
      </c>
      <c r="G800">
        <v>4.3</v>
      </c>
      <c r="H800" t="str">
        <f t="shared" si="138"/>
        <v>Terminales EMT 3/4"</v>
      </c>
      <c r="M800" t="str">
        <f t="shared" si="139"/>
        <v>UN</v>
      </c>
      <c r="N800" s="183">
        <f t="shared" si="140"/>
        <v>4140</v>
      </c>
    </row>
    <row r="801" spans="1:14" ht="15.75" x14ac:dyDescent="0.25">
      <c r="A801" s="108"/>
      <c r="B801" s="109" t="s">
        <v>501</v>
      </c>
      <c r="C801" s="81" t="s">
        <v>239</v>
      </c>
      <c r="D801" s="81">
        <v>1</v>
      </c>
      <c r="E801" s="110">
        <v>893</v>
      </c>
      <c r="F801" s="110">
        <f t="shared" si="137"/>
        <v>893</v>
      </c>
      <c r="G801">
        <v>4.3</v>
      </c>
      <c r="H801" t="str">
        <f t="shared" si="138"/>
        <v>Uniones EMT 3/4"</v>
      </c>
      <c r="M801" t="str">
        <f t="shared" si="139"/>
        <v>UN</v>
      </c>
      <c r="N801" s="183">
        <f t="shared" si="140"/>
        <v>893</v>
      </c>
    </row>
    <row r="802" spans="1:14" ht="15.75" x14ac:dyDescent="0.25">
      <c r="A802" s="108"/>
      <c r="B802" s="82" t="s">
        <v>507</v>
      </c>
      <c r="C802" s="81" t="s">
        <v>239</v>
      </c>
      <c r="D802" s="81">
        <v>3</v>
      </c>
      <c r="E802" s="110">
        <v>4126</v>
      </c>
      <c r="F802" s="110">
        <f t="shared" si="137"/>
        <v>12378</v>
      </c>
      <c r="G802">
        <v>4.3</v>
      </c>
      <c r="H802" t="str">
        <f t="shared" si="138"/>
        <v>Elementos de fijacion abrasadeta doble ala</v>
      </c>
      <c r="M802" t="str">
        <f t="shared" si="139"/>
        <v>UN</v>
      </c>
      <c r="N802" s="183">
        <f t="shared" si="140"/>
        <v>12378</v>
      </c>
    </row>
    <row r="803" spans="1:14" ht="15.75" x14ac:dyDescent="0.25">
      <c r="A803" s="108"/>
      <c r="B803" s="82"/>
      <c r="C803" s="81" t="s">
        <v>239</v>
      </c>
      <c r="D803" s="81"/>
      <c r="E803" s="110"/>
      <c r="F803" s="110">
        <f t="shared" si="137"/>
        <v>0</v>
      </c>
      <c r="N803" s="183"/>
    </row>
    <row r="804" spans="1:14" ht="15.75" x14ac:dyDescent="0.25">
      <c r="A804" s="108"/>
      <c r="B804" s="113"/>
      <c r="C804" s="81" t="s">
        <v>239</v>
      </c>
      <c r="D804" s="81"/>
      <c r="E804" s="110"/>
      <c r="F804" s="110">
        <f t="shared" si="137"/>
        <v>0</v>
      </c>
      <c r="N804" s="183"/>
    </row>
    <row r="805" spans="1:14" ht="15.75" x14ac:dyDescent="0.25">
      <c r="A805" s="108"/>
      <c r="B805" s="82"/>
      <c r="C805" s="78"/>
      <c r="D805" s="78"/>
      <c r="E805" s="111" t="s">
        <v>489</v>
      </c>
      <c r="F805" s="112">
        <f>SUM(F796:F804)</f>
        <v>145017.20000000001</v>
      </c>
      <c r="N805" s="183"/>
    </row>
    <row r="806" spans="1:14" ht="15.75" x14ac:dyDescent="0.25">
      <c r="A806" s="108"/>
      <c r="B806" s="113"/>
      <c r="C806" s="113"/>
      <c r="D806" s="113"/>
      <c r="E806" s="113"/>
      <c r="F806" s="113"/>
      <c r="N806" s="183"/>
    </row>
    <row r="807" spans="1:14" ht="15.75" x14ac:dyDescent="0.25">
      <c r="A807" s="108"/>
      <c r="B807" s="77" t="s">
        <v>490</v>
      </c>
      <c r="C807" s="78"/>
      <c r="D807" s="78"/>
      <c r="E807" s="79"/>
      <c r="F807" s="79"/>
      <c r="N807" s="183"/>
    </row>
    <row r="808" spans="1:14" ht="15.75" x14ac:dyDescent="0.25">
      <c r="A808" s="108"/>
      <c r="B808" s="109" t="s">
        <v>491</v>
      </c>
      <c r="C808" s="78" t="s">
        <v>239</v>
      </c>
      <c r="D808" s="78">
        <v>0.01</v>
      </c>
      <c r="E808" s="79">
        <v>302379</v>
      </c>
      <c r="F808" s="79">
        <f>+E808*D808</f>
        <v>3023.79</v>
      </c>
      <c r="N808" s="183"/>
    </row>
    <row r="809" spans="1:14" ht="15.75" x14ac:dyDescent="0.25">
      <c r="A809" s="108"/>
      <c r="B809" s="82"/>
      <c r="C809" s="78"/>
      <c r="D809" s="78"/>
      <c r="E809" s="111" t="s">
        <v>489</v>
      </c>
      <c r="F809" s="112">
        <f>SUM(F808:F808)</f>
        <v>3023.79</v>
      </c>
      <c r="N809" s="183"/>
    </row>
    <row r="810" spans="1:14" ht="15.75" x14ac:dyDescent="0.25">
      <c r="A810" s="108"/>
      <c r="B810" s="82"/>
      <c r="C810" s="78"/>
      <c r="D810" s="78"/>
      <c r="E810" s="111"/>
      <c r="F810" s="112"/>
      <c r="N810" s="183"/>
    </row>
    <row r="811" spans="1:14" ht="15.75" x14ac:dyDescent="0.25">
      <c r="A811" s="108"/>
      <c r="B811" s="77" t="s">
        <v>492</v>
      </c>
      <c r="C811" s="78"/>
      <c r="D811" s="78"/>
      <c r="E811" s="79"/>
      <c r="F811" s="79"/>
      <c r="N811" s="183"/>
    </row>
    <row r="812" spans="1:14" ht="15.75" x14ac:dyDescent="0.25">
      <c r="A812" s="108"/>
      <c r="B812" s="109" t="s">
        <v>493</v>
      </c>
      <c r="C812" s="78" t="s">
        <v>268</v>
      </c>
      <c r="D812" s="78">
        <v>0.70151454545454539</v>
      </c>
      <c r="E812" s="79">
        <v>78471</v>
      </c>
      <c r="F812" s="114">
        <f>E812*D812</f>
        <v>55048.547896363634</v>
      </c>
      <c r="N812" s="183"/>
    </row>
    <row r="813" spans="1:14" ht="15.75" x14ac:dyDescent="0.25">
      <c r="A813" s="108"/>
      <c r="B813" s="82"/>
      <c r="C813" s="78"/>
      <c r="D813" s="78"/>
      <c r="E813" s="111" t="s">
        <v>489</v>
      </c>
      <c r="F813" s="112">
        <f>SUM(F812:F812)</f>
        <v>55048.547896363634</v>
      </c>
      <c r="N813" s="183"/>
    </row>
    <row r="814" spans="1:14" ht="15.75" x14ac:dyDescent="0.25">
      <c r="A814" s="108"/>
      <c r="B814" s="82"/>
      <c r="C814" s="78"/>
      <c r="D814" s="78"/>
      <c r="E814" s="111"/>
      <c r="F814" s="112"/>
      <c r="N814" s="183"/>
    </row>
    <row r="815" spans="1:14" ht="15.75" x14ac:dyDescent="0.25">
      <c r="A815" s="115"/>
      <c r="B815" s="77" t="s">
        <v>494</v>
      </c>
      <c r="C815" s="78"/>
      <c r="D815" s="78"/>
      <c r="E815" s="79"/>
      <c r="F815" s="79"/>
      <c r="N815" s="183"/>
    </row>
    <row r="816" spans="1:14" ht="15.75" x14ac:dyDescent="0.25">
      <c r="A816" s="115"/>
      <c r="B816" s="82" t="s">
        <v>495</v>
      </c>
      <c r="C816" s="78" t="s">
        <v>268</v>
      </c>
      <c r="D816" s="78">
        <v>0.01</v>
      </c>
      <c r="E816" s="79">
        <v>34381</v>
      </c>
      <c r="F816" s="114">
        <f>E816*D816</f>
        <v>343.81</v>
      </c>
      <c r="N816" s="183"/>
    </row>
    <row r="817" spans="1:14" ht="15.75" x14ac:dyDescent="0.25">
      <c r="A817" s="115"/>
      <c r="B817" s="82"/>
      <c r="C817" s="78"/>
      <c r="D817" s="78"/>
      <c r="E817" s="111" t="s">
        <v>489</v>
      </c>
      <c r="F817" s="112">
        <f>SUM(F816:F816)</f>
        <v>343.81</v>
      </c>
      <c r="N817" s="183"/>
    </row>
    <row r="818" spans="1:14" ht="15.75" x14ac:dyDescent="0.25">
      <c r="A818" s="115"/>
      <c r="B818" s="82"/>
      <c r="C818" s="78"/>
      <c r="D818" s="78"/>
      <c r="E818" s="79"/>
      <c r="F818" s="79"/>
      <c r="N818" s="183"/>
    </row>
    <row r="819" spans="1:14" ht="15.75" x14ac:dyDescent="0.25">
      <c r="A819" s="108"/>
      <c r="B819" s="82"/>
      <c r="C819" s="78"/>
      <c r="D819" s="78"/>
      <c r="E819" s="85" t="s">
        <v>271</v>
      </c>
      <c r="F819" s="116">
        <f>ROUND(SUM(F795:F817)/2, 0)</f>
        <v>203433</v>
      </c>
      <c r="N819" s="183"/>
    </row>
    <row r="820" spans="1:14" ht="15.75" x14ac:dyDescent="0.25">
      <c r="A820" s="115"/>
      <c r="B820" s="113"/>
      <c r="C820" s="113"/>
      <c r="D820" s="113"/>
      <c r="E820" s="113"/>
      <c r="F820" s="113"/>
      <c r="N820" s="183"/>
    </row>
    <row r="821" spans="1:14" ht="63" x14ac:dyDescent="0.25">
      <c r="A821" s="103">
        <f>+PRESUPUESTO!A64</f>
        <v>4.4000000000000004</v>
      </c>
      <c r="B821" s="104" t="str">
        <f>+PRESUPUESTO!B64</f>
        <v>Suministro e instalación salida de tomacorriente doble con polo a tierra en muro sobrepuesta en tuberia EMT 3/4", con caja rawelt 5800, toma corriente, incluye curvas, y accesorios para fijación.</v>
      </c>
      <c r="C821" s="105"/>
      <c r="D821" s="105"/>
      <c r="E821" s="106"/>
      <c r="F821" s="107" t="str">
        <f>+PRESUPUESTO!D64</f>
        <v>UNIDAD</v>
      </c>
      <c r="N821" s="183"/>
    </row>
    <row r="822" spans="1:14" ht="15.75" x14ac:dyDescent="0.25">
      <c r="A822" s="108"/>
      <c r="B822" s="74" t="s">
        <v>92</v>
      </c>
      <c r="C822" s="75" t="s">
        <v>93</v>
      </c>
      <c r="D822" s="75" t="s">
        <v>259</v>
      </c>
      <c r="E822" s="76" t="s">
        <v>260</v>
      </c>
      <c r="F822" s="76" t="s">
        <v>261</v>
      </c>
      <c r="N822" s="183"/>
    </row>
    <row r="823" spans="1:14" ht="15.75" x14ac:dyDescent="0.25">
      <c r="A823" s="108"/>
      <c r="B823" s="77" t="s">
        <v>262</v>
      </c>
      <c r="C823" s="78"/>
      <c r="D823" s="78"/>
      <c r="E823" s="79"/>
      <c r="F823" s="79"/>
      <c r="N823" s="183"/>
    </row>
    <row r="824" spans="1:14" ht="15.75" x14ac:dyDescent="0.25">
      <c r="A824" s="108"/>
      <c r="B824" s="109" t="s">
        <v>505</v>
      </c>
      <c r="C824" s="81" t="s">
        <v>117</v>
      </c>
      <c r="D824" s="81">
        <v>4</v>
      </c>
      <c r="E824" s="110">
        <v>19351</v>
      </c>
      <c r="F824" s="110">
        <f t="shared" ref="F824:F832" si="141">+E824*D824</f>
        <v>77404</v>
      </c>
      <c r="G824">
        <v>4.4000000000000004</v>
      </c>
      <c r="H824" t="str">
        <f t="shared" si="138"/>
        <v>Tubo EMT  3/4"</v>
      </c>
      <c r="M824" t="str">
        <f t="shared" si="139"/>
        <v>ML</v>
      </c>
      <c r="N824" s="183">
        <f t="shared" si="140"/>
        <v>77404</v>
      </c>
    </row>
    <row r="825" spans="1:14" ht="15.75" x14ac:dyDescent="0.25">
      <c r="A825" s="108"/>
      <c r="B825" s="109" t="s">
        <v>497</v>
      </c>
      <c r="C825" s="81" t="s">
        <v>117</v>
      </c>
      <c r="D825" s="81">
        <v>12.05</v>
      </c>
      <c r="E825" s="110">
        <v>3164</v>
      </c>
      <c r="F825" s="110">
        <f t="shared" si="141"/>
        <v>38126.200000000004</v>
      </c>
      <c r="G825">
        <v>4.4000000000000004</v>
      </c>
      <c r="H825" t="str">
        <f t="shared" si="138"/>
        <v xml:space="preserve">Cable CU LIBRE DE HALÓGENOS 12AWG </v>
      </c>
      <c r="M825" t="str">
        <f t="shared" si="139"/>
        <v>ML</v>
      </c>
      <c r="N825" s="183">
        <f t="shared" si="140"/>
        <v>38126.200000000004</v>
      </c>
    </row>
    <row r="826" spans="1:14" ht="15.75" x14ac:dyDescent="0.25">
      <c r="A826" s="108"/>
      <c r="B826" s="109" t="s">
        <v>508</v>
      </c>
      <c r="C826" s="81" t="s">
        <v>239</v>
      </c>
      <c r="D826" s="81">
        <v>1</v>
      </c>
      <c r="E826" s="110">
        <v>7800</v>
      </c>
      <c r="F826" s="110">
        <f t="shared" si="141"/>
        <v>7800</v>
      </c>
      <c r="G826">
        <v>4.4000000000000004</v>
      </c>
      <c r="H826" t="str">
        <f t="shared" si="138"/>
        <v>Toma doble polo a tierra</v>
      </c>
      <c r="M826" t="str">
        <f t="shared" si="139"/>
        <v>UN</v>
      </c>
      <c r="N826" s="183">
        <f t="shared" si="140"/>
        <v>7800</v>
      </c>
    </row>
    <row r="827" spans="1:14" ht="15.75" x14ac:dyDescent="0.25">
      <c r="A827" s="108"/>
      <c r="B827" s="109" t="s">
        <v>499</v>
      </c>
      <c r="C827" s="81" t="s">
        <v>239</v>
      </c>
      <c r="D827" s="81">
        <v>1</v>
      </c>
      <c r="E827" s="110">
        <v>12617</v>
      </c>
      <c r="F827" s="110">
        <f t="shared" si="141"/>
        <v>12617</v>
      </c>
      <c r="G827">
        <v>4.4000000000000004</v>
      </c>
      <c r="H827" t="str">
        <f t="shared" si="138"/>
        <v xml:space="preserve">Caja 5800 Aluminio findido </v>
      </c>
      <c r="M827" t="str">
        <f t="shared" si="139"/>
        <v>UN</v>
      </c>
      <c r="N827" s="183">
        <f t="shared" si="140"/>
        <v>12617</v>
      </c>
    </row>
    <row r="828" spans="1:14" ht="15.75" x14ac:dyDescent="0.25">
      <c r="A828" s="108"/>
      <c r="B828" s="109" t="s">
        <v>500</v>
      </c>
      <c r="C828" s="81" t="s">
        <v>239</v>
      </c>
      <c r="D828" s="81">
        <v>2</v>
      </c>
      <c r="E828" s="110">
        <v>2070</v>
      </c>
      <c r="F828" s="110">
        <f t="shared" si="141"/>
        <v>4140</v>
      </c>
      <c r="G828">
        <v>4.4000000000000004</v>
      </c>
      <c r="H828" t="str">
        <f t="shared" si="138"/>
        <v>Terminales EMT 3/4"</v>
      </c>
      <c r="M828" t="str">
        <f t="shared" si="139"/>
        <v>UN</v>
      </c>
      <c r="N828" s="183">
        <f t="shared" si="140"/>
        <v>4140</v>
      </c>
    </row>
    <row r="829" spans="1:14" ht="15.75" x14ac:dyDescent="0.25">
      <c r="A829" s="108"/>
      <c r="B829" s="109" t="s">
        <v>501</v>
      </c>
      <c r="C829" s="81" t="s">
        <v>239</v>
      </c>
      <c r="D829" s="81">
        <v>1</v>
      </c>
      <c r="E829" s="110">
        <v>893</v>
      </c>
      <c r="F829" s="110">
        <f t="shared" si="141"/>
        <v>893</v>
      </c>
      <c r="G829">
        <v>4.4000000000000004</v>
      </c>
      <c r="H829" t="str">
        <f t="shared" si="138"/>
        <v>Uniones EMT 3/4"</v>
      </c>
      <c r="M829" t="str">
        <f t="shared" si="139"/>
        <v>UN</v>
      </c>
      <c r="N829" s="183">
        <f t="shared" si="140"/>
        <v>893</v>
      </c>
    </row>
    <row r="830" spans="1:14" ht="15.75" x14ac:dyDescent="0.25">
      <c r="A830" s="108"/>
      <c r="B830" s="82" t="s">
        <v>507</v>
      </c>
      <c r="C830" s="81" t="s">
        <v>239</v>
      </c>
      <c r="D830" s="81">
        <v>3</v>
      </c>
      <c r="E830" s="110">
        <v>4126</v>
      </c>
      <c r="F830" s="110">
        <f t="shared" si="141"/>
        <v>12378</v>
      </c>
      <c r="G830">
        <v>4.4000000000000004</v>
      </c>
      <c r="H830" t="str">
        <f t="shared" si="138"/>
        <v>Elementos de fijacion abrasadeta doble ala</v>
      </c>
      <c r="M830" t="str">
        <f t="shared" si="139"/>
        <v>UN</v>
      </c>
      <c r="N830" s="183">
        <f t="shared" si="140"/>
        <v>12378</v>
      </c>
    </row>
    <row r="831" spans="1:14" ht="15.75" x14ac:dyDescent="0.25">
      <c r="A831" s="108"/>
      <c r="B831" s="109" t="s">
        <v>509</v>
      </c>
      <c r="C831" s="81" t="s">
        <v>239</v>
      </c>
      <c r="D831" s="81">
        <v>3</v>
      </c>
      <c r="E831" s="110">
        <v>2000</v>
      </c>
      <c r="F831" s="110">
        <f t="shared" si="141"/>
        <v>6000</v>
      </c>
      <c r="G831">
        <v>4.4000000000000004</v>
      </c>
      <c r="H831" t="str">
        <f t="shared" si="138"/>
        <v>conector de resorte 3m</v>
      </c>
      <c r="M831" t="str">
        <f t="shared" si="139"/>
        <v>UN</v>
      </c>
      <c r="N831" s="183">
        <f t="shared" si="140"/>
        <v>6000</v>
      </c>
    </row>
    <row r="832" spans="1:14" ht="15.75" x14ac:dyDescent="0.25">
      <c r="A832" s="108"/>
      <c r="B832" s="113"/>
      <c r="C832" s="81" t="s">
        <v>239</v>
      </c>
      <c r="D832" s="81"/>
      <c r="E832" s="110"/>
      <c r="F832" s="110">
        <f t="shared" si="141"/>
        <v>0</v>
      </c>
      <c r="N832" s="183"/>
    </row>
    <row r="833" spans="1:14" ht="15.75" x14ac:dyDescent="0.25">
      <c r="A833" s="108"/>
      <c r="B833" s="82"/>
      <c r="C833" s="78"/>
      <c r="D833" s="78"/>
      <c r="E833" s="111" t="s">
        <v>489</v>
      </c>
      <c r="F833" s="112">
        <f>SUM(F824:F832)</f>
        <v>159358.20000000001</v>
      </c>
      <c r="N833" s="183"/>
    </row>
    <row r="834" spans="1:14" ht="15.75" x14ac:dyDescent="0.25">
      <c r="A834" s="108"/>
      <c r="B834" s="113"/>
      <c r="C834" s="113"/>
      <c r="D834" s="113"/>
      <c r="E834" s="113"/>
      <c r="F834" s="113"/>
      <c r="N834" s="183"/>
    </row>
    <row r="835" spans="1:14" ht="15.75" x14ac:dyDescent="0.25">
      <c r="A835" s="108"/>
      <c r="B835" s="77" t="s">
        <v>490</v>
      </c>
      <c r="C835" s="78"/>
      <c r="D835" s="78"/>
      <c r="E835" s="79"/>
      <c r="F835" s="79"/>
      <c r="N835" s="183"/>
    </row>
    <row r="836" spans="1:14" ht="15.75" x14ac:dyDescent="0.25">
      <c r="A836" s="108"/>
      <c r="B836" s="109" t="s">
        <v>491</v>
      </c>
      <c r="C836" s="78" t="s">
        <v>239</v>
      </c>
      <c r="D836" s="78">
        <v>0.01</v>
      </c>
      <c r="E836" s="79">
        <v>302379</v>
      </c>
      <c r="F836" s="79">
        <f>+E836*D836</f>
        <v>3023.79</v>
      </c>
      <c r="N836" s="183"/>
    </row>
    <row r="837" spans="1:14" ht="15.75" x14ac:dyDescent="0.25">
      <c r="A837" s="108"/>
      <c r="B837" s="82"/>
      <c r="C837" s="78"/>
      <c r="D837" s="78"/>
      <c r="E837" s="111" t="s">
        <v>489</v>
      </c>
      <c r="F837" s="112">
        <f>SUM(F836:F836)</f>
        <v>3023.79</v>
      </c>
      <c r="N837" s="183"/>
    </row>
    <row r="838" spans="1:14" ht="15.75" x14ac:dyDescent="0.25">
      <c r="A838" s="108"/>
      <c r="B838" s="82"/>
      <c r="C838" s="78"/>
      <c r="D838" s="78"/>
      <c r="E838" s="111"/>
      <c r="F838" s="112"/>
      <c r="N838" s="183"/>
    </row>
    <row r="839" spans="1:14" ht="15.75" x14ac:dyDescent="0.25">
      <c r="A839" s="108"/>
      <c r="B839" s="77" t="s">
        <v>492</v>
      </c>
      <c r="C839" s="78"/>
      <c r="D839" s="78"/>
      <c r="E839" s="79"/>
      <c r="F839" s="79"/>
      <c r="N839" s="183"/>
    </row>
    <row r="840" spans="1:14" ht="15.75" x14ac:dyDescent="0.25">
      <c r="A840" s="108"/>
      <c r="B840" s="109" t="s">
        <v>493</v>
      </c>
      <c r="C840" s="78" t="s">
        <v>268</v>
      </c>
      <c r="D840" s="78">
        <v>0.49121749832997907</v>
      </c>
      <c r="E840" s="79">
        <v>78471</v>
      </c>
      <c r="F840" s="114">
        <f>E840*D840</f>
        <v>38546.328311451791</v>
      </c>
      <c r="N840" s="183"/>
    </row>
    <row r="841" spans="1:14" ht="15.75" x14ac:dyDescent="0.25">
      <c r="A841" s="108"/>
      <c r="B841" s="82"/>
      <c r="C841" s="78"/>
      <c r="D841" s="78">
        <v>1</v>
      </c>
      <c r="E841" s="79"/>
      <c r="F841" s="112">
        <f>SUM(F840:F840)</f>
        <v>38546.328311451791</v>
      </c>
      <c r="N841" s="183"/>
    </row>
    <row r="842" spans="1:14" ht="15.75" x14ac:dyDescent="0.25">
      <c r="A842" s="108"/>
      <c r="B842" s="82"/>
      <c r="C842" s="78"/>
      <c r="D842" s="78"/>
      <c r="E842" s="111" t="s">
        <v>489</v>
      </c>
      <c r="F842" s="112"/>
      <c r="N842" s="183"/>
    </row>
    <row r="843" spans="1:14" ht="15.75" x14ac:dyDescent="0.25">
      <c r="A843" s="115"/>
      <c r="B843" s="77" t="s">
        <v>494</v>
      </c>
      <c r="C843" s="78"/>
      <c r="D843" s="78"/>
      <c r="E843" s="79"/>
      <c r="F843" s="79"/>
      <c r="N843" s="183"/>
    </row>
    <row r="844" spans="1:14" ht="15.75" x14ac:dyDescent="0.25">
      <c r="A844" s="115"/>
      <c r="B844" s="82" t="s">
        <v>495</v>
      </c>
      <c r="C844" s="78" t="s">
        <v>268</v>
      </c>
      <c r="D844" s="78">
        <v>0.05</v>
      </c>
      <c r="E844" s="79">
        <v>34381</v>
      </c>
      <c r="F844" s="114">
        <f>E844*D844</f>
        <v>1719.0500000000002</v>
      </c>
      <c r="N844" s="183"/>
    </row>
    <row r="845" spans="1:14" ht="15.75" x14ac:dyDescent="0.25">
      <c r="A845" s="115"/>
      <c r="B845" s="82"/>
      <c r="C845" s="78"/>
      <c r="D845" s="78"/>
      <c r="E845" s="111" t="s">
        <v>489</v>
      </c>
      <c r="F845" s="112">
        <f>SUM(F844:F844)</f>
        <v>1719.0500000000002</v>
      </c>
      <c r="N845" s="183"/>
    </row>
    <row r="846" spans="1:14" ht="15.75" x14ac:dyDescent="0.25">
      <c r="A846" s="115"/>
      <c r="B846" s="82"/>
      <c r="C846" s="78"/>
      <c r="D846" s="78"/>
      <c r="E846" s="79"/>
      <c r="F846" s="79"/>
      <c r="N846" s="183"/>
    </row>
    <row r="847" spans="1:14" ht="15.75" x14ac:dyDescent="0.25">
      <c r="A847" s="108"/>
      <c r="B847" s="82"/>
      <c r="C847" s="78"/>
      <c r="D847" s="78"/>
      <c r="E847" s="85" t="s">
        <v>271</v>
      </c>
      <c r="F847" s="116">
        <f>ROUND(SUM(F823:F845)/2, 0)</f>
        <v>202647</v>
      </c>
      <c r="N847" s="183"/>
    </row>
    <row r="848" spans="1:14" ht="15.75" x14ac:dyDescent="0.25">
      <c r="A848" s="115"/>
      <c r="B848" s="113"/>
      <c r="C848" s="113"/>
      <c r="D848" s="113"/>
      <c r="E848" s="113"/>
      <c r="F848" s="113"/>
      <c r="N848" s="183"/>
    </row>
    <row r="849" spans="1:14" ht="47.25" x14ac:dyDescent="0.25">
      <c r="A849" s="103">
        <f>+PRESUPUESTO!A65</f>
        <v>4.5</v>
      </c>
      <c r="B849" s="104" t="str">
        <f>+PRESUPUESTO!B65</f>
        <v>Suministro e instalación de tablero Bifasico de 18 circuitos  sin espacio totalizador, incluye  protecciones 8 de 1x20A Y 3 DE 2X40A.</v>
      </c>
      <c r="C849" s="105"/>
      <c r="D849" s="105"/>
      <c r="E849" s="106"/>
      <c r="F849" s="107" t="str">
        <f>+PRESUPUESTO!D65</f>
        <v>UNIDAD</v>
      </c>
      <c r="N849" s="183"/>
    </row>
    <row r="850" spans="1:14" ht="15.75" x14ac:dyDescent="0.25">
      <c r="A850" s="108"/>
      <c r="B850" s="74" t="s">
        <v>92</v>
      </c>
      <c r="C850" s="75" t="s">
        <v>93</v>
      </c>
      <c r="D850" s="75" t="s">
        <v>259</v>
      </c>
      <c r="E850" s="76" t="s">
        <v>260</v>
      </c>
      <c r="F850" s="76" t="s">
        <v>261</v>
      </c>
      <c r="N850" s="183"/>
    </row>
    <row r="851" spans="1:14" ht="15.75" x14ac:dyDescent="0.25">
      <c r="A851" s="108"/>
      <c r="B851" s="77" t="s">
        <v>262</v>
      </c>
      <c r="C851" s="78"/>
      <c r="D851" s="78"/>
      <c r="E851" s="79"/>
      <c r="F851" s="79"/>
      <c r="N851" s="183"/>
    </row>
    <row r="852" spans="1:14" ht="15.75" x14ac:dyDescent="0.25">
      <c r="A852" s="108"/>
      <c r="B852" s="109" t="s">
        <v>510</v>
      </c>
      <c r="C852" s="81" t="s">
        <v>239</v>
      </c>
      <c r="D852" s="81">
        <v>1</v>
      </c>
      <c r="E852" s="110">
        <v>328000</v>
      </c>
      <c r="F852" s="110">
        <f t="shared" ref="F852:F858" si="142">+E852*D852</f>
        <v>328000</v>
      </c>
      <c r="G852">
        <v>4.5</v>
      </c>
      <c r="H852" t="str">
        <f t="shared" ref="H852:H905" si="143">+B852</f>
        <v>Tablero BIFASICO sin ESPACIO 18 CIRCUITOS</v>
      </c>
      <c r="M852" t="str">
        <f t="shared" ref="M852:M905" si="144">+C852</f>
        <v>UN</v>
      </c>
      <c r="N852" s="183">
        <f t="shared" ref="N852:N905" si="145">+F852</f>
        <v>328000</v>
      </c>
    </row>
    <row r="853" spans="1:14" ht="15.75" x14ac:dyDescent="0.25">
      <c r="A853" s="108"/>
      <c r="B853" s="109" t="s">
        <v>511</v>
      </c>
      <c r="C853" s="81" t="s">
        <v>239</v>
      </c>
      <c r="D853" s="81">
        <v>8</v>
      </c>
      <c r="E853" s="110">
        <v>15932</v>
      </c>
      <c r="F853" s="110">
        <f t="shared" si="142"/>
        <v>127456</v>
      </c>
      <c r="G853">
        <v>4.5</v>
      </c>
      <c r="H853" t="str">
        <f t="shared" si="143"/>
        <v xml:space="preserve">BREAKER DE 1X20A </v>
      </c>
      <c r="M853" t="str">
        <f t="shared" si="144"/>
        <v>UN</v>
      </c>
      <c r="N853" s="183">
        <f t="shared" si="145"/>
        <v>127456</v>
      </c>
    </row>
    <row r="854" spans="1:14" ht="15.75" x14ac:dyDescent="0.25">
      <c r="A854" s="108"/>
      <c r="B854" s="109" t="s">
        <v>512</v>
      </c>
      <c r="C854" s="81" t="s">
        <v>239</v>
      </c>
      <c r="D854" s="81">
        <v>3</v>
      </c>
      <c r="E854" s="110">
        <v>35400</v>
      </c>
      <c r="F854" s="110">
        <f t="shared" si="142"/>
        <v>106200</v>
      </c>
      <c r="G854">
        <v>4.5</v>
      </c>
      <c r="H854" t="str">
        <f t="shared" si="143"/>
        <v>BREAKER DE 2X40A</v>
      </c>
      <c r="M854" t="str">
        <f t="shared" si="144"/>
        <v>UN</v>
      </c>
      <c r="N854" s="183">
        <f t="shared" si="145"/>
        <v>106200</v>
      </c>
    </row>
    <row r="855" spans="1:14" ht="15.75" x14ac:dyDescent="0.25">
      <c r="A855" s="108"/>
      <c r="B855" s="109" t="s">
        <v>513</v>
      </c>
      <c r="C855" s="81" t="s">
        <v>302</v>
      </c>
      <c r="D855" s="81">
        <v>1</v>
      </c>
      <c r="E855" s="110">
        <v>6800</v>
      </c>
      <c r="F855" s="110">
        <f t="shared" si="142"/>
        <v>6800</v>
      </c>
      <c r="G855">
        <v>4.5</v>
      </c>
      <c r="H855" t="str">
        <f t="shared" si="143"/>
        <v>ELEMENTOS DE SUJESIÓN</v>
      </c>
      <c r="M855" t="str">
        <f t="shared" si="144"/>
        <v>GL</v>
      </c>
      <c r="N855" s="183">
        <f t="shared" si="145"/>
        <v>6800</v>
      </c>
    </row>
    <row r="856" spans="1:14" ht="15.75" x14ac:dyDescent="0.25">
      <c r="A856" s="108"/>
      <c r="B856" s="109" t="s">
        <v>514</v>
      </c>
      <c r="C856" s="81" t="s">
        <v>302</v>
      </c>
      <c r="D856" s="81">
        <v>1</v>
      </c>
      <c r="E856" s="110">
        <v>25000</v>
      </c>
      <c r="F856" s="110">
        <f t="shared" si="142"/>
        <v>25000</v>
      </c>
      <c r="G856">
        <v>4.5</v>
      </c>
      <c r="H856" t="str">
        <f t="shared" si="143"/>
        <v>MARQUILLAS</v>
      </c>
      <c r="M856" t="str">
        <f t="shared" si="144"/>
        <v>GL</v>
      </c>
      <c r="N856" s="183">
        <f t="shared" si="145"/>
        <v>25000</v>
      </c>
    </row>
    <row r="857" spans="1:14" ht="15.75" x14ac:dyDescent="0.25">
      <c r="A857" s="108"/>
      <c r="B857" s="109" t="s">
        <v>515</v>
      </c>
      <c r="C857" s="81" t="s">
        <v>239</v>
      </c>
      <c r="D857" s="81">
        <v>0.3</v>
      </c>
      <c r="E857" s="110">
        <v>12500</v>
      </c>
      <c r="F857" s="110">
        <f t="shared" si="142"/>
        <v>3750</v>
      </c>
      <c r="G857">
        <v>4.5</v>
      </c>
      <c r="H857" t="str">
        <f t="shared" si="143"/>
        <v>AMARRES PLASTICOS DE 20CM PAQUETE</v>
      </c>
      <c r="M857" t="str">
        <f t="shared" si="144"/>
        <v>UN</v>
      </c>
      <c r="N857" s="183">
        <f t="shared" si="145"/>
        <v>3750</v>
      </c>
    </row>
    <row r="858" spans="1:14" ht="15.75" x14ac:dyDescent="0.25">
      <c r="A858" s="108"/>
      <c r="B858" s="113" t="s">
        <v>516</v>
      </c>
      <c r="C858" s="113" t="s">
        <v>517</v>
      </c>
      <c r="D858" s="117">
        <v>1</v>
      </c>
      <c r="E858" s="118">
        <v>12500</v>
      </c>
      <c r="F858" s="110">
        <f t="shared" si="142"/>
        <v>12500</v>
      </c>
      <c r="G858">
        <v>4.5</v>
      </c>
      <c r="H858" t="str">
        <f t="shared" si="143"/>
        <v xml:space="preserve">CINTA AISLANTE </v>
      </c>
      <c r="M858" t="str">
        <f t="shared" si="144"/>
        <v>ROLLO</v>
      </c>
      <c r="N858" s="183">
        <f t="shared" si="145"/>
        <v>12500</v>
      </c>
    </row>
    <row r="859" spans="1:14" ht="15.75" x14ac:dyDescent="0.25">
      <c r="A859" s="108"/>
      <c r="B859" s="113"/>
      <c r="C859" s="113"/>
      <c r="D859" s="113"/>
      <c r="E859" s="113"/>
      <c r="F859" s="112">
        <f>SUM(F852:F858)</f>
        <v>609706</v>
      </c>
      <c r="N859" s="183"/>
    </row>
    <row r="860" spans="1:14" ht="15.75" x14ac:dyDescent="0.25">
      <c r="A860" s="108"/>
      <c r="B860" s="77" t="s">
        <v>490</v>
      </c>
      <c r="C860" s="78"/>
      <c r="D860" s="78"/>
      <c r="E860" s="79"/>
      <c r="F860" s="79"/>
      <c r="N860" s="183"/>
    </row>
    <row r="861" spans="1:14" ht="15.75" x14ac:dyDescent="0.25">
      <c r="A861" s="108"/>
      <c r="B861" s="109" t="s">
        <v>491</v>
      </c>
      <c r="C861" s="78" t="s">
        <v>239</v>
      </c>
      <c r="D861" s="78">
        <v>0.3</v>
      </c>
      <c r="E861" s="79">
        <v>302379</v>
      </c>
      <c r="F861" s="79">
        <f>+E861*D861</f>
        <v>90713.7</v>
      </c>
      <c r="N861" s="183"/>
    </row>
    <row r="862" spans="1:14" ht="15.75" x14ac:dyDescent="0.25">
      <c r="A862" s="108"/>
      <c r="B862" s="82"/>
      <c r="C862" s="78"/>
      <c r="D862" s="78"/>
      <c r="E862" s="111" t="s">
        <v>489</v>
      </c>
      <c r="F862" s="112">
        <f>SUM(F861:F861)</f>
        <v>90713.7</v>
      </c>
      <c r="N862" s="183"/>
    </row>
    <row r="863" spans="1:14" ht="15.75" x14ac:dyDescent="0.25">
      <c r="A863" s="108"/>
      <c r="B863" s="82"/>
      <c r="C863" s="78"/>
      <c r="D863" s="78"/>
      <c r="E863" s="111"/>
      <c r="F863" s="112"/>
      <c r="N863" s="183"/>
    </row>
    <row r="864" spans="1:14" ht="15.75" x14ac:dyDescent="0.25">
      <c r="A864" s="108"/>
      <c r="B864" s="77" t="s">
        <v>492</v>
      </c>
      <c r="C864" s="78"/>
      <c r="D864" s="78"/>
      <c r="E864" s="79"/>
      <c r="F864" s="79"/>
      <c r="N864" s="183"/>
    </row>
    <row r="865" spans="1:14" ht="15.75" x14ac:dyDescent="0.25">
      <c r="A865" s="108"/>
      <c r="B865" s="109" t="s">
        <v>493</v>
      </c>
      <c r="C865" s="78" t="s">
        <v>268</v>
      </c>
      <c r="D865" s="119">
        <v>3.5061437492035168</v>
      </c>
      <c r="E865" s="79">
        <v>78471</v>
      </c>
      <c r="F865" s="114">
        <f>E865*D865</f>
        <v>275130.60614374914</v>
      </c>
      <c r="N865" s="183"/>
    </row>
    <row r="866" spans="1:14" ht="15.75" x14ac:dyDescent="0.25">
      <c r="A866" s="108"/>
      <c r="B866" s="82"/>
      <c r="C866" s="78"/>
      <c r="D866" s="78"/>
      <c r="E866" s="111" t="s">
        <v>489</v>
      </c>
      <c r="F866" s="112">
        <f>SUM(F865:F865)</f>
        <v>275130.60614374914</v>
      </c>
      <c r="N866" s="183"/>
    </row>
    <row r="867" spans="1:14" ht="15.75" x14ac:dyDescent="0.25">
      <c r="A867" s="108"/>
      <c r="B867" s="82"/>
      <c r="C867" s="78"/>
      <c r="D867" s="78"/>
      <c r="E867" s="111"/>
      <c r="F867" s="112"/>
      <c r="N867" s="183"/>
    </row>
    <row r="868" spans="1:14" ht="15.75" x14ac:dyDescent="0.25">
      <c r="A868" s="115"/>
      <c r="B868" s="77" t="s">
        <v>494</v>
      </c>
      <c r="C868" s="78"/>
      <c r="D868" s="78"/>
      <c r="E868" s="79"/>
      <c r="F868" s="79"/>
      <c r="N868" s="183"/>
    </row>
    <row r="869" spans="1:14" ht="15.75" x14ac:dyDescent="0.25">
      <c r="A869" s="115"/>
      <c r="B869" s="82" t="s">
        <v>495</v>
      </c>
      <c r="C869" s="78" t="s">
        <v>268</v>
      </c>
      <c r="D869" s="78">
        <v>0.1</v>
      </c>
      <c r="E869" s="79">
        <v>34381</v>
      </c>
      <c r="F869" s="114">
        <f>E869*D869</f>
        <v>3438.1000000000004</v>
      </c>
      <c r="N869" s="183"/>
    </row>
    <row r="870" spans="1:14" ht="15.75" x14ac:dyDescent="0.25">
      <c r="A870" s="115"/>
      <c r="B870" s="82"/>
      <c r="C870" s="78"/>
      <c r="D870" s="78"/>
      <c r="E870" s="111" t="s">
        <v>489</v>
      </c>
      <c r="F870" s="112">
        <f>SUM(F869:F869)</f>
        <v>3438.1000000000004</v>
      </c>
      <c r="N870" s="183"/>
    </row>
    <row r="871" spans="1:14" ht="15.75" x14ac:dyDescent="0.25">
      <c r="A871" s="115"/>
      <c r="B871" s="82"/>
      <c r="C871" s="78"/>
      <c r="D871" s="78"/>
      <c r="E871" s="79"/>
      <c r="F871" s="79"/>
      <c r="N871" s="183"/>
    </row>
    <row r="872" spans="1:14" ht="15.75" x14ac:dyDescent="0.25">
      <c r="A872" s="108"/>
      <c r="B872" s="82"/>
      <c r="C872" s="78"/>
      <c r="D872" s="78"/>
      <c r="E872" s="85" t="s">
        <v>271</v>
      </c>
      <c r="F872" s="116">
        <f>ROUND(SUM(F851:F870)/2, 0)</f>
        <v>978988</v>
      </c>
      <c r="N872" s="183"/>
    </row>
    <row r="873" spans="1:14" ht="47.25" x14ac:dyDescent="0.25">
      <c r="A873" s="126">
        <f>+PRESUPUESTO!A66</f>
        <v>4.5999999999999996</v>
      </c>
      <c r="B873" s="104" t="str">
        <f>+PRESUPUESTO!B66</f>
        <v>Suministro e instalación salida de interruptor SENCILLO en tuberia EMT 3/4", con caja rawelt 2400, interruptor, incluye curvas, y accesorios para fijacion.</v>
      </c>
      <c r="C873" s="105"/>
      <c r="D873" s="105"/>
      <c r="E873" s="106"/>
      <c r="F873" s="107" t="str">
        <f>+PRESUPUESTO!D66</f>
        <v>UNIDAD</v>
      </c>
      <c r="N873" s="183"/>
    </row>
    <row r="874" spans="1:14" ht="15.75" x14ac:dyDescent="0.25">
      <c r="A874" s="108"/>
      <c r="B874" s="74" t="s">
        <v>92</v>
      </c>
      <c r="C874" s="75" t="s">
        <v>93</v>
      </c>
      <c r="D874" s="75" t="s">
        <v>259</v>
      </c>
      <c r="E874" s="76" t="s">
        <v>260</v>
      </c>
      <c r="F874" s="76" t="s">
        <v>261</v>
      </c>
      <c r="N874" s="183"/>
    </row>
    <row r="875" spans="1:14" ht="15.75" x14ac:dyDescent="0.25">
      <c r="A875" s="108"/>
      <c r="B875" s="77" t="s">
        <v>262</v>
      </c>
      <c r="C875" s="78"/>
      <c r="D875" s="78"/>
      <c r="E875" s="79"/>
      <c r="F875" s="79"/>
      <c r="N875" s="183"/>
    </row>
    <row r="876" spans="1:14" ht="15.75" x14ac:dyDescent="0.25">
      <c r="A876" s="108"/>
      <c r="B876" s="109" t="s">
        <v>505</v>
      </c>
      <c r="C876" s="81" t="s">
        <v>117</v>
      </c>
      <c r="D876" s="81">
        <v>3</v>
      </c>
      <c r="E876" s="110">
        <v>12351</v>
      </c>
      <c r="F876" s="110">
        <f t="shared" ref="F876:F883" si="146">+E876*D876</f>
        <v>37053</v>
      </c>
      <c r="G876">
        <v>4.5999999999999996</v>
      </c>
      <c r="H876" t="str">
        <f t="shared" si="143"/>
        <v>Tubo EMT  3/4"</v>
      </c>
      <c r="M876" t="str">
        <f t="shared" si="144"/>
        <v>ML</v>
      </c>
      <c r="N876" s="183">
        <f t="shared" si="145"/>
        <v>37053</v>
      </c>
    </row>
    <row r="877" spans="1:14" ht="15.75" x14ac:dyDescent="0.25">
      <c r="A877" s="108"/>
      <c r="B877" s="109" t="s">
        <v>497</v>
      </c>
      <c r="C877" s="81" t="s">
        <v>117</v>
      </c>
      <c r="D877" s="81">
        <v>9.0500000000000007</v>
      </c>
      <c r="E877" s="110">
        <v>3164</v>
      </c>
      <c r="F877" s="110">
        <f t="shared" si="146"/>
        <v>28634.2</v>
      </c>
      <c r="G877">
        <v>4.5999999999999996</v>
      </c>
      <c r="H877" t="str">
        <f t="shared" si="143"/>
        <v xml:space="preserve">Cable CU LIBRE DE HALÓGENOS 12AWG </v>
      </c>
      <c r="M877" t="str">
        <f t="shared" si="144"/>
        <v>ML</v>
      </c>
      <c r="N877" s="183">
        <f t="shared" si="145"/>
        <v>28634.2</v>
      </c>
    </row>
    <row r="878" spans="1:14" ht="15.75" x14ac:dyDescent="0.25">
      <c r="A878" s="108"/>
      <c r="B878" s="109" t="s">
        <v>519</v>
      </c>
      <c r="C878" s="81" t="s">
        <v>239</v>
      </c>
      <c r="D878" s="81">
        <v>1</v>
      </c>
      <c r="E878" s="110">
        <v>9435</v>
      </c>
      <c r="F878" s="110">
        <f t="shared" si="146"/>
        <v>9435</v>
      </c>
      <c r="G878">
        <v>4.5999999999999996</v>
      </c>
      <c r="H878" t="str">
        <f t="shared" si="143"/>
        <v>Interruptor sencillo</v>
      </c>
      <c r="M878" t="str">
        <f t="shared" si="144"/>
        <v>UN</v>
      </c>
      <c r="N878" s="183">
        <f t="shared" si="145"/>
        <v>9435</v>
      </c>
    </row>
    <row r="879" spans="1:14" ht="15.75" x14ac:dyDescent="0.25">
      <c r="A879" s="108"/>
      <c r="B879" s="109" t="s">
        <v>520</v>
      </c>
      <c r="C879" s="81" t="s">
        <v>239</v>
      </c>
      <c r="D879" s="81">
        <v>1</v>
      </c>
      <c r="E879" s="110">
        <v>12617</v>
      </c>
      <c r="F879" s="110">
        <f t="shared" si="146"/>
        <v>12617</v>
      </c>
      <c r="G879">
        <v>4.5999999999999996</v>
      </c>
      <c r="H879" t="str">
        <f t="shared" si="143"/>
        <v xml:space="preserve">Caja 2400 Aluminio findido </v>
      </c>
      <c r="M879" t="str">
        <f t="shared" si="144"/>
        <v>UN</v>
      </c>
      <c r="N879" s="183">
        <f t="shared" si="145"/>
        <v>12617</v>
      </c>
    </row>
    <row r="880" spans="1:14" ht="15.75" x14ac:dyDescent="0.25">
      <c r="A880" s="108"/>
      <c r="B880" s="109" t="s">
        <v>500</v>
      </c>
      <c r="C880" s="81" t="s">
        <v>239</v>
      </c>
      <c r="D880" s="81">
        <v>1</v>
      </c>
      <c r="E880" s="110">
        <v>2070</v>
      </c>
      <c r="F880" s="110">
        <f t="shared" si="146"/>
        <v>2070</v>
      </c>
      <c r="G880">
        <v>4.5999999999999996</v>
      </c>
      <c r="H880" t="str">
        <f t="shared" si="143"/>
        <v>Terminales EMT 3/4"</v>
      </c>
      <c r="M880" t="str">
        <f t="shared" si="144"/>
        <v>UN</v>
      </c>
      <c r="N880" s="183">
        <f t="shared" si="145"/>
        <v>2070</v>
      </c>
    </row>
    <row r="881" spans="1:14" ht="15.75" x14ac:dyDescent="0.25">
      <c r="A881" s="108"/>
      <c r="B881" s="109" t="s">
        <v>501</v>
      </c>
      <c r="C881" s="81" t="s">
        <v>239</v>
      </c>
      <c r="D881" s="81">
        <v>0</v>
      </c>
      <c r="E881" s="110">
        <v>893</v>
      </c>
      <c r="F881" s="110">
        <f t="shared" si="146"/>
        <v>0</v>
      </c>
      <c r="G881">
        <v>4.5999999999999996</v>
      </c>
      <c r="H881" t="str">
        <f t="shared" si="143"/>
        <v>Uniones EMT 3/4"</v>
      </c>
      <c r="M881" t="str">
        <f t="shared" si="144"/>
        <v>UN</v>
      </c>
      <c r="N881" s="183">
        <f t="shared" si="145"/>
        <v>0</v>
      </c>
    </row>
    <row r="882" spans="1:14" ht="15.75" x14ac:dyDescent="0.25">
      <c r="A882" s="108"/>
      <c r="B882" s="82" t="s">
        <v>507</v>
      </c>
      <c r="C882" s="81" t="s">
        <v>239</v>
      </c>
      <c r="D882" s="81">
        <v>3</v>
      </c>
      <c r="E882" s="110">
        <v>2400</v>
      </c>
      <c r="F882" s="110">
        <f t="shared" si="146"/>
        <v>7200</v>
      </c>
      <c r="G882">
        <v>4.5999999999999996</v>
      </c>
      <c r="H882" t="str">
        <f t="shared" si="143"/>
        <v>Elementos de fijacion abrasadeta doble ala</v>
      </c>
      <c r="M882" t="str">
        <f t="shared" si="144"/>
        <v>UN</v>
      </c>
      <c r="N882" s="183">
        <f t="shared" si="145"/>
        <v>7200</v>
      </c>
    </row>
    <row r="883" spans="1:14" ht="15.75" x14ac:dyDescent="0.25">
      <c r="A883" s="108"/>
      <c r="B883" s="109"/>
      <c r="C883" s="81"/>
      <c r="D883" s="81"/>
      <c r="E883" s="110"/>
      <c r="F883" s="110">
        <f t="shared" si="146"/>
        <v>0</v>
      </c>
      <c r="N883" s="183"/>
    </row>
    <row r="884" spans="1:14" ht="15.75" x14ac:dyDescent="0.25">
      <c r="A884" s="108"/>
      <c r="B884" s="82"/>
      <c r="C884" s="81"/>
      <c r="D884" s="81"/>
      <c r="E884" s="110"/>
      <c r="F884" s="110"/>
      <c r="N884" s="183"/>
    </row>
    <row r="885" spans="1:14" ht="15.75" x14ac:dyDescent="0.25">
      <c r="A885" s="108"/>
      <c r="B885" s="82"/>
      <c r="C885" s="78"/>
      <c r="D885" s="78"/>
      <c r="E885" s="111" t="s">
        <v>489</v>
      </c>
      <c r="F885" s="112">
        <f>SUM(F876:F884)</f>
        <v>97009.2</v>
      </c>
      <c r="N885" s="183"/>
    </row>
    <row r="886" spans="1:14" ht="15.75" x14ac:dyDescent="0.25">
      <c r="A886" s="108"/>
      <c r="B886" s="113"/>
      <c r="C886" s="113"/>
      <c r="D886" s="113"/>
      <c r="E886" s="113"/>
      <c r="F886" s="113"/>
      <c r="N886" s="183"/>
    </row>
    <row r="887" spans="1:14" ht="15.75" x14ac:dyDescent="0.25">
      <c r="A887" s="108"/>
      <c r="B887" s="77" t="s">
        <v>490</v>
      </c>
      <c r="C887" s="78"/>
      <c r="D887" s="78"/>
      <c r="E887" s="79"/>
      <c r="F887" s="79"/>
      <c r="N887" s="183"/>
    </row>
    <row r="888" spans="1:14" ht="15.75" x14ac:dyDescent="0.25">
      <c r="A888" s="108"/>
      <c r="B888" s="109" t="s">
        <v>491</v>
      </c>
      <c r="C888" s="78" t="s">
        <v>239</v>
      </c>
      <c r="D888" s="78">
        <v>5.0000000000000001E-3</v>
      </c>
      <c r="E888" s="79">
        <v>302379</v>
      </c>
      <c r="F888" s="79">
        <f>+E888*D888</f>
        <v>1511.895</v>
      </c>
      <c r="N888" s="183"/>
    </row>
    <row r="889" spans="1:14" ht="15.75" x14ac:dyDescent="0.25">
      <c r="A889" s="108"/>
      <c r="B889" s="82"/>
      <c r="C889" s="78"/>
      <c r="D889" s="78"/>
      <c r="E889" s="111" t="s">
        <v>489</v>
      </c>
      <c r="F889" s="112">
        <f>SUM(F888:F888)</f>
        <v>1511.895</v>
      </c>
      <c r="N889" s="183"/>
    </row>
    <row r="890" spans="1:14" ht="15.75" x14ac:dyDescent="0.25">
      <c r="A890" s="108"/>
      <c r="B890" s="82"/>
      <c r="C890" s="78"/>
      <c r="D890" s="78"/>
      <c r="E890" s="111"/>
      <c r="F890" s="112"/>
      <c r="N890" s="183"/>
    </row>
    <row r="891" spans="1:14" ht="15.75" x14ac:dyDescent="0.25">
      <c r="A891" s="108"/>
      <c r="B891" s="77" t="s">
        <v>492</v>
      </c>
      <c r="C891" s="78"/>
      <c r="D891" s="78"/>
      <c r="E891" s="79"/>
      <c r="F891" s="79"/>
      <c r="N891" s="183"/>
    </row>
    <row r="892" spans="1:14" ht="15.75" x14ac:dyDescent="0.25">
      <c r="A892" s="108"/>
      <c r="B892" s="109" t="s">
        <v>493</v>
      </c>
      <c r="C892" s="78" t="s">
        <v>268</v>
      </c>
      <c r="D892" s="78">
        <v>0.4</v>
      </c>
      <c r="E892" s="79">
        <v>78471</v>
      </c>
      <c r="F892" s="114">
        <f>E892*D892</f>
        <v>31388.400000000001</v>
      </c>
      <c r="N892" s="183"/>
    </row>
    <row r="893" spans="1:14" ht="15.75" x14ac:dyDescent="0.25">
      <c r="A893" s="108"/>
      <c r="B893" s="82"/>
      <c r="C893" s="78"/>
      <c r="D893" s="78"/>
      <c r="E893" s="111" t="s">
        <v>489</v>
      </c>
      <c r="F893" s="112">
        <f>SUM(F892:F892)</f>
        <v>31388.400000000001</v>
      </c>
      <c r="N893" s="183"/>
    </row>
    <row r="894" spans="1:14" ht="15.75" x14ac:dyDescent="0.25">
      <c r="A894" s="108"/>
      <c r="B894" s="82"/>
      <c r="C894" s="78"/>
      <c r="D894" s="78"/>
      <c r="E894" s="111"/>
      <c r="F894" s="112"/>
      <c r="N894" s="183"/>
    </row>
    <row r="895" spans="1:14" ht="15.75" x14ac:dyDescent="0.25">
      <c r="A895" s="115"/>
      <c r="B895" s="77" t="s">
        <v>494</v>
      </c>
      <c r="C895" s="78"/>
      <c r="D895" s="78"/>
      <c r="E895" s="79"/>
      <c r="F895" s="79"/>
      <c r="N895" s="183"/>
    </row>
    <row r="896" spans="1:14" ht="15.75" x14ac:dyDescent="0.25">
      <c r="A896" s="115"/>
      <c r="B896" s="82" t="s">
        <v>495</v>
      </c>
      <c r="C896" s="78" t="s">
        <v>268</v>
      </c>
      <c r="D896" s="78">
        <v>0</v>
      </c>
      <c r="E896" s="79">
        <v>34381</v>
      </c>
      <c r="F896" s="114">
        <f>E896*D896</f>
        <v>0</v>
      </c>
      <c r="N896" s="183"/>
    </row>
    <row r="897" spans="1:14" ht="15.75" x14ac:dyDescent="0.25">
      <c r="A897" s="115"/>
      <c r="B897" s="82"/>
      <c r="C897" s="78"/>
      <c r="D897" s="78"/>
      <c r="E897" s="111" t="s">
        <v>489</v>
      </c>
      <c r="F897" s="112">
        <f>SUM(F896:F896)</f>
        <v>0</v>
      </c>
      <c r="N897" s="183"/>
    </row>
    <row r="898" spans="1:14" ht="15.75" x14ac:dyDescent="0.25">
      <c r="A898" s="115"/>
      <c r="B898" s="82"/>
      <c r="C898" s="78"/>
      <c r="D898" s="78"/>
      <c r="E898" s="79"/>
      <c r="F898" s="79"/>
      <c r="N898" s="183"/>
    </row>
    <row r="899" spans="1:14" ht="15.75" x14ac:dyDescent="0.25">
      <c r="A899" s="108"/>
      <c r="B899" s="82"/>
      <c r="C899" s="78"/>
      <c r="D899" s="78"/>
      <c r="E899" s="85" t="s">
        <v>271</v>
      </c>
      <c r="F899" s="116">
        <f>ROUND(SUM(F875:F897)/2, 0)</f>
        <v>129909</v>
      </c>
      <c r="N899" s="183"/>
    </row>
    <row r="900" spans="1:14" ht="16.5" customHeight="1" x14ac:dyDescent="0.25">
      <c r="A900" s="115"/>
      <c r="B900" s="113"/>
      <c r="C900" s="113"/>
      <c r="D900" s="113"/>
      <c r="E900" s="113"/>
      <c r="F900" s="113"/>
      <c r="N900" s="183"/>
    </row>
    <row r="901" spans="1:14" ht="31.5" x14ac:dyDescent="0.25">
      <c r="A901" s="103">
        <f>+PRESUPUESTO!A67</f>
        <v>4.7</v>
      </c>
      <c r="B901" s="104" t="str">
        <f>+PRESUPUESTO!B67</f>
        <v>Suministro e instalación de luminaria LED 60x60 40W 120V ATENCION AL USUARIO</v>
      </c>
      <c r="C901" s="105"/>
      <c r="D901" s="105"/>
      <c r="E901" s="106"/>
      <c r="F901" s="107" t="str">
        <f>+PRESUPUESTO!D67</f>
        <v>UNIDAD</v>
      </c>
      <c r="N901" s="183"/>
    </row>
    <row r="902" spans="1:14" ht="15.75" x14ac:dyDescent="0.25">
      <c r="A902" s="108"/>
      <c r="B902" s="74" t="s">
        <v>92</v>
      </c>
      <c r="C902" s="75" t="s">
        <v>93</v>
      </c>
      <c r="D902" s="75" t="s">
        <v>259</v>
      </c>
      <c r="E902" s="76" t="s">
        <v>260</v>
      </c>
      <c r="F902" s="76" t="s">
        <v>261</v>
      </c>
      <c r="N902" s="183"/>
    </row>
    <row r="903" spans="1:14" ht="15.75" x14ac:dyDescent="0.25">
      <c r="A903" s="108"/>
      <c r="B903" s="77" t="s">
        <v>262</v>
      </c>
      <c r="C903" s="78"/>
      <c r="D903" s="78"/>
      <c r="E903" s="79"/>
      <c r="F903" s="79"/>
      <c r="N903" s="183"/>
    </row>
    <row r="904" spans="1:14" ht="15.75" x14ac:dyDescent="0.25">
      <c r="A904" s="108"/>
      <c r="B904" s="109" t="s">
        <v>521</v>
      </c>
      <c r="C904" s="81" t="s">
        <v>239</v>
      </c>
      <c r="D904" s="81">
        <v>1</v>
      </c>
      <c r="E904" s="110">
        <v>119500</v>
      </c>
      <c r="F904" s="110">
        <f t="shared" ref="F904:F905" si="147">+E904*D904</f>
        <v>119500</v>
      </c>
      <c r="G904">
        <v>4.7</v>
      </c>
      <c r="H904" t="str">
        <f t="shared" si="143"/>
        <v>Luminaria 60x60 LED 40w 120v</v>
      </c>
      <c r="M904" t="str">
        <f t="shared" si="144"/>
        <v>UN</v>
      </c>
      <c r="N904" s="183">
        <f t="shared" si="145"/>
        <v>119500</v>
      </c>
    </row>
    <row r="905" spans="1:14" ht="15.75" x14ac:dyDescent="0.25">
      <c r="A905" s="108"/>
      <c r="B905" s="82" t="s">
        <v>502</v>
      </c>
      <c r="C905" s="81" t="s">
        <v>239</v>
      </c>
      <c r="D905" s="81">
        <v>0</v>
      </c>
      <c r="E905" s="110">
        <v>4126</v>
      </c>
      <c r="F905" s="110">
        <f t="shared" si="147"/>
        <v>0</v>
      </c>
      <c r="G905">
        <v>4.7</v>
      </c>
      <c r="H905" t="str">
        <f t="shared" si="143"/>
        <v xml:space="preserve">Elementos de fijacion </v>
      </c>
      <c r="M905" t="str">
        <f t="shared" si="144"/>
        <v>UN</v>
      </c>
      <c r="N905" s="183">
        <f t="shared" si="145"/>
        <v>0</v>
      </c>
    </row>
    <row r="906" spans="1:14" ht="15.75" x14ac:dyDescent="0.25">
      <c r="A906" s="108"/>
      <c r="B906" s="82"/>
      <c r="C906" s="78"/>
      <c r="D906" s="78"/>
      <c r="E906" s="111" t="s">
        <v>489</v>
      </c>
      <c r="F906" s="112">
        <f>SUM(F904:F905)</f>
        <v>119500</v>
      </c>
      <c r="N906" s="183"/>
    </row>
    <row r="907" spans="1:14" ht="15.75" x14ac:dyDescent="0.25">
      <c r="A907" s="108"/>
      <c r="B907" s="113"/>
      <c r="C907" s="113"/>
      <c r="D907" s="113"/>
      <c r="E907" s="113"/>
      <c r="F907" s="113"/>
      <c r="N907" s="183"/>
    </row>
    <row r="908" spans="1:14" ht="15.75" x14ac:dyDescent="0.25">
      <c r="A908" s="108"/>
      <c r="B908" s="77" t="s">
        <v>490</v>
      </c>
      <c r="C908" s="78"/>
      <c r="D908" s="78"/>
      <c r="E908" s="79"/>
      <c r="F908" s="79"/>
      <c r="N908" s="183"/>
    </row>
    <row r="909" spans="1:14" ht="15.75" x14ac:dyDescent="0.25">
      <c r="A909" s="108"/>
      <c r="B909" s="109" t="s">
        <v>491</v>
      </c>
      <c r="C909" s="78" t="s">
        <v>239</v>
      </c>
      <c r="D909" s="78">
        <v>0.01</v>
      </c>
      <c r="E909" s="79">
        <v>302379</v>
      </c>
      <c r="F909" s="79">
        <f>+E909*D909</f>
        <v>3023.79</v>
      </c>
      <c r="N909" s="183"/>
    </row>
    <row r="910" spans="1:14" ht="15.75" x14ac:dyDescent="0.25">
      <c r="A910" s="108"/>
      <c r="B910" s="82"/>
      <c r="C910" s="78"/>
      <c r="D910" s="78"/>
      <c r="E910" s="111" t="s">
        <v>489</v>
      </c>
      <c r="F910" s="112">
        <f>SUM(F909:F909)</f>
        <v>3023.79</v>
      </c>
      <c r="N910" s="183"/>
    </row>
    <row r="911" spans="1:14" ht="15.75" x14ac:dyDescent="0.25">
      <c r="A911" s="108"/>
      <c r="B911" s="82"/>
      <c r="C911" s="78"/>
      <c r="D911" s="78"/>
      <c r="E911" s="111"/>
      <c r="F911" s="112"/>
      <c r="N911" s="183"/>
    </row>
    <row r="912" spans="1:14" ht="15.75" x14ac:dyDescent="0.25">
      <c r="A912" s="108"/>
      <c r="B912" s="77" t="s">
        <v>492</v>
      </c>
      <c r="C912" s="78"/>
      <c r="D912" s="78"/>
      <c r="E912" s="79"/>
      <c r="F912" s="79"/>
      <c r="N912" s="183"/>
    </row>
    <row r="913" spans="1:14" ht="15.75" x14ac:dyDescent="0.25">
      <c r="A913" s="108"/>
      <c r="B913" s="109" t="s">
        <v>493</v>
      </c>
      <c r="C913" s="78" t="s">
        <v>268</v>
      </c>
      <c r="D913" s="78">
        <v>0.6</v>
      </c>
      <c r="E913" s="79">
        <v>78471</v>
      </c>
      <c r="F913" s="114">
        <f>E913*D913</f>
        <v>47082.6</v>
      </c>
      <c r="N913" s="183"/>
    </row>
    <row r="914" spans="1:14" ht="15.75" x14ac:dyDescent="0.25">
      <c r="A914" s="108"/>
      <c r="B914" s="82"/>
      <c r="C914" s="78"/>
      <c r="D914" s="78"/>
      <c r="E914" s="111" t="s">
        <v>489</v>
      </c>
      <c r="F914" s="112">
        <f>SUM(F913:F913)</f>
        <v>47082.6</v>
      </c>
      <c r="N914" s="183"/>
    </row>
    <row r="915" spans="1:14" ht="15.75" x14ac:dyDescent="0.25">
      <c r="A915" s="108"/>
      <c r="B915" s="82"/>
      <c r="C915" s="78"/>
      <c r="D915" s="78"/>
      <c r="E915" s="111"/>
      <c r="F915" s="112"/>
      <c r="N915" s="183"/>
    </row>
    <row r="916" spans="1:14" ht="15.75" x14ac:dyDescent="0.25">
      <c r="A916" s="108"/>
      <c r="B916" s="77" t="s">
        <v>494</v>
      </c>
      <c r="C916" s="78"/>
      <c r="D916" s="78"/>
      <c r="E916" s="79"/>
      <c r="F916" s="79"/>
      <c r="N916" s="183"/>
    </row>
    <row r="917" spans="1:14" ht="15.75" x14ac:dyDescent="0.25">
      <c r="A917" s="108"/>
      <c r="B917" s="82" t="s">
        <v>495</v>
      </c>
      <c r="C917" s="78" t="s">
        <v>268</v>
      </c>
      <c r="D917" s="78">
        <v>0.1</v>
      </c>
      <c r="E917" s="79">
        <v>34381</v>
      </c>
      <c r="F917" s="114">
        <f>E917*D917</f>
        <v>3438.1000000000004</v>
      </c>
      <c r="N917" s="183"/>
    </row>
    <row r="918" spans="1:14" ht="15.75" x14ac:dyDescent="0.25">
      <c r="A918" s="115"/>
      <c r="B918" s="82"/>
      <c r="C918" s="78"/>
      <c r="D918" s="78"/>
      <c r="E918" s="111" t="s">
        <v>489</v>
      </c>
      <c r="F918" s="112">
        <f>SUM(F917:F917)</f>
        <v>3438.1000000000004</v>
      </c>
      <c r="N918" s="183"/>
    </row>
    <row r="919" spans="1:14" ht="15.75" x14ac:dyDescent="0.25">
      <c r="A919" s="115"/>
      <c r="B919" s="82"/>
      <c r="C919" s="78"/>
      <c r="D919" s="78"/>
      <c r="E919" s="79"/>
      <c r="F919" s="79"/>
      <c r="N919" s="183"/>
    </row>
    <row r="920" spans="1:14" ht="15.75" x14ac:dyDescent="0.25">
      <c r="A920" s="115"/>
      <c r="B920" s="82"/>
      <c r="C920" s="78"/>
      <c r="D920" s="78"/>
      <c r="E920" s="85" t="s">
        <v>271</v>
      </c>
      <c r="F920" s="116">
        <f>ROUND(SUM(F903:F918)/2, 0)</f>
        <v>173044</v>
      </c>
      <c r="N920" s="183"/>
    </row>
    <row r="921" spans="1:14" ht="63" x14ac:dyDescent="0.25">
      <c r="A921" s="103">
        <f>+PRESUPUESTO!A68</f>
        <v>4.8</v>
      </c>
      <c r="B921" s="104" t="str">
        <f>+PRESUPUESTO!B68</f>
        <v>Suministro e instalación de un sistema de puesta a tierra con UNA varillas cobre-cobre de 2,4m x 5/8", CONECTOR CERTIFICADO y cable 6 cobre desnudo 10ml para el MEDIDOR.</v>
      </c>
      <c r="C921" s="105"/>
      <c r="D921" s="105"/>
      <c r="E921" s="106"/>
      <c r="F921" s="107" t="str">
        <f>+PRESUPUESTO!D68</f>
        <v>UNIDAD</v>
      </c>
      <c r="N921" s="183"/>
    </row>
    <row r="922" spans="1:14" ht="15.75" x14ac:dyDescent="0.25">
      <c r="A922" s="108"/>
      <c r="B922" s="74" t="s">
        <v>92</v>
      </c>
      <c r="C922" s="75" t="s">
        <v>93</v>
      </c>
      <c r="D922" s="75" t="s">
        <v>259</v>
      </c>
      <c r="E922" s="76" t="s">
        <v>260</v>
      </c>
      <c r="F922" s="76" t="s">
        <v>261</v>
      </c>
      <c r="N922" s="183"/>
    </row>
    <row r="923" spans="1:14" ht="15.75" x14ac:dyDescent="0.25">
      <c r="A923" s="108"/>
      <c r="B923" s="77" t="s">
        <v>262</v>
      </c>
      <c r="C923" s="78"/>
      <c r="D923" s="78"/>
      <c r="E923" s="79"/>
      <c r="F923" s="79"/>
      <c r="N923" s="183"/>
    </row>
    <row r="924" spans="1:14" ht="15.75" x14ac:dyDescent="0.25">
      <c r="A924" s="108"/>
      <c r="B924" s="109" t="s">
        <v>522</v>
      </c>
      <c r="C924" s="81" t="s">
        <v>239</v>
      </c>
      <c r="D924" s="81">
        <v>1</v>
      </c>
      <c r="E924" s="110">
        <v>250000</v>
      </c>
      <c r="F924" s="110">
        <f t="shared" ref="F924:F931" si="148">+E924*D924</f>
        <v>250000</v>
      </c>
      <c r="G924">
        <v>4.8</v>
      </c>
      <c r="H924" t="str">
        <f t="shared" ref="H924:H951" si="149">+B924</f>
        <v>varilla de cobre 2,4x5/8"</v>
      </c>
      <c r="M924" t="str">
        <f t="shared" ref="M924:M951" si="150">+C924</f>
        <v>UN</v>
      </c>
      <c r="N924" s="183">
        <f t="shared" ref="N924:N951" si="151">+F924</f>
        <v>250000</v>
      </c>
    </row>
    <row r="925" spans="1:14" ht="15.75" x14ac:dyDescent="0.25">
      <c r="A925" s="108"/>
      <c r="B925" s="109" t="s">
        <v>523</v>
      </c>
      <c r="C925" s="81" t="s">
        <v>239</v>
      </c>
      <c r="D925" s="81">
        <v>1</v>
      </c>
      <c r="E925" s="110">
        <v>35000</v>
      </c>
      <c r="F925" s="110">
        <f t="shared" si="148"/>
        <v>35000</v>
      </c>
      <c r="G925">
        <v>4.8</v>
      </c>
      <c r="H925" t="str">
        <f t="shared" si="149"/>
        <v>CONECTOR</v>
      </c>
      <c r="M925" t="str">
        <f t="shared" si="150"/>
        <v>UN</v>
      </c>
      <c r="N925" s="183">
        <f t="shared" si="151"/>
        <v>35000</v>
      </c>
    </row>
    <row r="926" spans="1:14" ht="15.75" x14ac:dyDescent="0.25">
      <c r="A926" s="108"/>
      <c r="B926" s="109" t="s">
        <v>524</v>
      </c>
      <c r="C926" s="81" t="s">
        <v>117</v>
      </c>
      <c r="D926" s="81">
        <v>10</v>
      </c>
      <c r="E926" s="110">
        <v>5800</v>
      </c>
      <c r="F926" s="110">
        <f t="shared" si="148"/>
        <v>58000</v>
      </c>
      <c r="G926">
        <v>4.8</v>
      </c>
      <c r="H926" t="str">
        <f t="shared" si="149"/>
        <v>CABLE DE COBRE 6 DESNUDO</v>
      </c>
      <c r="M926" t="str">
        <f t="shared" si="150"/>
        <v>ML</v>
      </c>
      <c r="N926" s="183">
        <f t="shared" si="151"/>
        <v>58000</v>
      </c>
    </row>
    <row r="927" spans="1:14" ht="15.75" x14ac:dyDescent="0.25">
      <c r="A927" s="108"/>
      <c r="B927" s="109" t="s">
        <v>525</v>
      </c>
      <c r="C927" s="81" t="s">
        <v>239</v>
      </c>
      <c r="D927" s="81">
        <v>1</v>
      </c>
      <c r="E927" s="110">
        <v>380000</v>
      </c>
      <c r="F927" s="110">
        <f t="shared" si="148"/>
        <v>380000</v>
      </c>
      <c r="G927">
        <v>4.8</v>
      </c>
      <c r="H927" t="str">
        <f t="shared" si="149"/>
        <v>CAJA 0,3X0,3M PARA INSPECCIÓN PREFABRICADA</v>
      </c>
      <c r="M927" t="str">
        <f t="shared" si="150"/>
        <v>UN</v>
      </c>
      <c r="N927" s="183">
        <f t="shared" si="151"/>
        <v>380000</v>
      </c>
    </row>
    <row r="928" spans="1:14" ht="15.75" x14ac:dyDescent="0.25">
      <c r="A928" s="108"/>
      <c r="B928" s="109" t="s">
        <v>526</v>
      </c>
      <c r="C928" s="81" t="s">
        <v>527</v>
      </c>
      <c r="D928" s="81">
        <v>1</v>
      </c>
      <c r="E928" s="110">
        <v>450000</v>
      </c>
      <c r="F928" s="110">
        <f t="shared" si="148"/>
        <v>450000</v>
      </c>
      <c r="G928">
        <v>4.8</v>
      </c>
      <c r="H928" t="str">
        <f t="shared" si="149"/>
        <v>SUELO ARTIFICIAL 30 KG POR VARILLA</v>
      </c>
      <c r="M928" t="str">
        <f t="shared" si="150"/>
        <v>BULTO</v>
      </c>
      <c r="N928" s="183">
        <f t="shared" si="151"/>
        <v>450000</v>
      </c>
    </row>
    <row r="929" spans="1:14" ht="15.75" x14ac:dyDescent="0.25">
      <c r="A929" s="108"/>
      <c r="B929" s="109"/>
      <c r="C929" s="81"/>
      <c r="D929" s="81"/>
      <c r="E929" s="110"/>
      <c r="F929" s="110">
        <f t="shared" si="148"/>
        <v>0</v>
      </c>
      <c r="N929" s="183"/>
    </row>
    <row r="930" spans="1:14" ht="15.75" x14ac:dyDescent="0.25">
      <c r="A930" s="108"/>
      <c r="B930" s="82"/>
      <c r="C930" s="81"/>
      <c r="D930" s="81"/>
      <c r="E930" s="110"/>
      <c r="F930" s="110">
        <f t="shared" si="148"/>
        <v>0</v>
      </c>
      <c r="N930" s="183"/>
    </row>
    <row r="931" spans="1:14" ht="15.75" x14ac:dyDescent="0.25">
      <c r="A931" s="108"/>
      <c r="B931" s="113"/>
      <c r="C931" s="81"/>
      <c r="D931" s="81"/>
      <c r="E931" s="110"/>
      <c r="F931" s="110">
        <f t="shared" si="148"/>
        <v>0</v>
      </c>
      <c r="N931" s="183"/>
    </row>
    <row r="932" spans="1:14" ht="15.75" x14ac:dyDescent="0.25">
      <c r="A932" s="108"/>
      <c r="B932" s="82"/>
      <c r="C932" s="78"/>
      <c r="D932" s="78"/>
      <c r="E932" s="111" t="s">
        <v>489</v>
      </c>
      <c r="F932" s="112">
        <f>SUM(F924:F931)</f>
        <v>1173000</v>
      </c>
      <c r="N932" s="183"/>
    </row>
    <row r="933" spans="1:14" ht="15.75" x14ac:dyDescent="0.25">
      <c r="A933" s="108"/>
      <c r="B933" s="113"/>
      <c r="C933" s="113"/>
      <c r="D933" s="113"/>
      <c r="E933" s="113"/>
      <c r="F933" s="113"/>
      <c r="N933" s="183"/>
    </row>
    <row r="934" spans="1:14" ht="15.75" x14ac:dyDescent="0.25">
      <c r="A934" s="108"/>
      <c r="B934" s="77" t="s">
        <v>490</v>
      </c>
      <c r="C934" s="78"/>
      <c r="D934" s="78"/>
      <c r="E934" s="79"/>
      <c r="F934" s="79"/>
      <c r="N934" s="183"/>
    </row>
    <row r="935" spans="1:14" ht="15.75" x14ac:dyDescent="0.25">
      <c r="A935" s="108"/>
      <c r="B935" s="109" t="s">
        <v>491</v>
      </c>
      <c r="C935" s="78" t="s">
        <v>239</v>
      </c>
      <c r="D935" s="78">
        <v>0.5</v>
      </c>
      <c r="E935" s="79">
        <v>302379</v>
      </c>
      <c r="F935" s="79">
        <f>+E935*D935</f>
        <v>151189.5</v>
      </c>
      <c r="N935" s="183"/>
    </row>
    <row r="936" spans="1:14" ht="15.75" x14ac:dyDescent="0.25">
      <c r="A936" s="108"/>
      <c r="B936" s="82"/>
      <c r="C936" s="78"/>
      <c r="D936" s="78"/>
      <c r="E936" s="111" t="s">
        <v>489</v>
      </c>
      <c r="F936" s="112">
        <f>SUM(F935:F935)</f>
        <v>151189.5</v>
      </c>
      <c r="N936" s="183"/>
    </row>
    <row r="937" spans="1:14" ht="15.75" x14ac:dyDescent="0.25">
      <c r="A937" s="108"/>
      <c r="B937" s="82"/>
      <c r="C937" s="78"/>
      <c r="D937" s="78"/>
      <c r="E937" s="111"/>
      <c r="F937" s="112"/>
      <c r="N937" s="183"/>
    </row>
    <row r="938" spans="1:14" ht="15.75" x14ac:dyDescent="0.25">
      <c r="A938" s="108"/>
      <c r="B938" s="77" t="s">
        <v>492</v>
      </c>
      <c r="C938" s="78"/>
      <c r="D938" s="78"/>
      <c r="E938" s="79"/>
      <c r="F938" s="79"/>
      <c r="N938" s="183"/>
    </row>
    <row r="939" spans="1:14" ht="15.75" x14ac:dyDescent="0.25">
      <c r="A939" s="108"/>
      <c r="B939" s="109" t="s">
        <v>493</v>
      </c>
      <c r="C939" s="78" t="s">
        <v>268</v>
      </c>
      <c r="D939" s="78">
        <v>5</v>
      </c>
      <c r="E939" s="79">
        <v>78471</v>
      </c>
      <c r="F939" s="114">
        <f>E939*D939</f>
        <v>392355</v>
      </c>
      <c r="N939" s="183"/>
    </row>
    <row r="940" spans="1:14" ht="15.75" x14ac:dyDescent="0.25">
      <c r="A940" s="108"/>
      <c r="B940" s="82"/>
      <c r="C940" s="78"/>
      <c r="D940" s="78"/>
      <c r="E940" s="111" t="s">
        <v>489</v>
      </c>
      <c r="F940" s="112">
        <f>SUM(F939:F939)</f>
        <v>392355</v>
      </c>
      <c r="N940" s="183"/>
    </row>
    <row r="941" spans="1:14" ht="15.75" x14ac:dyDescent="0.25">
      <c r="A941" s="108"/>
      <c r="B941" s="82"/>
      <c r="C941" s="78"/>
      <c r="D941" s="78"/>
      <c r="E941" s="111"/>
      <c r="F941" s="112"/>
      <c r="N941" s="183"/>
    </row>
    <row r="942" spans="1:14" ht="15.75" x14ac:dyDescent="0.25">
      <c r="A942" s="115"/>
      <c r="B942" s="77" t="s">
        <v>494</v>
      </c>
      <c r="C942" s="78"/>
      <c r="D942" s="78"/>
      <c r="E942" s="79"/>
      <c r="F942" s="79"/>
      <c r="N942" s="183"/>
    </row>
    <row r="943" spans="1:14" ht="15.75" x14ac:dyDescent="0.25">
      <c r="A943" s="115"/>
      <c r="B943" s="82" t="s">
        <v>495</v>
      </c>
      <c r="C943" s="78" t="s">
        <v>268</v>
      </c>
      <c r="D943" s="119">
        <v>1</v>
      </c>
      <c r="E943" s="79">
        <v>34381</v>
      </c>
      <c r="F943" s="114">
        <f>E943*D943</f>
        <v>34381</v>
      </c>
      <c r="N943" s="183"/>
    </row>
    <row r="944" spans="1:14" ht="15.75" x14ac:dyDescent="0.25">
      <c r="A944" s="115"/>
      <c r="B944" s="82"/>
      <c r="C944" s="78"/>
      <c r="D944" s="78"/>
      <c r="E944" s="111" t="s">
        <v>489</v>
      </c>
      <c r="F944" s="112">
        <f>SUM(F943:F943)</f>
        <v>34381</v>
      </c>
      <c r="N944" s="183"/>
    </row>
    <row r="945" spans="1:14" ht="15.75" x14ac:dyDescent="0.25">
      <c r="A945" s="115"/>
      <c r="B945" s="82"/>
      <c r="C945" s="78"/>
      <c r="D945" s="78"/>
      <c r="E945" s="79"/>
      <c r="F945" s="79"/>
      <c r="N945" s="183"/>
    </row>
    <row r="946" spans="1:14" ht="15.75" x14ac:dyDescent="0.25">
      <c r="A946" s="108"/>
      <c r="B946" s="82"/>
      <c r="C946" s="78"/>
      <c r="D946" s="78"/>
      <c r="E946" s="85" t="s">
        <v>271</v>
      </c>
      <c r="F946" s="116">
        <f>ROUND(SUM(F923:F944)/2, 0)</f>
        <v>1750926</v>
      </c>
      <c r="N946" s="183"/>
    </row>
    <row r="947" spans="1:14" ht="15.75" x14ac:dyDescent="0.25">
      <c r="A947" s="108"/>
      <c r="B947" s="82"/>
      <c r="C947" s="78"/>
      <c r="D947" s="78"/>
      <c r="E947" s="85"/>
      <c r="F947" s="121"/>
      <c r="N947" s="183"/>
    </row>
    <row r="948" spans="1:14" ht="31.5" x14ac:dyDescent="0.25">
      <c r="A948" s="103">
        <f>+PRESUPUESTO!A69</f>
        <v>4.9000000000000004</v>
      </c>
      <c r="B948" s="104" t="str">
        <f>+PRESUPUESTO!B69</f>
        <v>Suministro e instalación de luminaria panel LED redodo de 18W 120V. Para cocina, baños cuarto de aseo, pasillos.</v>
      </c>
      <c r="C948" s="105"/>
      <c r="D948" s="105"/>
      <c r="E948" s="106"/>
      <c r="F948" s="107" t="str">
        <f>+PRESUPUESTO!D69</f>
        <v>UNIDAD</v>
      </c>
      <c r="N948" s="183"/>
    </row>
    <row r="949" spans="1:14" ht="15.75" x14ac:dyDescent="0.25">
      <c r="A949" s="108"/>
      <c r="B949" s="74" t="s">
        <v>92</v>
      </c>
      <c r="C949" s="75" t="s">
        <v>93</v>
      </c>
      <c r="D949" s="75" t="s">
        <v>259</v>
      </c>
      <c r="E949" s="76" t="s">
        <v>260</v>
      </c>
      <c r="F949" s="76" t="s">
        <v>261</v>
      </c>
      <c r="N949" s="183"/>
    </row>
    <row r="950" spans="1:14" ht="15.75" x14ac:dyDescent="0.25">
      <c r="A950" s="108"/>
      <c r="B950" s="77" t="s">
        <v>262</v>
      </c>
      <c r="C950" s="78"/>
      <c r="D950" s="78"/>
      <c r="E950" s="79"/>
      <c r="F950" s="79"/>
      <c r="N950" s="183"/>
    </row>
    <row r="951" spans="1:14" ht="15.75" x14ac:dyDescent="0.25">
      <c r="A951" s="108"/>
      <c r="B951" s="109" t="s">
        <v>528</v>
      </c>
      <c r="C951" s="81" t="s">
        <v>239</v>
      </c>
      <c r="D951" s="81">
        <v>1</v>
      </c>
      <c r="E951" s="110">
        <v>18500</v>
      </c>
      <c r="F951" s="110">
        <f t="shared" ref="F951:F957" si="152">+E951*D951</f>
        <v>18500</v>
      </c>
      <c r="G951">
        <v>4.9000000000000004</v>
      </c>
      <c r="H951" t="str">
        <f t="shared" si="149"/>
        <v>PANEL LED REDONDO 18W SYLVANIA</v>
      </c>
      <c r="M951" t="str">
        <f t="shared" si="150"/>
        <v>UN</v>
      </c>
      <c r="N951" s="183">
        <f t="shared" si="151"/>
        <v>18500</v>
      </c>
    </row>
    <row r="952" spans="1:14" ht="15.75" x14ac:dyDescent="0.25">
      <c r="A952" s="108"/>
      <c r="B952" s="109"/>
      <c r="C952" s="81"/>
      <c r="D952" s="81"/>
      <c r="E952" s="110"/>
      <c r="F952" s="110">
        <f t="shared" si="152"/>
        <v>0</v>
      </c>
      <c r="N952" s="183"/>
    </row>
    <row r="953" spans="1:14" ht="15.75" x14ac:dyDescent="0.25">
      <c r="A953" s="108"/>
      <c r="B953" s="109"/>
      <c r="C953" s="81"/>
      <c r="D953" s="81"/>
      <c r="E953" s="110"/>
      <c r="F953" s="110">
        <f t="shared" si="152"/>
        <v>0</v>
      </c>
      <c r="N953" s="183"/>
    </row>
    <row r="954" spans="1:14" ht="15.75" x14ac:dyDescent="0.25">
      <c r="A954" s="108"/>
      <c r="B954" s="109"/>
      <c r="C954" s="81"/>
      <c r="D954" s="81"/>
      <c r="E954" s="110"/>
      <c r="F954" s="110">
        <f t="shared" si="152"/>
        <v>0</v>
      </c>
      <c r="N954" s="183"/>
    </row>
    <row r="955" spans="1:14" ht="15.75" x14ac:dyDescent="0.25">
      <c r="A955" s="108"/>
      <c r="B955" s="109"/>
      <c r="C955" s="81"/>
      <c r="D955" s="81"/>
      <c r="E955" s="110"/>
      <c r="F955" s="110">
        <f t="shared" si="152"/>
        <v>0</v>
      </c>
      <c r="N955" s="183"/>
    </row>
    <row r="956" spans="1:14" ht="15.75" x14ac:dyDescent="0.25">
      <c r="A956" s="108"/>
      <c r="B956" s="109"/>
      <c r="C956" s="81"/>
      <c r="D956" s="81"/>
      <c r="E956" s="110"/>
      <c r="F956" s="110">
        <f t="shared" si="152"/>
        <v>0</v>
      </c>
      <c r="N956" s="183"/>
    </row>
    <row r="957" spans="1:14" ht="15.75" x14ac:dyDescent="0.25">
      <c r="A957" s="108"/>
      <c r="B957" s="82" t="s">
        <v>502</v>
      </c>
      <c r="C957" s="81" t="s">
        <v>239</v>
      </c>
      <c r="D957" s="81">
        <v>0.3</v>
      </c>
      <c r="E957" s="110">
        <v>4126</v>
      </c>
      <c r="F957" s="110">
        <f t="shared" si="152"/>
        <v>1237.8</v>
      </c>
      <c r="N957" s="183"/>
    </row>
    <row r="958" spans="1:14" ht="15.75" x14ac:dyDescent="0.25">
      <c r="A958" s="108"/>
      <c r="B958" s="82"/>
      <c r="C958" s="78"/>
      <c r="D958" s="78"/>
      <c r="E958" s="111" t="s">
        <v>489</v>
      </c>
      <c r="F958" s="112">
        <f>SUM(F951:F957)</f>
        <v>19737.8</v>
      </c>
      <c r="N958" s="183"/>
    </row>
    <row r="959" spans="1:14" ht="15.75" x14ac:dyDescent="0.25">
      <c r="A959" s="108"/>
      <c r="B959" s="113"/>
      <c r="C959" s="113"/>
      <c r="D959" s="113"/>
      <c r="E959" s="113"/>
      <c r="F959" s="113"/>
      <c r="N959" s="183"/>
    </row>
    <row r="960" spans="1:14" ht="15.75" x14ac:dyDescent="0.25">
      <c r="A960" s="108"/>
      <c r="B960" s="77" t="s">
        <v>490</v>
      </c>
      <c r="C960" s="78"/>
      <c r="D960" s="78"/>
      <c r="E960" s="79"/>
      <c r="F960" s="79"/>
      <c r="N960" s="183"/>
    </row>
    <row r="961" spans="1:14" ht="15.75" x14ac:dyDescent="0.25">
      <c r="A961" s="108"/>
      <c r="B961" s="109" t="s">
        <v>491</v>
      </c>
      <c r="C961" s="78" t="s">
        <v>239</v>
      </c>
      <c r="D961" s="78">
        <v>5.0000000000000001E-3</v>
      </c>
      <c r="E961" s="79">
        <v>302379</v>
      </c>
      <c r="F961" s="79">
        <f>+E961*D961</f>
        <v>1511.895</v>
      </c>
      <c r="N961" s="183"/>
    </row>
    <row r="962" spans="1:14" ht="15.75" x14ac:dyDescent="0.25">
      <c r="A962" s="108"/>
      <c r="B962" s="82"/>
      <c r="C962" s="78"/>
      <c r="D962" s="78"/>
      <c r="E962" s="111" t="s">
        <v>489</v>
      </c>
      <c r="F962" s="112">
        <f>SUM(F961:F961)</f>
        <v>1511.895</v>
      </c>
      <c r="N962" s="183"/>
    </row>
    <row r="963" spans="1:14" ht="15.75" x14ac:dyDescent="0.25">
      <c r="A963" s="108"/>
      <c r="B963" s="82"/>
      <c r="C963" s="78"/>
      <c r="D963" s="78"/>
      <c r="E963" s="111"/>
      <c r="F963" s="112"/>
      <c r="N963" s="183"/>
    </row>
    <row r="964" spans="1:14" ht="15.75" x14ac:dyDescent="0.25">
      <c r="A964" s="108"/>
      <c r="B964" s="77" t="s">
        <v>492</v>
      </c>
      <c r="C964" s="78"/>
      <c r="D964" s="78"/>
      <c r="E964" s="79"/>
      <c r="F964" s="79"/>
      <c r="N964" s="183"/>
    </row>
    <row r="965" spans="1:14" ht="15.75" x14ac:dyDescent="0.25">
      <c r="A965" s="108"/>
      <c r="B965" s="109" t="s">
        <v>493</v>
      </c>
      <c r="C965" s="78" t="s">
        <v>268</v>
      </c>
      <c r="D965" s="78">
        <v>0.2</v>
      </c>
      <c r="E965" s="79">
        <v>78471</v>
      </c>
      <c r="F965" s="114">
        <f>E965*D965</f>
        <v>15694.2</v>
      </c>
      <c r="N965" s="183"/>
    </row>
    <row r="966" spans="1:14" ht="15.75" x14ac:dyDescent="0.25">
      <c r="A966" s="108"/>
      <c r="B966" s="82"/>
      <c r="C966" s="78"/>
      <c r="D966" s="78"/>
      <c r="E966" s="111" t="s">
        <v>489</v>
      </c>
      <c r="F966" s="112">
        <f>SUM(F965:F965)</f>
        <v>15694.2</v>
      </c>
      <c r="N966" s="183"/>
    </row>
    <row r="967" spans="1:14" ht="15.75" x14ac:dyDescent="0.25">
      <c r="A967" s="108"/>
      <c r="B967" s="82"/>
      <c r="C967" s="78"/>
      <c r="D967" s="78"/>
      <c r="E967" s="111"/>
      <c r="F967" s="112"/>
      <c r="N967" s="183"/>
    </row>
    <row r="968" spans="1:14" ht="15.75" x14ac:dyDescent="0.25">
      <c r="A968" s="115"/>
      <c r="B968" s="77" t="s">
        <v>494</v>
      </c>
      <c r="C968" s="78"/>
      <c r="D968" s="78"/>
      <c r="E968" s="79"/>
      <c r="F968" s="79"/>
      <c r="N968" s="183"/>
    </row>
    <row r="969" spans="1:14" ht="15.75" x14ac:dyDescent="0.25">
      <c r="A969" s="115"/>
      <c r="B969" s="82" t="s">
        <v>495</v>
      </c>
      <c r="C969" s="78" t="s">
        <v>268</v>
      </c>
      <c r="D969" s="78">
        <v>0</v>
      </c>
      <c r="E969" s="79">
        <v>34381</v>
      </c>
      <c r="F969" s="114">
        <f>E969*D969</f>
        <v>0</v>
      </c>
      <c r="N969" s="183"/>
    </row>
    <row r="970" spans="1:14" ht="15.75" x14ac:dyDescent="0.25">
      <c r="A970" s="115"/>
      <c r="B970" s="82"/>
      <c r="C970" s="78"/>
      <c r="D970" s="78"/>
      <c r="E970" s="111" t="s">
        <v>489</v>
      </c>
      <c r="F970" s="112">
        <f>SUM(F969:F969)</f>
        <v>0</v>
      </c>
      <c r="N970" s="183"/>
    </row>
    <row r="971" spans="1:14" ht="15.75" x14ac:dyDescent="0.25">
      <c r="A971" s="115"/>
      <c r="B971" s="82"/>
      <c r="C971" s="78"/>
      <c r="D971" s="78"/>
      <c r="E971" s="79"/>
      <c r="F971" s="79"/>
      <c r="N971" s="183"/>
    </row>
    <row r="972" spans="1:14" ht="15.75" x14ac:dyDescent="0.25">
      <c r="A972" s="108"/>
      <c r="B972" s="82"/>
      <c r="C972" s="78"/>
      <c r="D972" s="78"/>
      <c r="E972" s="85" t="s">
        <v>271</v>
      </c>
      <c r="F972" s="116">
        <f>ROUND(SUM(F950:F970)/2, 0)</f>
        <v>36944</v>
      </c>
      <c r="N972" s="183"/>
    </row>
    <row r="973" spans="1:14" ht="15.75" x14ac:dyDescent="0.25">
      <c r="A973" s="127" t="e">
        <f>+PRESUPUESTO!#REF!</f>
        <v>#REF!</v>
      </c>
      <c r="B973" s="104" t="e">
        <f>+PRESUPUESTO!#REF!</f>
        <v>#REF!</v>
      </c>
      <c r="C973" s="122"/>
      <c r="D973" s="122"/>
      <c r="E973" s="123"/>
      <c r="F973" s="124" t="e">
        <f>+PRESUPUESTO!#REF!</f>
        <v>#REF!</v>
      </c>
      <c r="N973" s="183"/>
    </row>
    <row r="974" spans="1:14" ht="15.75" x14ac:dyDescent="0.25">
      <c r="A974" s="108"/>
      <c r="B974" s="74" t="s">
        <v>92</v>
      </c>
      <c r="C974" s="75" t="s">
        <v>93</v>
      </c>
      <c r="D974" s="75" t="s">
        <v>259</v>
      </c>
      <c r="E974" s="76" t="s">
        <v>260</v>
      </c>
      <c r="F974" s="76" t="s">
        <v>261</v>
      </c>
      <c r="N974" s="183"/>
    </row>
    <row r="975" spans="1:14" ht="15.75" x14ac:dyDescent="0.25">
      <c r="A975" s="108"/>
      <c r="B975" s="77" t="s">
        <v>262</v>
      </c>
      <c r="C975" s="78"/>
      <c r="D975" s="78"/>
      <c r="E975" s="79"/>
      <c r="F975" s="79"/>
      <c r="N975" s="183"/>
    </row>
    <row r="976" spans="1:14" ht="15.75" x14ac:dyDescent="0.25">
      <c r="A976" s="108"/>
      <c r="B976" s="109" t="s">
        <v>529</v>
      </c>
      <c r="C976" s="81" t="s">
        <v>93</v>
      </c>
      <c r="D976" s="81">
        <v>1</v>
      </c>
      <c r="E976" s="110">
        <v>13500200</v>
      </c>
      <c r="F976" s="110">
        <f t="shared" ref="F976:F977" si="153">+E976*D976</f>
        <v>13500200</v>
      </c>
      <c r="H976" t="str">
        <f t="shared" ref="H976:H1006" si="154">+B976</f>
        <v>PLANTA ELECTRICA CABINADA 10 KVA VBIFASICA</v>
      </c>
      <c r="M976" t="str">
        <f t="shared" ref="M976:M1006" si="155">+C976</f>
        <v>UNIDAD</v>
      </c>
      <c r="N976" s="183">
        <f t="shared" ref="N976:N1006" si="156">+F976</f>
        <v>13500200</v>
      </c>
    </row>
    <row r="977" spans="1:14" ht="15.75" x14ac:dyDescent="0.25">
      <c r="A977" s="108"/>
      <c r="B977" s="109" t="s">
        <v>530</v>
      </c>
      <c r="C977" s="81" t="s">
        <v>93</v>
      </c>
      <c r="D977" s="81">
        <v>1</v>
      </c>
      <c r="E977" s="110">
        <v>3840000</v>
      </c>
      <c r="F977" s="110">
        <f t="shared" si="153"/>
        <v>3840000</v>
      </c>
      <c r="H977" t="str">
        <f t="shared" si="154"/>
        <v>TRANSFERENCIA</v>
      </c>
      <c r="M977" t="str">
        <f t="shared" si="155"/>
        <v>UNIDAD</v>
      </c>
      <c r="N977" s="183">
        <f t="shared" si="156"/>
        <v>3840000</v>
      </c>
    </row>
    <row r="978" spans="1:14" ht="15.75" x14ac:dyDescent="0.25">
      <c r="A978" s="108"/>
      <c r="B978" s="82"/>
      <c r="C978" s="78"/>
      <c r="D978" s="78"/>
      <c r="E978" s="111" t="s">
        <v>489</v>
      </c>
      <c r="F978" s="112">
        <f>SUM(F976:F977)</f>
        <v>17340200</v>
      </c>
      <c r="N978" s="183"/>
    </row>
    <row r="979" spans="1:14" ht="15.75" x14ac:dyDescent="0.25">
      <c r="A979" s="108"/>
      <c r="B979" s="82"/>
      <c r="C979" s="78"/>
      <c r="D979" s="78"/>
      <c r="E979" s="111"/>
      <c r="F979" s="112"/>
      <c r="N979" s="183"/>
    </row>
    <row r="980" spans="1:14" ht="15.75" x14ac:dyDescent="0.25">
      <c r="A980" s="108"/>
      <c r="B980" s="113"/>
      <c r="C980" s="113"/>
      <c r="D980" s="113"/>
      <c r="E980" s="113"/>
      <c r="F980" s="113"/>
      <c r="N980" s="183"/>
    </row>
    <row r="981" spans="1:14" ht="15.75" x14ac:dyDescent="0.25">
      <c r="A981" s="108"/>
      <c r="B981" s="77" t="s">
        <v>490</v>
      </c>
      <c r="C981" s="78"/>
      <c r="D981" s="78"/>
      <c r="E981" s="79"/>
      <c r="F981" s="79"/>
      <c r="N981" s="183"/>
    </row>
    <row r="982" spans="1:14" ht="15.75" x14ac:dyDescent="0.25">
      <c r="A982" s="108"/>
      <c r="B982" s="109" t="s">
        <v>491</v>
      </c>
      <c r="C982" s="78" t="s">
        <v>239</v>
      </c>
      <c r="D982" s="78">
        <v>2</v>
      </c>
      <c r="E982" s="79">
        <v>302379</v>
      </c>
      <c r="F982" s="79">
        <f>+E982*D982</f>
        <v>604758</v>
      </c>
      <c r="N982" s="183"/>
    </row>
    <row r="983" spans="1:14" ht="15.75" x14ac:dyDescent="0.25">
      <c r="A983" s="108"/>
      <c r="B983" s="82"/>
      <c r="C983" s="78"/>
      <c r="D983" s="78"/>
      <c r="E983" s="111" t="s">
        <v>489</v>
      </c>
      <c r="F983" s="112">
        <f>SUM(F982:F982)</f>
        <v>604758</v>
      </c>
      <c r="N983" s="183"/>
    </row>
    <row r="984" spans="1:14" ht="15.75" x14ac:dyDescent="0.25">
      <c r="A984" s="108"/>
      <c r="B984" s="82"/>
      <c r="C984" s="78"/>
      <c r="D984" s="78"/>
      <c r="E984" s="111"/>
      <c r="F984" s="112"/>
      <c r="N984" s="183"/>
    </row>
    <row r="985" spans="1:14" ht="15.75" x14ac:dyDescent="0.25">
      <c r="A985" s="108"/>
      <c r="B985" s="77" t="s">
        <v>492</v>
      </c>
      <c r="C985" s="78"/>
      <c r="D985" s="78"/>
      <c r="E985" s="79"/>
      <c r="F985" s="79"/>
      <c r="N985" s="183"/>
    </row>
    <row r="986" spans="1:14" ht="15.75" x14ac:dyDescent="0.25">
      <c r="A986" s="108"/>
      <c r="B986" s="109" t="s">
        <v>531</v>
      </c>
      <c r="C986" s="78" t="s">
        <v>268</v>
      </c>
      <c r="D986" s="125">
        <v>30</v>
      </c>
      <c r="E986" s="79">
        <v>78471</v>
      </c>
      <c r="F986" s="114">
        <f>E986*D986</f>
        <v>2354130</v>
      </c>
      <c r="N986" s="183"/>
    </row>
    <row r="987" spans="1:14" ht="15.75" x14ac:dyDescent="0.25">
      <c r="A987" s="108"/>
      <c r="B987" s="82"/>
      <c r="C987" s="78"/>
      <c r="D987" s="78"/>
      <c r="E987" s="111" t="s">
        <v>489</v>
      </c>
      <c r="F987" s="112">
        <f>SUM(F986:F986)</f>
        <v>2354130</v>
      </c>
      <c r="N987" s="183"/>
    </row>
    <row r="988" spans="1:14" ht="15.75" x14ac:dyDescent="0.25">
      <c r="A988" s="108"/>
      <c r="B988" s="82"/>
      <c r="C988" s="78"/>
      <c r="D988" s="78"/>
      <c r="E988" s="111"/>
      <c r="F988" s="112"/>
      <c r="N988" s="183"/>
    </row>
    <row r="989" spans="1:14" ht="15.75" x14ac:dyDescent="0.25">
      <c r="A989" s="115"/>
      <c r="B989" s="77" t="s">
        <v>494</v>
      </c>
      <c r="C989" s="78"/>
      <c r="D989" s="78"/>
      <c r="E989" s="79"/>
      <c r="F989" s="79"/>
      <c r="N989" s="183"/>
    </row>
    <row r="990" spans="1:14" ht="15.75" x14ac:dyDescent="0.25">
      <c r="A990" s="115"/>
      <c r="B990" s="82" t="s">
        <v>495</v>
      </c>
      <c r="C990" s="78" t="s">
        <v>268</v>
      </c>
      <c r="D990" s="78">
        <v>30</v>
      </c>
      <c r="E990" s="79">
        <v>34381</v>
      </c>
      <c r="F990" s="114">
        <f>E990*D990</f>
        <v>1031430</v>
      </c>
      <c r="N990" s="183"/>
    </row>
    <row r="991" spans="1:14" ht="15.75" x14ac:dyDescent="0.25">
      <c r="A991" s="115"/>
      <c r="B991" s="82"/>
      <c r="C991" s="78"/>
      <c r="D991" s="78"/>
      <c r="E991" s="111" t="s">
        <v>489</v>
      </c>
      <c r="F991" s="112">
        <f>SUM(F990:F990)</f>
        <v>1031430</v>
      </c>
      <c r="N991" s="183"/>
    </row>
    <row r="992" spans="1:14" ht="15.75" x14ac:dyDescent="0.25">
      <c r="A992" s="115"/>
      <c r="B992" s="82"/>
      <c r="C992" s="78"/>
      <c r="D992" s="78"/>
      <c r="E992" s="79"/>
      <c r="F992" s="79"/>
      <c r="N992" s="183"/>
    </row>
    <row r="993" spans="1:14" ht="15.75" x14ac:dyDescent="0.25">
      <c r="A993" s="108"/>
      <c r="B993" s="82"/>
      <c r="C993" s="78"/>
      <c r="D993" s="78"/>
      <c r="E993" s="85" t="s">
        <v>271</v>
      </c>
      <c r="F993" s="116">
        <f>ROUND(SUM(F975:F991)/2, 0)</f>
        <v>21330518</v>
      </c>
      <c r="N993" s="183"/>
    </row>
    <row r="994" spans="1:14" ht="15.75" x14ac:dyDescent="0.25">
      <c r="A994" s="115"/>
      <c r="B994" s="113"/>
      <c r="C994" s="113"/>
      <c r="D994" s="113"/>
      <c r="E994" s="113"/>
      <c r="F994" s="113"/>
      <c r="N994" s="183"/>
    </row>
    <row r="995" spans="1:14" ht="15.75" x14ac:dyDescent="0.25">
      <c r="A995" s="127" t="e">
        <f>+PRESUPUESTO!#REF!</f>
        <v>#REF!</v>
      </c>
      <c r="B995" s="104" t="e">
        <f>+PRESUPUESTO!#REF!</f>
        <v>#REF!</v>
      </c>
      <c r="C995" s="122"/>
      <c r="D995" s="122"/>
      <c r="E995" s="123"/>
      <c r="F995" s="124" t="e">
        <f>+PRESUPUESTO!#REF!</f>
        <v>#REF!</v>
      </c>
      <c r="N995" s="183"/>
    </row>
    <row r="996" spans="1:14" ht="15.75" x14ac:dyDescent="0.25">
      <c r="A996" s="108"/>
      <c r="B996" s="74" t="s">
        <v>92</v>
      </c>
      <c r="C996" s="75" t="s">
        <v>93</v>
      </c>
      <c r="D996" s="75" t="s">
        <v>259</v>
      </c>
      <c r="E996" s="76" t="s">
        <v>260</v>
      </c>
      <c r="F996" s="76" t="s">
        <v>261</v>
      </c>
      <c r="N996" s="183"/>
    </row>
    <row r="997" spans="1:14" ht="15.75" x14ac:dyDescent="0.25">
      <c r="A997" s="108"/>
      <c r="B997" s="77" t="s">
        <v>262</v>
      </c>
      <c r="C997" s="78"/>
      <c r="D997" s="78"/>
      <c r="E997" s="79"/>
      <c r="F997" s="79"/>
      <c r="N997" s="183"/>
    </row>
    <row r="998" spans="1:14" ht="15.75" x14ac:dyDescent="0.25">
      <c r="A998" s="108"/>
      <c r="B998" s="109" t="s">
        <v>532</v>
      </c>
      <c r="C998" s="81" t="s">
        <v>117</v>
      </c>
      <c r="D998" s="81">
        <v>2</v>
      </c>
      <c r="E998" s="110">
        <v>2100</v>
      </c>
      <c r="F998" s="110">
        <f t="shared" ref="F998:F1006" si="157">+E998*D998</f>
        <v>4200</v>
      </c>
      <c r="H998" t="str">
        <f t="shared" si="154"/>
        <v>Elementos de sujeción</v>
      </c>
      <c r="M998" t="str">
        <f t="shared" si="155"/>
        <v>ML</v>
      </c>
      <c r="N998" s="183">
        <f t="shared" si="156"/>
        <v>4200</v>
      </c>
    </row>
    <row r="999" spans="1:14" ht="15.75" x14ac:dyDescent="0.25">
      <c r="A999" s="108"/>
      <c r="B999" s="109" t="s">
        <v>533</v>
      </c>
      <c r="C999" s="81" t="s">
        <v>117</v>
      </c>
      <c r="D999" s="81">
        <v>3.05</v>
      </c>
      <c r="E999" s="110">
        <v>5900</v>
      </c>
      <c r="F999" s="110">
        <f t="shared" si="157"/>
        <v>17995</v>
      </c>
      <c r="H999" t="str">
        <f t="shared" si="154"/>
        <v xml:space="preserve">Cable CU LIBRE DE HALÓGENOS 8 AWG </v>
      </c>
      <c r="M999" t="str">
        <f t="shared" si="155"/>
        <v>ML</v>
      </c>
      <c r="N999" s="183">
        <f t="shared" si="156"/>
        <v>17995</v>
      </c>
    </row>
    <row r="1000" spans="1:14" ht="15.75" x14ac:dyDescent="0.25">
      <c r="A1000" s="108"/>
      <c r="B1000" s="109" t="s">
        <v>534</v>
      </c>
      <c r="C1000" s="81" t="s">
        <v>239</v>
      </c>
      <c r="D1000" s="81">
        <v>1.05</v>
      </c>
      <c r="E1000" s="110">
        <v>5400</v>
      </c>
      <c r="F1000" s="110">
        <f t="shared" si="157"/>
        <v>5670</v>
      </c>
      <c r="H1000" t="str">
        <f t="shared" si="154"/>
        <v>Cable CU 10 AWG  LIBRE DE HALOGENOS</v>
      </c>
      <c r="M1000" t="str">
        <f t="shared" si="155"/>
        <v>UN</v>
      </c>
      <c r="N1000" s="183">
        <f t="shared" si="156"/>
        <v>5670</v>
      </c>
    </row>
    <row r="1001" spans="1:14" ht="15.75" x14ac:dyDescent="0.25">
      <c r="A1001" s="108"/>
      <c r="B1001" s="109" t="s">
        <v>535</v>
      </c>
      <c r="C1001" s="81" t="s">
        <v>239</v>
      </c>
      <c r="D1001" s="81">
        <v>0.1</v>
      </c>
      <c r="E1001" s="110">
        <v>9500</v>
      </c>
      <c r="F1001" s="110">
        <f t="shared" si="157"/>
        <v>950</v>
      </c>
      <c r="H1001" t="str">
        <f t="shared" si="154"/>
        <v>Termina de pala No. 8 Y 10</v>
      </c>
      <c r="M1001" t="str">
        <f t="shared" si="155"/>
        <v>UN</v>
      </c>
      <c r="N1001" s="183">
        <f t="shared" si="156"/>
        <v>950</v>
      </c>
    </row>
    <row r="1002" spans="1:14" ht="15.75" x14ac:dyDescent="0.25">
      <c r="A1002" s="108"/>
      <c r="B1002" s="109" t="s">
        <v>536</v>
      </c>
      <c r="C1002" s="81" t="s">
        <v>239</v>
      </c>
      <c r="D1002" s="81">
        <v>1</v>
      </c>
      <c r="E1002" s="110">
        <f>50000/3</f>
        <v>16666.666666666668</v>
      </c>
      <c r="F1002" s="110">
        <f t="shared" si="157"/>
        <v>16666.666666666668</v>
      </c>
      <c r="H1002" t="str">
        <f t="shared" si="154"/>
        <v>TUBO EMT 1"</v>
      </c>
      <c r="M1002" t="str">
        <f t="shared" si="155"/>
        <v>UN</v>
      </c>
      <c r="N1002" s="183">
        <f t="shared" si="156"/>
        <v>16666.666666666668</v>
      </c>
    </row>
    <row r="1003" spans="1:14" ht="15.75" x14ac:dyDescent="0.25">
      <c r="A1003" s="108"/>
      <c r="B1003" s="109" t="s">
        <v>537</v>
      </c>
      <c r="C1003" s="81" t="s">
        <v>239</v>
      </c>
      <c r="D1003" s="81">
        <v>0.1</v>
      </c>
      <c r="E1003" s="110">
        <v>2300</v>
      </c>
      <c r="F1003" s="110">
        <f t="shared" si="157"/>
        <v>230</v>
      </c>
      <c r="H1003" t="str">
        <f t="shared" si="154"/>
        <v>TERMINAL EMT 1"</v>
      </c>
      <c r="M1003" t="str">
        <f t="shared" si="155"/>
        <v>UN</v>
      </c>
      <c r="N1003" s="183">
        <f t="shared" si="156"/>
        <v>230</v>
      </c>
    </row>
    <row r="1004" spans="1:14" ht="15.75" x14ac:dyDescent="0.25">
      <c r="A1004" s="108"/>
      <c r="B1004" s="109" t="s">
        <v>538</v>
      </c>
      <c r="C1004" s="81" t="s">
        <v>517</v>
      </c>
      <c r="D1004" s="81">
        <v>0.1</v>
      </c>
      <c r="E1004" s="110">
        <v>6944</v>
      </c>
      <c r="F1004" s="110">
        <f t="shared" si="157"/>
        <v>694.40000000000009</v>
      </c>
      <c r="H1004" t="str">
        <f t="shared" si="154"/>
        <v xml:space="preserve">Cinta aislante </v>
      </c>
      <c r="M1004" t="str">
        <f t="shared" si="155"/>
        <v>ROLLO</v>
      </c>
      <c r="N1004" s="183">
        <f t="shared" si="156"/>
        <v>694.40000000000009</v>
      </c>
    </row>
    <row r="1005" spans="1:14" ht="15.75" x14ac:dyDescent="0.25">
      <c r="A1005" s="108"/>
      <c r="B1005" s="109" t="s">
        <v>539</v>
      </c>
      <c r="C1005" s="81" t="s">
        <v>239</v>
      </c>
      <c r="D1005" s="81">
        <v>0.3</v>
      </c>
      <c r="E1005" s="110">
        <v>2300</v>
      </c>
      <c r="F1005" s="110">
        <f t="shared" si="157"/>
        <v>690</v>
      </c>
      <c r="H1005" t="str">
        <f t="shared" si="154"/>
        <v>UNION EMT DE 1"</v>
      </c>
      <c r="M1005" t="str">
        <f t="shared" si="155"/>
        <v>UN</v>
      </c>
      <c r="N1005" s="183">
        <f t="shared" si="156"/>
        <v>690</v>
      </c>
    </row>
    <row r="1006" spans="1:14" ht="15.75" x14ac:dyDescent="0.25">
      <c r="A1006" s="108"/>
      <c r="B1006" s="82" t="s">
        <v>540</v>
      </c>
      <c r="C1006" s="81" t="s">
        <v>239</v>
      </c>
      <c r="D1006" s="81">
        <v>0.3</v>
      </c>
      <c r="E1006" s="110">
        <v>1000</v>
      </c>
      <c r="F1006" s="110">
        <f t="shared" si="157"/>
        <v>300</v>
      </c>
      <c r="H1006" t="str">
        <f t="shared" si="154"/>
        <v>MARCACION RETIE</v>
      </c>
      <c r="M1006" t="str">
        <f t="shared" si="155"/>
        <v>UN</v>
      </c>
      <c r="N1006" s="183">
        <f t="shared" si="156"/>
        <v>300</v>
      </c>
    </row>
    <row r="1007" spans="1:14" ht="15.75" x14ac:dyDescent="0.25">
      <c r="A1007" s="108"/>
      <c r="B1007" s="82"/>
      <c r="C1007" s="78"/>
      <c r="D1007" s="78"/>
      <c r="E1007" s="111" t="s">
        <v>489</v>
      </c>
      <c r="F1007" s="112">
        <f>SUM(F998:F1006)</f>
        <v>47396.066666666673</v>
      </c>
      <c r="N1007" s="183"/>
    </row>
    <row r="1008" spans="1:14" ht="15.75" x14ac:dyDescent="0.25">
      <c r="A1008" s="108"/>
      <c r="B1008" s="113"/>
      <c r="C1008" s="113"/>
      <c r="D1008" s="113"/>
      <c r="E1008" s="113"/>
      <c r="F1008" s="113"/>
      <c r="N1008" s="183"/>
    </row>
    <row r="1009" spans="1:14" ht="15.75" x14ac:dyDescent="0.25">
      <c r="A1009" s="108"/>
      <c r="B1009" s="77" t="s">
        <v>490</v>
      </c>
      <c r="C1009" s="78"/>
      <c r="D1009" s="78"/>
      <c r="E1009" s="79"/>
      <c r="F1009" s="79"/>
      <c r="N1009" s="183"/>
    </row>
    <row r="1010" spans="1:14" ht="15.75" x14ac:dyDescent="0.25">
      <c r="A1010" s="108"/>
      <c r="B1010" s="109" t="s">
        <v>491</v>
      </c>
      <c r="C1010" s="78" t="s">
        <v>239</v>
      </c>
      <c r="D1010" s="78">
        <v>0.08</v>
      </c>
      <c r="E1010" s="79">
        <v>302379</v>
      </c>
      <c r="F1010" s="79">
        <f>+E1010*D1010</f>
        <v>24190.32</v>
      </c>
      <c r="N1010" s="183"/>
    </row>
    <row r="1011" spans="1:14" ht="15.75" x14ac:dyDescent="0.25">
      <c r="A1011" s="108"/>
      <c r="B1011" s="82"/>
      <c r="C1011" s="78"/>
      <c r="D1011" s="78"/>
      <c r="E1011" s="111" t="s">
        <v>489</v>
      </c>
      <c r="F1011" s="112">
        <f>SUM(F1010:F1010)</f>
        <v>24190.32</v>
      </c>
      <c r="N1011" s="183"/>
    </row>
    <row r="1012" spans="1:14" ht="15.75" x14ac:dyDescent="0.25">
      <c r="A1012" s="108"/>
      <c r="B1012" s="82"/>
      <c r="C1012" s="78"/>
      <c r="D1012" s="78"/>
      <c r="E1012" s="111"/>
      <c r="F1012" s="112"/>
      <c r="N1012" s="183"/>
    </row>
    <row r="1013" spans="1:14" ht="15.75" x14ac:dyDescent="0.25">
      <c r="A1013" s="108"/>
      <c r="B1013" s="77" t="s">
        <v>492</v>
      </c>
      <c r="C1013" s="78"/>
      <c r="D1013" s="78"/>
      <c r="E1013" s="79"/>
      <c r="F1013" s="79"/>
      <c r="N1013" s="183"/>
    </row>
    <row r="1014" spans="1:14" ht="15.75" x14ac:dyDescent="0.25">
      <c r="A1014" s="108"/>
      <c r="B1014" s="109" t="s">
        <v>493</v>
      </c>
      <c r="C1014" s="78" t="s">
        <v>268</v>
      </c>
      <c r="D1014" s="78">
        <v>0.5</v>
      </c>
      <c r="E1014" s="79">
        <v>78471</v>
      </c>
      <c r="F1014" s="114">
        <f>E1014*D1014</f>
        <v>39235.5</v>
      </c>
      <c r="N1014" s="183"/>
    </row>
    <row r="1015" spans="1:14" ht="15.75" x14ac:dyDescent="0.25">
      <c r="A1015" s="108"/>
      <c r="B1015" s="82"/>
      <c r="C1015" s="78"/>
      <c r="D1015" s="78"/>
      <c r="E1015" s="111" t="s">
        <v>489</v>
      </c>
      <c r="F1015" s="112">
        <f>SUM(F1014:F1014)</f>
        <v>39235.5</v>
      </c>
      <c r="N1015" s="183"/>
    </row>
    <row r="1016" spans="1:14" ht="15.75" x14ac:dyDescent="0.25">
      <c r="A1016" s="108"/>
      <c r="B1016" s="82"/>
      <c r="C1016" s="78"/>
      <c r="D1016" s="78"/>
      <c r="E1016" s="111"/>
      <c r="F1016" s="112"/>
      <c r="N1016" s="183"/>
    </row>
    <row r="1017" spans="1:14" ht="15.75" x14ac:dyDescent="0.25">
      <c r="A1017" s="115"/>
      <c r="B1017" s="77" t="s">
        <v>494</v>
      </c>
      <c r="C1017" s="78"/>
      <c r="D1017" s="78"/>
      <c r="E1017" s="79"/>
      <c r="F1017" s="79"/>
      <c r="N1017" s="183"/>
    </row>
    <row r="1018" spans="1:14" ht="15.75" x14ac:dyDescent="0.25">
      <c r="A1018" s="115"/>
      <c r="B1018" s="82" t="s">
        <v>495</v>
      </c>
      <c r="C1018" s="78" t="s">
        <v>268</v>
      </c>
      <c r="D1018" s="78">
        <v>0.02</v>
      </c>
      <c r="E1018" s="79">
        <v>34381</v>
      </c>
      <c r="F1018" s="114">
        <f>E1018*D1018</f>
        <v>687.62</v>
      </c>
      <c r="N1018" s="183"/>
    </row>
    <row r="1019" spans="1:14" ht="15.75" x14ac:dyDescent="0.25">
      <c r="A1019" s="115"/>
      <c r="B1019" s="82"/>
      <c r="C1019" s="78"/>
      <c r="D1019" s="78"/>
      <c r="E1019" s="111" t="s">
        <v>489</v>
      </c>
      <c r="F1019" s="112">
        <f>SUM(F1018:F1018)</f>
        <v>687.62</v>
      </c>
      <c r="N1019" s="183"/>
    </row>
    <row r="1020" spans="1:14" ht="15.75" x14ac:dyDescent="0.25">
      <c r="A1020" s="115"/>
      <c r="B1020" s="82"/>
      <c r="C1020" s="78"/>
      <c r="D1020" s="78"/>
      <c r="E1020" s="79"/>
      <c r="F1020" s="79"/>
      <c r="N1020" s="183"/>
    </row>
    <row r="1021" spans="1:14" ht="15.75" x14ac:dyDescent="0.25">
      <c r="A1021" s="108"/>
      <c r="B1021" s="82"/>
      <c r="C1021" s="78"/>
      <c r="D1021" s="78"/>
      <c r="E1021" s="85" t="s">
        <v>271</v>
      </c>
      <c r="F1021" s="116">
        <f>ROUND(SUM(F997:F1019)/2, 0)</f>
        <v>111510</v>
      </c>
      <c r="N1021" s="183"/>
    </row>
    <row r="1022" spans="1:14" ht="15.75" x14ac:dyDescent="0.25">
      <c r="A1022" s="127">
        <f>+PRESUPUESTO!A70</f>
        <v>4.0999999999999996</v>
      </c>
      <c r="B1022" s="104" t="str">
        <f>+PRESUPUESTO!B70</f>
        <v>DESMONTE DE REDES  ELECTRICAS EXISTENTES</v>
      </c>
      <c r="C1022" s="122"/>
      <c r="D1022" s="122"/>
      <c r="E1022" s="123"/>
      <c r="F1022" s="124" t="str">
        <f>+PRESUPUESTO!D70</f>
        <v>GL</v>
      </c>
      <c r="N1022" s="183"/>
    </row>
    <row r="1023" spans="1:14" ht="15.75" x14ac:dyDescent="0.25">
      <c r="A1023" s="108"/>
      <c r="B1023" s="74" t="s">
        <v>92</v>
      </c>
      <c r="C1023" s="75" t="s">
        <v>93</v>
      </c>
      <c r="D1023" s="75" t="s">
        <v>259</v>
      </c>
      <c r="E1023" s="76" t="s">
        <v>260</v>
      </c>
      <c r="F1023" s="76" t="s">
        <v>261</v>
      </c>
      <c r="N1023" s="183"/>
    </row>
    <row r="1024" spans="1:14" ht="15.75" x14ac:dyDescent="0.25">
      <c r="A1024" s="108"/>
      <c r="B1024" s="113"/>
      <c r="C1024" s="113"/>
      <c r="D1024" s="113"/>
      <c r="E1024" s="113"/>
      <c r="F1024" s="113"/>
      <c r="N1024" s="183"/>
    </row>
    <row r="1025" spans="1:14" ht="15.75" x14ac:dyDescent="0.25">
      <c r="A1025" s="108"/>
      <c r="B1025" s="77" t="s">
        <v>490</v>
      </c>
      <c r="C1025" s="78"/>
      <c r="D1025" s="78"/>
      <c r="E1025" s="79"/>
      <c r="F1025" s="79"/>
      <c r="N1025" s="183"/>
    </row>
    <row r="1026" spans="1:14" ht="15.75" x14ac:dyDescent="0.25">
      <c r="A1026" s="108"/>
      <c r="B1026" s="109" t="s">
        <v>491</v>
      </c>
      <c r="C1026" s="78" t="s">
        <v>239</v>
      </c>
      <c r="D1026" s="78">
        <v>1</v>
      </c>
      <c r="E1026" s="79">
        <v>302379</v>
      </c>
      <c r="F1026" s="79">
        <f>+E1026*D1026</f>
        <v>302379</v>
      </c>
      <c r="N1026" s="183"/>
    </row>
    <row r="1027" spans="1:14" ht="15.75" x14ac:dyDescent="0.25">
      <c r="A1027" s="108"/>
      <c r="B1027" s="82"/>
      <c r="C1027" s="78"/>
      <c r="D1027" s="78"/>
      <c r="E1027" s="111" t="s">
        <v>489</v>
      </c>
      <c r="F1027" s="112">
        <f>SUM(F1026:F1026)</f>
        <v>302379</v>
      </c>
      <c r="N1027" s="183"/>
    </row>
    <row r="1028" spans="1:14" ht="15.75" x14ac:dyDescent="0.25">
      <c r="A1028" s="108"/>
      <c r="B1028" s="82"/>
      <c r="C1028" s="78"/>
      <c r="D1028" s="78"/>
      <c r="E1028" s="111"/>
      <c r="F1028" s="112"/>
      <c r="N1028" s="183"/>
    </row>
    <row r="1029" spans="1:14" ht="15.75" x14ac:dyDescent="0.25">
      <c r="A1029" s="108"/>
      <c r="B1029" s="77" t="s">
        <v>492</v>
      </c>
      <c r="C1029" s="78"/>
      <c r="D1029" s="78"/>
      <c r="E1029" s="79"/>
      <c r="F1029" s="79"/>
      <c r="N1029" s="183"/>
    </row>
    <row r="1030" spans="1:14" ht="15.75" x14ac:dyDescent="0.25">
      <c r="A1030" s="108"/>
      <c r="B1030" s="109" t="s">
        <v>493</v>
      </c>
      <c r="C1030" s="78" t="s">
        <v>268</v>
      </c>
      <c r="D1030" s="78">
        <v>20</v>
      </c>
      <c r="E1030" s="79">
        <v>78471</v>
      </c>
      <c r="F1030" s="114">
        <f>E1030*D1030</f>
        <v>1569420</v>
      </c>
      <c r="N1030" s="183"/>
    </row>
    <row r="1031" spans="1:14" ht="15.75" x14ac:dyDescent="0.25">
      <c r="A1031" s="108"/>
      <c r="B1031" s="82"/>
      <c r="C1031" s="78"/>
      <c r="D1031" s="78"/>
      <c r="E1031" s="111" t="s">
        <v>489</v>
      </c>
      <c r="F1031" s="112">
        <f>SUM(F1030:F1030)</f>
        <v>1569420</v>
      </c>
      <c r="N1031" s="183"/>
    </row>
    <row r="1032" spans="1:14" ht="15.75" x14ac:dyDescent="0.25">
      <c r="A1032" s="108"/>
      <c r="B1032" s="82"/>
      <c r="C1032" s="78"/>
      <c r="D1032" s="78"/>
      <c r="E1032" s="111"/>
      <c r="F1032" s="112"/>
      <c r="N1032" s="183"/>
    </row>
    <row r="1033" spans="1:14" ht="15.75" x14ac:dyDescent="0.25">
      <c r="A1033" s="115"/>
      <c r="B1033" s="77" t="s">
        <v>494</v>
      </c>
      <c r="C1033" s="78"/>
      <c r="D1033" s="78"/>
      <c r="E1033" s="79"/>
      <c r="F1033" s="79"/>
      <c r="N1033" s="183"/>
    </row>
    <row r="1034" spans="1:14" ht="15.75" x14ac:dyDescent="0.25">
      <c r="A1034" s="115"/>
      <c r="B1034" s="82" t="s">
        <v>495</v>
      </c>
      <c r="C1034" s="78" t="s">
        <v>268</v>
      </c>
      <c r="D1034" s="78">
        <v>1</v>
      </c>
      <c r="E1034" s="79">
        <v>34381</v>
      </c>
      <c r="F1034" s="114">
        <f>E1034*D1034</f>
        <v>34381</v>
      </c>
      <c r="N1034" s="183"/>
    </row>
    <row r="1035" spans="1:14" ht="15.75" x14ac:dyDescent="0.25">
      <c r="A1035" s="115"/>
      <c r="B1035" s="82"/>
      <c r="C1035" s="78"/>
      <c r="D1035" s="78"/>
      <c r="E1035" s="111" t="s">
        <v>489</v>
      </c>
      <c r="F1035" s="112">
        <f>SUM(F1034:F1034)</f>
        <v>34381</v>
      </c>
      <c r="N1035" s="183"/>
    </row>
    <row r="1036" spans="1:14" ht="15.75" x14ac:dyDescent="0.25">
      <c r="A1036" s="115"/>
      <c r="B1036" s="82"/>
      <c r="C1036" s="78"/>
      <c r="D1036" s="78"/>
      <c r="E1036" s="79"/>
      <c r="F1036" s="79"/>
      <c r="N1036" s="183"/>
    </row>
    <row r="1037" spans="1:14" ht="15.75" x14ac:dyDescent="0.25">
      <c r="A1037" s="108"/>
      <c r="B1037" s="82"/>
      <c r="C1037" s="78"/>
      <c r="D1037" s="78"/>
      <c r="E1037" s="85" t="s">
        <v>271</v>
      </c>
      <c r="F1037" s="116">
        <f>ROUND(SUM(F1024:F1035)/2, 0)</f>
        <v>1906180</v>
      </c>
      <c r="N1037" s="183"/>
    </row>
    <row r="1038" spans="1:14" ht="15.75" x14ac:dyDescent="0.25">
      <c r="A1038" s="115"/>
      <c r="B1038" s="113"/>
      <c r="C1038" s="113"/>
      <c r="D1038" s="113"/>
      <c r="E1038" s="113"/>
      <c r="F1038" s="113"/>
      <c r="N1038" s="183"/>
    </row>
    <row r="1039" spans="1:14" ht="63" x14ac:dyDescent="0.25">
      <c r="A1039" s="120">
        <f>+PRESUPUESTO!A71</f>
        <v>4.1100000000000003</v>
      </c>
      <c r="B1039" s="104" t="str">
        <f>+PRESUPUESTO!B71</f>
        <v>Suministro e instalación salida PARA AA en tuberia EMT 1",  cable 2X10+12T awg Libre de halogenos, con caja rawelt 5800, toma corriente, incluye curvas, y accesorios para fijacion.</v>
      </c>
      <c r="C1039" s="105"/>
      <c r="D1039" s="105"/>
      <c r="E1039" s="106"/>
      <c r="F1039" s="107" t="str">
        <f>+PRESUPUESTO!D71</f>
        <v>UNIDAD</v>
      </c>
      <c r="N1039" s="183"/>
    </row>
    <row r="1040" spans="1:14" ht="15.75" x14ac:dyDescent="0.25">
      <c r="A1040" s="108"/>
      <c r="B1040" s="74" t="s">
        <v>92</v>
      </c>
      <c r="C1040" s="75" t="s">
        <v>93</v>
      </c>
      <c r="D1040" s="75" t="s">
        <v>259</v>
      </c>
      <c r="E1040" s="76" t="s">
        <v>260</v>
      </c>
      <c r="F1040" s="76" t="s">
        <v>261</v>
      </c>
      <c r="N1040" s="183"/>
    </row>
    <row r="1041" spans="1:14" ht="15.75" x14ac:dyDescent="0.25">
      <c r="A1041" s="108"/>
      <c r="B1041" s="77" t="s">
        <v>262</v>
      </c>
      <c r="C1041" s="78"/>
      <c r="D1041" s="78"/>
      <c r="E1041" s="79"/>
      <c r="F1041" s="79"/>
      <c r="N1041" s="183"/>
    </row>
    <row r="1042" spans="1:14" ht="15.75" x14ac:dyDescent="0.25">
      <c r="A1042" s="108"/>
      <c r="B1042" s="109" t="s">
        <v>532</v>
      </c>
      <c r="C1042" s="81" t="s">
        <v>117</v>
      </c>
      <c r="D1042" s="81">
        <v>1</v>
      </c>
      <c r="E1042" s="110">
        <v>2100</v>
      </c>
      <c r="F1042" s="110">
        <f t="shared" ref="F1042:F1046" si="158">+E1042*D1042</f>
        <v>2100</v>
      </c>
      <c r="G1042">
        <v>4.1100000000000003</v>
      </c>
      <c r="H1042" t="str">
        <f t="shared" ref="H1042:H1095" si="159">+B1042</f>
        <v>Elementos de sujeción</v>
      </c>
      <c r="M1042" t="str">
        <f t="shared" ref="M1042:M1095" si="160">+C1042</f>
        <v>ML</v>
      </c>
      <c r="N1042" s="183">
        <f t="shared" ref="N1042:N1095" si="161">+F1042</f>
        <v>2100</v>
      </c>
    </row>
    <row r="1043" spans="1:14" ht="15.75" x14ac:dyDescent="0.25">
      <c r="A1043" s="108"/>
      <c r="B1043" s="109" t="s">
        <v>542</v>
      </c>
      <c r="C1043" s="81" t="s">
        <v>117</v>
      </c>
      <c r="D1043" s="81">
        <v>14.05</v>
      </c>
      <c r="E1043" s="110">
        <v>4700</v>
      </c>
      <c r="F1043" s="110">
        <f t="shared" si="158"/>
        <v>66035</v>
      </c>
      <c r="G1043">
        <v>4.1100000000000003</v>
      </c>
      <c r="H1043" t="str">
        <f t="shared" si="159"/>
        <v xml:space="preserve">Cable CU LIBRE DE HALÓGENOS 10AWG </v>
      </c>
      <c r="M1043" t="str">
        <f t="shared" si="160"/>
        <v>ML</v>
      </c>
      <c r="N1043" s="183">
        <f t="shared" si="161"/>
        <v>66035</v>
      </c>
    </row>
    <row r="1044" spans="1:14" ht="15.75" x14ac:dyDescent="0.25">
      <c r="A1044" s="108"/>
      <c r="B1044" s="109" t="s">
        <v>497</v>
      </c>
      <c r="C1044" s="81" t="s">
        <v>239</v>
      </c>
      <c r="D1044" s="81">
        <v>7.05</v>
      </c>
      <c r="E1044" s="110">
        <v>3064</v>
      </c>
      <c r="F1044" s="110">
        <f t="shared" si="158"/>
        <v>21601.200000000001</v>
      </c>
      <c r="G1044">
        <v>4.1100000000000003</v>
      </c>
      <c r="H1044" t="str">
        <f t="shared" si="159"/>
        <v xml:space="preserve">Cable CU LIBRE DE HALÓGENOS 12AWG </v>
      </c>
      <c r="M1044" t="str">
        <f t="shared" si="160"/>
        <v>UN</v>
      </c>
      <c r="N1044" s="183">
        <f t="shared" si="161"/>
        <v>21601.200000000001</v>
      </c>
    </row>
    <row r="1045" spans="1:14" ht="15.75" x14ac:dyDescent="0.25">
      <c r="A1045" s="108"/>
      <c r="B1045" s="109" t="s">
        <v>499</v>
      </c>
      <c r="C1045" s="81" t="s">
        <v>239</v>
      </c>
      <c r="D1045" s="81">
        <v>1</v>
      </c>
      <c r="E1045" s="110">
        <v>12617</v>
      </c>
      <c r="F1045" s="110">
        <f t="shared" si="158"/>
        <v>12617</v>
      </c>
      <c r="G1045">
        <v>4.1100000000000003</v>
      </c>
      <c r="H1045" t="str">
        <f t="shared" si="159"/>
        <v xml:space="preserve">Caja 5800 Aluminio findido </v>
      </c>
      <c r="M1045" t="str">
        <f t="shared" si="160"/>
        <v>UN</v>
      </c>
      <c r="N1045" s="183">
        <f t="shared" si="161"/>
        <v>12617</v>
      </c>
    </row>
    <row r="1046" spans="1:14" ht="15.75" x14ac:dyDescent="0.25">
      <c r="A1046" s="108"/>
      <c r="B1046" s="82" t="s">
        <v>543</v>
      </c>
      <c r="C1046" s="81" t="s">
        <v>117</v>
      </c>
      <c r="D1046" s="81">
        <v>2.4</v>
      </c>
      <c r="E1046" s="110">
        <f>50000/3</f>
        <v>16666.666666666668</v>
      </c>
      <c r="F1046" s="110">
        <f t="shared" si="158"/>
        <v>40000</v>
      </c>
      <c r="G1046">
        <v>4.1100000000000003</v>
      </c>
      <c r="H1046" t="str">
        <f t="shared" si="159"/>
        <v xml:space="preserve">Tubo EMT de 1" </v>
      </c>
      <c r="M1046" t="str">
        <f t="shared" si="160"/>
        <v>ML</v>
      </c>
      <c r="N1046" s="183">
        <f t="shared" si="161"/>
        <v>40000</v>
      </c>
    </row>
    <row r="1047" spans="1:14" ht="15.75" x14ac:dyDescent="0.25">
      <c r="A1047" s="108"/>
      <c r="B1047" s="113" t="s">
        <v>544</v>
      </c>
      <c r="C1047" s="81" t="s">
        <v>239</v>
      </c>
      <c r="D1047" s="81">
        <v>2</v>
      </c>
      <c r="E1047" s="110">
        <v>2000</v>
      </c>
      <c r="F1047" s="110">
        <f>+E1047*D1047</f>
        <v>4000</v>
      </c>
      <c r="G1047">
        <v>4.1100000000000003</v>
      </c>
      <c r="H1047" t="str">
        <f t="shared" si="159"/>
        <v>TERMINAL EMT DE 1"</v>
      </c>
      <c r="M1047" t="str">
        <f t="shared" si="160"/>
        <v>UN</v>
      </c>
      <c r="N1047" s="183">
        <f t="shared" si="161"/>
        <v>4000</v>
      </c>
    </row>
    <row r="1048" spans="1:14" ht="15.75" x14ac:dyDescent="0.25">
      <c r="A1048" s="108"/>
      <c r="B1048" s="109" t="s">
        <v>545</v>
      </c>
      <c r="C1048" s="81" t="s">
        <v>239</v>
      </c>
      <c r="D1048" s="81">
        <v>2</v>
      </c>
      <c r="E1048" s="110">
        <v>30200</v>
      </c>
      <c r="F1048" s="110">
        <f t="shared" ref="F1048:F1049" si="162">+E1048*D1048</f>
        <v>60400</v>
      </c>
      <c r="G1048">
        <v>4.1100000000000003</v>
      </c>
      <c r="H1048" t="str">
        <f t="shared" si="159"/>
        <v>Curva EMT de 1"</v>
      </c>
      <c r="M1048" t="str">
        <f t="shared" si="160"/>
        <v>UN</v>
      </c>
      <c r="N1048" s="183">
        <f t="shared" si="161"/>
        <v>60400</v>
      </c>
    </row>
    <row r="1049" spans="1:14" ht="15.75" x14ac:dyDescent="0.25">
      <c r="A1049" s="108"/>
      <c r="B1049" s="109" t="s">
        <v>539</v>
      </c>
      <c r="C1049" s="81" t="s">
        <v>239</v>
      </c>
      <c r="D1049" s="81">
        <v>3</v>
      </c>
      <c r="E1049" s="110">
        <v>3000</v>
      </c>
      <c r="F1049" s="110">
        <f t="shared" si="162"/>
        <v>9000</v>
      </c>
      <c r="G1049">
        <v>4.1100000000000003</v>
      </c>
      <c r="H1049" t="str">
        <f t="shared" si="159"/>
        <v>UNION EMT DE 1"</v>
      </c>
      <c r="M1049" t="str">
        <f t="shared" si="160"/>
        <v>UN</v>
      </c>
      <c r="N1049" s="183">
        <f t="shared" si="161"/>
        <v>9000</v>
      </c>
    </row>
    <row r="1050" spans="1:14" ht="15.75" x14ac:dyDescent="0.25">
      <c r="A1050" s="108"/>
      <c r="B1050" s="113"/>
      <c r="C1050" s="113"/>
      <c r="D1050" s="113"/>
      <c r="E1050" s="113"/>
      <c r="F1050" s="113"/>
      <c r="N1050" s="183"/>
    </row>
    <row r="1051" spans="1:14" ht="15.75" x14ac:dyDescent="0.25">
      <c r="A1051" s="108"/>
      <c r="B1051" s="113"/>
      <c r="C1051" s="113"/>
      <c r="D1051" s="113"/>
      <c r="E1051" s="111" t="s">
        <v>489</v>
      </c>
      <c r="F1051" s="112">
        <f>SUM(F1042:F1049)</f>
        <v>215753.2</v>
      </c>
      <c r="N1051" s="183"/>
    </row>
    <row r="1052" spans="1:14" ht="15.75" x14ac:dyDescent="0.25">
      <c r="A1052" s="108"/>
      <c r="B1052" s="77" t="s">
        <v>490</v>
      </c>
      <c r="C1052" s="78"/>
      <c r="D1052" s="78"/>
      <c r="E1052" s="79"/>
      <c r="F1052" s="79"/>
      <c r="N1052" s="183"/>
    </row>
    <row r="1053" spans="1:14" ht="15.75" x14ac:dyDescent="0.25">
      <c r="A1053" s="108"/>
      <c r="B1053" s="109" t="s">
        <v>491</v>
      </c>
      <c r="C1053" s="78" t="s">
        <v>239</v>
      </c>
      <c r="D1053" s="78">
        <v>0.1</v>
      </c>
      <c r="E1053" s="79">
        <v>302379</v>
      </c>
      <c r="F1053" s="79">
        <f>+E1053*D1053</f>
        <v>30237.9</v>
      </c>
      <c r="N1053" s="183"/>
    </row>
    <row r="1054" spans="1:14" ht="15.75" x14ac:dyDescent="0.25">
      <c r="A1054" s="108"/>
      <c r="B1054" s="82"/>
      <c r="C1054" s="78"/>
      <c r="D1054" s="78"/>
      <c r="E1054" s="111" t="s">
        <v>489</v>
      </c>
      <c r="F1054" s="112">
        <f>SUM(F1053:F1053)</f>
        <v>30237.9</v>
      </c>
      <c r="N1054" s="183"/>
    </row>
    <row r="1055" spans="1:14" ht="15.75" x14ac:dyDescent="0.25">
      <c r="A1055" s="108"/>
      <c r="B1055" s="82"/>
      <c r="C1055" s="78"/>
      <c r="D1055" s="78"/>
      <c r="E1055" s="111"/>
      <c r="F1055" s="112"/>
      <c r="N1055" s="183"/>
    </row>
    <row r="1056" spans="1:14" ht="15.75" x14ac:dyDescent="0.25">
      <c r="A1056" s="108"/>
      <c r="B1056" s="77" t="s">
        <v>492</v>
      </c>
      <c r="C1056" s="78"/>
      <c r="D1056" s="78"/>
      <c r="E1056" s="79"/>
      <c r="F1056" s="79"/>
      <c r="N1056" s="183"/>
    </row>
    <row r="1057" spans="1:14" ht="15.75" x14ac:dyDescent="0.25">
      <c r="A1057" s="108"/>
      <c r="B1057" s="109" t="s">
        <v>493</v>
      </c>
      <c r="C1057" s="78" t="s">
        <v>268</v>
      </c>
      <c r="D1057" s="78">
        <v>1</v>
      </c>
      <c r="E1057" s="79">
        <v>78471</v>
      </c>
      <c r="F1057" s="114">
        <f>E1057*D1057</f>
        <v>78471</v>
      </c>
      <c r="N1057" s="183"/>
    </row>
    <row r="1058" spans="1:14" ht="15.75" x14ac:dyDescent="0.25">
      <c r="A1058" s="108"/>
      <c r="B1058" s="82" t="s">
        <v>504</v>
      </c>
      <c r="C1058" s="78" t="s">
        <v>268</v>
      </c>
      <c r="D1058" s="78">
        <v>1</v>
      </c>
      <c r="E1058" s="79"/>
      <c r="F1058" s="114"/>
      <c r="N1058" s="183"/>
    </row>
    <row r="1059" spans="1:14" ht="15.75" x14ac:dyDescent="0.25">
      <c r="A1059" s="108"/>
      <c r="B1059" s="82"/>
      <c r="C1059" s="78"/>
      <c r="D1059" s="78"/>
      <c r="E1059" s="111" t="s">
        <v>489</v>
      </c>
      <c r="F1059" s="112">
        <f>SUM(F1057:F1057)</f>
        <v>78471</v>
      </c>
      <c r="N1059" s="183"/>
    </row>
    <row r="1060" spans="1:14" ht="15.75" x14ac:dyDescent="0.25">
      <c r="A1060" s="115"/>
      <c r="B1060" s="77" t="s">
        <v>494</v>
      </c>
      <c r="C1060" s="78"/>
      <c r="D1060" s="78"/>
      <c r="E1060" s="79"/>
      <c r="F1060" s="79"/>
      <c r="N1060" s="183"/>
    </row>
    <row r="1061" spans="1:14" ht="15.75" x14ac:dyDescent="0.25">
      <c r="A1061" s="115"/>
      <c r="B1061" s="82" t="s">
        <v>495</v>
      </c>
      <c r="C1061" s="78" t="s">
        <v>268</v>
      </c>
      <c r="D1061" s="78">
        <v>0.01</v>
      </c>
      <c r="E1061" s="79">
        <v>34381</v>
      </c>
      <c r="F1061" s="114">
        <f>E1061*D1061</f>
        <v>343.81</v>
      </c>
      <c r="N1061" s="183"/>
    </row>
    <row r="1062" spans="1:14" ht="15.75" x14ac:dyDescent="0.25">
      <c r="A1062" s="115"/>
      <c r="B1062" s="82"/>
      <c r="C1062" s="78"/>
      <c r="D1062" s="78"/>
      <c r="E1062" s="111" t="s">
        <v>489</v>
      </c>
      <c r="F1062" s="112">
        <f>SUM(F1061:F1061)</f>
        <v>343.81</v>
      </c>
      <c r="N1062" s="183"/>
    </row>
    <row r="1063" spans="1:14" ht="15.75" x14ac:dyDescent="0.25">
      <c r="A1063" s="115"/>
      <c r="B1063" s="82"/>
      <c r="C1063" s="78"/>
      <c r="D1063" s="78"/>
      <c r="E1063" s="79"/>
      <c r="F1063" s="79"/>
      <c r="N1063" s="183"/>
    </row>
    <row r="1064" spans="1:14" ht="15.75" x14ac:dyDescent="0.25">
      <c r="A1064" s="108"/>
      <c r="B1064" s="82"/>
      <c r="C1064" s="78"/>
      <c r="D1064" s="78"/>
      <c r="E1064" s="85" t="s">
        <v>271</v>
      </c>
      <c r="F1064" s="116">
        <f>ROUND(SUM(F1041:F1062)/2, 0)</f>
        <v>324806</v>
      </c>
      <c r="N1064" s="183"/>
    </row>
    <row r="1065" spans="1:14" ht="31.5" x14ac:dyDescent="0.25">
      <c r="A1065" s="120">
        <f>+PRESUPUESTO!A72</f>
        <v>4.12</v>
      </c>
      <c r="B1065" s="104" t="str">
        <f>+PRESUPUESTO!B72</f>
        <v>Suministro e instalacion  de  Sensor Odc0S-I1W Infrarrojo Montaje En Techo.</v>
      </c>
      <c r="C1065" s="105"/>
      <c r="D1065" s="105"/>
      <c r="E1065" s="106"/>
      <c r="F1065" s="107" t="str">
        <f>+PRESUPUESTO!D72</f>
        <v>UNIDAD</v>
      </c>
      <c r="N1065" s="183"/>
    </row>
    <row r="1066" spans="1:14" ht="15.75" x14ac:dyDescent="0.25">
      <c r="A1066" s="108"/>
      <c r="B1066" s="74" t="s">
        <v>92</v>
      </c>
      <c r="C1066" s="75" t="s">
        <v>93</v>
      </c>
      <c r="D1066" s="75" t="s">
        <v>259</v>
      </c>
      <c r="E1066" s="76" t="s">
        <v>260</v>
      </c>
      <c r="F1066" s="76" t="s">
        <v>261</v>
      </c>
      <c r="N1066" s="183"/>
    </row>
    <row r="1067" spans="1:14" ht="15.75" x14ac:dyDescent="0.25">
      <c r="A1067" s="108"/>
      <c r="B1067" s="77" t="s">
        <v>262</v>
      </c>
      <c r="C1067" s="78"/>
      <c r="D1067" s="78"/>
      <c r="E1067" s="79"/>
      <c r="F1067" s="79"/>
      <c r="N1067" s="183"/>
    </row>
    <row r="1068" spans="1:14" ht="15.75" x14ac:dyDescent="0.25">
      <c r="A1068" s="108"/>
      <c r="B1068" s="109" t="s">
        <v>547</v>
      </c>
      <c r="C1068" s="81" t="s">
        <v>239</v>
      </c>
      <c r="D1068" s="81">
        <v>1</v>
      </c>
      <c r="E1068" s="110">
        <v>162000</v>
      </c>
      <c r="F1068" s="110">
        <f t="shared" ref="F1068:F1070" si="163">+E1068*D1068</f>
        <v>162000</v>
      </c>
      <c r="G1068">
        <v>4.12</v>
      </c>
      <c r="H1068" t="str">
        <f t="shared" si="159"/>
        <v>Sensor Odc0S-I1W Infrarrojo Montaje En Techo</v>
      </c>
      <c r="M1068" t="str">
        <f t="shared" si="160"/>
        <v>UN</v>
      </c>
      <c r="N1068" s="183">
        <f t="shared" si="161"/>
        <v>162000</v>
      </c>
    </row>
    <row r="1069" spans="1:14" ht="15.75" x14ac:dyDescent="0.25">
      <c r="A1069" s="108"/>
      <c r="B1069" s="109"/>
      <c r="C1069" s="81"/>
      <c r="D1069" s="81"/>
      <c r="E1069" s="110">
        <v>5800</v>
      </c>
      <c r="F1069" s="110">
        <f t="shared" si="163"/>
        <v>0</v>
      </c>
      <c r="N1069" s="183"/>
    </row>
    <row r="1070" spans="1:14" ht="15.75" x14ac:dyDescent="0.25">
      <c r="A1070" s="108"/>
      <c r="B1070" s="109"/>
      <c r="C1070" s="81"/>
      <c r="D1070" s="81"/>
      <c r="E1070" s="110">
        <v>47000</v>
      </c>
      <c r="F1070" s="110">
        <f t="shared" si="163"/>
        <v>0</v>
      </c>
      <c r="N1070" s="183"/>
    </row>
    <row r="1071" spans="1:14" ht="15.75" x14ac:dyDescent="0.25">
      <c r="A1071" s="108"/>
      <c r="B1071" s="113"/>
      <c r="C1071" s="113"/>
      <c r="D1071" s="113"/>
      <c r="E1071" s="111" t="s">
        <v>489</v>
      </c>
      <c r="F1071" s="112">
        <f>SUM(F1068:F1070)</f>
        <v>162000</v>
      </c>
      <c r="N1071" s="183"/>
    </row>
    <row r="1072" spans="1:14" ht="15.75" x14ac:dyDescent="0.25">
      <c r="A1072" s="108"/>
      <c r="B1072" s="77" t="s">
        <v>490</v>
      </c>
      <c r="C1072" s="78"/>
      <c r="D1072" s="78"/>
      <c r="E1072" s="79"/>
      <c r="F1072" s="79"/>
      <c r="N1072" s="183"/>
    </row>
    <row r="1073" spans="1:14" ht="15.75" x14ac:dyDescent="0.25">
      <c r="A1073" s="108"/>
      <c r="B1073" s="109" t="s">
        <v>491</v>
      </c>
      <c r="C1073" s="78" t="s">
        <v>239</v>
      </c>
      <c r="D1073" s="78">
        <v>0.01</v>
      </c>
      <c r="E1073" s="79">
        <v>302379</v>
      </c>
      <c r="F1073" s="79">
        <f>+E1073*D1073</f>
        <v>3023.79</v>
      </c>
      <c r="N1073" s="183"/>
    </row>
    <row r="1074" spans="1:14" ht="15.75" x14ac:dyDescent="0.25">
      <c r="A1074" s="108"/>
      <c r="B1074" s="82"/>
      <c r="C1074" s="78"/>
      <c r="D1074" s="78"/>
      <c r="E1074" s="111" t="s">
        <v>489</v>
      </c>
      <c r="F1074" s="112">
        <f>SUM(F1073:F1073)</f>
        <v>3023.79</v>
      </c>
      <c r="N1074" s="183"/>
    </row>
    <row r="1075" spans="1:14" ht="15.75" x14ac:dyDescent="0.25">
      <c r="A1075" s="108"/>
      <c r="B1075" s="82"/>
      <c r="C1075" s="78"/>
      <c r="D1075" s="78"/>
      <c r="E1075" s="111"/>
      <c r="F1075" s="112"/>
      <c r="N1075" s="183"/>
    </row>
    <row r="1076" spans="1:14" ht="15.75" x14ac:dyDescent="0.25">
      <c r="A1076" s="108"/>
      <c r="B1076" s="77" t="s">
        <v>492</v>
      </c>
      <c r="C1076" s="78"/>
      <c r="D1076" s="78"/>
      <c r="E1076" s="79"/>
      <c r="F1076" s="79"/>
      <c r="N1076" s="183"/>
    </row>
    <row r="1077" spans="1:14" ht="15.75" x14ac:dyDescent="0.25">
      <c r="A1077" s="108"/>
      <c r="B1077" s="109" t="s">
        <v>493</v>
      </c>
      <c r="C1077" s="78" t="s">
        <v>268</v>
      </c>
      <c r="D1077" s="78">
        <v>0.6</v>
      </c>
      <c r="E1077" s="79">
        <v>78471</v>
      </c>
      <c r="F1077" s="114">
        <f>E1077*D1077</f>
        <v>47082.6</v>
      </c>
      <c r="N1077" s="183"/>
    </row>
    <row r="1078" spans="1:14" ht="15.75" x14ac:dyDescent="0.25">
      <c r="A1078" s="108"/>
      <c r="B1078" s="82" t="s">
        <v>504</v>
      </c>
      <c r="C1078" s="78" t="s">
        <v>268</v>
      </c>
      <c r="D1078" s="78"/>
      <c r="E1078" s="79"/>
      <c r="F1078" s="114"/>
      <c r="N1078" s="183"/>
    </row>
    <row r="1079" spans="1:14" ht="15.75" x14ac:dyDescent="0.25">
      <c r="A1079" s="108"/>
      <c r="B1079" s="82"/>
      <c r="C1079" s="78"/>
      <c r="D1079" s="78"/>
      <c r="E1079" s="111" t="s">
        <v>489</v>
      </c>
      <c r="F1079" s="112">
        <f>SUM(F1077:F1077)</f>
        <v>47082.6</v>
      </c>
      <c r="N1079" s="183"/>
    </row>
    <row r="1080" spans="1:14" ht="15.75" x14ac:dyDescent="0.25">
      <c r="A1080" s="115"/>
      <c r="B1080" s="77" t="s">
        <v>494</v>
      </c>
      <c r="C1080" s="78"/>
      <c r="D1080" s="78"/>
      <c r="E1080" s="79"/>
      <c r="F1080" s="79"/>
      <c r="N1080" s="183"/>
    </row>
    <row r="1081" spans="1:14" ht="15.75" x14ac:dyDescent="0.25">
      <c r="A1081" s="115"/>
      <c r="B1081" s="82" t="s">
        <v>495</v>
      </c>
      <c r="C1081" s="78" t="s">
        <v>268</v>
      </c>
      <c r="D1081" s="78">
        <v>0.05</v>
      </c>
      <c r="E1081" s="79">
        <v>34381</v>
      </c>
      <c r="F1081" s="114">
        <f>E1081*D1081</f>
        <v>1719.0500000000002</v>
      </c>
      <c r="N1081" s="183"/>
    </row>
    <row r="1082" spans="1:14" ht="15.75" x14ac:dyDescent="0.25">
      <c r="A1082" s="115"/>
      <c r="B1082" s="82"/>
      <c r="C1082" s="78"/>
      <c r="D1082" s="78"/>
      <c r="E1082" s="111" t="s">
        <v>489</v>
      </c>
      <c r="F1082" s="112">
        <f>SUM(F1081:F1081)</f>
        <v>1719.0500000000002</v>
      </c>
      <c r="N1082" s="183"/>
    </row>
    <row r="1083" spans="1:14" ht="15.75" x14ac:dyDescent="0.25">
      <c r="A1083" s="115"/>
      <c r="B1083" s="82"/>
      <c r="C1083" s="78"/>
      <c r="D1083" s="78"/>
      <c r="E1083" s="79"/>
      <c r="F1083" s="79"/>
      <c r="N1083" s="183"/>
    </row>
    <row r="1084" spans="1:14" ht="15.75" x14ac:dyDescent="0.25">
      <c r="A1084" s="108"/>
      <c r="B1084" s="82"/>
      <c r="C1084" s="78"/>
      <c r="D1084" s="78"/>
      <c r="E1084" s="85" t="s">
        <v>271</v>
      </c>
      <c r="F1084" s="116">
        <f>ROUND(SUM(F1067:F1082)/2, 0)</f>
        <v>213825</v>
      </c>
      <c r="N1084" s="183"/>
    </row>
    <row r="1085" spans="1:14" ht="31.5" x14ac:dyDescent="0.25">
      <c r="A1085" s="120">
        <f>+PRESUPUESTO!A73</f>
        <v>4.13</v>
      </c>
      <c r="B1085" s="104" t="str">
        <f>+PRESUPUESTO!B73</f>
        <v>Suministro e instalación salida para sensor infrarrojo en techo, incluye cable, conectores y elementos de fijación.</v>
      </c>
      <c r="C1085" s="105"/>
      <c r="D1085" s="105"/>
      <c r="E1085" s="106"/>
      <c r="F1085" s="107" t="s">
        <v>485</v>
      </c>
      <c r="N1085" s="183"/>
    </row>
    <row r="1086" spans="1:14" ht="15.75" x14ac:dyDescent="0.25">
      <c r="A1086" s="108"/>
      <c r="B1086" s="74" t="s">
        <v>92</v>
      </c>
      <c r="C1086" s="75" t="s">
        <v>93</v>
      </c>
      <c r="D1086" s="75" t="s">
        <v>259</v>
      </c>
      <c r="E1086" s="76" t="s">
        <v>260</v>
      </c>
      <c r="F1086" s="76" t="s">
        <v>261</v>
      </c>
      <c r="N1086" s="183"/>
    </row>
    <row r="1087" spans="1:14" ht="15.75" x14ac:dyDescent="0.25">
      <c r="A1087" s="108"/>
      <c r="B1087" s="77" t="s">
        <v>262</v>
      </c>
      <c r="C1087" s="78"/>
      <c r="D1087" s="78"/>
      <c r="E1087" s="79"/>
      <c r="F1087" s="79"/>
      <c r="N1087" s="183"/>
    </row>
    <row r="1088" spans="1:14" ht="15.75" x14ac:dyDescent="0.25">
      <c r="A1088" s="108"/>
      <c r="B1088" s="109" t="s">
        <v>549</v>
      </c>
      <c r="C1088" s="81" t="s">
        <v>117</v>
      </c>
      <c r="D1088" s="81">
        <v>2</v>
      </c>
      <c r="E1088" s="110">
        <v>12400</v>
      </c>
      <c r="F1088" s="110">
        <f t="shared" ref="F1088:F1092" si="164">+E1088*D1088</f>
        <v>24800</v>
      </c>
      <c r="G1088">
        <v>4.13</v>
      </c>
      <c r="H1088" t="str">
        <f t="shared" si="159"/>
        <v>Tubo emte 3/4"</v>
      </c>
      <c r="M1088" t="str">
        <f t="shared" si="160"/>
        <v>ML</v>
      </c>
      <c r="N1088" s="183">
        <f t="shared" si="161"/>
        <v>24800</v>
      </c>
    </row>
    <row r="1089" spans="1:14" ht="15.75" x14ac:dyDescent="0.25">
      <c r="A1089" s="108"/>
      <c r="B1089" s="109" t="s">
        <v>497</v>
      </c>
      <c r="C1089" s="81" t="s">
        <v>117</v>
      </c>
      <c r="D1089" s="81">
        <v>6.05</v>
      </c>
      <c r="E1089" s="110">
        <v>3164</v>
      </c>
      <c r="F1089" s="110">
        <f t="shared" si="164"/>
        <v>19142.2</v>
      </c>
      <c r="G1089">
        <v>4.13</v>
      </c>
      <c r="H1089" t="str">
        <f t="shared" si="159"/>
        <v xml:space="preserve">Cable CU LIBRE DE HALÓGENOS 12AWG </v>
      </c>
      <c r="M1089" t="str">
        <f t="shared" si="160"/>
        <v>ML</v>
      </c>
      <c r="N1089" s="183">
        <f t="shared" si="161"/>
        <v>19142.2</v>
      </c>
    </row>
    <row r="1090" spans="1:14" ht="15.75" x14ac:dyDescent="0.25">
      <c r="A1090" s="108"/>
      <c r="B1090" s="109"/>
      <c r="C1090" s="81"/>
      <c r="D1090" s="81"/>
      <c r="E1090" s="110"/>
      <c r="F1090" s="110">
        <f t="shared" si="164"/>
        <v>0</v>
      </c>
      <c r="G1090">
        <v>4.13</v>
      </c>
      <c r="H1090">
        <f t="shared" si="159"/>
        <v>0</v>
      </c>
      <c r="M1090">
        <f t="shared" si="160"/>
        <v>0</v>
      </c>
      <c r="N1090" s="183">
        <f t="shared" si="161"/>
        <v>0</v>
      </c>
    </row>
    <row r="1091" spans="1:14" ht="15.75" x14ac:dyDescent="0.25">
      <c r="A1091" s="108"/>
      <c r="B1091" s="109" t="s">
        <v>499</v>
      </c>
      <c r="C1091" s="81" t="s">
        <v>239</v>
      </c>
      <c r="D1091" s="81">
        <v>1</v>
      </c>
      <c r="E1091" s="110">
        <v>12617</v>
      </c>
      <c r="F1091" s="110">
        <f t="shared" si="164"/>
        <v>12617</v>
      </c>
      <c r="G1091">
        <v>4.13</v>
      </c>
      <c r="H1091" t="str">
        <f t="shared" si="159"/>
        <v xml:space="preserve">Caja 5800 Aluminio findido </v>
      </c>
      <c r="M1091" t="str">
        <f t="shared" si="160"/>
        <v>UN</v>
      </c>
      <c r="N1091" s="183">
        <f t="shared" si="161"/>
        <v>12617</v>
      </c>
    </row>
    <row r="1092" spans="1:14" ht="15.75" x14ac:dyDescent="0.25">
      <c r="A1092" s="108"/>
      <c r="B1092" s="109" t="s">
        <v>500</v>
      </c>
      <c r="C1092" s="81" t="s">
        <v>239</v>
      </c>
      <c r="D1092" s="81">
        <v>2</v>
      </c>
      <c r="E1092" s="110">
        <v>2070</v>
      </c>
      <c r="F1092" s="110">
        <f t="shared" si="164"/>
        <v>4140</v>
      </c>
      <c r="G1092">
        <v>4.13</v>
      </c>
      <c r="H1092" t="str">
        <f t="shared" si="159"/>
        <v>Terminales EMT 3/4"</v>
      </c>
      <c r="M1092" t="str">
        <f t="shared" si="160"/>
        <v>UN</v>
      </c>
      <c r="N1092" s="183">
        <f t="shared" si="161"/>
        <v>4140</v>
      </c>
    </row>
    <row r="1093" spans="1:14" ht="15.75" x14ac:dyDescent="0.25">
      <c r="A1093" s="108"/>
      <c r="B1093" s="109" t="s">
        <v>501</v>
      </c>
      <c r="C1093" s="81" t="s">
        <v>239</v>
      </c>
      <c r="D1093" s="81">
        <v>0</v>
      </c>
      <c r="E1093" s="110">
        <v>893</v>
      </c>
      <c r="F1093" s="110">
        <f>+E1093*D1093</f>
        <v>0</v>
      </c>
      <c r="G1093">
        <v>4.13</v>
      </c>
      <c r="H1093" t="str">
        <f t="shared" si="159"/>
        <v>Uniones EMT 3/4"</v>
      </c>
      <c r="M1093" t="str">
        <f t="shared" si="160"/>
        <v>UN</v>
      </c>
      <c r="N1093" s="183">
        <f t="shared" si="161"/>
        <v>0</v>
      </c>
    </row>
    <row r="1094" spans="1:14" ht="15.75" x14ac:dyDescent="0.25">
      <c r="A1094" s="108"/>
      <c r="B1094" s="82" t="s">
        <v>507</v>
      </c>
      <c r="C1094" s="81" t="s">
        <v>239</v>
      </c>
      <c r="D1094" s="81">
        <v>3</v>
      </c>
      <c r="E1094" s="110">
        <v>4126</v>
      </c>
      <c r="F1094" s="110">
        <f t="shared" ref="F1094:F1095" si="165">+E1094*D1094</f>
        <v>12378</v>
      </c>
      <c r="G1094">
        <v>4.13</v>
      </c>
      <c r="H1094" t="str">
        <f t="shared" si="159"/>
        <v>Elementos de fijacion abrasadeta doble ala</v>
      </c>
      <c r="M1094" t="str">
        <f t="shared" si="160"/>
        <v>UN</v>
      </c>
      <c r="N1094" s="183">
        <f t="shared" si="161"/>
        <v>12378</v>
      </c>
    </row>
    <row r="1095" spans="1:14" ht="15.75" x14ac:dyDescent="0.25">
      <c r="A1095" s="108"/>
      <c r="B1095" s="109" t="s">
        <v>509</v>
      </c>
      <c r="C1095" s="81" t="s">
        <v>239</v>
      </c>
      <c r="D1095" s="81">
        <v>3</v>
      </c>
      <c r="E1095" s="110">
        <v>2000</v>
      </c>
      <c r="F1095" s="110">
        <f t="shared" si="165"/>
        <v>6000</v>
      </c>
      <c r="G1095">
        <v>4.13</v>
      </c>
      <c r="H1095" t="str">
        <f t="shared" si="159"/>
        <v>conector de resorte 3m</v>
      </c>
      <c r="M1095" t="str">
        <f t="shared" si="160"/>
        <v>UN</v>
      </c>
      <c r="N1095" s="183">
        <f t="shared" si="161"/>
        <v>6000</v>
      </c>
    </row>
    <row r="1096" spans="1:14" ht="15.75" x14ac:dyDescent="0.25">
      <c r="A1096" s="108"/>
      <c r="B1096" s="113"/>
      <c r="C1096" s="113"/>
      <c r="D1096" s="113"/>
      <c r="E1096" s="113"/>
      <c r="F1096" s="113"/>
      <c r="N1096" s="183"/>
    </row>
    <row r="1097" spans="1:14" ht="15.75" x14ac:dyDescent="0.25">
      <c r="A1097" s="108"/>
      <c r="B1097" s="113"/>
      <c r="C1097" s="113"/>
      <c r="D1097" s="113"/>
      <c r="E1097" s="111" t="s">
        <v>489</v>
      </c>
      <c r="F1097" s="112">
        <f>SUM(F1088:F1095)</f>
        <v>79077.2</v>
      </c>
      <c r="N1097" s="183"/>
    </row>
    <row r="1098" spans="1:14" ht="15.75" x14ac:dyDescent="0.25">
      <c r="A1098" s="108"/>
      <c r="B1098" s="77" t="s">
        <v>490</v>
      </c>
      <c r="C1098" s="78"/>
      <c r="D1098" s="78"/>
      <c r="E1098" s="79"/>
      <c r="F1098" s="79"/>
      <c r="N1098" s="183"/>
    </row>
    <row r="1099" spans="1:14" ht="15.75" x14ac:dyDescent="0.25">
      <c r="A1099" s="108"/>
      <c r="B1099" s="109" t="s">
        <v>491</v>
      </c>
      <c r="C1099" s="78" t="s">
        <v>239</v>
      </c>
      <c r="D1099" s="78">
        <v>0.01</v>
      </c>
      <c r="E1099" s="79">
        <v>302379</v>
      </c>
      <c r="F1099" s="79">
        <f>+E1099*D1099</f>
        <v>3023.79</v>
      </c>
      <c r="N1099" s="183"/>
    </row>
    <row r="1100" spans="1:14" ht="15.75" x14ac:dyDescent="0.25">
      <c r="A1100" s="108"/>
      <c r="B1100" s="82"/>
      <c r="C1100" s="78"/>
      <c r="D1100" s="78"/>
      <c r="E1100" s="111" t="s">
        <v>489</v>
      </c>
      <c r="F1100" s="112">
        <f>SUM(F1099:F1099)</f>
        <v>3023.79</v>
      </c>
      <c r="N1100" s="183"/>
    </row>
    <row r="1101" spans="1:14" ht="15.75" x14ac:dyDescent="0.25">
      <c r="A1101" s="108"/>
      <c r="B1101" s="82"/>
      <c r="C1101" s="78"/>
      <c r="D1101" s="78"/>
      <c r="E1101" s="111"/>
      <c r="F1101" s="112"/>
      <c r="N1101" s="183"/>
    </row>
    <row r="1102" spans="1:14" ht="15.75" x14ac:dyDescent="0.25">
      <c r="A1102" s="108"/>
      <c r="B1102" s="77" t="s">
        <v>492</v>
      </c>
      <c r="C1102" s="78"/>
      <c r="D1102" s="78"/>
      <c r="E1102" s="79"/>
      <c r="F1102" s="79"/>
      <c r="N1102" s="183"/>
    </row>
    <row r="1103" spans="1:14" ht="15.75" x14ac:dyDescent="0.25">
      <c r="A1103" s="108"/>
      <c r="B1103" s="109" t="s">
        <v>493</v>
      </c>
      <c r="C1103" s="78" t="s">
        <v>268</v>
      </c>
      <c r="D1103" s="78">
        <v>0.6</v>
      </c>
      <c r="E1103" s="79">
        <v>78471</v>
      </c>
      <c r="F1103" s="114">
        <f>E1103*D1103</f>
        <v>47082.6</v>
      </c>
      <c r="N1103" s="183"/>
    </row>
    <row r="1104" spans="1:14" ht="15.75" x14ac:dyDescent="0.25">
      <c r="A1104" s="108"/>
      <c r="B1104" s="82" t="s">
        <v>504</v>
      </c>
      <c r="C1104" s="78" t="s">
        <v>268</v>
      </c>
      <c r="D1104" s="78"/>
      <c r="E1104" s="79"/>
      <c r="F1104" s="114"/>
      <c r="N1104" s="183"/>
    </row>
    <row r="1105" spans="1:14" ht="15.75" x14ac:dyDescent="0.25">
      <c r="A1105" s="108"/>
      <c r="B1105" s="82"/>
      <c r="C1105" s="78"/>
      <c r="D1105" s="78"/>
      <c r="E1105" s="111" t="s">
        <v>489</v>
      </c>
      <c r="F1105" s="112">
        <f>SUM(F1103:F1103)</f>
        <v>47082.6</v>
      </c>
      <c r="N1105" s="183"/>
    </row>
    <row r="1106" spans="1:14" ht="15.75" x14ac:dyDescent="0.25">
      <c r="A1106" s="115"/>
      <c r="B1106" s="77" t="s">
        <v>494</v>
      </c>
      <c r="C1106" s="78"/>
      <c r="D1106" s="78"/>
      <c r="E1106" s="79"/>
      <c r="F1106" s="79"/>
      <c r="N1106" s="183"/>
    </row>
    <row r="1107" spans="1:14" ht="15.75" x14ac:dyDescent="0.25">
      <c r="A1107" s="115"/>
      <c r="B1107" s="82" t="s">
        <v>495</v>
      </c>
      <c r="C1107" s="78" t="s">
        <v>268</v>
      </c>
      <c r="D1107" s="78">
        <v>0.01</v>
      </c>
      <c r="E1107" s="79">
        <v>34381</v>
      </c>
      <c r="F1107" s="114">
        <f>E1107*D1107</f>
        <v>343.81</v>
      </c>
      <c r="N1107" s="183"/>
    </row>
    <row r="1108" spans="1:14" ht="15.75" x14ac:dyDescent="0.25">
      <c r="A1108" s="115"/>
      <c r="B1108" s="82"/>
      <c r="C1108" s="78"/>
      <c r="D1108" s="78"/>
      <c r="E1108" s="111" t="s">
        <v>489</v>
      </c>
      <c r="F1108" s="112">
        <f>SUM(F1107:F1107)</f>
        <v>343.81</v>
      </c>
      <c r="N1108" s="183"/>
    </row>
    <row r="1109" spans="1:14" ht="15.75" x14ac:dyDescent="0.25">
      <c r="A1109" s="115"/>
      <c r="B1109" s="82"/>
      <c r="C1109" s="78"/>
      <c r="D1109" s="78"/>
      <c r="E1109" s="79"/>
      <c r="F1109" s="79"/>
      <c r="N1109" s="183"/>
    </row>
    <row r="1110" spans="1:14" ht="15.75" x14ac:dyDescent="0.25">
      <c r="A1110" s="108"/>
      <c r="B1110" s="82"/>
      <c r="C1110" s="78"/>
      <c r="D1110" s="78"/>
      <c r="E1110" s="85" t="s">
        <v>271</v>
      </c>
      <c r="F1110" s="116">
        <f>ROUND(SUM(F1087:F1108)/2, 0)</f>
        <v>129527</v>
      </c>
      <c r="N1110" s="183"/>
    </row>
    <row r="1111" spans="1:14" ht="63" x14ac:dyDescent="0.25">
      <c r="A1111" s="120">
        <f>+PRESUPUESTO!A74</f>
        <v>4.1399999999999997</v>
      </c>
      <c r="B1111" s="104" t="str">
        <f>+PRESUPUESTO!B74</f>
        <v>Suministro e instalación de salida de tomacorriente doble con polo a tierra GFCI, incluye cana 2400 aluminio fundido, conctores y soportes de tuberia y en si todo lo necesario para su funcionamiento.</v>
      </c>
      <c r="C1111" s="105"/>
      <c r="D1111" s="105"/>
      <c r="E1111" s="106"/>
      <c r="F1111" s="107" t="str">
        <f>+PRESUPUESTO!D74</f>
        <v>UNIDAD</v>
      </c>
      <c r="N1111" s="183"/>
    </row>
    <row r="1112" spans="1:14" ht="15.75" x14ac:dyDescent="0.25">
      <c r="A1112" s="108"/>
      <c r="B1112" s="74" t="s">
        <v>92</v>
      </c>
      <c r="C1112" s="75" t="s">
        <v>93</v>
      </c>
      <c r="D1112" s="75" t="s">
        <v>259</v>
      </c>
      <c r="E1112" s="76" t="s">
        <v>260</v>
      </c>
      <c r="F1112" s="76" t="s">
        <v>261</v>
      </c>
      <c r="N1112" s="183"/>
    </row>
    <row r="1113" spans="1:14" ht="15.75" x14ac:dyDescent="0.25">
      <c r="A1113" s="108"/>
      <c r="B1113" s="77" t="s">
        <v>262</v>
      </c>
      <c r="C1113" s="78"/>
      <c r="D1113" s="78"/>
      <c r="E1113" s="79"/>
      <c r="F1113" s="79"/>
      <c r="N1113" s="183"/>
    </row>
    <row r="1114" spans="1:14" ht="15.75" x14ac:dyDescent="0.25">
      <c r="A1114" s="108"/>
      <c r="B1114" s="109" t="s">
        <v>505</v>
      </c>
      <c r="C1114" s="81" t="s">
        <v>117</v>
      </c>
      <c r="D1114" s="81">
        <v>3</v>
      </c>
      <c r="E1114" s="110">
        <v>19351</v>
      </c>
      <c r="F1114" s="110">
        <f t="shared" ref="F1114:F1118" si="166">+E1114*D1114</f>
        <v>58053</v>
      </c>
      <c r="G1114">
        <v>4.1399999999999997</v>
      </c>
      <c r="H1114" t="str">
        <f t="shared" ref="H1114:H1160" si="167">+B1114</f>
        <v>Tubo EMT  3/4"</v>
      </c>
      <c r="M1114" t="str">
        <f t="shared" ref="M1114:M1160" si="168">+C1114</f>
        <v>ML</v>
      </c>
      <c r="N1114" s="183">
        <f t="shared" ref="N1114:N1160" si="169">+F1114</f>
        <v>58053</v>
      </c>
    </row>
    <row r="1115" spans="1:14" ht="15.75" x14ac:dyDescent="0.25">
      <c r="A1115" s="108"/>
      <c r="B1115" s="109" t="s">
        <v>497</v>
      </c>
      <c r="C1115" s="81" t="s">
        <v>117</v>
      </c>
      <c r="D1115" s="81">
        <v>10.050000000000001</v>
      </c>
      <c r="E1115" s="110">
        <v>3164</v>
      </c>
      <c r="F1115" s="110">
        <f t="shared" si="166"/>
        <v>31798.2</v>
      </c>
      <c r="G1115">
        <v>4.1399999999999997</v>
      </c>
      <c r="H1115" t="str">
        <f t="shared" si="167"/>
        <v xml:space="preserve">Cable CU LIBRE DE HALÓGENOS 12AWG </v>
      </c>
      <c r="M1115" t="str">
        <f t="shared" si="168"/>
        <v>ML</v>
      </c>
      <c r="N1115" s="183">
        <f t="shared" si="169"/>
        <v>31798.2</v>
      </c>
    </row>
    <row r="1116" spans="1:14" ht="15.75" x14ac:dyDescent="0.25">
      <c r="A1116" s="108"/>
      <c r="B1116" s="109" t="s">
        <v>551</v>
      </c>
      <c r="C1116" s="81" t="s">
        <v>239</v>
      </c>
      <c r="D1116" s="81">
        <v>1</v>
      </c>
      <c r="E1116" s="110">
        <v>68900</v>
      </c>
      <c r="F1116" s="110">
        <f t="shared" si="166"/>
        <v>68900</v>
      </c>
      <c r="G1116">
        <v>4.1399999999999997</v>
      </c>
      <c r="H1116" t="str">
        <f t="shared" si="167"/>
        <v>toma gfci</v>
      </c>
      <c r="M1116" t="str">
        <f t="shared" si="168"/>
        <v>UN</v>
      </c>
      <c r="N1116" s="183">
        <f t="shared" si="169"/>
        <v>68900</v>
      </c>
    </row>
    <row r="1117" spans="1:14" ht="15.75" x14ac:dyDescent="0.25">
      <c r="A1117" s="108"/>
      <c r="B1117" s="109" t="s">
        <v>520</v>
      </c>
      <c r="C1117" s="81" t="s">
        <v>239</v>
      </c>
      <c r="D1117" s="81">
        <v>1</v>
      </c>
      <c r="E1117" s="110">
        <v>19617</v>
      </c>
      <c r="F1117" s="110">
        <f t="shared" si="166"/>
        <v>19617</v>
      </c>
      <c r="G1117">
        <v>4.1399999999999997</v>
      </c>
      <c r="H1117" t="str">
        <f t="shared" si="167"/>
        <v xml:space="preserve">Caja 2400 Aluminio findido </v>
      </c>
      <c r="M1117" t="str">
        <f t="shared" si="168"/>
        <v>UN</v>
      </c>
      <c r="N1117" s="183">
        <f t="shared" si="169"/>
        <v>19617</v>
      </c>
    </row>
    <row r="1118" spans="1:14" ht="15.75" x14ac:dyDescent="0.25">
      <c r="A1118" s="108"/>
      <c r="B1118" s="109" t="s">
        <v>500</v>
      </c>
      <c r="C1118" s="81" t="s">
        <v>239</v>
      </c>
      <c r="D1118" s="81">
        <v>2</v>
      </c>
      <c r="E1118" s="110">
        <v>2070</v>
      </c>
      <c r="F1118" s="110">
        <f t="shared" si="166"/>
        <v>4140</v>
      </c>
      <c r="G1118">
        <v>4.1399999999999997</v>
      </c>
      <c r="H1118" t="str">
        <f t="shared" si="167"/>
        <v>Terminales EMT 3/4"</v>
      </c>
      <c r="M1118" t="str">
        <f t="shared" si="168"/>
        <v>UN</v>
      </c>
      <c r="N1118" s="183">
        <f t="shared" si="169"/>
        <v>4140</v>
      </c>
    </row>
    <row r="1119" spans="1:14" ht="15.75" x14ac:dyDescent="0.25">
      <c r="A1119" s="108"/>
      <c r="B1119" s="109" t="s">
        <v>501</v>
      </c>
      <c r="C1119" s="81" t="s">
        <v>239</v>
      </c>
      <c r="D1119" s="81">
        <v>1</v>
      </c>
      <c r="E1119" s="110">
        <v>893</v>
      </c>
      <c r="F1119" s="110">
        <f>+E1119*D1119</f>
        <v>893</v>
      </c>
      <c r="G1119">
        <v>4.1399999999999997</v>
      </c>
      <c r="H1119" t="str">
        <f t="shared" si="167"/>
        <v>Uniones EMT 3/4"</v>
      </c>
      <c r="M1119" t="str">
        <f t="shared" si="168"/>
        <v>UN</v>
      </c>
      <c r="N1119" s="183">
        <f t="shared" si="169"/>
        <v>893</v>
      </c>
    </row>
    <row r="1120" spans="1:14" ht="15.75" x14ac:dyDescent="0.25">
      <c r="A1120" s="108"/>
      <c r="B1120" s="82" t="s">
        <v>507</v>
      </c>
      <c r="C1120" s="81" t="s">
        <v>239</v>
      </c>
      <c r="D1120" s="81">
        <v>3</v>
      </c>
      <c r="E1120" s="110">
        <v>4126</v>
      </c>
      <c r="F1120" s="110">
        <f t="shared" ref="F1120:F1121" si="170">+E1120*D1120</f>
        <v>12378</v>
      </c>
      <c r="G1120">
        <v>4.1399999999999997</v>
      </c>
      <c r="H1120" t="str">
        <f t="shared" si="167"/>
        <v>Elementos de fijacion abrasadeta doble ala</v>
      </c>
      <c r="M1120" t="str">
        <f t="shared" si="168"/>
        <v>UN</v>
      </c>
      <c r="N1120" s="183">
        <f t="shared" si="169"/>
        <v>12378</v>
      </c>
    </row>
    <row r="1121" spans="1:14" ht="15.75" x14ac:dyDescent="0.25">
      <c r="A1121" s="108"/>
      <c r="B1121" s="109" t="s">
        <v>509</v>
      </c>
      <c r="C1121" s="81" t="s">
        <v>239</v>
      </c>
      <c r="D1121" s="81">
        <v>3</v>
      </c>
      <c r="E1121" s="110">
        <v>2000</v>
      </c>
      <c r="F1121" s="110">
        <f t="shared" si="170"/>
        <v>6000</v>
      </c>
      <c r="G1121">
        <v>4.1399999999999997</v>
      </c>
      <c r="H1121" t="str">
        <f t="shared" si="167"/>
        <v>conector de resorte 3m</v>
      </c>
      <c r="M1121" t="str">
        <f t="shared" si="168"/>
        <v>UN</v>
      </c>
      <c r="N1121" s="183">
        <f t="shared" si="169"/>
        <v>6000</v>
      </c>
    </row>
    <row r="1122" spans="1:14" ht="15.75" x14ac:dyDescent="0.25">
      <c r="A1122" s="108"/>
      <c r="B1122" s="113"/>
      <c r="C1122" s="113"/>
      <c r="D1122" s="113"/>
      <c r="E1122" s="113"/>
      <c r="F1122" s="113"/>
      <c r="N1122" s="183"/>
    </row>
    <row r="1123" spans="1:14" ht="15.75" x14ac:dyDescent="0.25">
      <c r="A1123" s="108"/>
      <c r="B1123" s="113"/>
      <c r="C1123" s="113"/>
      <c r="D1123" s="113"/>
      <c r="E1123" s="111" t="s">
        <v>489</v>
      </c>
      <c r="F1123" s="112">
        <f>SUM(F1114:F1121)</f>
        <v>201779.20000000001</v>
      </c>
      <c r="N1123" s="183"/>
    </row>
    <row r="1124" spans="1:14" ht="15.75" x14ac:dyDescent="0.25">
      <c r="A1124" s="108"/>
      <c r="B1124" s="77" t="s">
        <v>490</v>
      </c>
      <c r="C1124" s="78"/>
      <c r="D1124" s="78"/>
      <c r="E1124" s="79"/>
      <c r="F1124" s="79"/>
      <c r="N1124" s="183"/>
    </row>
    <row r="1125" spans="1:14" ht="15.75" x14ac:dyDescent="0.25">
      <c r="A1125" s="108"/>
      <c r="B1125" s="109" t="s">
        <v>491</v>
      </c>
      <c r="C1125" s="78" t="s">
        <v>239</v>
      </c>
      <c r="D1125" s="78">
        <v>0.1</v>
      </c>
      <c r="E1125" s="79">
        <v>302379</v>
      </c>
      <c r="F1125" s="79">
        <f>+E1125*D1125</f>
        <v>30237.9</v>
      </c>
      <c r="N1125" s="183"/>
    </row>
    <row r="1126" spans="1:14" ht="15.75" x14ac:dyDescent="0.25">
      <c r="A1126" s="108"/>
      <c r="B1126" s="82"/>
      <c r="C1126" s="78"/>
      <c r="D1126" s="78"/>
      <c r="E1126" s="111" t="s">
        <v>489</v>
      </c>
      <c r="F1126" s="112">
        <f>SUM(F1125:F1125)</f>
        <v>30237.9</v>
      </c>
      <c r="N1126" s="183"/>
    </row>
    <row r="1127" spans="1:14" ht="15.75" x14ac:dyDescent="0.25">
      <c r="A1127" s="108"/>
      <c r="B1127" s="82"/>
      <c r="C1127" s="78"/>
      <c r="D1127" s="78"/>
      <c r="E1127" s="111"/>
      <c r="F1127" s="112"/>
      <c r="N1127" s="183"/>
    </row>
    <row r="1128" spans="1:14" ht="15.75" x14ac:dyDescent="0.25">
      <c r="A1128" s="108"/>
      <c r="B1128" s="77" t="s">
        <v>492</v>
      </c>
      <c r="C1128" s="78"/>
      <c r="D1128" s="78"/>
      <c r="E1128" s="79"/>
      <c r="F1128" s="79"/>
      <c r="N1128" s="183"/>
    </row>
    <row r="1129" spans="1:14" ht="15.75" x14ac:dyDescent="0.25">
      <c r="A1129" s="108"/>
      <c r="B1129" s="109" t="s">
        <v>493</v>
      </c>
      <c r="C1129" s="78" t="s">
        <v>268</v>
      </c>
      <c r="D1129" s="78">
        <v>0.6</v>
      </c>
      <c r="E1129" s="79">
        <v>78471</v>
      </c>
      <c r="F1129" s="114">
        <f>E1129*D1129</f>
        <v>47082.6</v>
      </c>
      <c r="N1129" s="183"/>
    </row>
    <row r="1130" spans="1:14" ht="15.75" x14ac:dyDescent="0.25">
      <c r="A1130" s="108"/>
      <c r="B1130" s="82" t="s">
        <v>504</v>
      </c>
      <c r="C1130" s="78" t="s">
        <v>268</v>
      </c>
      <c r="D1130" s="78">
        <v>1</v>
      </c>
      <c r="E1130" s="79"/>
      <c r="F1130" s="114"/>
      <c r="N1130" s="183"/>
    </row>
    <row r="1131" spans="1:14" ht="15.75" x14ac:dyDescent="0.25">
      <c r="A1131" s="108"/>
      <c r="B1131" s="82"/>
      <c r="C1131" s="78"/>
      <c r="D1131" s="78"/>
      <c r="E1131" s="111" t="s">
        <v>489</v>
      </c>
      <c r="F1131" s="112">
        <f>SUM(F1129:F1129)</f>
        <v>47082.6</v>
      </c>
      <c r="N1131" s="183"/>
    </row>
    <row r="1132" spans="1:14" ht="15.75" x14ac:dyDescent="0.25">
      <c r="A1132" s="115"/>
      <c r="B1132" s="77" t="s">
        <v>494</v>
      </c>
      <c r="C1132" s="78"/>
      <c r="D1132" s="78"/>
      <c r="E1132" s="79"/>
      <c r="F1132" s="79"/>
      <c r="N1132" s="183"/>
    </row>
    <row r="1133" spans="1:14" ht="15.75" x14ac:dyDescent="0.25">
      <c r="A1133" s="115"/>
      <c r="B1133" s="82" t="s">
        <v>495</v>
      </c>
      <c r="C1133" s="78" t="s">
        <v>268</v>
      </c>
      <c r="D1133" s="78">
        <v>0.05</v>
      </c>
      <c r="E1133" s="79">
        <v>34381</v>
      </c>
      <c r="F1133" s="114">
        <f>E1133*D1133</f>
        <v>1719.0500000000002</v>
      </c>
      <c r="N1133" s="183"/>
    </row>
    <row r="1134" spans="1:14" ht="15.75" x14ac:dyDescent="0.25">
      <c r="A1134" s="115"/>
      <c r="B1134" s="82"/>
      <c r="C1134" s="78"/>
      <c r="D1134" s="78"/>
      <c r="E1134" s="111" t="s">
        <v>489</v>
      </c>
      <c r="F1134" s="112">
        <f>SUM(F1133:F1133)</f>
        <v>1719.0500000000002</v>
      </c>
      <c r="N1134" s="183"/>
    </row>
    <row r="1135" spans="1:14" ht="15.75" x14ac:dyDescent="0.25">
      <c r="A1135" s="115"/>
      <c r="B1135" s="82"/>
      <c r="C1135" s="78"/>
      <c r="D1135" s="78"/>
      <c r="E1135" s="79"/>
      <c r="F1135" s="79"/>
      <c r="N1135" s="183"/>
    </row>
    <row r="1136" spans="1:14" ht="15.75" x14ac:dyDescent="0.25">
      <c r="A1136" s="108"/>
      <c r="B1136" s="82"/>
      <c r="C1136" s="78"/>
      <c r="D1136" s="78"/>
      <c r="E1136" s="85" t="s">
        <v>271</v>
      </c>
      <c r="F1136" s="116">
        <f>ROUND(SUM(F1113:F1134)/2, 0)</f>
        <v>280819</v>
      </c>
      <c r="N1136" s="183"/>
    </row>
    <row r="1137" spans="1:14" ht="15.75" x14ac:dyDescent="0.25">
      <c r="A1137" s="120">
        <f>+PRESUPUESTO!A75</f>
        <v>5</v>
      </c>
      <c r="B1137" s="104" t="str">
        <f>+PRESUPUESTO!B76</f>
        <v xml:space="preserve">ASEO GENERAL Y LIMPIEZA DE OBRA INTERVENIDA </v>
      </c>
      <c r="C1137" s="105"/>
      <c r="D1137" s="105"/>
      <c r="E1137" s="106"/>
      <c r="F1137" s="107">
        <f>+PRESUPUESTO!D100</f>
        <v>0</v>
      </c>
      <c r="N1137" s="183"/>
    </row>
    <row r="1138" spans="1:14" ht="15.75" x14ac:dyDescent="0.25">
      <c r="A1138" s="108"/>
      <c r="B1138" s="74" t="s">
        <v>92</v>
      </c>
      <c r="C1138" s="171" t="s">
        <v>93</v>
      </c>
      <c r="D1138" s="171" t="s">
        <v>259</v>
      </c>
      <c r="E1138" s="172" t="s">
        <v>260</v>
      </c>
      <c r="F1138" s="172" t="s">
        <v>261</v>
      </c>
      <c r="N1138" s="183"/>
    </row>
    <row r="1139" spans="1:14" ht="15.75" x14ac:dyDescent="0.25">
      <c r="A1139" s="108"/>
      <c r="B1139" s="77" t="s">
        <v>262</v>
      </c>
      <c r="C1139" s="78"/>
      <c r="D1139" s="78"/>
      <c r="E1139" s="79"/>
      <c r="F1139" s="79"/>
      <c r="N1139" s="183"/>
    </row>
    <row r="1140" spans="1:14" ht="15.75" x14ac:dyDescent="0.25">
      <c r="A1140" s="108"/>
      <c r="B1140" s="80" t="s">
        <v>309</v>
      </c>
      <c r="C1140" s="78" t="s">
        <v>316</v>
      </c>
      <c r="D1140" s="78">
        <v>0.1</v>
      </c>
      <c r="E1140" s="79">
        <v>73</v>
      </c>
      <c r="F1140" s="79">
        <f>+E1140*D1140</f>
        <v>7.3000000000000007</v>
      </c>
      <c r="G1140">
        <v>5.0999999999999996</v>
      </c>
      <c r="H1140" t="str">
        <f t="shared" si="167"/>
        <v>AGUA</v>
      </c>
      <c r="M1140" t="str">
        <f t="shared" si="168"/>
        <v>LT</v>
      </c>
      <c r="N1140" s="183">
        <f t="shared" si="169"/>
        <v>7.3000000000000007</v>
      </c>
    </row>
    <row r="1141" spans="1:14" ht="15.75" x14ac:dyDescent="0.25">
      <c r="A1141" s="108"/>
      <c r="B1141" s="80" t="s">
        <v>692</v>
      </c>
      <c r="C1141" s="78" t="s">
        <v>351</v>
      </c>
      <c r="D1141" s="78">
        <v>5.9999999999999995E-4</v>
      </c>
      <c r="E1141" s="79">
        <v>33384</v>
      </c>
      <c r="F1141" s="79">
        <f t="shared" ref="F1141:F1152" si="171">+E1141*D1141</f>
        <v>20.030399999999997</v>
      </c>
      <c r="G1141">
        <v>5.0999999999999996</v>
      </c>
      <c r="H1141" t="str">
        <f t="shared" si="167"/>
        <v>GUANTES MULTIUSOS PARA ASEO</v>
      </c>
      <c r="M1141" t="str">
        <f t="shared" si="168"/>
        <v>PAR</v>
      </c>
      <c r="N1141" s="183">
        <f t="shared" si="169"/>
        <v>20.030399999999997</v>
      </c>
    </row>
    <row r="1142" spans="1:14" ht="15.75" x14ac:dyDescent="0.25">
      <c r="A1142" s="108"/>
      <c r="B1142" s="77" t="s">
        <v>490</v>
      </c>
      <c r="C1142" s="78"/>
      <c r="D1142" s="78"/>
      <c r="E1142" s="79"/>
      <c r="F1142" s="79"/>
      <c r="N1142" s="183"/>
    </row>
    <row r="1143" spans="1:14" ht="15.75" x14ac:dyDescent="0.25">
      <c r="A1143" s="108"/>
      <c r="B1143" s="80" t="s">
        <v>693</v>
      </c>
      <c r="C1143" s="78" t="s">
        <v>93</v>
      </c>
      <c r="D1143" s="78">
        <v>5.9999999999999995E-4</v>
      </c>
      <c r="E1143" s="79">
        <v>73821</v>
      </c>
      <c r="F1143" s="79">
        <f t="shared" si="171"/>
        <v>44.292599999999993</v>
      </c>
      <c r="N1143" s="183"/>
    </row>
    <row r="1144" spans="1:14" ht="15.75" x14ac:dyDescent="0.25">
      <c r="A1144" s="115"/>
      <c r="B1144" s="80" t="s">
        <v>694</v>
      </c>
      <c r="C1144" s="78" t="s">
        <v>93</v>
      </c>
      <c r="D1144" s="78">
        <v>2.9999999999999997E-4</v>
      </c>
      <c r="E1144" s="79">
        <v>59814</v>
      </c>
      <c r="F1144" s="79">
        <f t="shared" si="171"/>
        <v>17.944199999999999</v>
      </c>
      <c r="N1144" s="183"/>
    </row>
    <row r="1145" spans="1:14" ht="15.75" x14ac:dyDescent="0.25">
      <c r="B1145" s="80" t="s">
        <v>295</v>
      </c>
      <c r="C1145" s="78" t="s">
        <v>93</v>
      </c>
      <c r="D1145" s="78">
        <v>2.9999999999999997E-4</v>
      </c>
      <c r="E1145" s="79">
        <v>378933</v>
      </c>
      <c r="F1145" s="79">
        <f t="shared" si="171"/>
        <v>113.67989999999999</v>
      </c>
      <c r="N1145" s="183"/>
    </row>
    <row r="1146" spans="1:14" ht="15.75" x14ac:dyDescent="0.25">
      <c r="B1146" s="80" t="s">
        <v>695</v>
      </c>
      <c r="C1146" s="78" t="s">
        <v>93</v>
      </c>
      <c r="D1146" s="78">
        <v>5.9999999999999995E-4</v>
      </c>
      <c r="E1146" s="79">
        <v>18711</v>
      </c>
      <c r="F1146" s="79">
        <f t="shared" si="171"/>
        <v>11.226599999999999</v>
      </c>
      <c r="N1146" s="183"/>
    </row>
    <row r="1147" spans="1:14" ht="15.75" x14ac:dyDescent="0.25">
      <c r="B1147" s="80" t="s">
        <v>696</v>
      </c>
      <c r="C1147" s="78" t="s">
        <v>93</v>
      </c>
      <c r="D1147" s="78">
        <v>5.9999999999999995E-4</v>
      </c>
      <c r="E1147" s="79">
        <v>17931</v>
      </c>
      <c r="F1147" s="79">
        <f t="shared" si="171"/>
        <v>10.758599999999999</v>
      </c>
      <c r="N1147" s="183"/>
    </row>
    <row r="1148" spans="1:14" ht="15.75" x14ac:dyDescent="0.25">
      <c r="B1148" s="77" t="s">
        <v>494</v>
      </c>
      <c r="C1148" s="78"/>
      <c r="D1148" s="78"/>
      <c r="E1148" s="79"/>
      <c r="F1148" s="79"/>
      <c r="N1148" s="183"/>
    </row>
    <row r="1149" spans="1:14" ht="15.75" x14ac:dyDescent="0.25">
      <c r="B1149" s="80" t="s">
        <v>267</v>
      </c>
      <c r="C1149" s="78" t="s">
        <v>461</v>
      </c>
      <c r="D1149" s="78">
        <v>0.01</v>
      </c>
      <c r="E1149" s="79">
        <v>37963</v>
      </c>
      <c r="F1149" s="79">
        <f t="shared" si="171"/>
        <v>379.63</v>
      </c>
      <c r="N1149" s="183"/>
    </row>
    <row r="1150" spans="1:14" ht="15.75" x14ac:dyDescent="0.25">
      <c r="B1150" s="80" t="s">
        <v>697</v>
      </c>
      <c r="C1150" s="78" t="s">
        <v>461</v>
      </c>
      <c r="D1150" s="78">
        <v>6.6E-3</v>
      </c>
      <c r="E1150" s="79">
        <v>88263</v>
      </c>
      <c r="F1150" s="79">
        <f t="shared" si="171"/>
        <v>582.53579999999999</v>
      </c>
      <c r="N1150" s="183"/>
    </row>
    <row r="1151" spans="1:14" ht="15.75" x14ac:dyDescent="0.25">
      <c r="B1151" s="77" t="s">
        <v>492</v>
      </c>
      <c r="C1151" s="78"/>
      <c r="D1151" s="78"/>
      <c r="E1151" s="111"/>
      <c r="F1151" s="79"/>
      <c r="N1151" s="183"/>
    </row>
    <row r="1152" spans="1:14" ht="15.75" x14ac:dyDescent="0.25">
      <c r="B1152" s="80" t="s">
        <v>449</v>
      </c>
      <c r="C1152" s="78" t="s">
        <v>297</v>
      </c>
      <c r="D1152" s="78">
        <v>2.4500000000000001E-2</v>
      </c>
      <c r="E1152" s="79">
        <v>179382</v>
      </c>
      <c r="F1152" s="79">
        <f t="shared" si="171"/>
        <v>4394.8590000000004</v>
      </c>
      <c r="N1152" s="183"/>
    </row>
    <row r="1153" spans="1:14" ht="15.75" x14ac:dyDescent="0.25">
      <c r="B1153" s="82"/>
      <c r="C1153" s="78"/>
      <c r="D1153" s="78"/>
      <c r="E1153" s="85" t="s">
        <v>271</v>
      </c>
      <c r="F1153" s="86">
        <f>ROUND(SUM(F1140:F1152), 0)</f>
        <v>5582</v>
      </c>
      <c r="N1153" s="183"/>
    </row>
    <row r="1154" spans="1:14" ht="15.75" x14ac:dyDescent="0.25">
      <c r="A1154" s="120" t="e">
        <f>+PRESUPUESTO!#REF!</f>
        <v>#REF!</v>
      </c>
      <c r="B1154" s="104" t="e">
        <f>+PRESUPUESTO!#REF!</f>
        <v>#REF!</v>
      </c>
      <c r="C1154" s="105"/>
      <c r="D1154" s="105"/>
      <c r="E1154" s="106"/>
      <c r="F1154" s="107" t="e">
        <f>+PRESUPUESTO!#REF!</f>
        <v>#REF!</v>
      </c>
      <c r="N1154" s="183"/>
    </row>
    <row r="1155" spans="1:14" ht="15.75" x14ac:dyDescent="0.25">
      <c r="A1155" s="108"/>
      <c r="B1155" s="74" t="s">
        <v>92</v>
      </c>
      <c r="C1155" s="171" t="s">
        <v>93</v>
      </c>
      <c r="D1155" s="171" t="s">
        <v>259</v>
      </c>
      <c r="E1155" s="172" t="s">
        <v>260</v>
      </c>
      <c r="F1155" s="172" t="s">
        <v>261</v>
      </c>
      <c r="N1155" s="183"/>
    </row>
    <row r="1156" spans="1:14" ht="15.75" x14ac:dyDescent="0.25">
      <c r="A1156" s="108"/>
      <c r="B1156" s="77" t="s">
        <v>262</v>
      </c>
      <c r="C1156" s="78"/>
      <c r="D1156" s="78"/>
      <c r="E1156" s="79"/>
      <c r="F1156" s="79"/>
      <c r="N1156" s="183"/>
    </row>
    <row r="1157" spans="1:14" ht="15.75" x14ac:dyDescent="0.25">
      <c r="A1157" s="108"/>
      <c r="B1157" s="80" t="s">
        <v>702</v>
      </c>
      <c r="C1157" s="78" t="s">
        <v>93</v>
      </c>
      <c r="D1157" s="78">
        <v>1</v>
      </c>
      <c r="E1157" s="79">
        <v>1599900</v>
      </c>
      <c r="F1157" s="79">
        <f>+E1157*D1157</f>
        <v>1599900</v>
      </c>
      <c r="G1157">
        <v>6.1</v>
      </c>
      <c r="H1157" t="str">
        <f t="shared" si="167"/>
        <v>AIRE ACONDICIONADO MINI SPLIT INVERTER 12,000 BTU 220V</v>
      </c>
      <c r="M1157" t="str">
        <f t="shared" si="168"/>
        <v>UNIDAD</v>
      </c>
      <c r="N1157" s="183">
        <f t="shared" si="169"/>
        <v>1599900</v>
      </c>
    </row>
    <row r="1158" spans="1:14" ht="15.75" x14ac:dyDescent="0.25">
      <c r="A1158" s="108"/>
      <c r="B1158" s="80" t="s">
        <v>703</v>
      </c>
      <c r="C1158" s="78" t="s">
        <v>704</v>
      </c>
      <c r="D1158" s="94">
        <v>0.1</v>
      </c>
      <c r="E1158" s="79">
        <v>1599900</v>
      </c>
      <c r="F1158" s="79">
        <f t="shared" ref="F1158:F1165" si="172">+E1158*D1158</f>
        <v>159990</v>
      </c>
      <c r="G1158">
        <v>6.1</v>
      </c>
      <c r="H1158" t="str">
        <f t="shared" si="167"/>
        <v>ACCESORIOS %</v>
      </c>
      <c r="M1158" t="str">
        <f t="shared" si="168"/>
        <v>%</v>
      </c>
      <c r="N1158" s="183">
        <f t="shared" si="169"/>
        <v>159990</v>
      </c>
    </row>
    <row r="1159" spans="1:14" ht="15.75" x14ac:dyDescent="0.25">
      <c r="A1159" s="108"/>
      <c r="B1159" s="80" t="s">
        <v>706</v>
      </c>
      <c r="C1159" s="78" t="s">
        <v>93</v>
      </c>
      <c r="D1159" s="78">
        <v>1.5</v>
      </c>
      <c r="E1159" s="79">
        <v>218850</v>
      </c>
      <c r="F1159" s="79">
        <f t="shared" si="172"/>
        <v>328275</v>
      </c>
      <c r="G1159">
        <v>6.1</v>
      </c>
      <c r="H1159" t="str">
        <f t="shared" si="167"/>
        <v>ANGULOS DE  2" X 1/4</v>
      </c>
      <c r="M1159" t="str">
        <f t="shared" si="168"/>
        <v>UNIDAD</v>
      </c>
      <c r="N1159" s="183">
        <f t="shared" si="169"/>
        <v>328275</v>
      </c>
    </row>
    <row r="1160" spans="1:14" ht="15.75" x14ac:dyDescent="0.25">
      <c r="A1160" s="108"/>
      <c r="B1160" t="s">
        <v>707</v>
      </c>
      <c r="C1160" s="78" t="s">
        <v>93</v>
      </c>
      <c r="D1160" s="94">
        <v>2.5000000000000001E-2</v>
      </c>
      <c r="E1160" s="79">
        <v>757</v>
      </c>
      <c r="F1160" s="79">
        <f t="shared" si="172"/>
        <v>18.925000000000001</v>
      </c>
      <c r="G1160">
        <v>6.1</v>
      </c>
      <c r="H1160" t="str">
        <f t="shared" si="167"/>
        <v>CHAZO CON TORNILLO 10 x 3"</v>
      </c>
      <c r="M1160" t="str">
        <f t="shared" si="168"/>
        <v>UNIDAD</v>
      </c>
      <c r="N1160" s="183">
        <f t="shared" si="169"/>
        <v>18.925000000000001</v>
      </c>
    </row>
    <row r="1161" spans="1:14" ht="15.75" x14ac:dyDescent="0.25">
      <c r="A1161" s="108"/>
      <c r="B1161" s="77" t="s">
        <v>490</v>
      </c>
      <c r="C1161" s="78"/>
      <c r="D1161" s="78"/>
      <c r="E1161" s="79"/>
      <c r="F1161" s="79">
        <f t="shared" si="172"/>
        <v>0</v>
      </c>
      <c r="N1161" s="183"/>
    </row>
    <row r="1162" spans="1:14" ht="15.75" x14ac:dyDescent="0.25">
      <c r="A1162" s="108"/>
      <c r="B1162" s="80" t="s">
        <v>335</v>
      </c>
      <c r="C1162" s="78" t="s">
        <v>93</v>
      </c>
      <c r="D1162" s="78">
        <v>1.8E-3</v>
      </c>
      <c r="E1162" s="79">
        <v>62851</v>
      </c>
      <c r="F1162" s="79">
        <f t="shared" si="172"/>
        <v>113.1318</v>
      </c>
      <c r="N1162" s="183"/>
    </row>
    <row r="1163" spans="1:14" ht="15.75" x14ac:dyDescent="0.25">
      <c r="A1163" s="108"/>
      <c r="B1163" s="80" t="s">
        <v>372</v>
      </c>
      <c r="C1163" s="78" t="s">
        <v>93</v>
      </c>
      <c r="D1163" s="78">
        <v>1.8E-3</v>
      </c>
      <c r="E1163" s="79">
        <v>548800</v>
      </c>
      <c r="F1163" s="79">
        <f t="shared" si="172"/>
        <v>987.83999999999992</v>
      </c>
      <c r="N1163" s="183"/>
    </row>
    <row r="1164" spans="1:14" ht="15.75" x14ac:dyDescent="0.25">
      <c r="A1164" s="108"/>
      <c r="B1164" s="80" t="s">
        <v>708</v>
      </c>
      <c r="C1164" s="78" t="s">
        <v>93</v>
      </c>
      <c r="D1164" s="78">
        <v>1.8E-3</v>
      </c>
      <c r="E1164" s="79">
        <v>3857</v>
      </c>
      <c r="F1164" s="79">
        <f t="shared" si="172"/>
        <v>6.9425999999999997</v>
      </c>
      <c r="N1164" s="183"/>
    </row>
    <row r="1165" spans="1:14" ht="15.75" x14ac:dyDescent="0.25">
      <c r="A1165" s="108"/>
      <c r="B1165" s="80" t="s">
        <v>709</v>
      </c>
      <c r="C1165" s="78" t="s">
        <v>93</v>
      </c>
      <c r="D1165" s="78">
        <v>1.8E-3</v>
      </c>
      <c r="E1165" s="79">
        <v>414187</v>
      </c>
      <c r="F1165" s="79">
        <f t="shared" si="172"/>
        <v>745.53660000000002</v>
      </c>
      <c r="N1165" s="183"/>
    </row>
    <row r="1166" spans="1:14" ht="15.75" x14ac:dyDescent="0.25">
      <c r="A1166" s="108"/>
      <c r="B1166" s="80" t="s">
        <v>710</v>
      </c>
      <c r="C1166" s="78" t="s">
        <v>705</v>
      </c>
      <c r="D1166" s="94">
        <v>0.05</v>
      </c>
      <c r="E1166" s="79">
        <v>225996.75</v>
      </c>
      <c r="F1166" s="79">
        <f t="shared" ref="F1166" si="173">+E1166*D1166</f>
        <v>11299.837500000001</v>
      </c>
      <c r="N1166" s="183"/>
    </row>
    <row r="1167" spans="1:14" ht="15.75" x14ac:dyDescent="0.25">
      <c r="B1167" s="77" t="s">
        <v>494</v>
      </c>
      <c r="C1167" s="78"/>
      <c r="D1167" s="78"/>
      <c r="E1167" s="79"/>
      <c r="F1167" s="79"/>
      <c r="N1167" s="183"/>
    </row>
    <row r="1168" spans="1:14" ht="15.75" x14ac:dyDescent="0.25">
      <c r="B1168" s="80" t="s">
        <v>267</v>
      </c>
      <c r="C1168" s="78" t="s">
        <v>461</v>
      </c>
      <c r="D1168" s="78">
        <v>1</v>
      </c>
      <c r="E1168" s="79">
        <v>40431</v>
      </c>
      <c r="F1168" s="79">
        <f t="shared" ref="F1168" si="174">+E1168*D1168</f>
        <v>40431</v>
      </c>
      <c r="N1168" s="183"/>
    </row>
    <row r="1169" spans="2:14" ht="15.75" x14ac:dyDescent="0.25">
      <c r="B1169" s="77" t="s">
        <v>492</v>
      </c>
      <c r="C1169" s="78"/>
      <c r="D1169" s="78"/>
      <c r="E1169" s="111"/>
      <c r="F1169" s="79"/>
      <c r="N1169" s="183"/>
    </row>
    <row r="1170" spans="2:14" ht="15.75" x14ac:dyDescent="0.25">
      <c r="B1170" s="80" t="s">
        <v>293</v>
      </c>
      <c r="C1170" s="78" t="s">
        <v>297</v>
      </c>
      <c r="D1170" s="78">
        <v>1.05</v>
      </c>
      <c r="E1170" s="79">
        <v>215235</v>
      </c>
      <c r="F1170" s="79">
        <f t="shared" ref="F1170" si="175">+E1170*D1170</f>
        <v>225996.75</v>
      </c>
      <c r="N1170" s="183"/>
    </row>
    <row r="1171" spans="2:14" ht="15.75" x14ac:dyDescent="0.25">
      <c r="B1171" s="82"/>
      <c r="C1171" s="78"/>
      <c r="D1171" s="78"/>
      <c r="E1171" s="85" t="s">
        <v>271</v>
      </c>
      <c r="F1171" s="86">
        <f>ROUND(SUM(F1157:F1170), 0)</f>
        <v>2367765</v>
      </c>
      <c r="N1171" s="183"/>
    </row>
  </sheetData>
  <mergeCells count="9">
    <mergeCell ref="A1:E1"/>
    <mergeCell ref="A2:E2"/>
    <mergeCell ref="A3:E3"/>
    <mergeCell ref="B8:F8"/>
    <mergeCell ref="B9:F9"/>
    <mergeCell ref="B4:F4"/>
    <mergeCell ref="B5:F5"/>
    <mergeCell ref="B6:F6"/>
    <mergeCell ref="B7:F7"/>
  </mergeCells>
  <pageMargins left="0.7" right="0.7" top="0.75" bottom="0.75" header="0.3" footer="0.3"/>
  <pageSetup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J51"/>
  <sheetViews>
    <sheetView topLeftCell="A12" zoomScale="85" zoomScaleNormal="85" workbookViewId="0">
      <selection activeCell="A45" sqref="A45:G45"/>
    </sheetView>
  </sheetViews>
  <sheetFormatPr baseColWidth="10" defaultRowHeight="15" x14ac:dyDescent="0.25"/>
  <cols>
    <col min="1" max="1" width="21.5703125" customWidth="1"/>
    <col min="3" max="3" width="14.140625" bestFit="1" customWidth="1"/>
    <col min="6" max="6" width="17.5703125" bestFit="1" customWidth="1"/>
    <col min="8" max="8" width="14.7109375" bestFit="1" customWidth="1"/>
    <col min="10" max="10" width="17.85546875" bestFit="1" customWidth="1"/>
  </cols>
  <sheetData>
    <row r="2" spans="1:10" ht="15" customHeight="1" x14ac:dyDescent="0.25"/>
    <row r="9" spans="1:10" ht="15" customHeight="1" x14ac:dyDescent="0.25"/>
    <row r="11" spans="1:10" x14ac:dyDescent="0.25">
      <c r="A11" s="434" t="s">
        <v>682</v>
      </c>
      <c r="B11" s="435"/>
      <c r="C11" s="435"/>
      <c r="D11" s="435"/>
      <c r="E11" s="435"/>
      <c r="F11" s="435"/>
      <c r="G11" s="435"/>
      <c r="H11" s="436"/>
      <c r="J11" s="161"/>
    </row>
    <row r="12" spans="1:10" x14ac:dyDescent="0.25">
      <c r="A12" s="437" t="s">
        <v>683</v>
      </c>
      <c r="B12" s="438"/>
      <c r="C12" s="438"/>
      <c r="D12" s="438"/>
      <c r="E12" s="438"/>
      <c r="F12" s="438"/>
      <c r="G12" s="438"/>
      <c r="H12" s="439"/>
      <c r="J12" s="161"/>
    </row>
    <row r="13" spans="1:10" x14ac:dyDescent="0.25">
      <c r="A13" s="437" t="s">
        <v>684</v>
      </c>
      <c r="B13" s="438"/>
      <c r="C13" s="438"/>
      <c r="D13" s="438"/>
      <c r="E13" s="438"/>
      <c r="F13" s="439"/>
      <c r="G13" s="434">
        <v>3</v>
      </c>
      <c r="H13" s="436"/>
      <c r="J13" s="161"/>
    </row>
    <row r="14" spans="1:10" x14ac:dyDescent="0.25">
      <c r="A14" s="427" t="s">
        <v>562</v>
      </c>
      <c r="B14" s="427"/>
      <c r="C14" s="427"/>
      <c r="D14" s="427"/>
      <c r="E14" s="427"/>
      <c r="F14" s="427"/>
      <c r="G14" s="427"/>
      <c r="H14" s="427"/>
      <c r="J14" s="161"/>
    </row>
    <row r="15" spans="1:10" ht="15" customHeight="1" x14ac:dyDescent="0.25">
      <c r="A15" s="430" t="s">
        <v>563</v>
      </c>
      <c r="B15" s="430"/>
      <c r="C15" s="430"/>
      <c r="D15" s="430"/>
      <c r="E15" s="430"/>
      <c r="F15" s="430"/>
      <c r="G15" s="430"/>
      <c r="H15" s="430"/>
      <c r="J15" s="161"/>
    </row>
    <row r="16" spans="1:10" ht="60" x14ac:dyDescent="0.25">
      <c r="A16" s="80" t="s">
        <v>564</v>
      </c>
      <c r="B16" s="101" t="s">
        <v>565</v>
      </c>
      <c r="C16" s="80" t="s">
        <v>566</v>
      </c>
      <c r="D16" s="80" t="s">
        <v>567</v>
      </c>
      <c r="E16" s="101" t="s">
        <v>568</v>
      </c>
      <c r="F16" s="80" t="s">
        <v>685</v>
      </c>
      <c r="G16" s="80" t="s">
        <v>569</v>
      </c>
      <c r="H16" s="80" t="s">
        <v>570</v>
      </c>
      <c r="J16" s="161"/>
    </row>
    <row r="17" spans="1:10" x14ac:dyDescent="0.25">
      <c r="A17" s="80" t="s">
        <v>571</v>
      </c>
      <c r="B17" s="80">
        <v>1</v>
      </c>
      <c r="C17" s="165">
        <v>4797871</v>
      </c>
      <c r="D17" s="130">
        <v>1</v>
      </c>
      <c r="E17" s="134">
        <v>1.55</v>
      </c>
      <c r="F17" s="131">
        <f>+C17*E17*D17</f>
        <v>7436700.0499999998</v>
      </c>
      <c r="G17" s="80">
        <v>3</v>
      </c>
      <c r="H17" s="131">
        <f>+F17*G17</f>
        <v>22310100.149999999</v>
      </c>
      <c r="I17" t="s">
        <v>712</v>
      </c>
      <c r="J17" s="161"/>
    </row>
    <row r="18" spans="1:10" x14ac:dyDescent="0.25">
      <c r="A18" s="80" t="s">
        <v>572</v>
      </c>
      <c r="B18" s="80">
        <v>1</v>
      </c>
      <c r="C18" s="165">
        <v>2963580</v>
      </c>
      <c r="D18" s="130">
        <v>0.4</v>
      </c>
      <c r="E18" s="134">
        <v>1.55</v>
      </c>
      <c r="F18" s="131">
        <f t="shared" ref="F18:F19" si="0">+C18*E18*D18</f>
        <v>1837419.6</v>
      </c>
      <c r="G18" s="80">
        <v>3</v>
      </c>
      <c r="H18" s="131">
        <f t="shared" ref="H18:H19" si="1">+F18*G18</f>
        <v>5512258.8000000007</v>
      </c>
      <c r="J18" s="161"/>
    </row>
    <row r="19" spans="1:10" x14ac:dyDescent="0.25">
      <c r="A19" s="139" t="s">
        <v>621</v>
      </c>
      <c r="B19" s="80">
        <v>1</v>
      </c>
      <c r="C19" s="165">
        <f>3251120*1.052</f>
        <v>3420178.24</v>
      </c>
      <c r="D19" s="130">
        <v>0.4</v>
      </c>
      <c r="E19" s="134">
        <v>1.55</v>
      </c>
      <c r="F19" s="131">
        <f t="shared" si="0"/>
        <v>2120510.5088000004</v>
      </c>
      <c r="G19" s="80">
        <v>3</v>
      </c>
      <c r="H19" s="131">
        <f t="shared" si="1"/>
        <v>6361531.5264000017</v>
      </c>
      <c r="J19" s="161"/>
    </row>
    <row r="20" spans="1:10" x14ac:dyDescent="0.25">
      <c r="A20" s="231"/>
      <c r="B20" s="232"/>
      <c r="C20" s="232"/>
      <c r="D20" s="232"/>
      <c r="E20" s="232"/>
      <c r="F20" s="428"/>
      <c r="G20" s="166" t="s">
        <v>573</v>
      </c>
      <c r="H20" s="167">
        <f>SUM(H17:H19)</f>
        <v>34183890.476400003</v>
      </c>
      <c r="J20" s="161"/>
    </row>
    <row r="21" spans="1:10" x14ac:dyDescent="0.25">
      <c r="A21" s="430" t="s">
        <v>574</v>
      </c>
      <c r="B21" s="430"/>
      <c r="C21" s="430"/>
      <c r="D21" s="430"/>
      <c r="E21" s="430"/>
      <c r="F21" s="430"/>
      <c r="G21" s="430"/>
      <c r="H21" s="430"/>
      <c r="J21" s="161"/>
    </row>
    <row r="22" spans="1:10" x14ac:dyDescent="0.25">
      <c r="A22" s="431" t="s">
        <v>575</v>
      </c>
      <c r="B22" s="432"/>
      <c r="C22" s="433"/>
      <c r="D22" s="80" t="s">
        <v>576</v>
      </c>
      <c r="E22" s="80"/>
      <c r="F22" s="80"/>
      <c r="G22" s="80"/>
      <c r="H22" s="131"/>
      <c r="J22" s="161"/>
    </row>
    <row r="23" spans="1:10" x14ac:dyDescent="0.25">
      <c r="A23" s="140" t="s">
        <v>600</v>
      </c>
      <c r="B23" s="141"/>
      <c r="C23" s="142"/>
      <c r="D23" s="165"/>
      <c r="E23" s="80"/>
      <c r="F23" s="80"/>
      <c r="G23" s="80">
        <v>3</v>
      </c>
      <c r="H23" s="131">
        <f t="shared" ref="H23:H25" si="2">+D23*G23</f>
        <v>0</v>
      </c>
      <c r="J23" s="161"/>
    </row>
    <row r="24" spans="1:10" x14ac:dyDescent="0.25">
      <c r="A24" s="80" t="s">
        <v>577</v>
      </c>
      <c r="B24" s="80"/>
      <c r="C24" s="80"/>
      <c r="D24" s="132">
        <v>90000</v>
      </c>
      <c r="E24" s="80"/>
      <c r="F24" s="80"/>
      <c r="G24" s="80">
        <v>3</v>
      </c>
      <c r="H24" s="131">
        <f t="shared" si="2"/>
        <v>270000</v>
      </c>
      <c r="J24" s="161"/>
    </row>
    <row r="25" spans="1:10" x14ac:dyDescent="0.25">
      <c r="A25" s="80" t="s">
        <v>578</v>
      </c>
      <c r="B25" s="80"/>
      <c r="C25" s="80"/>
      <c r="D25" s="132">
        <v>90000</v>
      </c>
      <c r="E25" s="80"/>
      <c r="F25" s="80"/>
      <c r="G25" s="80">
        <v>3</v>
      </c>
      <c r="H25" s="131">
        <f t="shared" si="2"/>
        <v>270000</v>
      </c>
      <c r="J25" s="161"/>
    </row>
    <row r="26" spans="1:10" x14ac:dyDescent="0.25">
      <c r="A26" s="231"/>
      <c r="B26" s="232"/>
      <c r="C26" s="232"/>
      <c r="D26" s="232"/>
      <c r="E26" s="232"/>
      <c r="F26" s="428"/>
      <c r="G26" s="166" t="s">
        <v>573</v>
      </c>
      <c r="H26" s="167">
        <f>SUM(H23:H25)</f>
        <v>540000</v>
      </c>
      <c r="J26" s="161"/>
    </row>
    <row r="27" spans="1:10" x14ac:dyDescent="0.25">
      <c r="A27" s="430" t="s">
        <v>579</v>
      </c>
      <c r="B27" s="430"/>
      <c r="C27" s="430"/>
      <c r="D27" s="430"/>
      <c r="E27" s="430"/>
      <c r="F27" s="430"/>
      <c r="G27" s="430"/>
      <c r="H27" s="430"/>
      <c r="J27" s="161"/>
    </row>
    <row r="28" spans="1:10" x14ac:dyDescent="0.25">
      <c r="A28" s="425" t="s">
        <v>575</v>
      </c>
      <c r="B28" s="425"/>
      <c r="C28" s="425"/>
      <c r="D28" s="425"/>
      <c r="E28" s="425"/>
      <c r="F28" s="425"/>
      <c r="G28" s="80"/>
      <c r="H28" s="80"/>
      <c r="J28" s="161" t="s">
        <v>100</v>
      </c>
    </row>
    <row r="29" spans="1:10" x14ac:dyDescent="0.25">
      <c r="A29" s="429" t="s">
        <v>580</v>
      </c>
      <c r="B29" s="429"/>
      <c r="C29" s="429"/>
      <c r="D29" s="429"/>
      <c r="E29" s="429"/>
      <c r="F29" s="429"/>
      <c r="G29" s="168">
        <f>SUM(G30:G34)</f>
        <v>4.0600000000000002E-3</v>
      </c>
      <c r="H29" s="132"/>
      <c r="J29" s="161">
        <v>223464232</v>
      </c>
    </row>
    <row r="30" spans="1:10" x14ac:dyDescent="0.25">
      <c r="A30" s="425" t="s">
        <v>581</v>
      </c>
      <c r="B30" s="425"/>
      <c r="C30" s="425"/>
      <c r="D30" s="425"/>
      <c r="E30" s="425"/>
      <c r="F30" s="425"/>
      <c r="G30" s="133">
        <v>1.4999999999999999E-4</v>
      </c>
      <c r="H30" s="132">
        <f>+G30*J29</f>
        <v>33519.6348</v>
      </c>
      <c r="J30" s="161"/>
    </row>
    <row r="31" spans="1:10" x14ac:dyDescent="0.25">
      <c r="A31" s="425" t="s">
        <v>582</v>
      </c>
      <c r="B31" s="425"/>
      <c r="C31" s="425"/>
      <c r="D31" s="425"/>
      <c r="E31" s="425"/>
      <c r="F31" s="425"/>
      <c r="G31" s="133">
        <v>2.2300000000000002E-3</v>
      </c>
      <c r="H31" s="132">
        <f>+G31*J29</f>
        <v>498325.23736000003</v>
      </c>
      <c r="J31" s="161"/>
    </row>
    <row r="32" spans="1:10" x14ac:dyDescent="0.25">
      <c r="A32" s="425" t="s">
        <v>583</v>
      </c>
      <c r="B32" s="425"/>
      <c r="C32" s="425"/>
      <c r="D32" s="425"/>
      <c r="E32" s="425"/>
      <c r="F32" s="425"/>
      <c r="G32" s="133">
        <v>7.6999999999999996E-4</v>
      </c>
      <c r="H32" s="132">
        <f>+G32*J29</f>
        <v>172067.45864</v>
      </c>
      <c r="J32" s="161"/>
    </row>
    <row r="33" spans="1:10" x14ac:dyDescent="0.25">
      <c r="A33" s="425" t="s">
        <v>584</v>
      </c>
      <c r="B33" s="425"/>
      <c r="C33" s="425"/>
      <c r="D33" s="425"/>
      <c r="E33" s="425"/>
      <c r="F33" s="425"/>
      <c r="G33" s="133">
        <v>5.2999999999999998E-4</v>
      </c>
      <c r="H33" s="132">
        <f>+G33*J29</f>
        <v>118436.04295999999</v>
      </c>
      <c r="J33" s="161"/>
    </row>
    <row r="34" spans="1:10" x14ac:dyDescent="0.25">
      <c r="A34" s="425" t="s">
        <v>585</v>
      </c>
      <c r="B34" s="425"/>
      <c r="C34" s="425"/>
      <c r="D34" s="425"/>
      <c r="E34" s="425"/>
      <c r="F34" s="425"/>
      <c r="G34" s="133">
        <v>3.8000000000000002E-4</v>
      </c>
      <c r="H34" s="132">
        <f>+G34*J29</f>
        <v>84916.408160000006</v>
      </c>
      <c r="J34" s="161"/>
    </row>
    <row r="35" spans="1:10" x14ac:dyDescent="0.25">
      <c r="A35" s="429" t="s">
        <v>586</v>
      </c>
      <c r="B35" s="429"/>
      <c r="C35" s="429"/>
      <c r="D35" s="429"/>
      <c r="E35" s="429"/>
      <c r="F35" s="429"/>
      <c r="G35" s="168">
        <f>SUM(G36:G39)</f>
        <v>7.9000000000000001E-2</v>
      </c>
      <c r="H35" s="132"/>
      <c r="J35" s="161"/>
    </row>
    <row r="36" spans="1:10" x14ac:dyDescent="0.25">
      <c r="A36" s="425" t="s">
        <v>587</v>
      </c>
      <c r="B36" s="425"/>
      <c r="C36" s="425"/>
      <c r="D36" s="425"/>
      <c r="E36" s="425"/>
      <c r="F36" s="425"/>
      <c r="G36" s="134">
        <v>5.0000000000000001E-3</v>
      </c>
      <c r="H36" s="132">
        <f>+G36*J29</f>
        <v>1117321.1599999999</v>
      </c>
      <c r="J36" s="161"/>
    </row>
    <row r="37" spans="1:10" x14ac:dyDescent="0.25">
      <c r="A37" s="425" t="s">
        <v>588</v>
      </c>
      <c r="B37" s="425"/>
      <c r="C37" s="425"/>
      <c r="D37" s="425"/>
      <c r="E37" s="425"/>
      <c r="F37" s="425"/>
      <c r="G37" s="134">
        <v>0.05</v>
      </c>
      <c r="H37" s="132">
        <f>+G37*J29</f>
        <v>11173211.600000001</v>
      </c>
      <c r="J37" s="161"/>
    </row>
    <row r="38" spans="1:10" x14ac:dyDescent="0.25">
      <c r="A38" s="425" t="s">
        <v>589</v>
      </c>
      <c r="B38" s="425"/>
      <c r="C38" s="425"/>
      <c r="D38" s="425"/>
      <c r="E38" s="425"/>
      <c r="F38" s="425"/>
      <c r="G38" s="134">
        <v>0.02</v>
      </c>
      <c r="H38" s="132">
        <f>+G38*J29</f>
        <v>4469284.6399999997</v>
      </c>
      <c r="J38" s="161"/>
    </row>
    <row r="39" spans="1:10" x14ac:dyDescent="0.25">
      <c r="A39" s="425" t="s">
        <v>590</v>
      </c>
      <c r="B39" s="425"/>
      <c r="C39" s="425"/>
      <c r="D39" s="425"/>
      <c r="E39" s="425"/>
      <c r="F39" s="425"/>
      <c r="G39" s="134">
        <v>4.0000000000000001E-3</v>
      </c>
      <c r="H39" s="132">
        <f>+G39*J29</f>
        <v>893856.92800000007</v>
      </c>
      <c r="J39" s="161"/>
    </row>
    <row r="40" spans="1:10" x14ac:dyDescent="0.25">
      <c r="A40" s="231"/>
      <c r="B40" s="232"/>
      <c r="C40" s="232"/>
      <c r="D40" s="232"/>
      <c r="E40" s="232"/>
      <c r="F40" s="428"/>
      <c r="G40" s="166" t="s">
        <v>573</v>
      </c>
      <c r="H40" s="169">
        <f>SUM(H29:H39)/2</f>
        <v>9280469.5549599994</v>
      </c>
      <c r="J40" s="161"/>
    </row>
    <row r="41" spans="1:10" x14ac:dyDescent="0.25">
      <c r="A41" s="427" t="s">
        <v>591</v>
      </c>
      <c r="B41" s="427"/>
      <c r="C41" s="427"/>
      <c r="D41" s="427"/>
      <c r="E41" s="427"/>
      <c r="F41" s="427"/>
      <c r="G41" s="427"/>
      <c r="H41" s="427"/>
      <c r="J41" s="161"/>
    </row>
    <row r="42" spans="1:10" x14ac:dyDescent="0.25">
      <c r="A42" s="425" t="s">
        <v>564</v>
      </c>
      <c r="B42" s="425"/>
      <c r="C42" s="425"/>
      <c r="D42" s="425"/>
      <c r="E42" s="425"/>
      <c r="F42" s="425"/>
      <c r="G42" s="425"/>
      <c r="H42" s="131">
        <f>+H20</f>
        <v>34183890.476400003</v>
      </c>
      <c r="J42" s="161"/>
    </row>
    <row r="43" spans="1:10" x14ac:dyDescent="0.25">
      <c r="A43" s="425" t="s">
        <v>592</v>
      </c>
      <c r="B43" s="425"/>
      <c r="C43" s="425"/>
      <c r="D43" s="425"/>
      <c r="E43" s="425"/>
      <c r="F43" s="425"/>
      <c r="G43" s="425"/>
      <c r="H43" s="131">
        <f>+H26</f>
        <v>540000</v>
      </c>
      <c r="J43" s="161"/>
    </row>
    <row r="44" spans="1:10" ht="15.75" thickBot="1" x14ac:dyDescent="0.3">
      <c r="A44" s="425" t="s">
        <v>593</v>
      </c>
      <c r="B44" s="425"/>
      <c r="C44" s="425"/>
      <c r="D44" s="425"/>
      <c r="E44" s="425"/>
      <c r="F44" s="425"/>
      <c r="G44" s="425"/>
      <c r="H44" s="131">
        <f>+H40</f>
        <v>9280469.5549599994</v>
      </c>
      <c r="J44" s="161"/>
    </row>
    <row r="45" spans="1:10" ht="15.75" thickBot="1" x14ac:dyDescent="0.3">
      <c r="A45" s="425" t="s">
        <v>594</v>
      </c>
      <c r="B45" s="425"/>
      <c r="C45" s="425"/>
      <c r="D45" s="425"/>
      <c r="E45" s="425"/>
      <c r="F45" s="425"/>
      <c r="G45" s="425"/>
      <c r="H45" s="131">
        <f>SUM(H42:H44)</f>
        <v>44004360.03136</v>
      </c>
      <c r="J45" s="170"/>
    </row>
    <row r="46" spans="1:10" x14ac:dyDescent="0.25">
      <c r="A46" s="425" t="s">
        <v>595</v>
      </c>
      <c r="B46" s="425"/>
      <c r="C46" s="425"/>
      <c r="D46" s="425"/>
      <c r="E46" s="425"/>
      <c r="F46" s="425"/>
      <c r="G46" s="425"/>
      <c r="H46" s="131">
        <f>+PRESUPUESTO!G77</f>
        <v>223467913.10000002</v>
      </c>
      <c r="J46" s="161"/>
    </row>
    <row r="47" spans="1:10" x14ac:dyDescent="0.25">
      <c r="A47" s="425" t="s">
        <v>596</v>
      </c>
      <c r="B47" s="425"/>
      <c r="C47" s="425"/>
      <c r="D47" s="425"/>
      <c r="E47" s="425"/>
      <c r="F47" s="425"/>
      <c r="G47" s="425"/>
      <c r="H47" s="135">
        <f>+H45*1/H46</f>
        <v>0.19691578724176126</v>
      </c>
      <c r="J47" s="161"/>
    </row>
    <row r="48" spans="1:10" x14ac:dyDescent="0.25">
      <c r="A48" s="426" t="s">
        <v>597</v>
      </c>
      <c r="B48" s="426"/>
      <c r="C48" s="426"/>
      <c r="D48" s="426"/>
      <c r="E48" s="426"/>
      <c r="F48" s="426"/>
      <c r="G48" s="426"/>
      <c r="H48" s="136">
        <v>0.19</v>
      </c>
      <c r="J48" s="161"/>
    </row>
    <row r="49" spans="1:10" x14ac:dyDescent="0.25">
      <c r="A49" s="426" t="s">
        <v>598</v>
      </c>
      <c r="B49" s="426"/>
      <c r="C49" s="426"/>
      <c r="D49" s="426"/>
      <c r="E49" s="426"/>
      <c r="F49" s="426"/>
      <c r="G49" s="426"/>
      <c r="H49" s="136">
        <v>0.05</v>
      </c>
      <c r="J49" s="161"/>
    </row>
    <row r="50" spans="1:10" x14ac:dyDescent="0.25">
      <c r="A50" s="426" t="s">
        <v>599</v>
      </c>
      <c r="B50" s="426"/>
      <c r="C50" s="426"/>
      <c r="D50" s="426"/>
      <c r="E50" s="426"/>
      <c r="F50" s="426"/>
      <c r="G50" s="426"/>
      <c r="H50" s="136">
        <v>0.05</v>
      </c>
      <c r="J50" s="161"/>
    </row>
    <row r="51" spans="1:10" x14ac:dyDescent="0.25">
      <c r="A51" s="424" t="s">
        <v>686</v>
      </c>
      <c r="B51" s="424"/>
      <c r="C51" s="424"/>
      <c r="D51" s="424"/>
      <c r="E51" s="424"/>
      <c r="F51" s="424"/>
      <c r="G51" s="424"/>
      <c r="H51" s="136">
        <f>SUM(H48:H50)</f>
        <v>0.28999999999999998</v>
      </c>
      <c r="J51" s="161"/>
    </row>
  </sheetData>
  <mergeCells count="35">
    <mergeCell ref="A15:H15"/>
    <mergeCell ref="A20:F20"/>
    <mergeCell ref="A21:H21"/>
    <mergeCell ref="A22:C22"/>
    <mergeCell ref="A11:H11"/>
    <mergeCell ref="A12:H12"/>
    <mergeCell ref="A13:F13"/>
    <mergeCell ref="G13:H13"/>
    <mergeCell ref="A14:H14"/>
    <mergeCell ref="A27:H27"/>
    <mergeCell ref="A30:F30"/>
    <mergeCell ref="A31:F31"/>
    <mergeCell ref="A32:F32"/>
    <mergeCell ref="A26:F26"/>
    <mergeCell ref="A38:F38"/>
    <mergeCell ref="A39:F39"/>
    <mergeCell ref="A40:F40"/>
    <mergeCell ref="A28:F28"/>
    <mergeCell ref="A29:F29"/>
    <mergeCell ref="A33:F33"/>
    <mergeCell ref="A34:F34"/>
    <mergeCell ref="A35:F35"/>
    <mergeCell ref="A36:F36"/>
    <mergeCell ref="A37:F37"/>
    <mergeCell ref="A41:H41"/>
    <mergeCell ref="A42:G42"/>
    <mergeCell ref="A43:G43"/>
    <mergeCell ref="A44:G44"/>
    <mergeCell ref="A45:G45"/>
    <mergeCell ref="A51:G51"/>
    <mergeCell ref="A46:G46"/>
    <mergeCell ref="A47:G47"/>
    <mergeCell ref="A48:G48"/>
    <mergeCell ref="A49:G49"/>
    <mergeCell ref="A50:G5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16"/>
  <sheetViews>
    <sheetView zoomScale="85" zoomScaleNormal="85" workbookViewId="0">
      <selection activeCell="E128" sqref="E128"/>
    </sheetView>
  </sheetViews>
  <sheetFormatPr baseColWidth="10" defaultColWidth="11.42578125" defaultRowHeight="15" x14ac:dyDescent="0.25"/>
  <cols>
    <col min="1" max="1" width="11.42578125" style="91"/>
    <col min="2" max="2" width="59.140625" customWidth="1"/>
    <col min="3" max="3" width="12.5703125" customWidth="1"/>
    <col min="4" max="4" width="12.7109375" style="176" customWidth="1"/>
    <col min="5" max="5" width="22.140625" customWidth="1"/>
    <col min="6" max="6" width="27" customWidth="1"/>
  </cols>
  <sheetData>
    <row r="1" spans="1:8" ht="16.5" thickBot="1" x14ac:dyDescent="0.3">
      <c r="A1" s="89"/>
      <c r="B1" s="74" t="s">
        <v>92</v>
      </c>
      <c r="C1" s="75" t="s">
        <v>93</v>
      </c>
      <c r="D1" s="173" t="s">
        <v>94</v>
      </c>
      <c r="E1" s="76" t="s">
        <v>260</v>
      </c>
      <c r="F1" t="s">
        <v>929</v>
      </c>
      <c r="G1" s="440" t="s">
        <v>930</v>
      </c>
      <c r="H1" s="441"/>
    </row>
    <row r="2" spans="1:8" ht="15.75" x14ac:dyDescent="0.25">
      <c r="A2" s="89"/>
      <c r="B2" s="74" t="s">
        <v>289</v>
      </c>
      <c r="C2" s="75" t="s">
        <v>294</v>
      </c>
      <c r="D2" s="173" t="str">
        <f>+F2</f>
        <v>Bien 1</v>
      </c>
      <c r="E2" s="76">
        <v>425444</v>
      </c>
      <c r="F2" t="s">
        <v>714</v>
      </c>
    </row>
    <row r="3" spans="1:8" ht="15.75" x14ac:dyDescent="0.25">
      <c r="A3" s="89"/>
      <c r="B3" s="177" t="s">
        <v>289</v>
      </c>
      <c r="C3" s="178" t="s">
        <v>145</v>
      </c>
      <c r="D3" s="179">
        <v>104.46</v>
      </c>
      <c r="E3" s="181">
        <v>425444</v>
      </c>
      <c r="F3" t="s">
        <v>715</v>
      </c>
      <c r="G3" t="s">
        <v>932</v>
      </c>
    </row>
    <row r="4" spans="1:8" ht="15.75" x14ac:dyDescent="0.25">
      <c r="A4" s="89"/>
      <c r="B4" s="80" t="s">
        <v>476</v>
      </c>
      <c r="C4" s="75" t="s">
        <v>315</v>
      </c>
      <c r="D4" s="173">
        <v>104.46</v>
      </c>
      <c r="E4" s="76">
        <f>4678*1.0716</f>
        <v>5012.9448000000002</v>
      </c>
      <c r="F4" t="s">
        <v>716</v>
      </c>
    </row>
    <row r="5" spans="1:8" ht="15.75" x14ac:dyDescent="0.25">
      <c r="A5" s="89"/>
      <c r="B5" s="80" t="s">
        <v>633</v>
      </c>
      <c r="C5" s="75" t="s">
        <v>98</v>
      </c>
      <c r="D5" s="173">
        <v>104.46</v>
      </c>
      <c r="E5" s="76">
        <v>8070</v>
      </c>
      <c r="F5" t="s">
        <v>717</v>
      </c>
    </row>
    <row r="6" spans="1:8" ht="15.75" x14ac:dyDescent="0.25">
      <c r="A6" s="89"/>
      <c r="B6" s="80" t="s">
        <v>634</v>
      </c>
      <c r="C6" s="75" t="s">
        <v>315</v>
      </c>
      <c r="D6" s="173">
        <v>104.46</v>
      </c>
      <c r="E6" s="76">
        <v>8156</v>
      </c>
      <c r="F6" t="s">
        <v>718</v>
      </c>
    </row>
    <row r="7" spans="1:8" ht="15.75" x14ac:dyDescent="0.25">
      <c r="A7" s="89"/>
      <c r="B7" s="80" t="s">
        <v>299</v>
      </c>
      <c r="C7" s="75" t="s">
        <v>98</v>
      </c>
      <c r="D7" s="173">
        <v>17.73</v>
      </c>
      <c r="E7" s="76">
        <v>84004</v>
      </c>
      <c r="F7" t="s">
        <v>719</v>
      </c>
    </row>
    <row r="8" spans="1:8" ht="15.75" x14ac:dyDescent="0.25">
      <c r="A8" s="89"/>
      <c r="B8" s="80" t="s">
        <v>300</v>
      </c>
      <c r="C8" s="75" t="s">
        <v>302</v>
      </c>
      <c r="D8" s="173">
        <v>17.73</v>
      </c>
      <c r="E8" s="76">
        <v>16182</v>
      </c>
      <c r="F8" t="s">
        <v>720</v>
      </c>
    </row>
    <row r="9" spans="1:8" ht="15.75" x14ac:dyDescent="0.25">
      <c r="A9" s="89"/>
      <c r="B9" s="80" t="s">
        <v>301</v>
      </c>
      <c r="C9" s="75" t="s">
        <v>145</v>
      </c>
      <c r="D9" s="173">
        <v>17.73</v>
      </c>
      <c r="E9" s="76">
        <v>509960</v>
      </c>
      <c r="F9" t="s">
        <v>721</v>
      </c>
    </row>
    <row r="10" spans="1:8" ht="15.75" x14ac:dyDescent="0.25">
      <c r="A10" s="89"/>
      <c r="B10" s="80" t="s">
        <v>633</v>
      </c>
      <c r="C10" s="75" t="s">
        <v>98</v>
      </c>
      <c r="D10" s="173">
        <v>17.73</v>
      </c>
      <c r="E10" s="76">
        <v>8070</v>
      </c>
      <c r="F10" t="s">
        <v>722</v>
      </c>
    </row>
    <row r="11" spans="1:8" ht="15.75" x14ac:dyDescent="0.25">
      <c r="A11" s="89"/>
      <c r="B11" s="80" t="s">
        <v>308</v>
      </c>
      <c r="C11" s="93" t="s">
        <v>315</v>
      </c>
      <c r="D11" s="173">
        <v>92.22</v>
      </c>
      <c r="E11" s="76">
        <f>1360*1.0716</f>
        <v>1457.3760000000002</v>
      </c>
      <c r="F11" t="s">
        <v>723</v>
      </c>
    </row>
    <row r="12" spans="1:8" ht="15.75" x14ac:dyDescent="0.25">
      <c r="A12" s="89"/>
      <c r="B12" s="80" t="s">
        <v>309</v>
      </c>
      <c r="C12" s="93" t="s">
        <v>316</v>
      </c>
      <c r="D12" s="173">
        <v>92.22</v>
      </c>
      <c r="E12" s="76">
        <f>64*1.0716</f>
        <v>68.582400000000007</v>
      </c>
      <c r="F12" t="s">
        <v>724</v>
      </c>
    </row>
    <row r="13" spans="1:8" ht="17.25" customHeight="1" x14ac:dyDescent="0.25">
      <c r="A13" s="89"/>
      <c r="B13" s="138" t="s">
        <v>606</v>
      </c>
      <c r="C13" s="93" t="s">
        <v>98</v>
      </c>
      <c r="D13" s="173">
        <v>92.22</v>
      </c>
      <c r="E13" s="76">
        <v>41400</v>
      </c>
      <c r="F13" t="s">
        <v>725</v>
      </c>
    </row>
    <row r="14" spans="1:8" ht="15.75" x14ac:dyDescent="0.25">
      <c r="A14" s="89"/>
      <c r="B14" s="80" t="s">
        <v>607</v>
      </c>
      <c r="C14" s="75" t="s">
        <v>98</v>
      </c>
      <c r="D14" s="173">
        <v>92.22</v>
      </c>
      <c r="E14" s="76">
        <v>42400</v>
      </c>
      <c r="F14" t="s">
        <v>726</v>
      </c>
    </row>
    <row r="15" spans="1:8" ht="15.75" x14ac:dyDescent="0.25">
      <c r="A15" s="89"/>
      <c r="B15" s="80" t="s">
        <v>310</v>
      </c>
      <c r="C15" s="75" t="s">
        <v>93</v>
      </c>
      <c r="D15" s="173">
        <v>92.22</v>
      </c>
      <c r="E15" s="76">
        <f>31*1.0716</f>
        <v>33.2196</v>
      </c>
      <c r="F15" t="s">
        <v>727</v>
      </c>
    </row>
    <row r="16" spans="1:8" ht="15.75" x14ac:dyDescent="0.25">
      <c r="A16" s="89"/>
      <c r="B16" s="80" t="s">
        <v>317</v>
      </c>
      <c r="C16" s="75" t="s">
        <v>314</v>
      </c>
      <c r="D16" s="173">
        <v>92.22</v>
      </c>
      <c r="E16" s="76">
        <f>3465*1.0716</f>
        <v>3713.0940000000005</v>
      </c>
      <c r="F16" t="s">
        <v>728</v>
      </c>
    </row>
    <row r="17" spans="1:6" ht="15.75" x14ac:dyDescent="0.25">
      <c r="A17" s="89"/>
      <c r="B17" s="80" t="s">
        <v>311</v>
      </c>
      <c r="C17" s="75" t="s">
        <v>315</v>
      </c>
      <c r="D17" s="173">
        <v>92.22</v>
      </c>
      <c r="E17" s="76">
        <f>8220*1.0716</f>
        <v>8808.5520000000015</v>
      </c>
      <c r="F17" t="s">
        <v>729</v>
      </c>
    </row>
    <row r="18" spans="1:6" ht="15.75" x14ac:dyDescent="0.25">
      <c r="A18" s="89"/>
      <c r="B18" s="80" t="s">
        <v>308</v>
      </c>
      <c r="C18" s="93" t="s">
        <v>315</v>
      </c>
      <c r="D18" s="173">
        <v>96.92</v>
      </c>
      <c r="E18" s="76">
        <v>1680</v>
      </c>
      <c r="F18" t="s">
        <v>730</v>
      </c>
    </row>
    <row r="19" spans="1:6" ht="15.75" x14ac:dyDescent="0.25">
      <c r="A19" s="89"/>
      <c r="B19" s="80" t="s">
        <v>309</v>
      </c>
      <c r="C19" s="93" t="s">
        <v>316</v>
      </c>
      <c r="D19" s="173">
        <v>96.92</v>
      </c>
      <c r="E19" s="76">
        <v>78</v>
      </c>
      <c r="F19" t="s">
        <v>731</v>
      </c>
    </row>
    <row r="20" spans="1:6" ht="15.75" x14ac:dyDescent="0.25">
      <c r="A20" s="89"/>
      <c r="B20" s="14" t="s">
        <v>646</v>
      </c>
      <c r="C20" s="75" t="s">
        <v>98</v>
      </c>
      <c r="D20" s="173">
        <v>96.92</v>
      </c>
      <c r="E20" s="76">
        <v>43130</v>
      </c>
      <c r="F20" t="s">
        <v>732</v>
      </c>
    </row>
    <row r="21" spans="1:6" ht="15.75" x14ac:dyDescent="0.25">
      <c r="A21" s="89"/>
      <c r="B21" s="80" t="s">
        <v>310</v>
      </c>
      <c r="C21" s="75" t="s">
        <v>93</v>
      </c>
      <c r="D21" s="173">
        <v>96.92</v>
      </c>
      <c r="E21" s="76">
        <v>39</v>
      </c>
      <c r="F21" t="s">
        <v>733</v>
      </c>
    </row>
    <row r="22" spans="1:6" ht="15.75" x14ac:dyDescent="0.25">
      <c r="A22" s="89"/>
      <c r="B22" s="80" t="s">
        <v>317</v>
      </c>
      <c r="C22" s="75" t="s">
        <v>314</v>
      </c>
      <c r="D22" s="173">
        <v>96.92</v>
      </c>
      <c r="E22" s="76">
        <v>4280</v>
      </c>
      <c r="F22" t="s">
        <v>734</v>
      </c>
    </row>
    <row r="23" spans="1:6" ht="15.75" x14ac:dyDescent="0.25">
      <c r="A23" s="89"/>
      <c r="B23" s="80" t="s">
        <v>311</v>
      </c>
      <c r="C23" s="75" t="s">
        <v>315</v>
      </c>
      <c r="D23" s="173">
        <v>96.92</v>
      </c>
      <c r="E23" s="76">
        <v>10316</v>
      </c>
      <c r="F23" t="s">
        <v>735</v>
      </c>
    </row>
    <row r="24" spans="1:6" ht="15.75" x14ac:dyDescent="0.25">
      <c r="A24" s="89"/>
      <c r="B24" s="80" t="s">
        <v>308</v>
      </c>
      <c r="C24" s="93" t="s">
        <v>315</v>
      </c>
      <c r="D24" s="173">
        <v>28.437999999999999</v>
      </c>
      <c r="E24" s="76">
        <v>1680</v>
      </c>
      <c r="F24" t="s">
        <v>736</v>
      </c>
    </row>
    <row r="25" spans="1:6" ht="15.75" x14ac:dyDescent="0.25">
      <c r="A25" s="89"/>
      <c r="B25" s="80" t="s">
        <v>309</v>
      </c>
      <c r="C25" s="93" t="s">
        <v>316</v>
      </c>
      <c r="D25" s="173">
        <v>28.437999999999999</v>
      </c>
      <c r="E25" s="76">
        <v>78</v>
      </c>
      <c r="F25" t="s">
        <v>737</v>
      </c>
    </row>
    <row r="26" spans="1:6" ht="15.75" x14ac:dyDescent="0.25">
      <c r="A26" s="89"/>
      <c r="B26" s="80" t="s">
        <v>318</v>
      </c>
      <c r="C26" s="75" t="s">
        <v>98</v>
      </c>
      <c r="D26" s="173">
        <v>28.437999999999999</v>
      </c>
      <c r="E26" s="76">
        <v>61800</v>
      </c>
      <c r="F26" t="s">
        <v>738</v>
      </c>
    </row>
    <row r="27" spans="1:6" ht="15.75" x14ac:dyDescent="0.25">
      <c r="A27" s="89"/>
      <c r="B27" s="80" t="s">
        <v>310</v>
      </c>
      <c r="C27" s="75" t="s">
        <v>93</v>
      </c>
      <c r="D27" s="173">
        <v>28.437999999999999</v>
      </c>
      <c r="E27" s="76">
        <v>39</v>
      </c>
      <c r="F27" t="s">
        <v>739</v>
      </c>
    </row>
    <row r="28" spans="1:6" ht="15.75" x14ac:dyDescent="0.25">
      <c r="A28" s="89"/>
      <c r="B28" s="80" t="s">
        <v>317</v>
      </c>
      <c r="C28" s="75" t="s">
        <v>314</v>
      </c>
      <c r="D28" s="173">
        <v>28.437999999999999</v>
      </c>
      <c r="E28" s="76">
        <v>4280</v>
      </c>
      <c r="F28" t="s">
        <v>740</v>
      </c>
    </row>
    <row r="29" spans="1:6" ht="15.75" x14ac:dyDescent="0.25">
      <c r="A29" s="89"/>
      <c r="B29" s="80" t="s">
        <v>311</v>
      </c>
      <c r="C29" s="75" t="s">
        <v>315</v>
      </c>
      <c r="D29" s="173">
        <v>28.437999999999999</v>
      </c>
      <c r="E29" s="76">
        <v>10316</v>
      </c>
      <c r="F29" t="s">
        <v>741</v>
      </c>
    </row>
    <row r="30" spans="1:6" ht="15.75" x14ac:dyDescent="0.25">
      <c r="A30" s="89"/>
      <c r="B30" s="80" t="s">
        <v>477</v>
      </c>
      <c r="C30" s="75" t="s">
        <v>93</v>
      </c>
      <c r="D30" s="173">
        <v>28.437999999999999</v>
      </c>
      <c r="E30" s="76">
        <v>6391</v>
      </c>
      <c r="F30" t="s">
        <v>742</v>
      </c>
    </row>
    <row r="31" spans="1:6" ht="15.75" x14ac:dyDescent="0.25">
      <c r="A31" s="89"/>
      <c r="B31" s="80" t="s">
        <v>308</v>
      </c>
      <c r="C31" s="93" t="s">
        <v>315</v>
      </c>
      <c r="D31" s="173">
        <v>4.1547999999999998</v>
      </c>
      <c r="E31" s="76">
        <f>1360*1.0716</f>
        <v>1457.3760000000002</v>
      </c>
      <c r="F31" t="s">
        <v>743</v>
      </c>
    </row>
    <row r="32" spans="1:6" ht="15.75" x14ac:dyDescent="0.25">
      <c r="A32" s="89"/>
      <c r="B32" s="80" t="s">
        <v>309</v>
      </c>
      <c r="C32" s="93" t="s">
        <v>316</v>
      </c>
      <c r="D32" s="173">
        <v>4.1547999999999998</v>
      </c>
      <c r="E32" s="76">
        <f>64*1.0716</f>
        <v>68.582400000000007</v>
      </c>
      <c r="F32" t="s">
        <v>744</v>
      </c>
    </row>
    <row r="33" spans="1:7" ht="15.75" customHeight="1" x14ac:dyDescent="0.25">
      <c r="A33" s="89"/>
      <c r="B33" s="138" t="s">
        <v>650</v>
      </c>
      <c r="C33" s="75" t="s">
        <v>98</v>
      </c>
      <c r="D33" s="173">
        <v>4.1547999999999998</v>
      </c>
      <c r="E33" s="76">
        <v>35900</v>
      </c>
      <c r="F33" t="s">
        <v>745</v>
      </c>
    </row>
    <row r="34" spans="1:7" ht="15.75" x14ac:dyDescent="0.25">
      <c r="A34" s="89"/>
      <c r="B34" s="80" t="s">
        <v>310</v>
      </c>
      <c r="C34" s="75" t="s">
        <v>93</v>
      </c>
      <c r="D34" s="173">
        <v>4.1547999999999998</v>
      </c>
      <c r="E34" s="76">
        <v>39</v>
      </c>
      <c r="F34" t="s">
        <v>746</v>
      </c>
    </row>
    <row r="35" spans="1:7" ht="15.75" x14ac:dyDescent="0.25">
      <c r="A35" s="89"/>
      <c r="B35" s="80" t="s">
        <v>317</v>
      </c>
      <c r="C35" s="75" t="s">
        <v>314</v>
      </c>
      <c r="D35" s="173">
        <v>4.1547999999999998</v>
      </c>
      <c r="E35" s="76">
        <v>4280</v>
      </c>
      <c r="F35" t="s">
        <v>747</v>
      </c>
    </row>
    <row r="36" spans="1:7" ht="15.75" x14ac:dyDescent="0.25">
      <c r="A36" s="89"/>
      <c r="B36" s="80" t="s">
        <v>311</v>
      </c>
      <c r="C36" s="75" t="s">
        <v>315</v>
      </c>
      <c r="D36" s="173">
        <v>4.1547999999999998</v>
      </c>
      <c r="E36" s="76">
        <v>10316</v>
      </c>
      <c r="F36" t="s">
        <v>748</v>
      </c>
    </row>
    <row r="37" spans="1:7" ht="15.75" x14ac:dyDescent="0.25">
      <c r="A37" s="89"/>
      <c r="B37" s="80" t="s">
        <v>477</v>
      </c>
      <c r="C37" s="75" t="s">
        <v>93</v>
      </c>
      <c r="D37" s="173">
        <v>4.1547999999999998</v>
      </c>
      <c r="E37" s="76">
        <v>6391</v>
      </c>
      <c r="F37" t="s">
        <v>749</v>
      </c>
    </row>
    <row r="38" spans="1:7" ht="15.75" x14ac:dyDescent="0.25">
      <c r="A38" s="89"/>
      <c r="B38" s="80" t="s">
        <v>652</v>
      </c>
      <c r="C38" s="75" t="s">
        <v>350</v>
      </c>
      <c r="D38" s="173">
        <v>215.78489999999999</v>
      </c>
      <c r="E38" s="76">
        <v>2078</v>
      </c>
      <c r="F38" t="s">
        <v>750</v>
      </c>
    </row>
    <row r="39" spans="1:7" ht="15.75" x14ac:dyDescent="0.25">
      <c r="A39" s="89"/>
      <c r="B39" s="80" t="s">
        <v>653</v>
      </c>
      <c r="C39" s="75" t="s">
        <v>315</v>
      </c>
      <c r="D39" s="173">
        <v>215.78489999999999</v>
      </c>
      <c r="E39" s="76">
        <v>4094</v>
      </c>
      <c r="F39" t="s">
        <v>751</v>
      </c>
    </row>
    <row r="40" spans="1:7" ht="15.75" x14ac:dyDescent="0.25">
      <c r="A40" s="89"/>
      <c r="B40" s="177" t="s">
        <v>654</v>
      </c>
      <c r="C40" s="178" t="s">
        <v>263</v>
      </c>
      <c r="D40" s="179">
        <v>215.78489999999999</v>
      </c>
      <c r="E40" s="181">
        <v>91956</v>
      </c>
      <c r="F40" t="s">
        <v>752</v>
      </c>
      <c r="G40" t="s">
        <v>931</v>
      </c>
    </row>
    <row r="41" spans="1:7" ht="15.75" x14ac:dyDescent="0.25">
      <c r="A41" s="89"/>
      <c r="B41" s="80" t="s">
        <v>325</v>
      </c>
      <c r="C41" s="75" t="s">
        <v>93</v>
      </c>
      <c r="D41" s="173">
        <v>92.215599999999995</v>
      </c>
      <c r="E41" s="76">
        <v>48016</v>
      </c>
      <c r="F41" t="s">
        <v>753</v>
      </c>
    </row>
    <row r="42" spans="1:7" ht="15.75" x14ac:dyDescent="0.25">
      <c r="A42" s="89"/>
      <c r="B42" s="80" t="s">
        <v>655</v>
      </c>
      <c r="C42" s="75" t="s">
        <v>98</v>
      </c>
      <c r="D42" s="173">
        <v>92.215599999999995</v>
      </c>
      <c r="E42" s="76">
        <v>30969</v>
      </c>
      <c r="F42" t="s">
        <v>754</v>
      </c>
    </row>
    <row r="43" spans="1:7" ht="15.75" x14ac:dyDescent="0.25">
      <c r="A43" s="89"/>
      <c r="B43" s="80" t="s">
        <v>326</v>
      </c>
      <c r="C43" s="75" t="s">
        <v>93</v>
      </c>
      <c r="D43" s="173">
        <v>92.215599999999995</v>
      </c>
      <c r="E43" s="76">
        <v>6043</v>
      </c>
      <c r="F43" t="s">
        <v>755</v>
      </c>
    </row>
    <row r="44" spans="1:7" ht="15.75" x14ac:dyDescent="0.25">
      <c r="A44" s="89"/>
      <c r="B44" s="80" t="s">
        <v>327</v>
      </c>
      <c r="C44" s="75" t="s">
        <v>93</v>
      </c>
      <c r="D44" s="173">
        <v>92.215599999999995</v>
      </c>
      <c r="E44" s="76">
        <v>6041</v>
      </c>
      <c r="F44" t="s">
        <v>756</v>
      </c>
    </row>
    <row r="45" spans="1:7" ht="15.75" x14ac:dyDescent="0.25">
      <c r="A45" s="89"/>
      <c r="B45" s="80" t="s">
        <v>328</v>
      </c>
      <c r="C45" s="75" t="s">
        <v>93</v>
      </c>
      <c r="D45" s="173">
        <v>92.215599999999995</v>
      </c>
      <c r="E45" s="76">
        <v>4111</v>
      </c>
      <c r="F45" t="s">
        <v>757</v>
      </c>
    </row>
    <row r="46" spans="1:7" ht="15.75" x14ac:dyDescent="0.25">
      <c r="A46" s="89"/>
      <c r="B46" s="80" t="s">
        <v>329</v>
      </c>
      <c r="C46" s="75" t="s">
        <v>93</v>
      </c>
      <c r="D46" s="173">
        <v>92.215599999999995</v>
      </c>
      <c r="E46" s="76">
        <v>191</v>
      </c>
      <c r="F46" t="s">
        <v>758</v>
      </c>
    </row>
    <row r="47" spans="1:7" ht="15.75" x14ac:dyDescent="0.25">
      <c r="A47" s="89"/>
      <c r="B47" s="80" t="s">
        <v>330</v>
      </c>
      <c r="C47" s="75" t="s">
        <v>93</v>
      </c>
      <c r="D47" s="173">
        <v>92.215599999999995</v>
      </c>
      <c r="E47" s="76">
        <v>85</v>
      </c>
      <c r="F47" t="s">
        <v>759</v>
      </c>
    </row>
    <row r="48" spans="1:7" ht="15.75" x14ac:dyDescent="0.25">
      <c r="A48" s="89"/>
      <c r="B48" s="80" t="s">
        <v>331</v>
      </c>
      <c r="C48" s="75" t="s">
        <v>93</v>
      </c>
      <c r="D48" s="173">
        <v>92.215599999999995</v>
      </c>
      <c r="E48" s="76">
        <v>2918</v>
      </c>
      <c r="F48" t="s">
        <v>760</v>
      </c>
    </row>
    <row r="49" spans="1:6" ht="15.75" x14ac:dyDescent="0.25">
      <c r="A49" s="89"/>
      <c r="B49" s="80" t="s">
        <v>332</v>
      </c>
      <c r="C49" s="75" t="s">
        <v>315</v>
      </c>
      <c r="D49" s="173">
        <v>92.215599999999995</v>
      </c>
      <c r="E49" s="76">
        <v>8402</v>
      </c>
      <c r="F49" t="s">
        <v>761</v>
      </c>
    </row>
    <row r="50" spans="1:6" ht="15.75" x14ac:dyDescent="0.25">
      <c r="A50" s="89"/>
      <c r="B50" s="80" t="s">
        <v>339</v>
      </c>
      <c r="C50" s="75" t="s">
        <v>315</v>
      </c>
      <c r="D50" s="173">
        <v>92.215599999999995</v>
      </c>
      <c r="E50" s="76">
        <v>92908</v>
      </c>
      <c r="F50" t="s">
        <v>762</v>
      </c>
    </row>
    <row r="51" spans="1:6" ht="15.75" x14ac:dyDescent="0.25">
      <c r="A51" s="89"/>
      <c r="B51" s="80" t="s">
        <v>340</v>
      </c>
      <c r="C51" s="75" t="s">
        <v>117</v>
      </c>
      <c r="D51" s="173">
        <v>92.215599999999995</v>
      </c>
      <c r="E51" s="76">
        <v>208</v>
      </c>
      <c r="F51" t="s">
        <v>763</v>
      </c>
    </row>
    <row r="52" spans="1:6" ht="15.75" x14ac:dyDescent="0.25">
      <c r="A52" s="89"/>
      <c r="B52" s="80" t="s">
        <v>341</v>
      </c>
      <c r="C52" s="75" t="s">
        <v>263</v>
      </c>
      <c r="D52" s="173">
        <v>92.215599999999995</v>
      </c>
      <c r="E52" s="76">
        <v>14075</v>
      </c>
      <c r="F52" t="s">
        <v>764</v>
      </c>
    </row>
    <row r="53" spans="1:6" ht="15.75" x14ac:dyDescent="0.25">
      <c r="A53" s="89"/>
      <c r="B53" s="80" t="s">
        <v>323</v>
      </c>
      <c r="C53" s="75" t="s">
        <v>263</v>
      </c>
      <c r="D53" s="173">
        <v>92.215599999999995</v>
      </c>
      <c r="E53" s="76">
        <v>91956</v>
      </c>
      <c r="F53" t="s">
        <v>765</v>
      </c>
    </row>
    <row r="54" spans="1:6" ht="15.75" x14ac:dyDescent="0.25">
      <c r="A54" s="89"/>
      <c r="B54" s="80" t="s">
        <v>342</v>
      </c>
      <c r="C54" s="78" t="s">
        <v>316</v>
      </c>
      <c r="D54" s="174">
        <v>123.1253</v>
      </c>
      <c r="E54" s="79">
        <v>19111</v>
      </c>
      <c r="F54" t="s">
        <v>766</v>
      </c>
    </row>
    <row r="55" spans="1:6" ht="15.75" x14ac:dyDescent="0.25">
      <c r="A55" s="89"/>
      <c r="B55" s="80" t="s">
        <v>343</v>
      </c>
      <c r="C55" s="78" t="s">
        <v>263</v>
      </c>
      <c r="D55" s="174">
        <v>123.1253</v>
      </c>
      <c r="E55" s="79">
        <v>119781</v>
      </c>
      <c r="F55" t="s">
        <v>767</v>
      </c>
    </row>
    <row r="56" spans="1:6" ht="15.75" x14ac:dyDescent="0.25">
      <c r="A56" s="89"/>
      <c r="B56" s="80" t="s">
        <v>345</v>
      </c>
      <c r="C56" s="75" t="s">
        <v>350</v>
      </c>
      <c r="D56" s="173">
        <v>19.68</v>
      </c>
      <c r="E56" s="76">
        <v>1328</v>
      </c>
      <c r="F56" t="s">
        <v>768</v>
      </c>
    </row>
    <row r="57" spans="1:6" ht="15.75" x14ac:dyDescent="0.25">
      <c r="A57" s="89"/>
      <c r="B57" s="80" t="s">
        <v>346</v>
      </c>
      <c r="C57" s="75" t="s">
        <v>351</v>
      </c>
      <c r="D57" s="173">
        <v>19.68</v>
      </c>
      <c r="E57" s="76">
        <v>918</v>
      </c>
      <c r="F57" t="s">
        <v>769</v>
      </c>
    </row>
    <row r="58" spans="1:6" ht="15.75" x14ac:dyDescent="0.25">
      <c r="A58" s="89"/>
      <c r="B58" s="80" t="s">
        <v>347</v>
      </c>
      <c r="C58" s="75" t="s">
        <v>263</v>
      </c>
      <c r="D58" s="173">
        <v>19.68</v>
      </c>
      <c r="E58" s="76">
        <v>62634</v>
      </c>
      <c r="F58" t="s">
        <v>770</v>
      </c>
    </row>
    <row r="59" spans="1:6" ht="15.75" x14ac:dyDescent="0.25">
      <c r="A59" s="89"/>
      <c r="B59" s="80" t="s">
        <v>348</v>
      </c>
      <c r="C59" s="75" t="s">
        <v>263</v>
      </c>
      <c r="D59" s="173">
        <v>19.68</v>
      </c>
      <c r="E59" s="76">
        <v>104520</v>
      </c>
      <c r="F59" t="s">
        <v>771</v>
      </c>
    </row>
    <row r="60" spans="1:6" ht="15.75" x14ac:dyDescent="0.25">
      <c r="A60" s="89"/>
      <c r="B60" s="80" t="s">
        <v>355</v>
      </c>
      <c r="C60" s="75" t="s">
        <v>263</v>
      </c>
      <c r="D60" s="173">
        <v>19.68</v>
      </c>
      <c r="E60" s="76">
        <v>89136</v>
      </c>
      <c r="F60" t="s">
        <v>772</v>
      </c>
    </row>
    <row r="61" spans="1:6" ht="15.75" x14ac:dyDescent="0.25">
      <c r="A61" s="89"/>
      <c r="B61" s="80" t="s">
        <v>345</v>
      </c>
      <c r="C61" s="75" t="s">
        <v>350</v>
      </c>
      <c r="D61" s="173">
        <v>11.333600000000001</v>
      </c>
      <c r="E61" s="76">
        <v>1328</v>
      </c>
      <c r="F61" t="s">
        <v>773</v>
      </c>
    </row>
    <row r="62" spans="1:6" ht="15.75" x14ac:dyDescent="0.25">
      <c r="A62" s="89"/>
      <c r="B62" s="80" t="s">
        <v>346</v>
      </c>
      <c r="C62" s="75" t="s">
        <v>351</v>
      </c>
      <c r="D62" s="173">
        <v>11.333600000000001</v>
      </c>
      <c r="E62" s="76">
        <v>918</v>
      </c>
      <c r="F62" t="s">
        <v>774</v>
      </c>
    </row>
    <row r="63" spans="1:6" ht="15.75" x14ac:dyDescent="0.25">
      <c r="A63" s="89"/>
      <c r="B63" s="80" t="s">
        <v>347</v>
      </c>
      <c r="C63" s="75" t="s">
        <v>263</v>
      </c>
      <c r="D63" s="173">
        <v>11.333600000000001</v>
      </c>
      <c r="E63" s="76">
        <v>62634</v>
      </c>
      <c r="F63" t="s">
        <v>775</v>
      </c>
    </row>
    <row r="64" spans="1:6" ht="15.75" x14ac:dyDescent="0.25">
      <c r="A64" s="89"/>
      <c r="B64" s="80" t="s">
        <v>348</v>
      </c>
      <c r="C64" s="75" t="s">
        <v>263</v>
      </c>
      <c r="D64" s="173">
        <v>11.333600000000001</v>
      </c>
      <c r="E64" s="76">
        <v>104520</v>
      </c>
      <c r="F64" t="s">
        <v>776</v>
      </c>
    </row>
    <row r="65" spans="1:6" ht="15.75" x14ac:dyDescent="0.25">
      <c r="A65" s="89"/>
      <c r="B65" s="80" t="s">
        <v>355</v>
      </c>
      <c r="C65" s="75" t="s">
        <v>263</v>
      </c>
      <c r="D65" s="173">
        <v>11.333600000000001</v>
      </c>
      <c r="E65" s="76">
        <v>89136</v>
      </c>
      <c r="F65" t="s">
        <v>777</v>
      </c>
    </row>
    <row r="66" spans="1:6" ht="15.75" x14ac:dyDescent="0.25">
      <c r="A66" s="89"/>
      <c r="B66" s="80" t="s">
        <v>345</v>
      </c>
      <c r="C66" s="75" t="s">
        <v>350</v>
      </c>
      <c r="D66" s="173">
        <v>110.416</v>
      </c>
      <c r="E66" s="76">
        <v>1328</v>
      </c>
      <c r="F66" t="s">
        <v>778</v>
      </c>
    </row>
    <row r="67" spans="1:6" ht="15.75" x14ac:dyDescent="0.25">
      <c r="A67" s="89"/>
      <c r="B67" s="80" t="s">
        <v>346</v>
      </c>
      <c r="C67" s="75" t="s">
        <v>351</v>
      </c>
      <c r="D67" s="173">
        <v>110.416</v>
      </c>
      <c r="E67" s="76">
        <v>918</v>
      </c>
      <c r="F67" t="s">
        <v>779</v>
      </c>
    </row>
    <row r="68" spans="1:6" ht="15.75" x14ac:dyDescent="0.25">
      <c r="A68" s="89"/>
      <c r="B68" s="80" t="s">
        <v>347</v>
      </c>
      <c r="C68" s="75" t="s">
        <v>263</v>
      </c>
      <c r="D68" s="173">
        <v>110.416</v>
      </c>
      <c r="E68" s="76">
        <v>62634</v>
      </c>
      <c r="F68" t="s">
        <v>780</v>
      </c>
    </row>
    <row r="69" spans="1:6" ht="15.75" x14ac:dyDescent="0.25">
      <c r="A69" s="89"/>
      <c r="B69" s="80" t="s">
        <v>348</v>
      </c>
      <c r="C69" s="75" t="s">
        <v>263</v>
      </c>
      <c r="D69" s="173">
        <v>110.416</v>
      </c>
      <c r="E69" s="76">
        <v>104520</v>
      </c>
      <c r="F69" t="s">
        <v>781</v>
      </c>
    </row>
    <row r="70" spans="1:6" ht="15.75" x14ac:dyDescent="0.25">
      <c r="A70" s="89"/>
      <c r="B70" s="80" t="s">
        <v>355</v>
      </c>
      <c r="C70" s="75" t="s">
        <v>263</v>
      </c>
      <c r="D70" s="173">
        <v>7.4399999999999994E-2</v>
      </c>
      <c r="E70" s="76">
        <v>89136</v>
      </c>
      <c r="F70" t="s">
        <v>782</v>
      </c>
    </row>
    <row r="71" spans="1:6" ht="15.75" x14ac:dyDescent="0.25">
      <c r="A71" s="89"/>
      <c r="B71" s="80" t="s">
        <v>657</v>
      </c>
      <c r="C71" s="78" t="s">
        <v>93</v>
      </c>
      <c r="D71" s="174">
        <v>110.416</v>
      </c>
      <c r="E71" s="79">
        <v>45200</v>
      </c>
      <c r="F71" t="s">
        <v>783</v>
      </c>
    </row>
    <row r="72" spans="1:6" ht="15.75" x14ac:dyDescent="0.25">
      <c r="A72" s="89"/>
      <c r="B72" s="80" t="s">
        <v>356</v>
      </c>
      <c r="C72" s="78" t="s">
        <v>93</v>
      </c>
      <c r="D72" s="174">
        <v>110.416</v>
      </c>
      <c r="E72" s="79">
        <v>368</v>
      </c>
      <c r="F72" t="s">
        <v>784</v>
      </c>
    </row>
    <row r="73" spans="1:6" ht="15.75" x14ac:dyDescent="0.25">
      <c r="A73" s="89"/>
      <c r="B73" s="80" t="s">
        <v>357</v>
      </c>
      <c r="C73" s="78" t="s">
        <v>315</v>
      </c>
      <c r="D73" s="174">
        <v>110.416</v>
      </c>
      <c r="E73" s="79">
        <v>16198</v>
      </c>
      <c r="F73" t="s">
        <v>785</v>
      </c>
    </row>
    <row r="74" spans="1:6" ht="15.75" x14ac:dyDescent="0.25">
      <c r="A74" s="89"/>
      <c r="B74" s="80" t="s">
        <v>358</v>
      </c>
      <c r="C74" s="78" t="s">
        <v>93</v>
      </c>
      <c r="D74" s="174">
        <v>110.416</v>
      </c>
      <c r="E74" s="79">
        <v>929</v>
      </c>
      <c r="F74" t="s">
        <v>786</v>
      </c>
    </row>
    <row r="75" spans="1:6" ht="15.75" x14ac:dyDescent="0.25">
      <c r="A75" s="89"/>
      <c r="B75" s="80" t="s">
        <v>363</v>
      </c>
      <c r="C75" s="78" t="s">
        <v>93</v>
      </c>
      <c r="D75" s="174">
        <v>2</v>
      </c>
      <c r="E75" s="79">
        <v>579900</v>
      </c>
      <c r="F75" t="s">
        <v>787</v>
      </c>
    </row>
    <row r="76" spans="1:6" ht="15.75" x14ac:dyDescent="0.25">
      <c r="A76" s="89"/>
      <c r="B76" s="80" t="s">
        <v>364</v>
      </c>
      <c r="C76" s="78" t="s">
        <v>315</v>
      </c>
      <c r="D76" s="174">
        <v>2</v>
      </c>
      <c r="E76" s="79">
        <v>1923</v>
      </c>
      <c r="F76" t="s">
        <v>788</v>
      </c>
    </row>
    <row r="77" spans="1:6" ht="15.75" x14ac:dyDescent="0.25">
      <c r="A77" s="89"/>
      <c r="B77" s="80" t="s">
        <v>365</v>
      </c>
      <c r="C77" s="78" t="s">
        <v>93</v>
      </c>
      <c r="D77" s="174">
        <v>2</v>
      </c>
      <c r="E77" s="79">
        <v>6629</v>
      </c>
      <c r="F77" t="s">
        <v>789</v>
      </c>
    </row>
    <row r="78" spans="1:6" ht="15.75" x14ac:dyDescent="0.25">
      <c r="A78" s="89"/>
      <c r="B78" s="80" t="s">
        <v>366</v>
      </c>
      <c r="C78" s="78" t="s">
        <v>93</v>
      </c>
      <c r="D78" s="174">
        <v>2</v>
      </c>
      <c r="E78" s="79">
        <v>1523</v>
      </c>
      <c r="F78" t="s">
        <v>790</v>
      </c>
    </row>
    <row r="79" spans="1:6" ht="15.75" x14ac:dyDescent="0.25">
      <c r="A79" s="89"/>
      <c r="B79" s="80" t="s">
        <v>367</v>
      </c>
      <c r="C79" s="75" t="s">
        <v>93</v>
      </c>
      <c r="D79" s="174">
        <v>2</v>
      </c>
      <c r="E79" s="76">
        <v>153900</v>
      </c>
      <c r="F79" t="s">
        <v>791</v>
      </c>
    </row>
    <row r="80" spans="1:6" ht="15.75" x14ac:dyDescent="0.25">
      <c r="A80" s="89"/>
      <c r="B80" s="80" t="s">
        <v>368</v>
      </c>
      <c r="C80" s="78" t="s">
        <v>93</v>
      </c>
      <c r="D80" s="174">
        <v>2</v>
      </c>
      <c r="E80" s="79">
        <v>386200</v>
      </c>
      <c r="F80" t="s">
        <v>792</v>
      </c>
    </row>
    <row r="81" spans="1:6" ht="15.75" x14ac:dyDescent="0.25">
      <c r="A81" s="89"/>
      <c r="B81" s="80" t="s">
        <v>369</v>
      </c>
      <c r="C81" s="78" t="s">
        <v>315</v>
      </c>
      <c r="D81" s="174">
        <v>2</v>
      </c>
      <c r="E81" s="79">
        <v>175900</v>
      </c>
      <c r="F81" t="s">
        <v>793</v>
      </c>
    </row>
    <row r="82" spans="1:6" ht="15.75" x14ac:dyDescent="0.25">
      <c r="A82" s="89"/>
      <c r="B82" s="80" t="s">
        <v>370</v>
      </c>
      <c r="C82" s="78" t="s">
        <v>93</v>
      </c>
      <c r="D82" s="174">
        <v>2</v>
      </c>
      <c r="E82" s="79">
        <v>6629</v>
      </c>
      <c r="F82" t="s">
        <v>794</v>
      </c>
    </row>
    <row r="83" spans="1:6" ht="15.75" x14ac:dyDescent="0.25">
      <c r="A83" s="89"/>
      <c r="B83" s="80" t="s">
        <v>366</v>
      </c>
      <c r="C83" s="78" t="s">
        <v>93</v>
      </c>
      <c r="D83" s="174">
        <v>2</v>
      </c>
      <c r="E83" s="79">
        <v>1523</v>
      </c>
      <c r="F83" t="s">
        <v>795</v>
      </c>
    </row>
    <row r="84" spans="1:6" ht="15.75" x14ac:dyDescent="0.25">
      <c r="A84" s="89"/>
      <c r="B84" s="74" t="s">
        <v>371</v>
      </c>
      <c r="C84" s="75" t="s">
        <v>93</v>
      </c>
      <c r="D84" s="173">
        <v>1</v>
      </c>
      <c r="E84" s="76">
        <v>776400</v>
      </c>
      <c r="F84" t="s">
        <v>796</v>
      </c>
    </row>
    <row r="85" spans="1:6" ht="15.75" x14ac:dyDescent="0.25">
      <c r="A85" s="89"/>
      <c r="B85" s="74" t="s">
        <v>375</v>
      </c>
      <c r="C85" s="75" t="s">
        <v>98</v>
      </c>
      <c r="D85" s="173">
        <v>1</v>
      </c>
      <c r="E85" s="76">
        <f>39195*1.0716</f>
        <v>42001.362000000001</v>
      </c>
      <c r="F85" t="s">
        <v>797</v>
      </c>
    </row>
    <row r="86" spans="1:6" ht="15.75" x14ac:dyDescent="0.25">
      <c r="A86" s="89"/>
      <c r="B86" s="80" t="s">
        <v>658</v>
      </c>
      <c r="C86" s="75" t="s">
        <v>93</v>
      </c>
      <c r="D86" s="173">
        <v>1</v>
      </c>
      <c r="E86" s="76">
        <v>757</v>
      </c>
      <c r="F86" t="s">
        <v>798</v>
      </c>
    </row>
    <row r="87" spans="1:6" ht="15.75" x14ac:dyDescent="0.25">
      <c r="A87" s="89"/>
      <c r="B87" s="80" t="s">
        <v>659</v>
      </c>
      <c r="C87" s="75" t="s">
        <v>93</v>
      </c>
      <c r="D87" s="173">
        <v>1</v>
      </c>
      <c r="E87" s="76">
        <v>71866</v>
      </c>
      <c r="F87" t="s">
        <v>799</v>
      </c>
    </row>
    <row r="88" spans="1:6" ht="15.75" x14ac:dyDescent="0.25">
      <c r="A88" s="89"/>
      <c r="B88" s="80" t="s">
        <v>346</v>
      </c>
      <c r="C88" s="75" t="s">
        <v>351</v>
      </c>
      <c r="D88" s="173">
        <v>22.667200000000001</v>
      </c>
      <c r="E88" s="76">
        <v>918</v>
      </c>
      <c r="F88" t="s">
        <v>800</v>
      </c>
    </row>
    <row r="89" spans="1:6" ht="15.75" x14ac:dyDescent="0.25">
      <c r="A89" s="89"/>
      <c r="B89" s="80" t="s">
        <v>366</v>
      </c>
      <c r="C89" s="78" t="s">
        <v>93</v>
      </c>
      <c r="D89" s="174">
        <v>5</v>
      </c>
      <c r="E89" s="79">
        <v>1523</v>
      </c>
      <c r="F89" t="s">
        <v>801</v>
      </c>
    </row>
    <row r="90" spans="1:6" ht="15.75" x14ac:dyDescent="0.25">
      <c r="A90" s="89"/>
      <c r="B90" s="80" t="s">
        <v>662</v>
      </c>
      <c r="C90" s="78" t="s">
        <v>93</v>
      </c>
      <c r="D90" s="174">
        <v>8</v>
      </c>
      <c r="E90" s="79">
        <v>183900</v>
      </c>
      <c r="F90" t="s">
        <v>802</v>
      </c>
    </row>
    <row r="91" spans="1:6" ht="15.75" x14ac:dyDescent="0.25">
      <c r="A91" s="89"/>
      <c r="B91" s="80" t="s">
        <v>377</v>
      </c>
      <c r="C91" s="78" t="s">
        <v>93</v>
      </c>
      <c r="D91" s="174">
        <v>1</v>
      </c>
      <c r="E91" s="79">
        <v>419900</v>
      </c>
      <c r="F91" t="s">
        <v>803</v>
      </c>
    </row>
    <row r="92" spans="1:6" ht="15.75" x14ac:dyDescent="0.25">
      <c r="A92" s="89"/>
      <c r="B92" s="80" t="s">
        <v>309</v>
      </c>
      <c r="C92" s="75" t="s">
        <v>316</v>
      </c>
      <c r="D92" s="173">
        <v>1.5173000000000001</v>
      </c>
      <c r="E92" s="76">
        <v>78</v>
      </c>
      <c r="F92" t="s">
        <v>804</v>
      </c>
    </row>
    <row r="93" spans="1:6" ht="15.75" x14ac:dyDescent="0.25">
      <c r="A93" s="89"/>
      <c r="B93" s="80" t="s">
        <v>664</v>
      </c>
      <c r="C93" s="75" t="s">
        <v>93</v>
      </c>
      <c r="D93" s="173">
        <v>1.5173000000000001</v>
      </c>
      <c r="E93" s="76">
        <v>1941</v>
      </c>
      <c r="F93" t="s">
        <v>805</v>
      </c>
    </row>
    <row r="94" spans="1:6" ht="15.75" x14ac:dyDescent="0.25">
      <c r="A94" s="89"/>
      <c r="B94" s="80" t="s">
        <v>289</v>
      </c>
      <c r="C94" s="75" t="s">
        <v>145</v>
      </c>
      <c r="D94" s="173">
        <v>1.5173000000000001</v>
      </c>
      <c r="E94" s="76">
        <v>425444</v>
      </c>
      <c r="F94" t="s">
        <v>806</v>
      </c>
    </row>
    <row r="95" spans="1:6" ht="15.75" x14ac:dyDescent="0.25">
      <c r="A95" s="89"/>
      <c r="B95" s="80" t="s">
        <v>382</v>
      </c>
      <c r="C95" s="75" t="s">
        <v>98</v>
      </c>
      <c r="D95" s="173">
        <v>0.6</v>
      </c>
      <c r="E95" s="76">
        <v>23668</v>
      </c>
      <c r="F95" t="s">
        <v>807</v>
      </c>
    </row>
    <row r="96" spans="1:6" ht="15.75" x14ac:dyDescent="0.25">
      <c r="A96" s="89"/>
      <c r="B96" s="80" t="s">
        <v>384</v>
      </c>
      <c r="C96" s="75" t="s">
        <v>314</v>
      </c>
      <c r="D96" s="173">
        <v>0.01</v>
      </c>
      <c r="E96" s="76">
        <v>4967</v>
      </c>
      <c r="F96" t="s">
        <v>808</v>
      </c>
    </row>
    <row r="97" spans="1:7" ht="15.75" x14ac:dyDescent="0.25">
      <c r="A97" s="89"/>
      <c r="B97" s="80" t="s">
        <v>385</v>
      </c>
      <c r="C97" s="75" t="s">
        <v>145</v>
      </c>
      <c r="D97" s="173">
        <v>4.0000000000000001E-3</v>
      </c>
      <c r="E97" s="76">
        <v>749938</v>
      </c>
      <c r="F97" t="s">
        <v>809</v>
      </c>
    </row>
    <row r="98" spans="1:7" ht="15.75" x14ac:dyDescent="0.25">
      <c r="A98" s="89"/>
      <c r="B98" s="80" t="s">
        <v>347</v>
      </c>
      <c r="C98" s="75" t="s">
        <v>302</v>
      </c>
      <c r="D98" s="173">
        <v>2.5000000000000001E-2</v>
      </c>
      <c r="E98" s="76">
        <v>62634</v>
      </c>
      <c r="F98" t="s">
        <v>810</v>
      </c>
    </row>
    <row r="99" spans="1:7" ht="15.75" x14ac:dyDescent="0.25">
      <c r="A99" s="89"/>
      <c r="B99" s="80" t="s">
        <v>386</v>
      </c>
      <c r="C99" s="75" t="s">
        <v>302</v>
      </c>
      <c r="D99" s="173">
        <v>2.5000000000000001E-2</v>
      </c>
      <c r="E99" s="76">
        <v>89136</v>
      </c>
      <c r="F99" t="s">
        <v>811</v>
      </c>
    </row>
    <row r="100" spans="1:7" ht="15.75" x14ac:dyDescent="0.25">
      <c r="A100" s="89"/>
      <c r="B100" s="177" t="s">
        <v>403</v>
      </c>
      <c r="C100" s="178" t="s">
        <v>93</v>
      </c>
      <c r="D100" s="179">
        <v>78.116</v>
      </c>
      <c r="E100" s="180">
        <v>799900</v>
      </c>
      <c r="F100" t="s">
        <v>812</v>
      </c>
      <c r="G100" t="s">
        <v>931</v>
      </c>
    </row>
    <row r="101" spans="1:7" ht="15.75" x14ac:dyDescent="0.25">
      <c r="A101" s="89"/>
      <c r="B101" s="80" t="s">
        <v>404</v>
      </c>
      <c r="C101" s="78" t="s">
        <v>93</v>
      </c>
      <c r="D101" s="174">
        <v>78.116</v>
      </c>
      <c r="E101" s="79">
        <v>36800</v>
      </c>
      <c r="F101" t="s">
        <v>813</v>
      </c>
    </row>
    <row r="102" spans="1:7" ht="15.75" x14ac:dyDescent="0.25">
      <c r="A102" s="89"/>
      <c r="B102" s="177" t="s">
        <v>405</v>
      </c>
      <c r="C102" s="178" t="s">
        <v>93</v>
      </c>
      <c r="D102" s="179">
        <v>78.116</v>
      </c>
      <c r="E102" s="180">
        <v>659900</v>
      </c>
      <c r="F102" t="s">
        <v>814</v>
      </c>
      <c r="G102" t="s">
        <v>932</v>
      </c>
    </row>
    <row r="103" spans="1:7" ht="15.75" x14ac:dyDescent="0.25">
      <c r="A103" s="89"/>
      <c r="B103" s="80" t="s">
        <v>393</v>
      </c>
      <c r="C103" s="78" t="s">
        <v>315</v>
      </c>
      <c r="D103" s="174">
        <v>78.116</v>
      </c>
      <c r="E103" s="79">
        <v>28051</v>
      </c>
      <c r="F103" t="s">
        <v>815</v>
      </c>
    </row>
    <row r="104" spans="1:7" ht="15.75" x14ac:dyDescent="0.25">
      <c r="A104" s="89"/>
      <c r="B104" s="80" t="s">
        <v>394</v>
      </c>
      <c r="C104" s="78" t="s">
        <v>351</v>
      </c>
      <c r="D104" s="174">
        <v>78.116</v>
      </c>
      <c r="E104" s="79">
        <v>54358</v>
      </c>
      <c r="F104" t="s">
        <v>816</v>
      </c>
    </row>
    <row r="105" spans="1:7" ht="15.75" x14ac:dyDescent="0.25">
      <c r="A105" s="89"/>
      <c r="B105" s="80" t="s">
        <v>347</v>
      </c>
      <c r="C105" s="78" t="s">
        <v>263</v>
      </c>
      <c r="D105" s="174">
        <v>78.116</v>
      </c>
      <c r="E105" s="79">
        <v>62634</v>
      </c>
      <c r="F105" t="s">
        <v>817</v>
      </c>
    </row>
    <row r="106" spans="1:7" ht="15.75" x14ac:dyDescent="0.25">
      <c r="A106" s="89"/>
      <c r="B106" s="80" t="s">
        <v>395</v>
      </c>
      <c r="C106" s="78" t="s">
        <v>263</v>
      </c>
      <c r="D106" s="174">
        <v>78.116</v>
      </c>
      <c r="E106" s="79">
        <v>89136</v>
      </c>
      <c r="F106" t="s">
        <v>818</v>
      </c>
    </row>
    <row r="107" spans="1:7" ht="15.75" x14ac:dyDescent="0.25">
      <c r="A107" s="89"/>
      <c r="B107" s="80" t="s">
        <v>348</v>
      </c>
      <c r="C107" s="78" t="s">
        <v>263</v>
      </c>
      <c r="D107" s="174">
        <v>78.116</v>
      </c>
      <c r="E107" s="79">
        <v>104520</v>
      </c>
      <c r="F107" t="s">
        <v>819</v>
      </c>
    </row>
    <row r="108" spans="1:7" ht="15.75" x14ac:dyDescent="0.25">
      <c r="A108" s="89"/>
      <c r="B108" s="74" t="s">
        <v>299</v>
      </c>
      <c r="C108" s="75" t="s">
        <v>98</v>
      </c>
      <c r="D108" s="173">
        <v>3.456</v>
      </c>
      <c r="E108" s="76">
        <f>68073*1.0716</f>
        <v>72947.026800000007</v>
      </c>
      <c r="F108" t="s">
        <v>820</v>
      </c>
    </row>
    <row r="109" spans="1:7" ht="15.75" x14ac:dyDescent="0.25">
      <c r="A109" s="89"/>
      <c r="B109" s="80" t="s">
        <v>407</v>
      </c>
      <c r="C109" s="75" t="s">
        <v>315</v>
      </c>
      <c r="D109" s="173">
        <v>3.456</v>
      </c>
      <c r="E109" s="76">
        <f>13332*1.0716</f>
        <v>14286.571200000002</v>
      </c>
      <c r="F109" t="s">
        <v>821</v>
      </c>
    </row>
    <row r="110" spans="1:7" ht="15.75" x14ac:dyDescent="0.25">
      <c r="A110" s="89"/>
      <c r="B110" s="80" t="s">
        <v>665</v>
      </c>
      <c r="C110" s="75" t="s">
        <v>145</v>
      </c>
      <c r="D110" s="173">
        <v>3.456</v>
      </c>
      <c r="E110" s="76">
        <v>509960</v>
      </c>
      <c r="F110" t="s">
        <v>822</v>
      </c>
    </row>
    <row r="111" spans="1:7" ht="15.75" x14ac:dyDescent="0.25">
      <c r="A111" s="89"/>
      <c r="B111" s="74" t="s">
        <v>299</v>
      </c>
      <c r="C111" s="75" t="s">
        <v>98</v>
      </c>
      <c r="D111" s="173">
        <v>0.97199999999999998</v>
      </c>
      <c r="E111" s="76">
        <f>68073*1.0716</f>
        <v>72947.026800000007</v>
      </c>
      <c r="F111" t="s">
        <v>823</v>
      </c>
    </row>
    <row r="112" spans="1:7" ht="15.75" x14ac:dyDescent="0.25">
      <c r="A112" s="89"/>
      <c r="B112" s="80" t="s">
        <v>407</v>
      </c>
      <c r="C112" s="75" t="s">
        <v>315</v>
      </c>
      <c r="D112" s="173">
        <v>0.97199999999999998</v>
      </c>
      <c r="E112" s="76">
        <f>13332*1.0716</f>
        <v>14286.571200000002</v>
      </c>
      <c r="F112" t="s">
        <v>824</v>
      </c>
    </row>
    <row r="113" spans="1:7" ht="15.75" x14ac:dyDescent="0.25">
      <c r="A113" s="89"/>
      <c r="B113" s="80" t="s">
        <v>665</v>
      </c>
      <c r="C113" s="75" t="s">
        <v>145</v>
      </c>
      <c r="D113" s="173">
        <v>0.97199999999999998</v>
      </c>
      <c r="E113" s="76">
        <v>509960</v>
      </c>
      <c r="F113" t="s">
        <v>825</v>
      </c>
    </row>
    <row r="114" spans="1:7" ht="15.75" x14ac:dyDescent="0.25">
      <c r="A114" s="89"/>
      <c r="B114" s="80" t="s">
        <v>422</v>
      </c>
      <c r="C114" s="75" t="s">
        <v>315</v>
      </c>
      <c r="D114" s="173">
        <v>2208.4832000000001</v>
      </c>
      <c r="E114" s="76">
        <v>5415</v>
      </c>
      <c r="F114" t="s">
        <v>826</v>
      </c>
    </row>
    <row r="115" spans="1:7" ht="15.75" x14ac:dyDescent="0.25">
      <c r="A115" s="89"/>
      <c r="B115" s="177" t="s">
        <v>413</v>
      </c>
      <c r="C115" s="178" t="s">
        <v>315</v>
      </c>
      <c r="D115" s="179">
        <v>2208.4832000000001</v>
      </c>
      <c r="E115" s="181">
        <v>8156</v>
      </c>
      <c r="F115" t="s">
        <v>827</v>
      </c>
      <c r="G115" t="s">
        <v>931</v>
      </c>
    </row>
    <row r="116" spans="1:7" ht="15.75" x14ac:dyDescent="0.25">
      <c r="A116" s="89"/>
      <c r="B116" s="80" t="s">
        <v>403</v>
      </c>
      <c r="C116" s="78" t="s">
        <v>93</v>
      </c>
      <c r="D116" s="174">
        <v>15.32</v>
      </c>
      <c r="E116" s="79">
        <v>799900</v>
      </c>
      <c r="F116" t="s">
        <v>828</v>
      </c>
    </row>
    <row r="117" spans="1:7" ht="15.75" x14ac:dyDescent="0.25">
      <c r="A117" s="89"/>
      <c r="B117" s="80" t="s">
        <v>404</v>
      </c>
      <c r="C117" s="78" t="s">
        <v>93</v>
      </c>
      <c r="D117" s="174">
        <v>15.32</v>
      </c>
      <c r="E117" s="79">
        <v>36800</v>
      </c>
      <c r="F117" t="s">
        <v>829</v>
      </c>
    </row>
    <row r="118" spans="1:7" ht="15.75" x14ac:dyDescent="0.25">
      <c r="A118" s="89"/>
      <c r="B118" s="80" t="s">
        <v>405</v>
      </c>
      <c r="C118" s="78" t="s">
        <v>93</v>
      </c>
      <c r="D118" s="174">
        <v>15.32</v>
      </c>
      <c r="E118" s="79">
        <v>659900</v>
      </c>
      <c r="F118" t="s">
        <v>830</v>
      </c>
    </row>
    <row r="119" spans="1:7" ht="15.75" x14ac:dyDescent="0.25">
      <c r="A119" s="89"/>
      <c r="B119" s="80" t="s">
        <v>393</v>
      </c>
      <c r="C119" s="78" t="s">
        <v>315</v>
      </c>
      <c r="D119" s="174">
        <v>15.32</v>
      </c>
      <c r="E119" s="79">
        <v>28051</v>
      </c>
      <c r="F119" t="s">
        <v>831</v>
      </c>
    </row>
    <row r="120" spans="1:7" ht="15.75" x14ac:dyDescent="0.25">
      <c r="A120" s="89"/>
      <c r="B120" s="80" t="s">
        <v>394</v>
      </c>
      <c r="C120" s="78" t="s">
        <v>351</v>
      </c>
      <c r="D120" s="174">
        <v>15.32</v>
      </c>
      <c r="E120" s="79">
        <v>54358</v>
      </c>
      <c r="F120" t="s">
        <v>832</v>
      </c>
    </row>
    <row r="121" spans="1:7" ht="15.75" x14ac:dyDescent="0.25">
      <c r="A121" s="89"/>
      <c r="B121" s="80" t="s">
        <v>347</v>
      </c>
      <c r="C121" s="78" t="s">
        <v>263</v>
      </c>
      <c r="D121" s="174">
        <v>15.32</v>
      </c>
      <c r="E121" s="79">
        <v>62634</v>
      </c>
      <c r="F121" t="s">
        <v>833</v>
      </c>
    </row>
    <row r="122" spans="1:7" ht="15.75" x14ac:dyDescent="0.25">
      <c r="A122" s="89"/>
      <c r="B122" s="80" t="s">
        <v>395</v>
      </c>
      <c r="C122" s="78" t="s">
        <v>263</v>
      </c>
      <c r="D122" s="174">
        <v>15.32</v>
      </c>
      <c r="E122" s="79">
        <v>89136</v>
      </c>
      <c r="F122" t="s">
        <v>834</v>
      </c>
    </row>
    <row r="123" spans="1:7" ht="15.75" x14ac:dyDescent="0.25">
      <c r="A123" s="89"/>
      <c r="B123" s="80" t="s">
        <v>348</v>
      </c>
      <c r="C123" s="78" t="s">
        <v>263</v>
      </c>
      <c r="D123" s="174">
        <v>15.32</v>
      </c>
      <c r="E123" s="79">
        <v>104520</v>
      </c>
      <c r="F123" t="s">
        <v>835</v>
      </c>
    </row>
    <row r="124" spans="1:7" ht="15.75" x14ac:dyDescent="0.25">
      <c r="A124" s="89"/>
      <c r="B124" s="80" t="s">
        <v>456</v>
      </c>
      <c r="C124" s="75" t="s">
        <v>117</v>
      </c>
      <c r="D124" s="173">
        <v>128.4</v>
      </c>
      <c r="E124" s="76">
        <v>5687</v>
      </c>
      <c r="F124" t="s">
        <v>836</v>
      </c>
    </row>
    <row r="125" spans="1:7" ht="15.75" x14ac:dyDescent="0.25">
      <c r="A125" s="89"/>
      <c r="B125" s="80" t="s">
        <v>457</v>
      </c>
      <c r="C125" s="75" t="s">
        <v>117</v>
      </c>
      <c r="D125" s="173">
        <v>128.4</v>
      </c>
      <c r="E125" s="76">
        <v>1425</v>
      </c>
      <c r="F125" t="s">
        <v>837</v>
      </c>
    </row>
    <row r="126" spans="1:7" ht="15.75" x14ac:dyDescent="0.25">
      <c r="A126" s="89"/>
      <c r="B126" s="80" t="s">
        <v>384</v>
      </c>
      <c r="C126" s="75" t="s">
        <v>314</v>
      </c>
      <c r="D126" s="173">
        <v>128.4</v>
      </c>
      <c r="E126" s="76">
        <v>4967</v>
      </c>
      <c r="F126" t="s">
        <v>838</v>
      </c>
    </row>
    <row r="127" spans="1:7" ht="15.75" x14ac:dyDescent="0.25">
      <c r="A127" s="89"/>
      <c r="B127" s="80" t="s">
        <v>347</v>
      </c>
      <c r="C127" s="75" t="s">
        <v>451</v>
      </c>
      <c r="D127" s="173">
        <v>128.4</v>
      </c>
      <c r="E127" s="76">
        <v>62634</v>
      </c>
      <c r="F127" t="s">
        <v>839</v>
      </c>
    </row>
    <row r="128" spans="1:7" ht="15.75" x14ac:dyDescent="0.25">
      <c r="A128" s="89"/>
      <c r="B128" s="80" t="s">
        <v>348</v>
      </c>
      <c r="C128" s="75" t="s">
        <v>451</v>
      </c>
      <c r="D128" s="173">
        <v>128.4</v>
      </c>
      <c r="E128" s="76">
        <v>104520</v>
      </c>
      <c r="F128" t="s">
        <v>840</v>
      </c>
    </row>
    <row r="129" spans="1:7" ht="15.75" x14ac:dyDescent="0.25">
      <c r="A129" s="89"/>
      <c r="B129" s="80" t="s">
        <v>303</v>
      </c>
      <c r="C129" s="75" t="s">
        <v>306</v>
      </c>
      <c r="D129" s="173">
        <v>34.56</v>
      </c>
      <c r="E129" s="76">
        <v>195</v>
      </c>
      <c r="F129" t="s">
        <v>841</v>
      </c>
    </row>
    <row r="130" spans="1:7" ht="30" x14ac:dyDescent="0.25">
      <c r="A130" s="89"/>
      <c r="B130" s="101" t="s">
        <v>304</v>
      </c>
      <c r="C130" s="75" t="s">
        <v>93</v>
      </c>
      <c r="D130" s="173">
        <v>34.56</v>
      </c>
      <c r="E130" s="76">
        <v>23945</v>
      </c>
      <c r="F130" t="s">
        <v>842</v>
      </c>
    </row>
    <row r="131" spans="1:7" ht="15.75" x14ac:dyDescent="0.25">
      <c r="A131" s="89"/>
      <c r="B131" s="80" t="s">
        <v>435</v>
      </c>
      <c r="C131" s="75" t="s">
        <v>145</v>
      </c>
      <c r="D131" s="173">
        <v>12.54</v>
      </c>
      <c r="E131" s="76">
        <v>81541</v>
      </c>
      <c r="F131" t="s">
        <v>843</v>
      </c>
    </row>
    <row r="132" spans="1:7" ht="15.75" x14ac:dyDescent="0.25">
      <c r="A132" s="89"/>
      <c r="B132" s="80" t="s">
        <v>309</v>
      </c>
      <c r="C132" s="75" t="s">
        <v>316</v>
      </c>
      <c r="D132" s="173">
        <v>12.54</v>
      </c>
      <c r="E132" s="76">
        <v>78</v>
      </c>
      <c r="F132" t="s">
        <v>844</v>
      </c>
    </row>
    <row r="133" spans="1:7" ht="15.75" x14ac:dyDescent="0.25">
      <c r="A133" s="89"/>
      <c r="B133" s="80" t="s">
        <v>436</v>
      </c>
      <c r="C133" s="75" t="s">
        <v>451</v>
      </c>
      <c r="D133" s="173">
        <v>12.54</v>
      </c>
      <c r="E133" s="76">
        <v>16182</v>
      </c>
      <c r="F133" t="s">
        <v>845</v>
      </c>
    </row>
    <row r="134" spans="1:7" ht="15.75" x14ac:dyDescent="0.25">
      <c r="A134" s="89"/>
      <c r="B134" s="80" t="s">
        <v>299</v>
      </c>
      <c r="C134" s="78" t="s">
        <v>98</v>
      </c>
      <c r="D134" s="174">
        <v>49.648000000000003</v>
      </c>
      <c r="E134" s="79">
        <v>84004</v>
      </c>
      <c r="F134" t="s">
        <v>846</v>
      </c>
    </row>
    <row r="135" spans="1:7" ht="15.75" x14ac:dyDescent="0.25">
      <c r="A135" s="89"/>
      <c r="B135" s="80" t="s">
        <v>407</v>
      </c>
      <c r="C135" s="75" t="s">
        <v>316</v>
      </c>
      <c r="D135" s="174">
        <v>49.648000000000003</v>
      </c>
      <c r="E135" s="76">
        <v>14174</v>
      </c>
      <c r="F135" t="s">
        <v>847</v>
      </c>
    </row>
    <row r="136" spans="1:7" ht="15.75" x14ac:dyDescent="0.25">
      <c r="A136" s="89"/>
      <c r="B136" s="177" t="s">
        <v>301</v>
      </c>
      <c r="C136" s="178" t="s">
        <v>451</v>
      </c>
      <c r="D136" s="179">
        <v>49.648000000000003</v>
      </c>
      <c r="E136" s="181">
        <v>509960</v>
      </c>
      <c r="F136" t="s">
        <v>848</v>
      </c>
      <c r="G136" t="s">
        <v>932</v>
      </c>
    </row>
    <row r="137" spans="1:7" ht="15.75" x14ac:dyDescent="0.25">
      <c r="A137" s="89"/>
      <c r="B137" s="80" t="s">
        <v>452</v>
      </c>
      <c r="C137" s="75" t="s">
        <v>239</v>
      </c>
      <c r="D137" s="173">
        <v>125.4</v>
      </c>
      <c r="E137" s="76">
        <v>45625</v>
      </c>
      <c r="F137" t="s">
        <v>849</v>
      </c>
    </row>
    <row r="138" spans="1:7" ht="15.75" x14ac:dyDescent="0.25">
      <c r="A138" s="89"/>
      <c r="B138" s="80" t="s">
        <v>393</v>
      </c>
      <c r="C138" s="78" t="s">
        <v>315</v>
      </c>
      <c r="D138" s="173">
        <v>125.4</v>
      </c>
      <c r="E138" s="79">
        <v>28051</v>
      </c>
      <c r="F138" t="s">
        <v>850</v>
      </c>
    </row>
    <row r="139" spans="1:7" ht="15.75" x14ac:dyDescent="0.25">
      <c r="A139" s="89"/>
      <c r="B139" s="80" t="s">
        <v>394</v>
      </c>
      <c r="C139" s="78" t="s">
        <v>351</v>
      </c>
      <c r="D139" s="173">
        <v>125.4</v>
      </c>
      <c r="E139" s="79">
        <v>54358</v>
      </c>
      <c r="F139" t="s">
        <v>851</v>
      </c>
    </row>
    <row r="140" spans="1:7" ht="15.75" x14ac:dyDescent="0.25">
      <c r="A140" s="89"/>
      <c r="B140" s="80" t="s">
        <v>347</v>
      </c>
      <c r="C140" s="78" t="s">
        <v>263</v>
      </c>
      <c r="D140" s="173">
        <v>125.4</v>
      </c>
      <c r="E140" s="79">
        <v>62634</v>
      </c>
      <c r="F140" t="s">
        <v>852</v>
      </c>
    </row>
    <row r="141" spans="1:7" ht="15.75" x14ac:dyDescent="0.25">
      <c r="A141" s="89"/>
      <c r="B141" s="177" t="s">
        <v>454</v>
      </c>
      <c r="C141" s="178" t="s">
        <v>263</v>
      </c>
      <c r="D141" s="179">
        <v>125.4</v>
      </c>
      <c r="E141" s="180">
        <v>199900</v>
      </c>
      <c r="F141" t="s">
        <v>853</v>
      </c>
      <c r="G141" t="s">
        <v>931</v>
      </c>
    </row>
    <row r="142" spans="1:7" ht="15.75" x14ac:dyDescent="0.25">
      <c r="A142" s="89"/>
      <c r="B142" s="80" t="s">
        <v>348</v>
      </c>
      <c r="C142" s="78" t="s">
        <v>263</v>
      </c>
      <c r="D142" s="173">
        <v>125.4</v>
      </c>
      <c r="E142" s="79">
        <v>104520</v>
      </c>
      <c r="F142" t="s">
        <v>854</v>
      </c>
    </row>
    <row r="143" spans="1:7" ht="15.75" x14ac:dyDescent="0.25">
      <c r="A143" s="89"/>
      <c r="B143" s="80" t="s">
        <v>452</v>
      </c>
      <c r="C143" s="75" t="s">
        <v>239</v>
      </c>
      <c r="D143" s="173">
        <v>10.8</v>
      </c>
      <c r="E143" s="76">
        <v>45625</v>
      </c>
      <c r="F143" t="s">
        <v>855</v>
      </c>
    </row>
    <row r="144" spans="1:7" ht="15.75" x14ac:dyDescent="0.25">
      <c r="A144" s="89"/>
      <c r="B144" s="80" t="s">
        <v>393</v>
      </c>
      <c r="C144" s="78" t="s">
        <v>315</v>
      </c>
      <c r="D144" s="173">
        <v>10.8</v>
      </c>
      <c r="E144" s="79">
        <v>28051</v>
      </c>
      <c r="F144" t="s">
        <v>856</v>
      </c>
    </row>
    <row r="145" spans="1:6" ht="15.75" x14ac:dyDescent="0.25">
      <c r="A145" s="89"/>
      <c r="B145" s="80" t="s">
        <v>394</v>
      </c>
      <c r="C145" s="78" t="s">
        <v>351</v>
      </c>
      <c r="D145" s="173">
        <v>10.8</v>
      </c>
      <c r="E145" s="79">
        <v>54358</v>
      </c>
      <c r="F145" t="s">
        <v>857</v>
      </c>
    </row>
    <row r="146" spans="1:6" ht="15.75" x14ac:dyDescent="0.25">
      <c r="A146" s="89"/>
      <c r="B146" s="80" t="s">
        <v>347</v>
      </c>
      <c r="C146" s="78" t="s">
        <v>263</v>
      </c>
      <c r="D146" s="173">
        <v>10.8</v>
      </c>
      <c r="E146" s="79">
        <v>62634</v>
      </c>
      <c r="F146" t="s">
        <v>858</v>
      </c>
    </row>
    <row r="147" spans="1:6" ht="15.75" x14ac:dyDescent="0.25">
      <c r="A147" s="89"/>
      <c r="B147" s="80" t="s">
        <v>454</v>
      </c>
      <c r="C147" s="78" t="s">
        <v>263</v>
      </c>
      <c r="D147" s="173">
        <v>10.8</v>
      </c>
      <c r="E147" s="79">
        <v>199900</v>
      </c>
      <c r="F147" t="s">
        <v>859</v>
      </c>
    </row>
    <row r="148" spans="1:6" ht="15.75" x14ac:dyDescent="0.25">
      <c r="A148" s="89"/>
      <c r="B148" s="80" t="s">
        <v>348</v>
      </c>
      <c r="C148" s="78" t="s">
        <v>263</v>
      </c>
      <c r="D148" s="173">
        <v>10.8</v>
      </c>
      <c r="E148" s="79">
        <v>104520</v>
      </c>
      <c r="F148" t="s">
        <v>860</v>
      </c>
    </row>
    <row r="149" spans="1:6" ht="15.75" x14ac:dyDescent="0.25">
      <c r="A149" s="89"/>
      <c r="B149" s="80" t="s">
        <v>471</v>
      </c>
      <c r="C149" s="78" t="s">
        <v>93</v>
      </c>
      <c r="D149" s="173">
        <v>10.8</v>
      </c>
      <c r="E149" s="79">
        <v>100000</v>
      </c>
      <c r="F149" t="s">
        <v>861</v>
      </c>
    </row>
    <row r="150" spans="1:6" ht="15.75" x14ac:dyDescent="0.25">
      <c r="A150" s="108"/>
      <c r="B150" s="109" t="s">
        <v>486</v>
      </c>
      <c r="C150" s="81" t="s">
        <v>239</v>
      </c>
      <c r="D150" s="175">
        <v>3</v>
      </c>
      <c r="E150" s="110">
        <v>75389.153142688607</v>
      </c>
      <c r="F150" t="s">
        <v>862</v>
      </c>
    </row>
    <row r="151" spans="1:6" ht="15.75" x14ac:dyDescent="0.25">
      <c r="A151" s="108"/>
      <c r="B151" s="109" t="s">
        <v>487</v>
      </c>
      <c r="C151" s="81" t="s">
        <v>117</v>
      </c>
      <c r="D151" s="175">
        <v>3</v>
      </c>
      <c r="E151" s="110">
        <v>3681</v>
      </c>
      <c r="F151" t="s">
        <v>863</v>
      </c>
    </row>
    <row r="152" spans="1:6" ht="15.75" x14ac:dyDescent="0.25">
      <c r="A152" s="108"/>
      <c r="B152" s="109" t="s">
        <v>488</v>
      </c>
      <c r="C152" s="81" t="s">
        <v>239</v>
      </c>
      <c r="D152" s="175">
        <v>3</v>
      </c>
      <c r="E152" s="110">
        <v>16900</v>
      </c>
      <c r="F152" t="s">
        <v>864</v>
      </c>
    </row>
    <row r="153" spans="1:6" ht="15.75" x14ac:dyDescent="0.25">
      <c r="A153" s="108"/>
      <c r="B153" s="109" t="s">
        <v>496</v>
      </c>
      <c r="C153" s="81" t="s">
        <v>117</v>
      </c>
      <c r="D153" s="175">
        <v>39</v>
      </c>
      <c r="E153" s="110">
        <v>19351</v>
      </c>
      <c r="F153" t="s">
        <v>865</v>
      </c>
    </row>
    <row r="154" spans="1:6" ht="15.75" x14ac:dyDescent="0.25">
      <c r="A154" s="108"/>
      <c r="B154" s="109" t="s">
        <v>497</v>
      </c>
      <c r="C154" s="81" t="s">
        <v>117</v>
      </c>
      <c r="D154" s="175">
        <v>39</v>
      </c>
      <c r="E154" s="110">
        <v>3164</v>
      </c>
      <c r="F154" t="s">
        <v>866</v>
      </c>
    </row>
    <row r="155" spans="1:6" ht="15.75" x14ac:dyDescent="0.25">
      <c r="A155" s="108"/>
      <c r="B155" s="109" t="s">
        <v>498</v>
      </c>
      <c r="C155" s="81" t="s">
        <v>239</v>
      </c>
      <c r="D155" s="175">
        <v>39</v>
      </c>
      <c r="E155" s="110">
        <v>9435</v>
      </c>
      <c r="F155" t="s">
        <v>867</v>
      </c>
    </row>
    <row r="156" spans="1:6" ht="15.75" x14ac:dyDescent="0.25">
      <c r="A156" s="108"/>
      <c r="B156" s="109" t="s">
        <v>499</v>
      </c>
      <c r="C156" s="81" t="s">
        <v>239</v>
      </c>
      <c r="D156" s="175">
        <v>39</v>
      </c>
      <c r="E156" s="110">
        <v>12617</v>
      </c>
      <c r="F156" t="s">
        <v>868</v>
      </c>
    </row>
    <row r="157" spans="1:6" ht="15.75" x14ac:dyDescent="0.25">
      <c r="A157" s="108"/>
      <c r="B157" s="109" t="s">
        <v>500</v>
      </c>
      <c r="C157" s="81" t="s">
        <v>239</v>
      </c>
      <c r="D157" s="175">
        <v>39</v>
      </c>
      <c r="E157" s="110">
        <v>2070</v>
      </c>
      <c r="F157" t="s">
        <v>869</v>
      </c>
    </row>
    <row r="158" spans="1:6" ht="15.75" x14ac:dyDescent="0.25">
      <c r="A158" s="108"/>
      <c r="B158" s="109" t="s">
        <v>501</v>
      </c>
      <c r="C158" s="81" t="s">
        <v>239</v>
      </c>
      <c r="D158" s="175">
        <v>39</v>
      </c>
      <c r="E158" s="110">
        <v>893</v>
      </c>
      <c r="F158" t="s">
        <v>870</v>
      </c>
    </row>
    <row r="159" spans="1:6" ht="15.75" x14ac:dyDescent="0.25">
      <c r="A159" s="108"/>
      <c r="B159" s="82" t="s">
        <v>502</v>
      </c>
      <c r="C159" s="81" t="s">
        <v>239</v>
      </c>
      <c r="D159" s="175">
        <v>39</v>
      </c>
      <c r="E159" s="110">
        <v>2560</v>
      </c>
      <c r="F159" t="s">
        <v>871</v>
      </c>
    </row>
    <row r="160" spans="1:6" ht="15.75" x14ac:dyDescent="0.25">
      <c r="A160" s="108"/>
      <c r="B160" s="113" t="s">
        <v>503</v>
      </c>
      <c r="C160" s="81" t="s">
        <v>239</v>
      </c>
      <c r="D160" s="175">
        <v>39</v>
      </c>
      <c r="E160" s="110">
        <v>1800</v>
      </c>
      <c r="F160" t="s">
        <v>872</v>
      </c>
    </row>
    <row r="161" spans="1:6" ht="15.75" x14ac:dyDescent="0.25">
      <c r="A161" s="108"/>
      <c r="B161" s="109" t="s">
        <v>505</v>
      </c>
      <c r="C161" s="81" t="s">
        <v>117</v>
      </c>
      <c r="D161" s="175">
        <v>1</v>
      </c>
      <c r="E161" s="110">
        <v>19351</v>
      </c>
      <c r="F161" t="s">
        <v>873</v>
      </c>
    </row>
    <row r="162" spans="1:6" ht="15.75" x14ac:dyDescent="0.25">
      <c r="A162" s="108"/>
      <c r="B162" s="109" t="s">
        <v>497</v>
      </c>
      <c r="C162" s="81" t="s">
        <v>117</v>
      </c>
      <c r="D162" s="175">
        <v>1</v>
      </c>
      <c r="E162" s="110">
        <v>3164</v>
      </c>
      <c r="F162" t="s">
        <v>874</v>
      </c>
    </row>
    <row r="163" spans="1:6" ht="15.75" x14ac:dyDescent="0.25">
      <c r="A163" s="108"/>
      <c r="B163" s="109" t="s">
        <v>506</v>
      </c>
      <c r="C163" s="81" t="s">
        <v>239</v>
      </c>
      <c r="D163" s="175">
        <v>1</v>
      </c>
      <c r="E163" s="110">
        <v>18810</v>
      </c>
      <c r="F163" t="s">
        <v>875</v>
      </c>
    </row>
    <row r="164" spans="1:6" ht="15.75" x14ac:dyDescent="0.25">
      <c r="A164" s="108"/>
      <c r="B164" s="109" t="s">
        <v>499</v>
      </c>
      <c r="C164" s="81" t="s">
        <v>239</v>
      </c>
      <c r="D164" s="175">
        <v>1</v>
      </c>
      <c r="E164" s="110">
        <v>12617</v>
      </c>
      <c r="F164" t="s">
        <v>876</v>
      </c>
    </row>
    <row r="165" spans="1:6" ht="15.75" x14ac:dyDescent="0.25">
      <c r="A165" s="108"/>
      <c r="B165" s="109" t="s">
        <v>500</v>
      </c>
      <c r="C165" s="81" t="s">
        <v>239</v>
      </c>
      <c r="D165" s="175">
        <v>1</v>
      </c>
      <c r="E165" s="110">
        <v>2070</v>
      </c>
      <c r="F165" t="s">
        <v>877</v>
      </c>
    </row>
    <row r="166" spans="1:6" ht="15.75" x14ac:dyDescent="0.25">
      <c r="A166" s="108"/>
      <c r="B166" s="109" t="s">
        <v>501</v>
      </c>
      <c r="C166" s="81" t="s">
        <v>239</v>
      </c>
      <c r="D166" s="175">
        <v>1</v>
      </c>
      <c r="E166" s="110">
        <v>893</v>
      </c>
      <c r="F166" t="s">
        <v>878</v>
      </c>
    </row>
    <row r="167" spans="1:6" ht="15.75" x14ac:dyDescent="0.25">
      <c r="A167" s="108"/>
      <c r="B167" s="82" t="s">
        <v>507</v>
      </c>
      <c r="C167" s="81" t="s">
        <v>239</v>
      </c>
      <c r="D167" s="175">
        <v>1</v>
      </c>
      <c r="E167" s="110">
        <v>4126</v>
      </c>
      <c r="F167" t="s">
        <v>879</v>
      </c>
    </row>
    <row r="168" spans="1:6" ht="15.75" x14ac:dyDescent="0.25">
      <c r="A168" s="108"/>
      <c r="B168" s="109" t="s">
        <v>505</v>
      </c>
      <c r="C168" s="81" t="s">
        <v>117</v>
      </c>
      <c r="D168" s="175">
        <v>17</v>
      </c>
      <c r="E168" s="110">
        <v>19351</v>
      </c>
      <c r="F168" t="s">
        <v>880</v>
      </c>
    </row>
    <row r="169" spans="1:6" ht="15.75" x14ac:dyDescent="0.25">
      <c r="A169" s="108"/>
      <c r="B169" s="109" t="s">
        <v>497</v>
      </c>
      <c r="C169" s="81" t="s">
        <v>117</v>
      </c>
      <c r="D169" s="175">
        <v>17</v>
      </c>
      <c r="E169" s="110">
        <v>3164</v>
      </c>
      <c r="F169" t="s">
        <v>881</v>
      </c>
    </row>
    <row r="170" spans="1:6" ht="15.75" x14ac:dyDescent="0.25">
      <c r="A170" s="108"/>
      <c r="B170" s="109" t="s">
        <v>508</v>
      </c>
      <c r="C170" s="81" t="s">
        <v>239</v>
      </c>
      <c r="D170" s="175">
        <v>17</v>
      </c>
      <c r="E170" s="110">
        <v>7800</v>
      </c>
      <c r="F170" t="s">
        <v>882</v>
      </c>
    </row>
    <row r="171" spans="1:6" ht="15.75" x14ac:dyDescent="0.25">
      <c r="A171" s="108"/>
      <c r="B171" s="109" t="s">
        <v>499</v>
      </c>
      <c r="C171" s="81" t="s">
        <v>239</v>
      </c>
      <c r="D171" s="175">
        <v>17</v>
      </c>
      <c r="E171" s="110">
        <v>12617</v>
      </c>
      <c r="F171" t="s">
        <v>883</v>
      </c>
    </row>
    <row r="172" spans="1:6" ht="15.75" x14ac:dyDescent="0.25">
      <c r="A172" s="108"/>
      <c r="B172" s="109" t="s">
        <v>500</v>
      </c>
      <c r="C172" s="81" t="s">
        <v>239</v>
      </c>
      <c r="D172" s="175">
        <v>17</v>
      </c>
      <c r="E172" s="110">
        <v>2070</v>
      </c>
      <c r="F172" t="s">
        <v>884</v>
      </c>
    </row>
    <row r="173" spans="1:6" ht="15.75" x14ac:dyDescent="0.25">
      <c r="A173" s="108"/>
      <c r="B173" s="109" t="s">
        <v>501</v>
      </c>
      <c r="C173" s="81" t="s">
        <v>239</v>
      </c>
      <c r="D173" s="175">
        <v>17</v>
      </c>
      <c r="E173" s="110">
        <v>893</v>
      </c>
      <c r="F173" t="s">
        <v>885</v>
      </c>
    </row>
    <row r="174" spans="1:6" ht="15.75" x14ac:dyDescent="0.25">
      <c r="A174" s="108"/>
      <c r="B174" s="82" t="s">
        <v>507</v>
      </c>
      <c r="C174" s="81" t="s">
        <v>239</v>
      </c>
      <c r="D174" s="175">
        <v>17</v>
      </c>
      <c r="E174" s="110">
        <v>4126</v>
      </c>
      <c r="F174" t="s">
        <v>886</v>
      </c>
    </row>
    <row r="175" spans="1:6" ht="15.75" x14ac:dyDescent="0.25">
      <c r="A175" s="108"/>
      <c r="B175" s="109" t="s">
        <v>509</v>
      </c>
      <c r="C175" s="81" t="s">
        <v>239</v>
      </c>
      <c r="D175" s="175">
        <v>17</v>
      </c>
      <c r="E175" s="110">
        <v>2000</v>
      </c>
      <c r="F175" t="s">
        <v>887</v>
      </c>
    </row>
    <row r="176" spans="1:6" ht="15.75" x14ac:dyDescent="0.25">
      <c r="A176" s="108"/>
      <c r="B176" s="109" t="s">
        <v>510</v>
      </c>
      <c r="C176" s="81" t="s">
        <v>239</v>
      </c>
      <c r="D176" s="175">
        <v>1</v>
      </c>
      <c r="E176" s="110">
        <v>328000</v>
      </c>
      <c r="F176" t="s">
        <v>888</v>
      </c>
    </row>
    <row r="177" spans="1:6" ht="15.75" x14ac:dyDescent="0.25">
      <c r="A177" s="108"/>
      <c r="B177" s="109" t="s">
        <v>511</v>
      </c>
      <c r="C177" s="81" t="s">
        <v>239</v>
      </c>
      <c r="D177" s="175">
        <v>1</v>
      </c>
      <c r="E177" s="110">
        <v>15932</v>
      </c>
      <c r="F177" t="s">
        <v>889</v>
      </c>
    </row>
    <row r="178" spans="1:6" ht="15.75" x14ac:dyDescent="0.25">
      <c r="A178" s="108"/>
      <c r="B178" s="109" t="s">
        <v>512</v>
      </c>
      <c r="C178" s="81" t="s">
        <v>239</v>
      </c>
      <c r="D178" s="175">
        <v>1</v>
      </c>
      <c r="E178" s="110">
        <v>35400</v>
      </c>
      <c r="F178" t="s">
        <v>890</v>
      </c>
    </row>
    <row r="179" spans="1:6" ht="15.75" x14ac:dyDescent="0.25">
      <c r="A179" s="108"/>
      <c r="B179" s="109" t="s">
        <v>513</v>
      </c>
      <c r="C179" s="81" t="s">
        <v>302</v>
      </c>
      <c r="D179" s="175">
        <v>1</v>
      </c>
      <c r="E179" s="110">
        <v>6800</v>
      </c>
      <c r="F179" t="s">
        <v>891</v>
      </c>
    </row>
    <row r="180" spans="1:6" ht="15.75" x14ac:dyDescent="0.25">
      <c r="A180" s="108"/>
      <c r="B180" s="109" t="s">
        <v>514</v>
      </c>
      <c r="C180" s="81" t="s">
        <v>302</v>
      </c>
      <c r="D180" s="175">
        <v>1</v>
      </c>
      <c r="E180" s="110">
        <v>25000</v>
      </c>
      <c r="F180" t="s">
        <v>892</v>
      </c>
    </row>
    <row r="181" spans="1:6" ht="15.75" x14ac:dyDescent="0.25">
      <c r="A181" s="108"/>
      <c r="B181" s="109" t="s">
        <v>515</v>
      </c>
      <c r="C181" s="81" t="s">
        <v>239</v>
      </c>
      <c r="D181" s="175">
        <v>1</v>
      </c>
      <c r="E181" s="110">
        <v>12500</v>
      </c>
      <c r="F181" t="s">
        <v>893</v>
      </c>
    </row>
    <row r="182" spans="1:6" ht="15.75" x14ac:dyDescent="0.25">
      <c r="A182" s="108"/>
      <c r="B182" s="113" t="s">
        <v>516</v>
      </c>
      <c r="C182" s="113" t="s">
        <v>517</v>
      </c>
      <c r="D182" s="175">
        <v>1</v>
      </c>
      <c r="E182" s="118">
        <v>12500</v>
      </c>
      <c r="F182" t="s">
        <v>894</v>
      </c>
    </row>
    <row r="183" spans="1:6" ht="15.75" x14ac:dyDescent="0.25">
      <c r="A183" s="108"/>
      <c r="B183" s="109" t="s">
        <v>505</v>
      </c>
      <c r="C183" s="81" t="s">
        <v>117</v>
      </c>
      <c r="D183" s="175">
        <v>8</v>
      </c>
      <c r="E183" s="110">
        <v>12351</v>
      </c>
      <c r="F183" t="s">
        <v>895</v>
      </c>
    </row>
    <row r="184" spans="1:6" ht="15.75" x14ac:dyDescent="0.25">
      <c r="A184" s="108"/>
      <c r="B184" s="109" t="s">
        <v>497</v>
      </c>
      <c r="C184" s="81" t="s">
        <v>117</v>
      </c>
      <c r="D184" s="175">
        <v>8</v>
      </c>
      <c r="E184" s="110">
        <v>3164</v>
      </c>
      <c r="F184" t="s">
        <v>896</v>
      </c>
    </row>
    <row r="185" spans="1:6" ht="15.75" x14ac:dyDescent="0.25">
      <c r="A185" s="108"/>
      <c r="B185" s="109" t="s">
        <v>519</v>
      </c>
      <c r="C185" s="81" t="s">
        <v>239</v>
      </c>
      <c r="D185" s="175">
        <v>8</v>
      </c>
      <c r="E185" s="110">
        <v>9435</v>
      </c>
      <c r="F185" t="s">
        <v>897</v>
      </c>
    </row>
    <row r="186" spans="1:6" ht="15.75" x14ac:dyDescent="0.25">
      <c r="A186" s="108"/>
      <c r="B186" s="109" t="s">
        <v>520</v>
      </c>
      <c r="C186" s="81" t="s">
        <v>239</v>
      </c>
      <c r="D186" s="175">
        <v>8</v>
      </c>
      <c r="E186" s="110">
        <v>12617</v>
      </c>
      <c r="F186" t="s">
        <v>898</v>
      </c>
    </row>
    <row r="187" spans="1:6" ht="15.75" x14ac:dyDescent="0.25">
      <c r="A187" s="108"/>
      <c r="B187" s="109" t="s">
        <v>500</v>
      </c>
      <c r="C187" s="81" t="s">
        <v>239</v>
      </c>
      <c r="D187" s="175">
        <v>8</v>
      </c>
      <c r="E187" s="110">
        <v>2070</v>
      </c>
      <c r="F187" t="s">
        <v>899</v>
      </c>
    </row>
    <row r="188" spans="1:6" ht="15.75" x14ac:dyDescent="0.25">
      <c r="A188" s="108"/>
      <c r="B188" s="109" t="s">
        <v>501</v>
      </c>
      <c r="C188" s="81" t="s">
        <v>239</v>
      </c>
      <c r="D188" s="175">
        <v>8</v>
      </c>
      <c r="E188" s="110">
        <v>893</v>
      </c>
      <c r="F188" t="s">
        <v>900</v>
      </c>
    </row>
    <row r="189" spans="1:6" ht="15.75" x14ac:dyDescent="0.25">
      <c r="A189" s="108"/>
      <c r="B189" s="82" t="s">
        <v>507</v>
      </c>
      <c r="C189" s="81" t="s">
        <v>239</v>
      </c>
      <c r="D189" s="175">
        <v>8</v>
      </c>
      <c r="E189" s="110">
        <v>2400</v>
      </c>
      <c r="F189" t="s">
        <v>901</v>
      </c>
    </row>
    <row r="190" spans="1:6" ht="15.75" x14ac:dyDescent="0.25">
      <c r="A190" s="108"/>
      <c r="B190" s="109" t="s">
        <v>521</v>
      </c>
      <c r="C190" s="81" t="s">
        <v>239</v>
      </c>
      <c r="D190" s="175">
        <v>8</v>
      </c>
      <c r="E190" s="110">
        <v>119500</v>
      </c>
      <c r="F190" t="s">
        <v>902</v>
      </c>
    </row>
    <row r="191" spans="1:6" ht="15.75" x14ac:dyDescent="0.25">
      <c r="A191" s="108"/>
      <c r="B191" s="82" t="s">
        <v>502</v>
      </c>
      <c r="C191" s="81" t="s">
        <v>239</v>
      </c>
      <c r="D191" s="175">
        <v>8</v>
      </c>
      <c r="E191" s="110">
        <v>4126</v>
      </c>
      <c r="F191" t="s">
        <v>903</v>
      </c>
    </row>
    <row r="192" spans="1:6" ht="15.75" x14ac:dyDescent="0.25">
      <c r="A192" s="108"/>
      <c r="B192" s="109" t="s">
        <v>522</v>
      </c>
      <c r="C192" s="81" t="s">
        <v>239</v>
      </c>
      <c r="D192" s="175">
        <v>1</v>
      </c>
      <c r="E192" s="110">
        <v>250000</v>
      </c>
      <c r="F192" t="s">
        <v>904</v>
      </c>
    </row>
    <row r="193" spans="1:6" ht="15.75" x14ac:dyDescent="0.25">
      <c r="A193" s="108"/>
      <c r="B193" s="109" t="s">
        <v>523</v>
      </c>
      <c r="C193" s="81" t="s">
        <v>239</v>
      </c>
      <c r="D193" s="175">
        <v>1</v>
      </c>
      <c r="E193" s="110">
        <v>35000</v>
      </c>
      <c r="F193" t="s">
        <v>905</v>
      </c>
    </row>
    <row r="194" spans="1:6" ht="15.75" x14ac:dyDescent="0.25">
      <c r="A194" s="108"/>
      <c r="B194" s="109" t="s">
        <v>524</v>
      </c>
      <c r="C194" s="81" t="s">
        <v>117</v>
      </c>
      <c r="D194" s="175">
        <v>1</v>
      </c>
      <c r="E194" s="110">
        <v>5800</v>
      </c>
      <c r="F194" t="s">
        <v>906</v>
      </c>
    </row>
    <row r="195" spans="1:6" ht="15.75" x14ac:dyDescent="0.25">
      <c r="A195" s="108"/>
      <c r="B195" s="109" t="s">
        <v>525</v>
      </c>
      <c r="C195" s="81" t="s">
        <v>239</v>
      </c>
      <c r="D195" s="175">
        <v>1</v>
      </c>
      <c r="E195" s="110">
        <v>380000</v>
      </c>
      <c r="F195" t="s">
        <v>907</v>
      </c>
    </row>
    <row r="196" spans="1:6" ht="15.75" x14ac:dyDescent="0.25">
      <c r="A196" s="108"/>
      <c r="B196" s="109" t="s">
        <v>526</v>
      </c>
      <c r="C196" s="81" t="s">
        <v>527</v>
      </c>
      <c r="D196" s="175">
        <v>1</v>
      </c>
      <c r="E196" s="110">
        <v>450000</v>
      </c>
      <c r="F196" t="s">
        <v>908</v>
      </c>
    </row>
    <row r="197" spans="1:6" ht="15.75" x14ac:dyDescent="0.25">
      <c r="A197" s="108"/>
      <c r="B197" s="109" t="s">
        <v>528</v>
      </c>
      <c r="C197" s="81" t="s">
        <v>239</v>
      </c>
      <c r="D197" s="175">
        <v>24</v>
      </c>
      <c r="E197" s="110">
        <v>18500</v>
      </c>
      <c r="F197" t="s">
        <v>909</v>
      </c>
    </row>
    <row r="198" spans="1:6" ht="15.75" x14ac:dyDescent="0.25">
      <c r="A198" s="108"/>
      <c r="B198" s="109" t="s">
        <v>532</v>
      </c>
      <c r="C198" s="81" t="s">
        <v>117</v>
      </c>
      <c r="D198" s="175">
        <v>3</v>
      </c>
      <c r="E198" s="110">
        <v>2100</v>
      </c>
      <c r="F198" t="s">
        <v>910</v>
      </c>
    </row>
    <row r="199" spans="1:6" ht="15.75" x14ac:dyDescent="0.25">
      <c r="A199" s="108"/>
      <c r="B199" s="109" t="s">
        <v>542</v>
      </c>
      <c r="C199" s="81" t="s">
        <v>117</v>
      </c>
      <c r="D199" s="175">
        <v>3</v>
      </c>
      <c r="E199" s="110">
        <v>4700</v>
      </c>
      <c r="F199" t="s">
        <v>911</v>
      </c>
    </row>
    <row r="200" spans="1:6" ht="15.75" x14ac:dyDescent="0.25">
      <c r="A200" s="108"/>
      <c r="B200" s="109" t="s">
        <v>497</v>
      </c>
      <c r="C200" s="81" t="s">
        <v>239</v>
      </c>
      <c r="D200" s="175">
        <v>3</v>
      </c>
      <c r="E200" s="110">
        <v>3064</v>
      </c>
      <c r="F200" t="s">
        <v>912</v>
      </c>
    </row>
    <row r="201" spans="1:6" ht="15.75" x14ac:dyDescent="0.25">
      <c r="A201" s="108"/>
      <c r="B201" s="109" t="s">
        <v>499</v>
      </c>
      <c r="C201" s="81" t="s">
        <v>239</v>
      </c>
      <c r="D201" s="175">
        <v>3</v>
      </c>
      <c r="E201" s="110">
        <v>12617</v>
      </c>
      <c r="F201" t="s">
        <v>913</v>
      </c>
    </row>
    <row r="202" spans="1:6" ht="15.75" x14ac:dyDescent="0.25">
      <c r="A202" s="108"/>
      <c r="B202" s="82" t="s">
        <v>543</v>
      </c>
      <c r="C202" s="81" t="s">
        <v>117</v>
      </c>
      <c r="D202" s="175">
        <v>3</v>
      </c>
      <c r="E202" s="110">
        <f>50000/3</f>
        <v>16666.666666666668</v>
      </c>
      <c r="F202" t="s">
        <v>914</v>
      </c>
    </row>
    <row r="203" spans="1:6" ht="15.75" x14ac:dyDescent="0.25">
      <c r="A203" s="108"/>
      <c r="B203" s="113" t="s">
        <v>544</v>
      </c>
      <c r="C203" s="81" t="s">
        <v>239</v>
      </c>
      <c r="D203" s="175">
        <v>3</v>
      </c>
      <c r="E203" s="110">
        <v>2000</v>
      </c>
      <c r="F203" t="s">
        <v>915</v>
      </c>
    </row>
    <row r="204" spans="1:6" ht="15.75" x14ac:dyDescent="0.25">
      <c r="A204" s="108"/>
      <c r="B204" s="109" t="s">
        <v>545</v>
      </c>
      <c r="C204" s="81" t="s">
        <v>239</v>
      </c>
      <c r="D204" s="175">
        <v>3</v>
      </c>
      <c r="E204" s="110">
        <v>30200</v>
      </c>
      <c r="F204" t="s">
        <v>916</v>
      </c>
    </row>
    <row r="205" spans="1:6" ht="15.75" x14ac:dyDescent="0.25">
      <c r="A205" s="108"/>
      <c r="B205" s="109" t="s">
        <v>539</v>
      </c>
      <c r="C205" s="81" t="s">
        <v>239</v>
      </c>
      <c r="D205" s="175">
        <v>3</v>
      </c>
      <c r="E205" s="110">
        <v>3000</v>
      </c>
      <c r="F205" t="s">
        <v>917</v>
      </c>
    </row>
    <row r="206" spans="1:6" ht="15.75" x14ac:dyDescent="0.25">
      <c r="A206" s="108"/>
      <c r="B206" s="109" t="s">
        <v>547</v>
      </c>
      <c r="C206" s="81" t="s">
        <v>239</v>
      </c>
      <c r="D206" s="175">
        <v>2</v>
      </c>
      <c r="E206" s="110">
        <v>162000</v>
      </c>
      <c r="F206" t="s">
        <v>918</v>
      </c>
    </row>
    <row r="207" spans="1:6" ht="15.75" x14ac:dyDescent="0.25">
      <c r="A207" s="108"/>
      <c r="B207" s="109" t="s">
        <v>549</v>
      </c>
      <c r="C207" s="81" t="s">
        <v>117</v>
      </c>
      <c r="D207" s="175">
        <v>2</v>
      </c>
      <c r="E207" s="110">
        <v>12400</v>
      </c>
      <c r="F207" t="s">
        <v>919</v>
      </c>
    </row>
    <row r="208" spans="1:6" ht="15.75" x14ac:dyDescent="0.25">
      <c r="A208" s="108"/>
      <c r="B208" s="109" t="s">
        <v>497</v>
      </c>
      <c r="C208" s="81" t="s">
        <v>117</v>
      </c>
      <c r="D208" s="175">
        <v>2</v>
      </c>
      <c r="E208" s="110">
        <v>3164</v>
      </c>
      <c r="F208" t="s">
        <v>920</v>
      </c>
    </row>
    <row r="209" spans="1:6" ht="15.75" x14ac:dyDescent="0.25">
      <c r="A209" s="108"/>
      <c r="B209" s="109" t="s">
        <v>505</v>
      </c>
      <c r="C209" s="81" t="s">
        <v>117</v>
      </c>
      <c r="D209" s="175">
        <v>3</v>
      </c>
      <c r="E209" s="110">
        <v>19351</v>
      </c>
      <c r="F209" t="s">
        <v>921</v>
      </c>
    </row>
    <row r="210" spans="1:6" ht="15.75" x14ac:dyDescent="0.25">
      <c r="A210" s="108"/>
      <c r="B210" s="109" t="s">
        <v>497</v>
      </c>
      <c r="C210" s="81" t="s">
        <v>117</v>
      </c>
      <c r="D210" s="175">
        <v>3</v>
      </c>
      <c r="E210" s="110">
        <v>3164</v>
      </c>
      <c r="F210" t="s">
        <v>922</v>
      </c>
    </row>
    <row r="211" spans="1:6" ht="15.75" x14ac:dyDescent="0.25">
      <c r="A211" s="108"/>
      <c r="B211" s="109" t="s">
        <v>551</v>
      </c>
      <c r="C211" s="81" t="s">
        <v>239</v>
      </c>
      <c r="D211" s="175">
        <v>3</v>
      </c>
      <c r="E211" s="110">
        <v>68900</v>
      </c>
      <c r="F211" t="s">
        <v>923</v>
      </c>
    </row>
    <row r="212" spans="1:6" ht="15.75" x14ac:dyDescent="0.25">
      <c r="A212" s="108"/>
      <c r="B212" s="109" t="s">
        <v>520</v>
      </c>
      <c r="C212" s="81" t="s">
        <v>239</v>
      </c>
      <c r="D212" s="175">
        <v>3</v>
      </c>
      <c r="E212" s="110">
        <v>19617</v>
      </c>
      <c r="F212" t="s">
        <v>924</v>
      </c>
    </row>
    <row r="213" spans="1:6" ht="15.75" x14ac:dyDescent="0.25">
      <c r="A213" s="108"/>
      <c r="B213" s="109" t="s">
        <v>500</v>
      </c>
      <c r="C213" s="81" t="s">
        <v>239</v>
      </c>
      <c r="D213" s="175">
        <v>3</v>
      </c>
      <c r="E213" s="110">
        <v>2070</v>
      </c>
      <c r="F213" t="s">
        <v>925</v>
      </c>
    </row>
    <row r="214" spans="1:6" ht="15.75" x14ac:dyDescent="0.25">
      <c r="A214" s="108"/>
      <c r="B214" s="109" t="s">
        <v>501</v>
      </c>
      <c r="C214" s="81" t="s">
        <v>239</v>
      </c>
      <c r="D214" s="175">
        <v>3</v>
      </c>
      <c r="E214" s="110">
        <v>893</v>
      </c>
      <c r="F214" t="s">
        <v>926</v>
      </c>
    </row>
    <row r="215" spans="1:6" ht="15.75" x14ac:dyDescent="0.25">
      <c r="A215" s="108"/>
      <c r="B215" s="82" t="s">
        <v>507</v>
      </c>
      <c r="C215" s="81" t="s">
        <v>239</v>
      </c>
      <c r="D215" s="175">
        <v>3</v>
      </c>
      <c r="E215" s="110">
        <v>4126</v>
      </c>
      <c r="F215" t="s">
        <v>927</v>
      </c>
    </row>
    <row r="216" spans="1:6" ht="15.75" x14ac:dyDescent="0.25">
      <c r="A216" s="108"/>
      <c r="B216" s="109" t="s">
        <v>509</v>
      </c>
      <c r="C216" s="81" t="s">
        <v>239</v>
      </c>
      <c r="D216" s="175">
        <v>3</v>
      </c>
      <c r="E216" s="110">
        <v>2000</v>
      </c>
      <c r="F216" t="s">
        <v>928</v>
      </c>
    </row>
  </sheetData>
  <mergeCells count="1">
    <mergeCell ref="G1:H1"/>
  </mergeCells>
  <pageMargins left="0.7" right="0.7" top="0.75" bottom="0.75" header="0.3" footer="0.3"/>
  <pageSetup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41"/>
  <sheetViews>
    <sheetView topLeftCell="A4" zoomScale="85" zoomScaleNormal="85" workbookViewId="0">
      <selection activeCell="K39" sqref="K39"/>
    </sheetView>
  </sheetViews>
  <sheetFormatPr baseColWidth="10" defaultRowHeight="15" x14ac:dyDescent="0.25"/>
  <cols>
    <col min="1" max="1" width="91.7109375" customWidth="1"/>
    <col min="2" max="2" width="20.14062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31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31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31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31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31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31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31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31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31" ht="44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158</v>
      </c>
      <c r="L9" s="445"/>
      <c r="M9" s="473" t="str">
        <f>+PRESUPUESTO!B14</f>
        <v>DEMOLICION DE PISO TABLETA EN GRES EXISTENTE INCLUYE RETIRO Y DISPOSICION FINAL DE ESCOMBROS ,DEMOLICION HASTA 15 CENTIIMETROS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31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31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133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31" ht="38.25" x14ac:dyDescent="0.25">
      <c r="A12" s="446"/>
      <c r="B12" s="446"/>
      <c r="C12" s="52" t="s">
        <v>138</v>
      </c>
      <c r="D12" s="52" t="s">
        <v>139</v>
      </c>
      <c r="E12" s="52" t="s">
        <v>140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  <c r="W12" s="442" t="s">
        <v>623</v>
      </c>
      <c r="X12" s="443"/>
      <c r="Y12" s="443"/>
      <c r="Z12" s="443"/>
      <c r="AA12" s="443"/>
      <c r="AB12" s="443"/>
      <c r="AC12" s="443"/>
      <c r="AD12" s="443"/>
      <c r="AE12" s="443"/>
    </row>
    <row r="13" spans="1:31" x14ac:dyDescent="0.25">
      <c r="A13" s="449"/>
      <c r="B13" s="65" t="s">
        <v>149</v>
      </c>
      <c r="C13" s="54">
        <v>4.4000000000000004</v>
      </c>
      <c r="D13" s="54"/>
      <c r="E13" s="54">
        <v>4.87</v>
      </c>
      <c r="F13" s="55"/>
      <c r="G13" s="54"/>
      <c r="H13" s="54"/>
      <c r="I13" s="54"/>
      <c r="J13" s="55"/>
      <c r="K13" s="56">
        <f>+C13*E13</f>
        <v>21.428000000000001</v>
      </c>
      <c r="L13" s="57" t="s">
        <v>141</v>
      </c>
      <c r="M13" s="450"/>
      <c r="N13" s="451"/>
      <c r="O13" s="451"/>
      <c r="P13" s="451"/>
      <c r="Q13" s="451"/>
      <c r="R13" s="451"/>
      <c r="S13" s="451"/>
      <c r="T13" s="451"/>
      <c r="U13" s="451"/>
      <c r="V13" s="452"/>
      <c r="W13" s="54">
        <f>7.19+1.2</f>
        <v>8.39</v>
      </c>
      <c r="X13" s="54"/>
      <c r="Y13" s="54">
        <v>4.6900000000000004</v>
      </c>
      <c r="Z13" s="55"/>
      <c r="AA13" s="54"/>
      <c r="AB13" s="54"/>
      <c r="AC13" s="54"/>
      <c r="AD13" s="55"/>
      <c r="AE13" s="56">
        <f>+W13*Y13</f>
        <v>39.349100000000007</v>
      </c>
    </row>
    <row r="14" spans="1:31" x14ac:dyDescent="0.25">
      <c r="A14" s="449"/>
      <c r="B14" s="65" t="s">
        <v>624</v>
      </c>
      <c r="C14" s="54">
        <v>4.87</v>
      </c>
      <c r="D14" s="54"/>
      <c r="E14" s="54">
        <v>4.4000000000000004</v>
      </c>
      <c r="F14" s="55"/>
      <c r="G14" s="54"/>
      <c r="H14" s="54"/>
      <c r="I14" s="54"/>
      <c r="J14" s="55"/>
      <c r="K14" s="56">
        <f>+C14*E14</f>
        <v>21.428000000000001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  <c r="W14" s="54">
        <v>4.6900000000000004</v>
      </c>
      <c r="X14" s="54"/>
      <c r="Y14" s="54">
        <v>3.81</v>
      </c>
      <c r="Z14" s="55"/>
      <c r="AA14" s="54"/>
      <c r="AB14" s="54"/>
      <c r="AC14" s="54"/>
      <c r="AD14" s="55"/>
      <c r="AE14" s="56">
        <f>+W14*Y14</f>
        <v>17.8689</v>
      </c>
    </row>
    <row r="15" spans="1:31" x14ac:dyDescent="0.25">
      <c r="A15" s="449"/>
      <c r="B15" s="65" t="s">
        <v>151</v>
      </c>
      <c r="C15" s="54"/>
      <c r="D15" s="54"/>
      <c r="E15" s="54"/>
      <c r="F15" s="55"/>
      <c r="G15" s="54"/>
      <c r="H15" s="54"/>
      <c r="I15" s="54"/>
      <c r="J15" s="55"/>
      <c r="K15" s="56">
        <f>+C15*E15</f>
        <v>0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  <c r="W15" s="54">
        <v>3.04</v>
      </c>
      <c r="X15" s="54"/>
      <c r="Y15" s="54">
        <v>3.81</v>
      </c>
      <c r="Z15" s="55"/>
      <c r="AA15" s="54"/>
      <c r="AB15" s="54"/>
      <c r="AC15" s="54"/>
      <c r="AD15" s="55"/>
      <c r="AE15" s="56">
        <f>+W15*Y15</f>
        <v>11.5824</v>
      </c>
    </row>
    <row r="16" spans="1:31" x14ac:dyDescent="0.25">
      <c r="A16" s="449"/>
      <c r="B16" s="65" t="s">
        <v>152</v>
      </c>
      <c r="C16" s="54"/>
      <c r="D16" s="54"/>
      <c r="E16" s="54"/>
      <c r="F16" s="55"/>
      <c r="G16" s="54"/>
      <c r="H16" s="54"/>
      <c r="I16" s="54"/>
      <c r="J16" s="55"/>
      <c r="K16" s="56">
        <f>+C16*E16</f>
        <v>0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  <c r="W16" s="54">
        <v>3.21</v>
      </c>
      <c r="X16" s="54"/>
      <c r="Y16" s="54">
        <v>1.37</v>
      </c>
      <c r="Z16" s="55"/>
      <c r="AA16" s="54"/>
      <c r="AB16" s="54"/>
      <c r="AC16" s="54"/>
      <c r="AD16" s="55"/>
      <c r="AE16" s="56">
        <f>+W16*Y16</f>
        <v>4.3977000000000004</v>
      </c>
    </row>
    <row r="17" spans="1:31" x14ac:dyDescent="0.25">
      <c r="A17" s="449"/>
      <c r="B17" s="65" t="s">
        <v>153</v>
      </c>
      <c r="C17" s="54"/>
      <c r="D17" s="54"/>
      <c r="E17" s="54"/>
      <c r="F17" s="55"/>
      <c r="G17" s="54"/>
      <c r="H17" s="54"/>
      <c r="I17" s="54"/>
      <c r="J17" s="55"/>
      <c r="K17" s="56">
        <f t="shared" ref="K17:K23" si="0">+C17*E17</f>
        <v>0</v>
      </c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  <c r="W17" s="54">
        <v>1.48</v>
      </c>
      <c r="X17" s="54"/>
      <c r="Y17" s="54">
        <v>1.36</v>
      </c>
      <c r="Z17" s="55"/>
      <c r="AA17" s="54"/>
      <c r="AB17" s="54"/>
      <c r="AC17" s="54"/>
      <c r="AD17" s="55"/>
      <c r="AE17" s="56">
        <f t="shared" ref="AE17:AE21" si="1">+W17*Y17</f>
        <v>2.0127999999999999</v>
      </c>
    </row>
    <row r="18" spans="1:31" x14ac:dyDescent="0.25">
      <c r="A18" s="449"/>
      <c r="B18" s="65" t="s">
        <v>154</v>
      </c>
      <c r="C18" s="54"/>
      <c r="D18" s="54"/>
      <c r="E18" s="54"/>
      <c r="F18" s="55"/>
      <c r="G18" s="54"/>
      <c r="H18" s="54"/>
      <c r="I18" s="54"/>
      <c r="J18" s="55"/>
      <c r="K18" s="56">
        <f t="shared" si="0"/>
        <v>0</v>
      </c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  <c r="W18" s="54">
        <v>1.4</v>
      </c>
      <c r="X18" s="54"/>
      <c r="Y18" s="54">
        <v>1.53</v>
      </c>
      <c r="Z18" s="55"/>
      <c r="AA18" s="54"/>
      <c r="AB18" s="54"/>
      <c r="AC18" s="54"/>
      <c r="AD18" s="55"/>
      <c r="AE18" s="56">
        <f t="shared" si="1"/>
        <v>2.1419999999999999</v>
      </c>
    </row>
    <row r="19" spans="1:31" ht="25.5" x14ac:dyDescent="0.25">
      <c r="A19" s="449"/>
      <c r="B19" s="53" t="s">
        <v>625</v>
      </c>
      <c r="C19" s="54">
        <v>1.31</v>
      </c>
      <c r="D19" s="54"/>
      <c r="E19" s="54">
        <v>2.92</v>
      </c>
      <c r="F19" s="55"/>
      <c r="G19" s="54"/>
      <c r="H19" s="54"/>
      <c r="I19" s="54"/>
      <c r="J19" s="55"/>
      <c r="K19" s="56">
        <f t="shared" si="0"/>
        <v>3.8252000000000002</v>
      </c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  <c r="W19" s="54">
        <v>1.27</v>
      </c>
      <c r="X19" s="54"/>
      <c r="Y19" s="54">
        <v>2.9</v>
      </c>
      <c r="Z19" s="55"/>
      <c r="AA19" s="54"/>
      <c r="AB19" s="54"/>
      <c r="AC19" s="54"/>
      <c r="AD19" s="55"/>
      <c r="AE19" s="56">
        <f t="shared" si="1"/>
        <v>3.6829999999999998</v>
      </c>
    </row>
    <row r="20" spans="1:31" ht="25.5" x14ac:dyDescent="0.25">
      <c r="A20" s="449"/>
      <c r="B20" s="53" t="s">
        <v>626</v>
      </c>
      <c r="C20" s="54">
        <v>0.6</v>
      </c>
      <c r="D20" s="54"/>
      <c r="E20" s="54">
        <v>0.97</v>
      </c>
      <c r="F20" s="55"/>
      <c r="G20" s="54"/>
      <c r="H20" s="54"/>
      <c r="I20" s="54"/>
      <c r="J20" s="55"/>
      <c r="K20" s="56">
        <f t="shared" si="0"/>
        <v>0.58199999999999996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  <c r="W20" s="54">
        <v>0.7</v>
      </c>
      <c r="X20" s="54"/>
      <c r="Y20" s="54">
        <v>0.76</v>
      </c>
      <c r="Z20" s="55"/>
      <c r="AA20" s="54"/>
      <c r="AB20" s="54"/>
      <c r="AC20" s="54"/>
      <c r="AD20" s="55"/>
      <c r="AE20" s="56">
        <f t="shared" si="1"/>
        <v>0.53199999999999992</v>
      </c>
    </row>
    <row r="21" spans="1:31" ht="25.5" x14ac:dyDescent="0.25">
      <c r="A21" s="449"/>
      <c r="B21" s="53" t="s">
        <v>627</v>
      </c>
      <c r="C21" s="54">
        <v>0.6</v>
      </c>
      <c r="D21" s="54"/>
      <c r="E21" s="54">
        <v>0.95</v>
      </c>
      <c r="F21" s="55"/>
      <c r="G21" s="54"/>
      <c r="H21" s="54"/>
      <c r="I21" s="54"/>
      <c r="J21" s="55"/>
      <c r="K21" s="56">
        <f t="shared" si="0"/>
        <v>0.56999999999999995</v>
      </c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  <c r="W21" s="54">
        <v>3.71</v>
      </c>
      <c r="X21" s="54"/>
      <c r="Y21" s="54">
        <v>2.87</v>
      </c>
      <c r="Z21" s="55"/>
      <c r="AA21" s="54"/>
      <c r="AB21" s="54"/>
      <c r="AC21" s="54"/>
      <c r="AD21" s="55"/>
      <c r="AE21" s="56">
        <f t="shared" si="1"/>
        <v>10.6477</v>
      </c>
    </row>
    <row r="22" spans="1:31" ht="38.25" x14ac:dyDescent="0.25">
      <c r="A22" s="449"/>
      <c r="B22" s="53" t="s">
        <v>628</v>
      </c>
      <c r="C22" s="54">
        <v>0.68</v>
      </c>
      <c r="D22" s="54"/>
      <c r="E22" s="54">
        <v>0.75</v>
      </c>
      <c r="F22" s="55"/>
      <c r="G22" s="54"/>
      <c r="H22" s="54"/>
      <c r="I22" s="54"/>
      <c r="J22" s="55"/>
      <c r="K22" s="56">
        <f t="shared" si="0"/>
        <v>0.51</v>
      </c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31" ht="25.5" x14ac:dyDescent="0.25">
      <c r="A23" s="449"/>
      <c r="B23" s="53" t="s">
        <v>629</v>
      </c>
      <c r="C23" s="54">
        <v>2.85</v>
      </c>
      <c r="D23" s="54"/>
      <c r="E23" s="54">
        <v>3.07</v>
      </c>
      <c r="F23" s="55"/>
      <c r="G23" s="54"/>
      <c r="H23" s="54"/>
      <c r="I23" s="54"/>
      <c r="J23" s="55"/>
      <c r="K23" s="56">
        <f t="shared" si="0"/>
        <v>8.7494999999999994</v>
      </c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31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3"/>
      <c r="N24" s="454"/>
      <c r="O24" s="454"/>
      <c r="P24" s="454"/>
      <c r="Q24" s="454"/>
      <c r="R24" s="454"/>
      <c r="S24" s="454"/>
      <c r="T24" s="454"/>
      <c r="U24" s="454"/>
      <c r="V24" s="455"/>
    </row>
    <row r="25" spans="1:31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3"/>
      <c r="N25" s="454"/>
      <c r="O25" s="454"/>
      <c r="P25" s="454"/>
      <c r="Q25" s="454"/>
      <c r="R25" s="454"/>
      <c r="S25" s="454"/>
      <c r="T25" s="454"/>
      <c r="U25" s="454"/>
      <c r="V25" s="455"/>
    </row>
    <row r="26" spans="1:31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56"/>
      <c r="N26" s="457"/>
      <c r="O26" s="457"/>
      <c r="P26" s="457"/>
      <c r="Q26" s="457"/>
      <c r="R26" s="457"/>
      <c r="S26" s="457"/>
      <c r="T26" s="457"/>
      <c r="U26" s="457"/>
      <c r="V26" s="458"/>
    </row>
    <row r="27" spans="1:31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59" t="s">
        <v>142</v>
      </c>
      <c r="N27" s="460"/>
      <c r="O27" s="460"/>
      <c r="P27" s="460"/>
      <c r="Q27" s="460"/>
      <c r="R27" s="460"/>
      <c r="S27" s="460"/>
      <c r="T27" s="460"/>
      <c r="U27" s="460"/>
      <c r="V27" s="461"/>
    </row>
    <row r="28" spans="1:31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31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31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31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31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65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2"/>
      <c r="N34" s="463"/>
      <c r="O34" s="463"/>
      <c r="P34" s="463"/>
      <c r="Q34" s="463"/>
      <c r="R34" s="463"/>
      <c r="S34" s="463"/>
      <c r="T34" s="463"/>
      <c r="U34" s="463"/>
      <c r="V34" s="464"/>
    </row>
    <row r="35" spans="1:22" x14ac:dyDescent="0.25">
      <c r="A35" s="449"/>
      <c r="B35" s="65"/>
      <c r="C35" s="54"/>
      <c r="D35" s="54"/>
      <c r="E35" s="54"/>
      <c r="F35" s="55"/>
      <c r="G35" s="54"/>
      <c r="H35" s="54"/>
      <c r="I35" s="54"/>
      <c r="J35" s="55"/>
      <c r="K35" s="56"/>
      <c r="L35" s="57"/>
      <c r="M35" s="462"/>
      <c r="N35" s="463"/>
      <c r="O35" s="463"/>
      <c r="P35" s="463"/>
      <c r="Q35" s="463"/>
      <c r="R35" s="463"/>
      <c r="S35" s="463"/>
      <c r="T35" s="463"/>
      <c r="U35" s="463"/>
      <c r="V35" s="464"/>
    </row>
    <row r="36" spans="1:22" x14ac:dyDescent="0.25">
      <c r="A36" s="449"/>
      <c r="B36" s="53"/>
      <c r="C36" s="54"/>
      <c r="D36" s="54"/>
      <c r="E36" s="54"/>
      <c r="F36" s="55"/>
      <c r="G36" s="54"/>
      <c r="H36" s="54"/>
      <c r="I36" s="54"/>
      <c r="J36" s="55"/>
      <c r="K36" s="56"/>
      <c r="L36" s="57"/>
      <c r="M36" s="465"/>
      <c r="N36" s="466"/>
      <c r="O36" s="466"/>
      <c r="P36" s="466"/>
      <c r="Q36" s="466"/>
      <c r="R36" s="466"/>
      <c r="S36" s="466"/>
      <c r="T36" s="466"/>
      <c r="U36" s="466"/>
      <c r="V36" s="467"/>
    </row>
    <row r="37" spans="1:22" x14ac:dyDescent="0.25">
      <c r="A37" s="44"/>
      <c r="B37" s="47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ht="18" x14ac:dyDescent="0.35">
      <c r="A38" s="58" t="s">
        <v>105</v>
      </c>
      <c r="B38" s="444"/>
      <c r="C38" s="444"/>
      <c r="D38" s="44"/>
      <c r="E38" s="44"/>
      <c r="G38" s="44"/>
      <c r="H38" s="44"/>
      <c r="I38" s="44"/>
      <c r="J38" s="59">
        <f>SUM(J13:J37)</f>
        <v>0</v>
      </c>
      <c r="K38" s="60">
        <f>SUM(K13:K37)</f>
        <v>57.092700000000001</v>
      </c>
      <c r="L38" s="61" t="str">
        <f>+'[2]PRESUPUESTO (en construccion)'!D18</f>
        <v>M2</v>
      </c>
      <c r="M38" s="44"/>
      <c r="N38" s="44"/>
      <c r="O38" s="44"/>
      <c r="P38" s="44"/>
      <c r="Q38" s="44"/>
      <c r="R38" s="44"/>
      <c r="S38" s="44"/>
      <c r="T38" s="44"/>
      <c r="U38" s="44"/>
      <c r="V38" s="44"/>
    </row>
    <row r="39" spans="1:22" x14ac:dyDescent="0.25">
      <c r="A39" s="44"/>
      <c r="B39" s="47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</row>
    <row r="40" spans="1:22" x14ac:dyDescent="0.25">
      <c r="A40" s="62" t="s">
        <v>143</v>
      </c>
      <c r="B40" s="63"/>
      <c r="C40" s="62"/>
      <c r="D40" s="62"/>
      <c r="E40" s="62"/>
      <c r="F40" s="62"/>
      <c r="G40" s="62"/>
      <c r="H40" s="62"/>
      <c r="I40" s="62"/>
      <c r="J40" s="445" t="s">
        <v>144</v>
      </c>
      <c r="K40" s="445"/>
      <c r="L40" s="445"/>
      <c r="M40" s="445"/>
      <c r="N40" s="445"/>
      <c r="O40" s="445"/>
      <c r="P40" s="445"/>
      <c r="Q40" s="445"/>
      <c r="R40" s="445"/>
      <c r="S40" s="445"/>
      <c r="T40" s="445"/>
      <c r="U40" s="445"/>
      <c r="V40" s="445"/>
    </row>
    <row r="41" spans="1:22" x14ac:dyDescent="0.25">
      <c r="A41" s="64" t="s">
        <v>89</v>
      </c>
      <c r="B41" s="445"/>
      <c r="C41" s="445"/>
      <c r="D41" s="445"/>
      <c r="E41" s="445"/>
      <c r="F41" s="445"/>
      <c r="G41" s="445"/>
      <c r="H41" s="445"/>
      <c r="I41" s="445"/>
      <c r="J41" s="445"/>
      <c r="K41" s="445"/>
      <c r="L41" s="445"/>
      <c r="M41" s="445"/>
      <c r="N41" s="445"/>
      <c r="O41" s="445"/>
      <c r="P41" s="445"/>
      <c r="Q41" s="445"/>
      <c r="R41" s="445"/>
      <c r="S41" s="445"/>
      <c r="T41" s="445"/>
      <c r="U41" s="445"/>
      <c r="V41" s="445"/>
    </row>
  </sheetData>
  <mergeCells count="29">
    <mergeCell ref="A1:A3"/>
    <mergeCell ref="B1:R3"/>
    <mergeCell ref="S1:V3"/>
    <mergeCell ref="B5:I5"/>
    <mergeCell ref="K5:L5"/>
    <mergeCell ref="M5:V5"/>
    <mergeCell ref="B6:I6"/>
    <mergeCell ref="K6:L6"/>
    <mergeCell ref="M6:V6"/>
    <mergeCell ref="B7:I7"/>
    <mergeCell ref="B9:I9"/>
    <mergeCell ref="K9:L9"/>
    <mergeCell ref="M9:V9"/>
    <mergeCell ref="A13:A36"/>
    <mergeCell ref="M13:V26"/>
    <mergeCell ref="M27:V36"/>
    <mergeCell ref="A11:A12"/>
    <mergeCell ref="B11:B12"/>
    <mergeCell ref="C11:E11"/>
    <mergeCell ref="F11:F12"/>
    <mergeCell ref="G11:I11"/>
    <mergeCell ref="J11:J12"/>
    <mergeCell ref="W12:AE12"/>
    <mergeCell ref="B38:C38"/>
    <mergeCell ref="J40:V41"/>
    <mergeCell ref="B41:I41"/>
    <mergeCell ref="K11:K12"/>
    <mergeCell ref="L11:L12"/>
    <mergeCell ref="M11:V1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F41"/>
  <sheetViews>
    <sheetView topLeftCell="A3" zoomScale="85" zoomScaleNormal="85" workbookViewId="0">
      <selection activeCell="E16" sqref="E16"/>
    </sheetView>
  </sheetViews>
  <sheetFormatPr baseColWidth="10" defaultRowHeight="15" x14ac:dyDescent="0.25"/>
  <cols>
    <col min="1" max="1" width="91.7109375" customWidth="1"/>
    <col min="2" max="2" width="20.14062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3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3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3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3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3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3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3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3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32" ht="44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160</v>
      </c>
      <c r="L9" s="445"/>
      <c r="M9" s="473" t="str">
        <f>+PRESUPUESTO!B15</f>
        <v>PICADO, RASPADO Y  ALISTADO DE BASE  EN MURO PARA  ENCHAPE DE BAÑOS  INCLUYE RETIRO Y DISPOSICION FINAL DE ESCOMBROS.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3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3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133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32" ht="38.25" x14ac:dyDescent="0.25">
      <c r="A12" s="446"/>
      <c r="B12" s="446"/>
      <c r="C12" s="52" t="s">
        <v>138</v>
      </c>
      <c r="D12" s="52" t="s">
        <v>139</v>
      </c>
      <c r="E12" s="52" t="s">
        <v>140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32" x14ac:dyDescent="0.25">
      <c r="A13" s="449"/>
      <c r="B13" s="65" t="s">
        <v>153</v>
      </c>
      <c r="C13" s="54">
        <v>1.39</v>
      </c>
      <c r="D13" s="54"/>
      <c r="E13" s="54">
        <v>2.95</v>
      </c>
      <c r="F13" s="55"/>
      <c r="G13" s="54"/>
      <c r="H13" s="54"/>
      <c r="I13" s="54"/>
      <c r="J13" s="55"/>
      <c r="K13" s="56">
        <f>+C13*E13</f>
        <v>4.1005000000000003</v>
      </c>
      <c r="L13" s="57" t="s">
        <v>141</v>
      </c>
      <c r="M13" s="450"/>
      <c r="N13" s="451"/>
      <c r="O13" s="451"/>
      <c r="P13" s="451"/>
      <c r="Q13" s="451"/>
      <c r="R13" s="451"/>
      <c r="S13" s="451"/>
      <c r="T13" s="451"/>
      <c r="U13" s="451"/>
      <c r="V13" s="452"/>
      <c r="X13" s="54">
        <v>1.39</v>
      </c>
      <c r="Y13" s="54"/>
      <c r="Z13" s="54">
        <v>2.95</v>
      </c>
      <c r="AA13" s="55"/>
      <c r="AB13" s="54"/>
      <c r="AC13" s="54"/>
      <c r="AD13" s="54"/>
      <c r="AE13" s="55"/>
      <c r="AF13" s="56">
        <f>+X13*Z13</f>
        <v>4.1005000000000003</v>
      </c>
    </row>
    <row r="14" spans="1:32" x14ac:dyDescent="0.25">
      <c r="A14" s="449"/>
      <c r="B14" s="65"/>
      <c r="C14" s="54">
        <v>1.41</v>
      </c>
      <c r="D14" s="54"/>
      <c r="E14" s="54">
        <v>2.95</v>
      </c>
      <c r="F14" s="55"/>
      <c r="G14" s="54"/>
      <c r="H14" s="54"/>
      <c r="I14" s="54"/>
      <c r="J14" s="55"/>
      <c r="K14" s="56">
        <f>+C14*E14</f>
        <v>4.1595000000000004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  <c r="X14" s="54">
        <v>1.41</v>
      </c>
      <c r="Y14" s="54"/>
      <c r="Z14" s="54">
        <v>2.95</v>
      </c>
      <c r="AA14" s="55"/>
      <c r="AB14" s="54"/>
      <c r="AC14" s="54"/>
      <c r="AD14" s="54"/>
      <c r="AE14" s="55"/>
      <c r="AF14" s="56">
        <f>+X14*Z14</f>
        <v>4.1595000000000004</v>
      </c>
    </row>
    <row r="15" spans="1:32" x14ac:dyDescent="0.25">
      <c r="A15" s="449"/>
      <c r="B15" s="65"/>
      <c r="C15" s="54">
        <v>1.39</v>
      </c>
      <c r="D15" s="54"/>
      <c r="E15" s="54">
        <v>2.95</v>
      </c>
      <c r="F15" s="55"/>
      <c r="G15" s="54"/>
      <c r="H15" s="54"/>
      <c r="I15" s="54"/>
      <c r="J15" s="55"/>
      <c r="K15" s="56">
        <f>+C15*E15</f>
        <v>4.1005000000000003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  <c r="X15" s="54">
        <v>1.39</v>
      </c>
      <c r="Y15" s="54"/>
      <c r="Z15" s="54">
        <v>2.95</v>
      </c>
      <c r="AA15" s="55"/>
      <c r="AB15" s="54"/>
      <c r="AC15" s="54"/>
      <c r="AD15" s="54"/>
      <c r="AE15" s="55"/>
      <c r="AF15" s="56">
        <f>+X15*Z15</f>
        <v>4.1005000000000003</v>
      </c>
    </row>
    <row r="16" spans="1:32" x14ac:dyDescent="0.25">
      <c r="A16" s="449"/>
      <c r="B16" s="65"/>
      <c r="C16" s="54">
        <v>0.66</v>
      </c>
      <c r="D16" s="54"/>
      <c r="E16" s="54">
        <v>2.95</v>
      </c>
      <c r="F16" s="55"/>
      <c r="G16" s="54"/>
      <c r="H16" s="54"/>
      <c r="I16" s="54"/>
      <c r="J16" s="55"/>
      <c r="K16" s="56">
        <f>+C16*E16</f>
        <v>1.9470000000000003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  <c r="X16" s="54">
        <v>0.66</v>
      </c>
      <c r="Y16" s="54"/>
      <c r="Z16" s="54">
        <v>2.95</v>
      </c>
      <c r="AA16" s="55"/>
      <c r="AB16" s="54"/>
      <c r="AC16" s="54"/>
      <c r="AD16" s="54"/>
      <c r="AE16" s="55"/>
      <c r="AF16" s="56">
        <f>+X16*Z16</f>
        <v>1.9470000000000003</v>
      </c>
    </row>
    <row r="17" spans="1:32" x14ac:dyDescent="0.25">
      <c r="A17" s="449"/>
      <c r="B17" s="65" t="s">
        <v>154</v>
      </c>
      <c r="C17" s="54">
        <v>1.39</v>
      </c>
      <c r="D17" s="54"/>
      <c r="E17" s="54">
        <v>2.95</v>
      </c>
      <c r="F17" s="55"/>
      <c r="G17" s="54"/>
      <c r="H17" s="54"/>
      <c r="I17" s="54"/>
      <c r="J17" s="55"/>
      <c r="K17" s="56">
        <f t="shared" ref="K17:K27" si="0">+C17*E17</f>
        <v>4.1005000000000003</v>
      </c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  <c r="X17" s="54">
        <v>1.39</v>
      </c>
      <c r="Y17" s="54"/>
      <c r="Z17" s="54">
        <v>2.95</v>
      </c>
      <c r="AA17" s="55"/>
      <c r="AB17" s="54"/>
      <c r="AC17" s="54"/>
      <c r="AD17" s="54"/>
      <c r="AE17" s="55"/>
      <c r="AF17" s="56">
        <f t="shared" ref="AF17:AF27" si="1">+X17*Z17</f>
        <v>4.1005000000000003</v>
      </c>
    </row>
    <row r="18" spans="1:32" x14ac:dyDescent="0.25">
      <c r="A18" s="449"/>
      <c r="B18" s="65"/>
      <c r="C18" s="54">
        <v>1.35</v>
      </c>
      <c r="D18" s="54"/>
      <c r="E18" s="54">
        <v>2.95</v>
      </c>
      <c r="F18" s="55"/>
      <c r="G18" s="54"/>
      <c r="H18" s="54"/>
      <c r="I18" s="54"/>
      <c r="J18" s="55"/>
      <c r="K18" s="56">
        <f t="shared" si="0"/>
        <v>3.9825000000000004</v>
      </c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  <c r="X18" s="54">
        <v>1.35</v>
      </c>
      <c r="Y18" s="54"/>
      <c r="Z18" s="54">
        <v>2.95</v>
      </c>
      <c r="AA18" s="55"/>
      <c r="AB18" s="54"/>
      <c r="AC18" s="54"/>
      <c r="AD18" s="54"/>
      <c r="AE18" s="55"/>
      <c r="AF18" s="56">
        <f t="shared" si="1"/>
        <v>3.9825000000000004</v>
      </c>
    </row>
    <row r="19" spans="1:32" x14ac:dyDescent="0.25">
      <c r="A19" s="449"/>
      <c r="B19" s="65"/>
      <c r="C19" s="54">
        <v>1.39</v>
      </c>
      <c r="D19" s="54"/>
      <c r="E19" s="54">
        <v>2.95</v>
      </c>
      <c r="F19" s="55"/>
      <c r="G19" s="54"/>
      <c r="H19" s="54"/>
      <c r="I19" s="54"/>
      <c r="J19" s="55"/>
      <c r="K19" s="56">
        <f t="shared" si="0"/>
        <v>4.1005000000000003</v>
      </c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  <c r="X19" s="54">
        <v>1.39</v>
      </c>
      <c r="Y19" s="54"/>
      <c r="Z19" s="54">
        <v>2.95</v>
      </c>
      <c r="AA19" s="55"/>
      <c r="AB19" s="54"/>
      <c r="AC19" s="54"/>
      <c r="AD19" s="54"/>
      <c r="AE19" s="55"/>
      <c r="AF19" s="56">
        <f t="shared" si="1"/>
        <v>4.1005000000000003</v>
      </c>
    </row>
    <row r="20" spans="1:32" x14ac:dyDescent="0.25">
      <c r="A20" s="449"/>
      <c r="B20" s="53"/>
      <c r="C20" s="54">
        <v>0.66</v>
      </c>
      <c r="D20" s="54"/>
      <c r="E20" s="54">
        <v>2.95</v>
      </c>
      <c r="F20" s="55"/>
      <c r="G20" s="54"/>
      <c r="H20" s="54"/>
      <c r="I20" s="54"/>
      <c r="J20" s="55"/>
      <c r="K20" s="56">
        <f t="shared" si="0"/>
        <v>1.9470000000000003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  <c r="X20" s="54">
        <v>0.66</v>
      </c>
      <c r="Y20" s="54"/>
      <c r="Z20" s="54">
        <v>2.95</v>
      </c>
      <c r="AA20" s="55"/>
      <c r="AB20" s="54"/>
      <c r="AC20" s="54"/>
      <c r="AD20" s="54"/>
      <c r="AE20" s="55"/>
      <c r="AF20" s="56">
        <f t="shared" si="1"/>
        <v>1.9470000000000003</v>
      </c>
    </row>
    <row r="21" spans="1:32" x14ac:dyDescent="0.25">
      <c r="A21" s="449"/>
      <c r="B21" s="65" t="s">
        <v>231</v>
      </c>
      <c r="C21" s="54">
        <v>2.9</v>
      </c>
      <c r="D21" s="54"/>
      <c r="E21" s="54">
        <v>2.95</v>
      </c>
      <c r="F21" s="55"/>
      <c r="G21" s="54"/>
      <c r="H21" s="54"/>
      <c r="I21" s="54"/>
      <c r="J21" s="55"/>
      <c r="K21" s="56">
        <f t="shared" si="0"/>
        <v>8.5549999999999997</v>
      </c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  <c r="X21" s="54">
        <v>2.9</v>
      </c>
      <c r="Y21" s="54"/>
      <c r="Z21" s="54">
        <v>2.95</v>
      </c>
      <c r="AA21" s="55"/>
      <c r="AB21" s="54"/>
      <c r="AC21" s="54"/>
      <c r="AD21" s="54"/>
      <c r="AE21" s="55"/>
      <c r="AF21" s="56">
        <f t="shared" si="1"/>
        <v>8.5549999999999997</v>
      </c>
    </row>
    <row r="22" spans="1:32" x14ac:dyDescent="0.25">
      <c r="A22" s="449"/>
      <c r="B22" s="65"/>
      <c r="C22" s="54">
        <v>1.27</v>
      </c>
      <c r="D22" s="54"/>
      <c r="E22" s="54">
        <v>2.95</v>
      </c>
      <c r="F22" s="55"/>
      <c r="G22" s="54"/>
      <c r="H22" s="54"/>
      <c r="I22" s="54"/>
      <c r="J22" s="55"/>
      <c r="K22" s="56">
        <f t="shared" si="0"/>
        <v>3.7465000000000002</v>
      </c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  <c r="X22" s="54">
        <v>1.27</v>
      </c>
      <c r="Y22" s="54"/>
      <c r="Z22" s="54">
        <v>2.95</v>
      </c>
      <c r="AA22" s="55"/>
      <c r="AB22" s="54"/>
      <c r="AC22" s="54"/>
      <c r="AD22" s="54"/>
      <c r="AE22" s="55"/>
      <c r="AF22" s="56">
        <f t="shared" si="1"/>
        <v>3.7465000000000002</v>
      </c>
    </row>
    <row r="23" spans="1:32" x14ac:dyDescent="0.25">
      <c r="A23" s="449"/>
      <c r="B23" s="65"/>
      <c r="C23" s="54">
        <v>1.1499999999999999</v>
      </c>
      <c r="D23" s="54"/>
      <c r="E23" s="54">
        <v>2.95</v>
      </c>
      <c r="F23" s="55"/>
      <c r="G23" s="54"/>
      <c r="H23" s="54"/>
      <c r="I23" s="54"/>
      <c r="J23" s="55"/>
      <c r="K23" s="56">
        <f t="shared" si="0"/>
        <v>3.3925000000000001</v>
      </c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  <c r="X23" s="54">
        <v>1.1499999999999999</v>
      </c>
      <c r="Y23" s="54"/>
      <c r="Z23" s="54">
        <v>2.95</v>
      </c>
      <c r="AA23" s="55"/>
      <c r="AB23" s="54"/>
      <c r="AC23" s="54"/>
      <c r="AD23" s="54"/>
      <c r="AE23" s="55"/>
      <c r="AF23" s="56">
        <f t="shared" si="1"/>
        <v>3.3925000000000001</v>
      </c>
    </row>
    <row r="24" spans="1:32" x14ac:dyDescent="0.25">
      <c r="A24" s="449"/>
      <c r="B24" s="65"/>
      <c r="C24" s="54">
        <v>0.76</v>
      </c>
      <c r="D24" s="54"/>
      <c r="E24" s="54">
        <v>2.95</v>
      </c>
      <c r="F24" s="55"/>
      <c r="G24" s="54"/>
      <c r="H24" s="54"/>
      <c r="I24" s="54"/>
      <c r="J24" s="55"/>
      <c r="K24" s="56">
        <f t="shared" si="0"/>
        <v>2.242</v>
      </c>
      <c r="L24" s="57"/>
      <c r="M24" s="453"/>
      <c r="N24" s="454"/>
      <c r="O24" s="454"/>
      <c r="P24" s="454"/>
      <c r="Q24" s="454"/>
      <c r="R24" s="454"/>
      <c r="S24" s="454"/>
      <c r="T24" s="454"/>
      <c r="U24" s="454"/>
      <c r="V24" s="455"/>
      <c r="X24" s="54">
        <v>0.76</v>
      </c>
      <c r="Y24" s="54"/>
      <c r="Z24" s="54">
        <v>2.95</v>
      </c>
      <c r="AA24" s="55"/>
      <c r="AB24" s="54"/>
      <c r="AC24" s="54"/>
      <c r="AD24" s="54"/>
      <c r="AE24" s="55"/>
      <c r="AF24" s="56">
        <f t="shared" si="1"/>
        <v>2.242</v>
      </c>
    </row>
    <row r="25" spans="1:32" x14ac:dyDescent="0.25">
      <c r="A25" s="449"/>
      <c r="B25" s="65"/>
      <c r="C25" s="54">
        <v>0.76</v>
      </c>
      <c r="D25" s="54"/>
      <c r="E25" s="54">
        <v>2.95</v>
      </c>
      <c r="F25" s="55"/>
      <c r="G25" s="54"/>
      <c r="H25" s="54"/>
      <c r="I25" s="54"/>
      <c r="J25" s="55"/>
      <c r="K25" s="56">
        <f t="shared" si="0"/>
        <v>2.242</v>
      </c>
      <c r="L25" s="57"/>
      <c r="M25" s="453"/>
      <c r="N25" s="454"/>
      <c r="O25" s="454"/>
      <c r="P25" s="454"/>
      <c r="Q25" s="454"/>
      <c r="R25" s="454"/>
      <c r="S25" s="454"/>
      <c r="T25" s="454"/>
      <c r="U25" s="454"/>
      <c r="V25" s="455"/>
      <c r="X25" s="54">
        <v>0.76</v>
      </c>
      <c r="Y25" s="54"/>
      <c r="Z25" s="54">
        <v>2.95</v>
      </c>
      <c r="AA25" s="55"/>
      <c r="AB25" s="54"/>
      <c r="AC25" s="54"/>
      <c r="AD25" s="54"/>
      <c r="AE25" s="55"/>
      <c r="AF25" s="56">
        <f t="shared" si="1"/>
        <v>2.242</v>
      </c>
    </row>
    <row r="26" spans="1:32" x14ac:dyDescent="0.25">
      <c r="A26" s="449"/>
      <c r="B26" s="65"/>
      <c r="C26" s="54">
        <v>1.08</v>
      </c>
      <c r="D26" s="54"/>
      <c r="E26" s="54">
        <v>2.95</v>
      </c>
      <c r="F26" s="55"/>
      <c r="G26" s="54"/>
      <c r="H26" s="54"/>
      <c r="I26" s="54"/>
      <c r="J26" s="55"/>
      <c r="K26" s="56">
        <f t="shared" si="0"/>
        <v>3.1860000000000004</v>
      </c>
      <c r="L26" s="57"/>
      <c r="M26" s="456"/>
      <c r="N26" s="457"/>
      <c r="O26" s="457"/>
      <c r="P26" s="457"/>
      <c r="Q26" s="457"/>
      <c r="R26" s="457"/>
      <c r="S26" s="457"/>
      <c r="T26" s="457"/>
      <c r="U26" s="457"/>
      <c r="V26" s="458"/>
      <c r="X26" s="54">
        <v>1.08</v>
      </c>
      <c r="Y26" s="54"/>
      <c r="Z26" s="54">
        <v>2.95</v>
      </c>
      <c r="AA26" s="55"/>
      <c r="AB26" s="54"/>
      <c r="AC26" s="54"/>
      <c r="AD26" s="54"/>
      <c r="AE26" s="55"/>
      <c r="AF26" s="56">
        <f t="shared" si="1"/>
        <v>3.1860000000000004</v>
      </c>
    </row>
    <row r="27" spans="1:32" x14ac:dyDescent="0.25">
      <c r="A27" s="449"/>
      <c r="B27" s="65"/>
      <c r="C27" s="54">
        <v>1.27</v>
      </c>
      <c r="D27" s="54"/>
      <c r="E27" s="54">
        <v>2.95</v>
      </c>
      <c r="F27" s="55"/>
      <c r="G27" s="54"/>
      <c r="H27" s="54"/>
      <c r="I27" s="54"/>
      <c r="J27" s="55"/>
      <c r="K27" s="56">
        <f t="shared" si="0"/>
        <v>3.7465000000000002</v>
      </c>
      <c r="L27" s="57"/>
      <c r="M27" s="459" t="s">
        <v>142</v>
      </c>
      <c r="N27" s="460"/>
      <c r="O27" s="460"/>
      <c r="P27" s="460"/>
      <c r="Q27" s="460"/>
      <c r="R27" s="460"/>
      <c r="S27" s="460"/>
      <c r="T27" s="460"/>
      <c r="U27" s="460"/>
      <c r="V27" s="461"/>
      <c r="X27" s="54">
        <v>1.27</v>
      </c>
      <c r="Y27" s="54"/>
      <c r="Z27" s="54">
        <v>2.95</v>
      </c>
      <c r="AA27" s="55"/>
      <c r="AB27" s="54"/>
      <c r="AC27" s="54"/>
      <c r="AD27" s="54"/>
      <c r="AE27" s="55"/>
      <c r="AF27" s="56">
        <f t="shared" si="1"/>
        <v>3.7465000000000002</v>
      </c>
    </row>
    <row r="28" spans="1:3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3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3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3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3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65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2"/>
      <c r="N34" s="463"/>
      <c r="O34" s="463"/>
      <c r="P34" s="463"/>
      <c r="Q34" s="463"/>
      <c r="R34" s="463"/>
      <c r="S34" s="463"/>
      <c r="T34" s="463"/>
      <c r="U34" s="463"/>
      <c r="V34" s="464"/>
    </row>
    <row r="35" spans="1:22" x14ac:dyDescent="0.25">
      <c r="A35" s="449"/>
      <c r="B35" s="65"/>
      <c r="C35" s="54"/>
      <c r="D35" s="54"/>
      <c r="E35" s="54"/>
      <c r="F35" s="55"/>
      <c r="G35" s="54"/>
      <c r="H35" s="54"/>
      <c r="I35" s="54"/>
      <c r="J35" s="55"/>
      <c r="K35" s="56"/>
      <c r="L35" s="57"/>
      <c r="M35" s="462"/>
      <c r="N35" s="463"/>
      <c r="O35" s="463"/>
      <c r="P35" s="463"/>
      <c r="Q35" s="463"/>
      <c r="R35" s="463"/>
      <c r="S35" s="463"/>
      <c r="T35" s="463"/>
      <c r="U35" s="463"/>
      <c r="V35" s="464"/>
    </row>
    <row r="36" spans="1:22" x14ac:dyDescent="0.25">
      <c r="A36" s="449"/>
      <c r="B36" s="53"/>
      <c r="C36" s="54"/>
      <c r="D36" s="54"/>
      <c r="E36" s="54"/>
      <c r="F36" s="55"/>
      <c r="G36" s="54"/>
      <c r="H36" s="54"/>
      <c r="I36" s="54"/>
      <c r="J36" s="55"/>
      <c r="K36" s="56"/>
      <c r="L36" s="57"/>
      <c r="M36" s="465"/>
      <c r="N36" s="466"/>
      <c r="O36" s="466"/>
      <c r="P36" s="466"/>
      <c r="Q36" s="466"/>
      <c r="R36" s="466"/>
      <c r="S36" s="466"/>
      <c r="T36" s="466"/>
      <c r="U36" s="466"/>
      <c r="V36" s="467"/>
    </row>
    <row r="37" spans="1:22" x14ac:dyDescent="0.25">
      <c r="A37" s="44"/>
      <c r="B37" s="47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ht="18" x14ac:dyDescent="0.35">
      <c r="A38" s="58" t="s">
        <v>105</v>
      </c>
      <c r="B38" s="444"/>
      <c r="C38" s="444"/>
      <c r="D38" s="44"/>
      <c r="E38" s="44"/>
      <c r="G38" s="44"/>
      <c r="H38" s="44"/>
      <c r="I38" s="44"/>
      <c r="J38" s="59">
        <f>SUM(J13:J37)</f>
        <v>0</v>
      </c>
      <c r="K38" s="60">
        <f>SUM(K13:K37)</f>
        <v>55.54849999999999</v>
      </c>
      <c r="L38" s="61" t="str">
        <f>+'[2]PRESUPUESTO (en construccion)'!D18</f>
        <v>M2</v>
      </c>
      <c r="M38" s="44"/>
      <c r="N38" s="44"/>
      <c r="O38" s="44"/>
      <c r="P38" s="44"/>
      <c r="Q38" s="44"/>
      <c r="R38" s="44"/>
      <c r="S38" s="44"/>
      <c r="T38" s="44"/>
      <c r="U38" s="44"/>
      <c r="V38" s="44"/>
    </row>
    <row r="39" spans="1:22" x14ac:dyDescent="0.25">
      <c r="A39" s="44"/>
      <c r="B39" s="47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</row>
    <row r="40" spans="1:22" x14ac:dyDescent="0.25">
      <c r="A40" s="62" t="s">
        <v>143</v>
      </c>
      <c r="B40" s="63"/>
      <c r="C40" s="62"/>
      <c r="D40" s="62"/>
      <c r="E40" s="62"/>
      <c r="F40" s="62"/>
      <c r="G40" s="62"/>
      <c r="H40" s="62"/>
      <c r="I40" s="62"/>
      <c r="J40" s="445" t="s">
        <v>144</v>
      </c>
      <c r="K40" s="445"/>
      <c r="L40" s="445"/>
      <c r="M40" s="445"/>
      <c r="N40" s="445"/>
      <c r="O40" s="445"/>
      <c r="P40" s="445"/>
      <c r="Q40" s="445"/>
      <c r="R40" s="445"/>
      <c r="S40" s="445"/>
      <c r="T40" s="445"/>
      <c r="U40" s="445"/>
      <c r="V40" s="445"/>
    </row>
    <row r="41" spans="1:22" x14ac:dyDescent="0.25">
      <c r="A41" s="64" t="s">
        <v>89</v>
      </c>
      <c r="B41" s="445"/>
      <c r="C41" s="445"/>
      <c r="D41" s="445"/>
      <c r="E41" s="445"/>
      <c r="F41" s="445"/>
      <c r="G41" s="445"/>
      <c r="H41" s="445"/>
      <c r="I41" s="445"/>
      <c r="J41" s="445"/>
      <c r="K41" s="445"/>
      <c r="L41" s="445"/>
      <c r="M41" s="445"/>
      <c r="N41" s="445"/>
      <c r="O41" s="445"/>
      <c r="P41" s="445"/>
      <c r="Q41" s="445"/>
      <c r="R41" s="445"/>
      <c r="S41" s="445"/>
      <c r="T41" s="445"/>
      <c r="U41" s="445"/>
      <c r="V41" s="445"/>
    </row>
  </sheetData>
  <mergeCells count="28">
    <mergeCell ref="A1:A3"/>
    <mergeCell ref="B1:R3"/>
    <mergeCell ref="S1:V3"/>
    <mergeCell ref="B5:I5"/>
    <mergeCell ref="K5:L5"/>
    <mergeCell ref="M5:V5"/>
    <mergeCell ref="B6:I6"/>
    <mergeCell ref="K6:L6"/>
    <mergeCell ref="M6:V6"/>
    <mergeCell ref="B7:I7"/>
    <mergeCell ref="B9:I9"/>
    <mergeCell ref="K9:L9"/>
    <mergeCell ref="M9:V9"/>
    <mergeCell ref="A13:A36"/>
    <mergeCell ref="M13:V26"/>
    <mergeCell ref="M27:V36"/>
    <mergeCell ref="A11:A12"/>
    <mergeCell ref="B11:B12"/>
    <mergeCell ref="C11:E11"/>
    <mergeCell ref="F11:F12"/>
    <mergeCell ref="G11:I11"/>
    <mergeCell ref="J11:J12"/>
    <mergeCell ref="B38:C38"/>
    <mergeCell ref="J40:V41"/>
    <mergeCell ref="B41:I41"/>
    <mergeCell ref="K11:K12"/>
    <mergeCell ref="L11:L12"/>
    <mergeCell ref="M11:V12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V41"/>
  <sheetViews>
    <sheetView topLeftCell="A4" zoomScale="85" zoomScaleNormal="85" workbookViewId="0">
      <selection activeCell="B15" sqref="B15"/>
    </sheetView>
  </sheetViews>
  <sheetFormatPr baseColWidth="10" defaultRowHeight="15" x14ac:dyDescent="0.25"/>
  <cols>
    <col min="1" max="1" width="91.7109375" customWidth="1"/>
    <col min="2" max="2" width="20.14062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44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162</v>
      </c>
      <c r="L9" s="445"/>
      <c r="M9" s="473" t="str">
        <f>+PRESUPUESTO!B16</f>
        <v>DEMOLICION DE DE MURO PARA PUERTA DE ACCESO NUEVO ENTRADA ALMACEN Y PLACA EN CONCRETO EXIISTENTE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133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140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ht="25.5" x14ac:dyDescent="0.25">
      <c r="A13" s="449"/>
      <c r="B13" s="53" t="s">
        <v>161</v>
      </c>
      <c r="C13" s="54">
        <v>2</v>
      </c>
      <c r="D13" s="54"/>
      <c r="E13" s="54">
        <v>0.8</v>
      </c>
      <c r="F13" s="55"/>
      <c r="G13" s="54"/>
      <c r="H13" s="54"/>
      <c r="I13" s="54"/>
      <c r="J13" s="55"/>
      <c r="K13" s="56">
        <f>+C13*E13</f>
        <v>1.6</v>
      </c>
      <c r="L13" s="57" t="s">
        <v>141</v>
      </c>
      <c r="M13" s="450"/>
      <c r="N13" s="451"/>
      <c r="O13" s="451"/>
      <c r="P13" s="451"/>
      <c r="Q13" s="451"/>
      <c r="R13" s="451"/>
      <c r="S13" s="451"/>
      <c r="T13" s="451"/>
      <c r="U13" s="451"/>
      <c r="V13" s="452"/>
    </row>
    <row r="14" spans="1:22" ht="25.5" x14ac:dyDescent="0.25">
      <c r="A14" s="449"/>
      <c r="B14" s="53" t="s">
        <v>277</v>
      </c>
      <c r="C14" s="54">
        <v>8.24</v>
      </c>
      <c r="D14" s="54"/>
      <c r="E14" s="54">
        <v>2</v>
      </c>
      <c r="F14" s="55"/>
      <c r="G14" s="54"/>
      <c r="H14" s="54"/>
      <c r="I14" s="54"/>
      <c r="J14" s="55"/>
      <c r="K14" s="92">
        <f>+C14*E14</f>
        <v>16.48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/>
      <c r="C15" s="54"/>
      <c r="D15" s="54"/>
      <c r="E15" s="54"/>
      <c r="F15" s="55"/>
      <c r="G15" s="54"/>
      <c r="H15" s="54"/>
      <c r="I15" s="54"/>
      <c r="J15" s="55"/>
      <c r="K15" s="56">
        <f>+C15*E15</f>
        <v>0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/>
      <c r="C16" s="54"/>
      <c r="D16" s="54"/>
      <c r="E16" s="54"/>
      <c r="F16" s="55"/>
      <c r="G16" s="54"/>
      <c r="H16" s="54"/>
      <c r="I16" s="54"/>
      <c r="J16" s="55"/>
      <c r="K16" s="56">
        <f>+C16*E16</f>
        <v>0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/>
      <c r="C17" s="54"/>
      <c r="D17" s="54"/>
      <c r="E17" s="54"/>
      <c r="F17" s="55"/>
      <c r="G17" s="54"/>
      <c r="H17" s="54"/>
      <c r="I17" s="54"/>
      <c r="J17" s="55"/>
      <c r="K17" s="56">
        <f t="shared" ref="K17:K21" si="0">+C17*E17</f>
        <v>0</v>
      </c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/>
      <c r="C18" s="54"/>
      <c r="D18" s="54"/>
      <c r="E18" s="54"/>
      <c r="F18" s="55"/>
      <c r="G18" s="54"/>
      <c r="H18" s="54"/>
      <c r="I18" s="54"/>
      <c r="J18" s="55"/>
      <c r="K18" s="56">
        <f t="shared" si="0"/>
        <v>0</v>
      </c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65"/>
      <c r="C19" s="54"/>
      <c r="D19" s="54"/>
      <c r="E19" s="54"/>
      <c r="F19" s="55"/>
      <c r="G19" s="54"/>
      <c r="H19" s="54"/>
      <c r="I19" s="54"/>
      <c r="J19" s="55"/>
      <c r="K19" s="56">
        <f t="shared" si="0"/>
        <v>0</v>
      </c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x14ac:dyDescent="0.25">
      <c r="A20" s="449"/>
      <c r="B20" s="53"/>
      <c r="C20" s="54"/>
      <c r="D20" s="54"/>
      <c r="E20" s="54"/>
      <c r="F20" s="55"/>
      <c r="G20" s="54"/>
      <c r="H20" s="54"/>
      <c r="I20" s="54"/>
      <c r="J20" s="55"/>
      <c r="K20" s="56">
        <f t="shared" si="0"/>
        <v>0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/>
      <c r="C21" s="54"/>
      <c r="D21" s="54"/>
      <c r="E21" s="54"/>
      <c r="F21" s="55"/>
      <c r="G21" s="54"/>
      <c r="H21" s="54"/>
      <c r="I21" s="54"/>
      <c r="J21" s="55"/>
      <c r="K21" s="56">
        <f t="shared" si="0"/>
        <v>0</v>
      </c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/>
      <c r="C22" s="54"/>
      <c r="D22" s="54"/>
      <c r="E22" s="54"/>
      <c r="F22" s="55"/>
      <c r="G22" s="54"/>
      <c r="H22" s="54"/>
      <c r="I22" s="54"/>
      <c r="J22" s="55"/>
      <c r="K22" s="56"/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/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3"/>
      <c r="N24" s="454"/>
      <c r="O24" s="454"/>
      <c r="P24" s="454"/>
      <c r="Q24" s="454"/>
      <c r="R24" s="454"/>
      <c r="S24" s="454"/>
      <c r="T24" s="454"/>
      <c r="U24" s="454"/>
      <c r="V24" s="455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3"/>
      <c r="N25" s="454"/>
      <c r="O25" s="454"/>
      <c r="P25" s="454"/>
      <c r="Q25" s="454"/>
      <c r="R25" s="454"/>
      <c r="S25" s="454"/>
      <c r="T25" s="454"/>
      <c r="U25" s="454"/>
      <c r="V25" s="455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56"/>
      <c r="N26" s="457"/>
      <c r="O26" s="457"/>
      <c r="P26" s="457"/>
      <c r="Q26" s="457"/>
      <c r="R26" s="457"/>
      <c r="S26" s="457"/>
      <c r="T26" s="457"/>
      <c r="U26" s="457"/>
      <c r="V26" s="458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59" t="s">
        <v>142</v>
      </c>
      <c r="N27" s="460"/>
      <c r="O27" s="460"/>
      <c r="P27" s="460"/>
      <c r="Q27" s="460"/>
      <c r="R27" s="460"/>
      <c r="S27" s="460"/>
      <c r="T27" s="460"/>
      <c r="U27" s="460"/>
      <c r="V27" s="461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65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2"/>
      <c r="N34" s="463"/>
      <c r="O34" s="463"/>
      <c r="P34" s="463"/>
      <c r="Q34" s="463"/>
      <c r="R34" s="463"/>
      <c r="S34" s="463"/>
      <c r="T34" s="463"/>
      <c r="U34" s="463"/>
      <c r="V34" s="464"/>
    </row>
    <row r="35" spans="1:22" x14ac:dyDescent="0.25">
      <c r="A35" s="449"/>
      <c r="B35" s="65"/>
      <c r="C35" s="54"/>
      <c r="D35" s="54"/>
      <c r="E35" s="54"/>
      <c r="F35" s="55"/>
      <c r="G35" s="54"/>
      <c r="H35" s="54"/>
      <c r="I35" s="54"/>
      <c r="J35" s="55"/>
      <c r="K35" s="56"/>
      <c r="L35" s="57"/>
      <c r="M35" s="462"/>
      <c r="N35" s="463"/>
      <c r="O35" s="463"/>
      <c r="P35" s="463"/>
      <c r="Q35" s="463"/>
      <c r="R35" s="463"/>
      <c r="S35" s="463"/>
      <c r="T35" s="463"/>
      <c r="U35" s="463"/>
      <c r="V35" s="464"/>
    </row>
    <row r="36" spans="1:22" x14ac:dyDescent="0.25">
      <c r="A36" s="449"/>
      <c r="B36" s="53"/>
      <c r="C36" s="54"/>
      <c r="D36" s="54"/>
      <c r="E36" s="54"/>
      <c r="F36" s="55"/>
      <c r="G36" s="54"/>
      <c r="H36" s="54"/>
      <c r="I36" s="54"/>
      <c r="J36" s="55"/>
      <c r="K36" s="56"/>
      <c r="L36" s="57"/>
      <c r="M36" s="465"/>
      <c r="N36" s="466"/>
      <c r="O36" s="466"/>
      <c r="P36" s="466"/>
      <c r="Q36" s="466"/>
      <c r="R36" s="466"/>
      <c r="S36" s="466"/>
      <c r="T36" s="466"/>
      <c r="U36" s="466"/>
      <c r="V36" s="467"/>
    </row>
    <row r="37" spans="1:22" x14ac:dyDescent="0.25">
      <c r="A37" s="44"/>
      <c r="B37" s="47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ht="18" x14ac:dyDescent="0.35">
      <c r="A38" s="58" t="s">
        <v>105</v>
      </c>
      <c r="B38" s="444"/>
      <c r="C38" s="444"/>
      <c r="D38" s="44"/>
      <c r="E38" s="44"/>
      <c r="G38" s="44"/>
      <c r="H38" s="44"/>
      <c r="I38" s="44"/>
      <c r="J38" s="59">
        <f>SUM(J13:J37)</f>
        <v>0</v>
      </c>
      <c r="K38" s="60">
        <f>SUM(K13:K37)</f>
        <v>18.080000000000002</v>
      </c>
      <c r="L38" s="61" t="str">
        <f>+'[2]PRESUPUESTO (en construccion)'!D18</f>
        <v>M2</v>
      </c>
      <c r="M38" s="44"/>
      <c r="N38" s="44"/>
      <c r="O38" s="44"/>
      <c r="P38" s="44"/>
      <c r="Q38" s="44"/>
      <c r="R38" s="44"/>
      <c r="S38" s="44"/>
      <c r="T38" s="44"/>
      <c r="U38" s="44"/>
      <c r="V38" s="44"/>
    </row>
    <row r="39" spans="1:22" x14ac:dyDescent="0.25">
      <c r="A39" s="44"/>
      <c r="B39" s="47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</row>
    <row r="40" spans="1:22" x14ac:dyDescent="0.25">
      <c r="A40" s="62" t="s">
        <v>143</v>
      </c>
      <c r="B40" s="63"/>
      <c r="C40" s="62"/>
      <c r="D40" s="62"/>
      <c r="E40" s="62"/>
      <c r="F40" s="62"/>
      <c r="G40" s="62"/>
      <c r="H40" s="62"/>
      <c r="I40" s="62"/>
      <c r="J40" s="445" t="s">
        <v>144</v>
      </c>
      <c r="K40" s="445"/>
      <c r="L40" s="445"/>
      <c r="M40" s="445"/>
      <c r="N40" s="445"/>
      <c r="O40" s="445"/>
      <c r="P40" s="445"/>
      <c r="Q40" s="445"/>
      <c r="R40" s="445"/>
      <c r="S40" s="445"/>
      <c r="T40" s="445"/>
      <c r="U40" s="445"/>
      <c r="V40" s="445"/>
    </row>
    <row r="41" spans="1:22" x14ac:dyDescent="0.25">
      <c r="A41" s="64" t="s">
        <v>89</v>
      </c>
      <c r="B41" s="445"/>
      <c r="C41" s="445"/>
      <c r="D41" s="445"/>
      <c r="E41" s="445"/>
      <c r="F41" s="445"/>
      <c r="G41" s="445"/>
      <c r="H41" s="445"/>
      <c r="I41" s="445"/>
      <c r="J41" s="445"/>
      <c r="K41" s="445"/>
      <c r="L41" s="445"/>
      <c r="M41" s="445"/>
      <c r="N41" s="445"/>
      <c r="O41" s="445"/>
      <c r="P41" s="445"/>
      <c r="Q41" s="445"/>
      <c r="R41" s="445"/>
      <c r="S41" s="445"/>
      <c r="T41" s="445"/>
      <c r="U41" s="445"/>
      <c r="V41" s="445"/>
    </row>
  </sheetData>
  <mergeCells count="28">
    <mergeCell ref="A1:A3"/>
    <mergeCell ref="B1:R3"/>
    <mergeCell ref="S1:V3"/>
    <mergeCell ref="B5:I5"/>
    <mergeCell ref="K5:L5"/>
    <mergeCell ref="M5:V5"/>
    <mergeCell ref="B6:I6"/>
    <mergeCell ref="K6:L6"/>
    <mergeCell ref="M6:V6"/>
    <mergeCell ref="B7:I7"/>
    <mergeCell ref="B9:I9"/>
    <mergeCell ref="K9:L9"/>
    <mergeCell ref="M9:V9"/>
    <mergeCell ref="A13:A36"/>
    <mergeCell ref="M13:V26"/>
    <mergeCell ref="M27:V36"/>
    <mergeCell ref="A11:A12"/>
    <mergeCell ref="B11:B12"/>
    <mergeCell ref="C11:E11"/>
    <mergeCell ref="F11:F12"/>
    <mergeCell ref="G11:I11"/>
    <mergeCell ref="J11:J12"/>
    <mergeCell ref="B38:C38"/>
    <mergeCell ref="J40:V41"/>
    <mergeCell ref="B41:I41"/>
    <mergeCell ref="K11:K12"/>
    <mergeCell ref="L11:L12"/>
    <mergeCell ref="M11:V12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V41"/>
  <sheetViews>
    <sheetView topLeftCell="A3" zoomScale="85" zoomScaleNormal="85" workbookViewId="0">
      <selection activeCell="D26" sqref="D26"/>
    </sheetView>
  </sheetViews>
  <sheetFormatPr baseColWidth="10" defaultRowHeight="15" x14ac:dyDescent="0.25"/>
  <cols>
    <col min="1" max="1" width="91.7109375" customWidth="1"/>
    <col min="2" max="2" width="28.2851562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44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163</v>
      </c>
      <c r="L9" s="445"/>
      <c r="M9" s="473" t="str">
        <f>+PRESUPUESTO!B17</f>
        <v>SUMINSTRO E INSTALACION  DE PAÑETE 1:4 PARA RESANE DE VANO DE PUERTA INCLUYES FILOS  Y DILATACIONES Y COMPLEMENTO EN MUROS COMPARTIDO DE BAÑOS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133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140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ht="25.5" x14ac:dyDescent="0.25">
      <c r="A13" s="449"/>
      <c r="B13" s="53" t="s">
        <v>161</v>
      </c>
      <c r="C13" s="54">
        <f>2+2+0.8</f>
        <v>4.8</v>
      </c>
      <c r="D13" s="54"/>
      <c r="E13" s="54">
        <v>1</v>
      </c>
      <c r="F13" s="55"/>
      <c r="G13" s="54"/>
      <c r="H13" s="54"/>
      <c r="I13" s="54"/>
      <c r="J13" s="55"/>
      <c r="K13" s="56">
        <f>+C13*E13</f>
        <v>4.8</v>
      </c>
      <c r="L13" s="57" t="s">
        <v>98</v>
      </c>
      <c r="M13" s="450"/>
      <c r="N13" s="451"/>
      <c r="O13" s="451"/>
      <c r="P13" s="451"/>
      <c r="Q13" s="451"/>
      <c r="R13" s="451"/>
      <c r="S13" s="451"/>
      <c r="T13" s="451"/>
      <c r="U13" s="451"/>
      <c r="V13" s="452"/>
    </row>
    <row r="14" spans="1:22" x14ac:dyDescent="0.25">
      <c r="A14" s="449"/>
      <c r="B14" s="65" t="s">
        <v>231</v>
      </c>
      <c r="C14" s="54">
        <v>2.9</v>
      </c>
      <c r="D14" s="54"/>
      <c r="E14" s="54">
        <v>2.95</v>
      </c>
      <c r="F14" s="55"/>
      <c r="G14" s="54"/>
      <c r="H14" s="54"/>
      <c r="I14" s="54"/>
      <c r="J14" s="55"/>
      <c r="K14" s="56">
        <f>+C14*E14</f>
        <v>8.5549999999999997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/>
      <c r="C15" s="54">
        <v>1.27</v>
      </c>
      <c r="D15" s="54"/>
      <c r="E15" s="54">
        <v>2.95</v>
      </c>
      <c r="F15" s="55"/>
      <c r="G15" s="54"/>
      <c r="H15" s="54"/>
      <c r="I15" s="54"/>
      <c r="J15" s="55"/>
      <c r="K15" s="56">
        <f>+C15*E15</f>
        <v>3.7465000000000002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/>
      <c r="C16" s="54">
        <v>1.1499999999999999</v>
      </c>
      <c r="D16" s="54"/>
      <c r="E16" s="54">
        <v>2.95</v>
      </c>
      <c r="F16" s="55"/>
      <c r="G16" s="54"/>
      <c r="H16" s="54"/>
      <c r="I16" s="54"/>
      <c r="J16" s="55"/>
      <c r="K16" s="56">
        <f>+C16*E16</f>
        <v>3.3925000000000001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/>
      <c r="C17" s="54">
        <v>0.76</v>
      </c>
      <c r="D17" s="54"/>
      <c r="E17" s="54">
        <v>2.95</v>
      </c>
      <c r="F17" s="55"/>
      <c r="G17" s="54"/>
      <c r="H17" s="54"/>
      <c r="I17" s="54"/>
      <c r="J17" s="55"/>
      <c r="K17" s="56">
        <f t="shared" ref="K17:K20" si="0">+C17*E17</f>
        <v>2.242</v>
      </c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/>
      <c r="C18" s="54">
        <v>0.76</v>
      </c>
      <c r="D18" s="54"/>
      <c r="E18" s="54">
        <v>2.95</v>
      </c>
      <c r="F18" s="55"/>
      <c r="G18" s="54"/>
      <c r="H18" s="54"/>
      <c r="I18" s="54"/>
      <c r="J18" s="55"/>
      <c r="K18" s="56">
        <f t="shared" si="0"/>
        <v>2.242</v>
      </c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65"/>
      <c r="C19" s="54">
        <v>1.08</v>
      </c>
      <c r="D19" s="54"/>
      <c r="E19" s="54">
        <v>2.95</v>
      </c>
      <c r="F19" s="55"/>
      <c r="G19" s="54"/>
      <c r="H19" s="54"/>
      <c r="I19" s="54"/>
      <c r="J19" s="55"/>
      <c r="K19" s="56">
        <f t="shared" si="0"/>
        <v>3.1860000000000004</v>
      </c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x14ac:dyDescent="0.25">
      <c r="A20" s="449"/>
      <c r="B20" s="65"/>
      <c r="C20" s="54">
        <v>1.27</v>
      </c>
      <c r="D20" s="54"/>
      <c r="E20" s="54">
        <v>2.95</v>
      </c>
      <c r="F20" s="55"/>
      <c r="G20" s="54"/>
      <c r="H20" s="54"/>
      <c r="I20" s="54"/>
      <c r="J20" s="55"/>
      <c r="K20" s="56">
        <f t="shared" si="0"/>
        <v>3.7465000000000002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 t="s">
        <v>251</v>
      </c>
      <c r="C21" s="54">
        <v>2.9</v>
      </c>
      <c r="D21" s="54">
        <v>0.5</v>
      </c>
      <c r="E21" s="54">
        <v>2</v>
      </c>
      <c r="F21" s="55"/>
      <c r="G21" s="54"/>
      <c r="H21" s="54"/>
      <c r="I21" s="54"/>
      <c r="J21" s="55"/>
      <c r="K21" s="56">
        <f>+C21*D21/E21</f>
        <v>0.72499999999999998</v>
      </c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 t="s">
        <v>252</v>
      </c>
      <c r="C22" s="54">
        <v>1.39</v>
      </c>
      <c r="D22" s="54">
        <v>0.56999999999999995</v>
      </c>
      <c r="E22" s="54"/>
      <c r="F22" s="55"/>
      <c r="G22" s="54"/>
      <c r="H22" s="54"/>
      <c r="I22" s="54"/>
      <c r="J22" s="55"/>
      <c r="K22" s="56">
        <f>+C22*D22</f>
        <v>0.79229999999999989</v>
      </c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/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3"/>
      <c r="N24" s="454"/>
      <c r="O24" s="454"/>
      <c r="P24" s="454"/>
      <c r="Q24" s="454"/>
      <c r="R24" s="454"/>
      <c r="S24" s="454"/>
      <c r="T24" s="454"/>
      <c r="U24" s="454"/>
      <c r="V24" s="455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3"/>
      <c r="N25" s="454"/>
      <c r="O25" s="454"/>
      <c r="P25" s="454"/>
      <c r="Q25" s="454"/>
      <c r="R25" s="454"/>
      <c r="S25" s="454"/>
      <c r="T25" s="454"/>
      <c r="U25" s="454"/>
      <c r="V25" s="455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56"/>
      <c r="N26" s="457"/>
      <c r="O26" s="457"/>
      <c r="P26" s="457"/>
      <c r="Q26" s="457"/>
      <c r="R26" s="457"/>
      <c r="S26" s="457"/>
      <c r="T26" s="457"/>
      <c r="U26" s="457"/>
      <c r="V26" s="458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59" t="s">
        <v>142</v>
      </c>
      <c r="N27" s="460"/>
      <c r="O27" s="460"/>
      <c r="P27" s="460"/>
      <c r="Q27" s="460"/>
      <c r="R27" s="460"/>
      <c r="S27" s="460"/>
      <c r="T27" s="460"/>
      <c r="U27" s="460"/>
      <c r="V27" s="461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65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2"/>
      <c r="N34" s="463"/>
      <c r="O34" s="463"/>
      <c r="P34" s="463"/>
      <c r="Q34" s="463"/>
      <c r="R34" s="463"/>
      <c r="S34" s="463"/>
      <c r="T34" s="463"/>
      <c r="U34" s="463"/>
      <c r="V34" s="464"/>
    </row>
    <row r="35" spans="1:22" x14ac:dyDescent="0.25">
      <c r="A35" s="449"/>
      <c r="B35" s="65"/>
      <c r="C35" s="54"/>
      <c r="D35" s="54"/>
      <c r="E35" s="54"/>
      <c r="F35" s="55"/>
      <c r="G35" s="54"/>
      <c r="H35" s="54"/>
      <c r="I35" s="54"/>
      <c r="J35" s="55"/>
      <c r="K35" s="56"/>
      <c r="L35" s="57"/>
      <c r="M35" s="462"/>
      <c r="N35" s="463"/>
      <c r="O35" s="463"/>
      <c r="P35" s="463"/>
      <c r="Q35" s="463"/>
      <c r="R35" s="463"/>
      <c r="S35" s="463"/>
      <c r="T35" s="463"/>
      <c r="U35" s="463"/>
      <c r="V35" s="464"/>
    </row>
    <row r="36" spans="1:22" x14ac:dyDescent="0.25">
      <c r="A36" s="449"/>
      <c r="B36" s="53"/>
      <c r="C36" s="54"/>
      <c r="D36" s="54"/>
      <c r="E36" s="54"/>
      <c r="F36" s="55"/>
      <c r="G36" s="54"/>
      <c r="H36" s="54"/>
      <c r="I36" s="54"/>
      <c r="J36" s="55"/>
      <c r="K36" s="56"/>
      <c r="L36" s="57"/>
      <c r="M36" s="465"/>
      <c r="N36" s="466"/>
      <c r="O36" s="466"/>
      <c r="P36" s="466"/>
      <c r="Q36" s="466"/>
      <c r="R36" s="466"/>
      <c r="S36" s="466"/>
      <c r="T36" s="466"/>
      <c r="U36" s="466"/>
      <c r="V36" s="467"/>
    </row>
    <row r="37" spans="1:22" x14ac:dyDescent="0.25">
      <c r="A37" s="44"/>
      <c r="B37" s="47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ht="18" x14ac:dyDescent="0.35">
      <c r="A38" s="58" t="s">
        <v>105</v>
      </c>
      <c r="B38" s="444"/>
      <c r="C38" s="444"/>
      <c r="D38" s="44"/>
      <c r="E38" s="44"/>
      <c r="G38" s="44"/>
      <c r="H38" s="44"/>
      <c r="I38" s="44"/>
      <c r="J38" s="59">
        <f>SUM(J13:J37)</f>
        <v>0</v>
      </c>
      <c r="K38" s="60">
        <f>SUM(K13:K37)</f>
        <v>33.427799999999998</v>
      </c>
      <c r="L38" s="61" t="s">
        <v>98</v>
      </c>
      <c r="M38" s="44"/>
      <c r="N38" s="44"/>
      <c r="O38" s="44"/>
      <c r="P38" s="44"/>
      <c r="Q38" s="44"/>
      <c r="R38" s="44"/>
      <c r="S38" s="44"/>
      <c r="T38" s="44"/>
      <c r="U38" s="44"/>
      <c r="V38" s="44"/>
    </row>
    <row r="39" spans="1:22" x14ac:dyDescent="0.25">
      <c r="A39" s="44"/>
      <c r="B39" s="47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</row>
    <row r="40" spans="1:22" x14ac:dyDescent="0.25">
      <c r="A40" s="62" t="s">
        <v>143</v>
      </c>
      <c r="B40" s="63"/>
      <c r="C40" s="62"/>
      <c r="D40" s="62"/>
      <c r="E40" s="62"/>
      <c r="F40" s="62"/>
      <c r="G40" s="62"/>
      <c r="H40" s="62"/>
      <c r="I40" s="62"/>
      <c r="J40" s="445" t="s">
        <v>144</v>
      </c>
      <c r="K40" s="445"/>
      <c r="L40" s="445"/>
      <c r="M40" s="445"/>
      <c r="N40" s="445"/>
      <c r="O40" s="445"/>
      <c r="P40" s="445"/>
      <c r="Q40" s="445"/>
      <c r="R40" s="445"/>
      <c r="S40" s="445"/>
      <c r="T40" s="445"/>
      <c r="U40" s="445"/>
      <c r="V40" s="445"/>
    </row>
    <row r="41" spans="1:22" x14ac:dyDescent="0.25">
      <c r="A41" s="64" t="s">
        <v>89</v>
      </c>
      <c r="B41" s="445"/>
      <c r="C41" s="445"/>
      <c r="D41" s="445"/>
      <c r="E41" s="445"/>
      <c r="F41" s="445"/>
      <c r="G41" s="445"/>
      <c r="H41" s="445"/>
      <c r="I41" s="445"/>
      <c r="J41" s="445"/>
      <c r="K41" s="445"/>
      <c r="L41" s="445"/>
      <c r="M41" s="445"/>
      <c r="N41" s="445"/>
      <c r="O41" s="445"/>
      <c r="P41" s="445"/>
      <c r="Q41" s="445"/>
      <c r="R41" s="445"/>
      <c r="S41" s="445"/>
      <c r="T41" s="445"/>
      <c r="U41" s="445"/>
      <c r="V41" s="445"/>
    </row>
  </sheetData>
  <mergeCells count="28">
    <mergeCell ref="B38:C38"/>
    <mergeCell ref="J40:V41"/>
    <mergeCell ref="B41:I41"/>
    <mergeCell ref="K11:K12"/>
    <mergeCell ref="L11:L12"/>
    <mergeCell ref="M11:V12"/>
    <mergeCell ref="A13:A36"/>
    <mergeCell ref="M13:V26"/>
    <mergeCell ref="M27:V36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V41"/>
  <sheetViews>
    <sheetView topLeftCell="A5" zoomScale="85" zoomScaleNormal="85" workbookViewId="0">
      <selection activeCell="I30" sqref="I30"/>
    </sheetView>
  </sheetViews>
  <sheetFormatPr baseColWidth="10" defaultRowHeight="15" x14ac:dyDescent="0.25"/>
  <cols>
    <col min="1" max="1" width="91.7109375" customWidth="1"/>
    <col min="2" max="2" width="20.14062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44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164</v>
      </c>
      <c r="L9" s="445"/>
      <c r="M9" s="473" t="str">
        <f>+PRESUPUESTO!B18</f>
        <v>SUMINISTRO E INSTALACION DE MORTERO DE NIIVELACION  DE  5 CMS EN PISO MORTERO 1:4 IMPERMEABILIZADO CON SIKA IMPERMEABILIZANTE INCLUYE MALLA DE REFUERZO ELECTROSOLADAD DE 4 MM HUECO 20X20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133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140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/>
      <c r="B13" s="65" t="s">
        <v>149</v>
      </c>
      <c r="C13" s="54">
        <f>7.19+1.2</f>
        <v>8.39</v>
      </c>
      <c r="D13" s="54"/>
      <c r="E13" s="54">
        <v>4.6900000000000004</v>
      </c>
      <c r="F13" s="55"/>
      <c r="G13" s="54"/>
      <c r="H13" s="54"/>
      <c r="I13" s="54"/>
      <c r="J13" s="55"/>
      <c r="K13" s="56">
        <f>+C13*E13</f>
        <v>39.349100000000007</v>
      </c>
      <c r="L13" s="57" t="s">
        <v>98</v>
      </c>
      <c r="M13" s="450"/>
      <c r="N13" s="451"/>
      <c r="O13" s="451"/>
      <c r="P13" s="451"/>
      <c r="Q13" s="451"/>
      <c r="R13" s="451"/>
      <c r="S13" s="451"/>
      <c r="T13" s="451"/>
      <c r="U13" s="451"/>
      <c r="V13" s="452"/>
    </row>
    <row r="14" spans="1:22" x14ac:dyDescent="0.25">
      <c r="A14" s="449"/>
      <c r="B14" s="65" t="s">
        <v>150</v>
      </c>
      <c r="C14" s="54">
        <v>4.6900000000000004</v>
      </c>
      <c r="D14" s="54"/>
      <c r="E14" s="54">
        <v>3.81</v>
      </c>
      <c r="F14" s="55"/>
      <c r="G14" s="54"/>
      <c r="H14" s="54"/>
      <c r="I14" s="54"/>
      <c r="J14" s="55"/>
      <c r="K14" s="56">
        <f t="shared" ref="K14:K22" si="0">+C14*E14</f>
        <v>17.8689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 t="s">
        <v>151</v>
      </c>
      <c r="C15" s="54">
        <v>3.04</v>
      </c>
      <c r="D15" s="54"/>
      <c r="E15" s="54">
        <v>3.81</v>
      </c>
      <c r="F15" s="55"/>
      <c r="G15" s="54"/>
      <c r="H15" s="54"/>
      <c r="I15" s="54"/>
      <c r="J15" s="55"/>
      <c r="K15" s="56">
        <f t="shared" si="0"/>
        <v>11.5824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 t="s">
        <v>152</v>
      </c>
      <c r="C16" s="54">
        <v>3.21</v>
      </c>
      <c r="D16" s="54"/>
      <c r="E16" s="54">
        <v>1.37</v>
      </c>
      <c r="F16" s="55"/>
      <c r="G16" s="54"/>
      <c r="H16" s="54"/>
      <c r="I16" s="54"/>
      <c r="J16" s="55"/>
      <c r="K16" s="56">
        <f t="shared" si="0"/>
        <v>4.3977000000000004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 t="s">
        <v>153</v>
      </c>
      <c r="C17" s="54">
        <v>1.48</v>
      </c>
      <c r="D17" s="54"/>
      <c r="E17" s="54">
        <v>1.36</v>
      </c>
      <c r="F17" s="55"/>
      <c r="G17" s="54"/>
      <c r="H17" s="54"/>
      <c r="I17" s="54"/>
      <c r="J17" s="55"/>
      <c r="K17" s="56">
        <f t="shared" si="0"/>
        <v>2.0127999999999999</v>
      </c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 t="s">
        <v>154</v>
      </c>
      <c r="C18" s="54">
        <v>1.4</v>
      </c>
      <c r="D18" s="54"/>
      <c r="E18" s="54">
        <v>1.53</v>
      </c>
      <c r="F18" s="55"/>
      <c r="G18" s="54"/>
      <c r="H18" s="54"/>
      <c r="I18" s="54"/>
      <c r="J18" s="55"/>
      <c r="K18" s="56">
        <f t="shared" si="0"/>
        <v>2.1419999999999999</v>
      </c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65" t="s">
        <v>155</v>
      </c>
      <c r="C19" s="54">
        <v>1.27</v>
      </c>
      <c r="D19" s="54"/>
      <c r="E19" s="54">
        <v>2.9</v>
      </c>
      <c r="F19" s="55"/>
      <c r="G19" s="54"/>
      <c r="H19" s="54"/>
      <c r="I19" s="54"/>
      <c r="J19" s="55"/>
      <c r="K19" s="56">
        <f t="shared" si="0"/>
        <v>3.6829999999999998</v>
      </c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ht="25.5" x14ac:dyDescent="0.25">
      <c r="A20" s="449"/>
      <c r="B20" s="53" t="s">
        <v>156</v>
      </c>
      <c r="C20" s="54">
        <v>0.7</v>
      </c>
      <c r="D20" s="54"/>
      <c r="E20" s="54">
        <v>0.76</v>
      </c>
      <c r="F20" s="55"/>
      <c r="G20" s="54"/>
      <c r="H20" s="54"/>
      <c r="I20" s="54"/>
      <c r="J20" s="55"/>
      <c r="K20" s="56">
        <f t="shared" si="0"/>
        <v>0.53199999999999992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 t="s">
        <v>157</v>
      </c>
      <c r="C21" s="54">
        <v>3.71</v>
      </c>
      <c r="D21" s="54"/>
      <c r="E21" s="54">
        <v>2.87</v>
      </c>
      <c r="F21" s="55"/>
      <c r="G21" s="54"/>
      <c r="H21" s="54"/>
      <c r="I21" s="54"/>
      <c r="J21" s="55"/>
      <c r="K21" s="56">
        <f t="shared" si="0"/>
        <v>10.6477</v>
      </c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ht="25.5" x14ac:dyDescent="0.25">
      <c r="A22" s="449"/>
      <c r="B22" s="53" t="s">
        <v>278</v>
      </c>
      <c r="C22" s="54">
        <f>8.24+2+2</f>
        <v>12.24</v>
      </c>
      <c r="D22" s="54"/>
      <c r="E22" s="54">
        <v>1</v>
      </c>
      <c r="F22" s="55"/>
      <c r="G22" s="54"/>
      <c r="H22" s="54"/>
      <c r="I22" s="54"/>
      <c r="J22" s="55"/>
      <c r="K22" s="56">
        <f t="shared" si="0"/>
        <v>12.24</v>
      </c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/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3"/>
      <c r="N24" s="454"/>
      <c r="O24" s="454"/>
      <c r="P24" s="454"/>
      <c r="Q24" s="454"/>
      <c r="R24" s="454"/>
      <c r="S24" s="454"/>
      <c r="T24" s="454"/>
      <c r="U24" s="454"/>
      <c r="V24" s="455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3"/>
      <c r="N25" s="454"/>
      <c r="O25" s="454"/>
      <c r="P25" s="454"/>
      <c r="Q25" s="454"/>
      <c r="R25" s="454"/>
      <c r="S25" s="454"/>
      <c r="T25" s="454"/>
      <c r="U25" s="454"/>
      <c r="V25" s="455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56"/>
      <c r="N26" s="457"/>
      <c r="O26" s="457"/>
      <c r="P26" s="457"/>
      <c r="Q26" s="457"/>
      <c r="R26" s="457"/>
      <c r="S26" s="457"/>
      <c r="T26" s="457"/>
      <c r="U26" s="457"/>
      <c r="V26" s="458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59" t="s">
        <v>142</v>
      </c>
      <c r="N27" s="460"/>
      <c r="O27" s="460"/>
      <c r="P27" s="460"/>
      <c r="Q27" s="460"/>
      <c r="R27" s="460"/>
      <c r="S27" s="460"/>
      <c r="T27" s="460"/>
      <c r="U27" s="460"/>
      <c r="V27" s="461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65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2"/>
      <c r="N34" s="463"/>
      <c r="O34" s="463"/>
      <c r="P34" s="463"/>
      <c r="Q34" s="463"/>
      <c r="R34" s="463"/>
      <c r="S34" s="463"/>
      <c r="T34" s="463"/>
      <c r="U34" s="463"/>
      <c r="V34" s="464"/>
    </row>
    <row r="35" spans="1:22" x14ac:dyDescent="0.25">
      <c r="A35" s="449"/>
      <c r="B35" s="65"/>
      <c r="C35" s="54"/>
      <c r="D35" s="54"/>
      <c r="E35" s="54"/>
      <c r="F35" s="55"/>
      <c r="G35" s="54"/>
      <c r="H35" s="54"/>
      <c r="I35" s="54"/>
      <c r="J35" s="55"/>
      <c r="K35" s="56"/>
      <c r="L35" s="57"/>
      <c r="M35" s="462"/>
      <c r="N35" s="463"/>
      <c r="O35" s="463"/>
      <c r="P35" s="463"/>
      <c r="Q35" s="463"/>
      <c r="R35" s="463"/>
      <c r="S35" s="463"/>
      <c r="T35" s="463"/>
      <c r="U35" s="463"/>
      <c r="V35" s="464"/>
    </row>
    <row r="36" spans="1:22" x14ac:dyDescent="0.25">
      <c r="A36" s="449"/>
      <c r="B36" s="53"/>
      <c r="C36" s="54"/>
      <c r="D36" s="54"/>
      <c r="E36" s="54"/>
      <c r="F36" s="55"/>
      <c r="G36" s="54"/>
      <c r="H36" s="54"/>
      <c r="I36" s="54"/>
      <c r="J36" s="55"/>
      <c r="K36" s="56"/>
      <c r="L36" s="57"/>
      <c r="M36" s="465"/>
      <c r="N36" s="466"/>
      <c r="O36" s="466"/>
      <c r="P36" s="466"/>
      <c r="Q36" s="466"/>
      <c r="R36" s="466"/>
      <c r="S36" s="466"/>
      <c r="T36" s="466"/>
      <c r="U36" s="466"/>
      <c r="V36" s="467"/>
    </row>
    <row r="37" spans="1:22" x14ac:dyDescent="0.25">
      <c r="A37" s="44"/>
      <c r="B37" s="47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ht="18" x14ac:dyDescent="0.35">
      <c r="A38" s="58" t="s">
        <v>105</v>
      </c>
      <c r="B38" s="444"/>
      <c r="C38" s="444"/>
      <c r="D38" s="44"/>
      <c r="E38" s="44"/>
      <c r="G38" s="44"/>
      <c r="H38" s="44"/>
      <c r="I38" s="44"/>
      <c r="J38" s="59">
        <f>SUM(J13:J37)</f>
        <v>0</v>
      </c>
      <c r="K38" s="60">
        <f>SUM(K13:K37)</f>
        <v>104.45559999999999</v>
      </c>
      <c r="L38" s="61" t="s">
        <v>98</v>
      </c>
      <c r="M38" s="44"/>
      <c r="N38" s="44"/>
      <c r="O38" s="44"/>
      <c r="P38" s="44"/>
      <c r="Q38" s="44"/>
      <c r="R38" s="44"/>
      <c r="S38" s="44"/>
      <c r="T38" s="44"/>
      <c r="U38" s="44"/>
      <c r="V38" s="44"/>
    </row>
    <row r="39" spans="1:22" x14ac:dyDescent="0.25">
      <c r="A39" s="44"/>
      <c r="B39" s="47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</row>
    <row r="40" spans="1:22" x14ac:dyDescent="0.25">
      <c r="A40" s="62" t="s">
        <v>143</v>
      </c>
      <c r="B40" s="63"/>
      <c r="C40" s="62"/>
      <c r="D40" s="62"/>
      <c r="E40" s="62"/>
      <c r="F40" s="62"/>
      <c r="G40" s="62"/>
      <c r="H40" s="62"/>
      <c r="I40" s="62"/>
      <c r="J40" s="445" t="s">
        <v>144</v>
      </c>
      <c r="K40" s="445"/>
      <c r="L40" s="445"/>
      <c r="M40" s="445"/>
      <c r="N40" s="445"/>
      <c r="O40" s="445"/>
      <c r="P40" s="445"/>
      <c r="Q40" s="445"/>
      <c r="R40" s="445"/>
      <c r="S40" s="445"/>
      <c r="T40" s="445"/>
      <c r="U40" s="445"/>
      <c r="V40" s="445"/>
    </row>
    <row r="41" spans="1:22" x14ac:dyDescent="0.25">
      <c r="A41" s="64" t="s">
        <v>89</v>
      </c>
      <c r="B41" s="445"/>
      <c r="C41" s="445"/>
      <c r="D41" s="445"/>
      <c r="E41" s="445"/>
      <c r="F41" s="445"/>
      <c r="G41" s="445"/>
      <c r="H41" s="445"/>
      <c r="I41" s="445"/>
      <c r="J41" s="445"/>
      <c r="K41" s="445"/>
      <c r="L41" s="445"/>
      <c r="M41" s="445"/>
      <c r="N41" s="445"/>
      <c r="O41" s="445"/>
      <c r="P41" s="445"/>
      <c r="Q41" s="445"/>
      <c r="R41" s="445"/>
      <c r="S41" s="445"/>
      <c r="T41" s="445"/>
      <c r="U41" s="445"/>
      <c r="V41" s="445"/>
    </row>
  </sheetData>
  <mergeCells count="28">
    <mergeCell ref="B38:C38"/>
    <mergeCell ref="J40:V41"/>
    <mergeCell ref="B41:I41"/>
    <mergeCell ref="K11:K12"/>
    <mergeCell ref="L11:L12"/>
    <mergeCell ref="M11:V12"/>
    <mergeCell ref="A13:A36"/>
    <mergeCell ref="M13:V26"/>
    <mergeCell ref="M27:V36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V41"/>
  <sheetViews>
    <sheetView topLeftCell="A4" zoomScale="85" zoomScaleNormal="85" workbookViewId="0">
      <selection activeCell="K39" sqref="K39"/>
    </sheetView>
  </sheetViews>
  <sheetFormatPr baseColWidth="10" defaultRowHeight="15" x14ac:dyDescent="0.25"/>
  <cols>
    <col min="1" max="1" width="91.7109375" customWidth="1"/>
    <col min="2" max="2" width="20.14062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44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281</v>
      </c>
      <c r="L9" s="445"/>
      <c r="M9" s="473" t="str">
        <f>+PRESUPUESTO!B19</f>
        <v xml:space="preserve">SUMINISTRO E INSTALACION DE CONCRETO DE 3000  PSI  DE  15 CMS INCLUYE MALLA ELECTROSOLDA  No 4 HUECO DE 15 X 15 PARA  ANDEN COSTADO IZQUIERDOO DE LA EDIFICACION 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133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140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/>
      <c r="B13" s="65"/>
      <c r="C13" s="54"/>
      <c r="D13" s="54"/>
      <c r="E13" s="54"/>
      <c r="F13" s="55"/>
      <c r="G13" s="54"/>
      <c r="H13" s="54"/>
      <c r="I13" s="54"/>
      <c r="J13" s="55"/>
      <c r="K13" s="56"/>
      <c r="L13" s="57" t="s">
        <v>98</v>
      </c>
      <c r="M13" s="450"/>
      <c r="N13" s="451"/>
      <c r="O13" s="451"/>
      <c r="P13" s="451"/>
      <c r="Q13" s="451"/>
      <c r="R13" s="451"/>
      <c r="S13" s="451"/>
      <c r="T13" s="451"/>
      <c r="U13" s="451"/>
      <c r="V13" s="452"/>
    </row>
    <row r="14" spans="1:22" x14ac:dyDescent="0.25">
      <c r="A14" s="449"/>
      <c r="B14" s="65"/>
      <c r="C14" s="54"/>
      <c r="D14" s="54"/>
      <c r="E14" s="54"/>
      <c r="F14" s="55"/>
      <c r="G14" s="54"/>
      <c r="H14" s="54"/>
      <c r="I14" s="54"/>
      <c r="J14" s="55"/>
      <c r="K14" s="56"/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/>
      <c r="C15" s="54"/>
      <c r="D15" s="54"/>
      <c r="E15" s="54"/>
      <c r="F15" s="55"/>
      <c r="G15" s="54"/>
      <c r="H15" s="54"/>
      <c r="I15" s="54"/>
      <c r="J15" s="55"/>
      <c r="K15" s="56"/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/>
      <c r="C16" s="54"/>
      <c r="D16" s="54"/>
      <c r="E16" s="54"/>
      <c r="F16" s="55"/>
      <c r="G16" s="54"/>
      <c r="H16" s="54"/>
      <c r="I16" s="54"/>
      <c r="J16" s="55"/>
      <c r="K16" s="56"/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/>
      <c r="C17" s="54"/>
      <c r="D17" s="54"/>
      <c r="E17" s="54"/>
      <c r="F17" s="55"/>
      <c r="G17" s="54"/>
      <c r="H17" s="54"/>
      <c r="I17" s="54"/>
      <c r="J17" s="55"/>
      <c r="K17" s="56"/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/>
      <c r="C18" s="54"/>
      <c r="D18" s="54"/>
      <c r="E18" s="54"/>
      <c r="F18" s="55"/>
      <c r="G18" s="54"/>
      <c r="H18" s="54"/>
      <c r="I18" s="54"/>
      <c r="J18" s="55"/>
      <c r="K18" s="56"/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65"/>
      <c r="C19" s="54"/>
      <c r="D19" s="54"/>
      <c r="E19" s="54"/>
      <c r="F19" s="55"/>
      <c r="G19" s="54"/>
      <c r="H19" s="54"/>
      <c r="I19" s="54"/>
      <c r="J19" s="55"/>
      <c r="K19" s="56"/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x14ac:dyDescent="0.25">
      <c r="A20" s="449"/>
      <c r="B20" s="53"/>
      <c r="C20" s="54"/>
      <c r="D20" s="54"/>
      <c r="E20" s="54"/>
      <c r="F20" s="55"/>
      <c r="G20" s="54"/>
      <c r="H20" s="54"/>
      <c r="I20" s="54"/>
      <c r="J20" s="55"/>
      <c r="K20" s="56"/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/>
      <c r="C21" s="54"/>
      <c r="D21" s="54"/>
      <c r="E21" s="54"/>
      <c r="F21" s="55"/>
      <c r="G21" s="54"/>
      <c r="H21" s="54"/>
      <c r="I21" s="54"/>
      <c r="J21" s="55"/>
      <c r="K21" s="56"/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ht="25.5" x14ac:dyDescent="0.25">
      <c r="A22" s="449"/>
      <c r="B22" s="53" t="s">
        <v>278</v>
      </c>
      <c r="C22" s="54">
        <f>8.24+2+2</f>
        <v>12.24</v>
      </c>
      <c r="D22" s="54"/>
      <c r="E22" s="54">
        <v>1</v>
      </c>
      <c r="F22" s="55"/>
      <c r="G22" s="54"/>
      <c r="H22" s="54"/>
      <c r="I22" s="54"/>
      <c r="J22" s="55"/>
      <c r="K22" s="56">
        <f>+C22*E22</f>
        <v>12.24</v>
      </c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ht="38.25" x14ac:dyDescent="0.25">
      <c r="A23" s="449"/>
      <c r="B23" s="53" t="s">
        <v>644</v>
      </c>
      <c r="C23" s="54">
        <v>9.15</v>
      </c>
      <c r="D23" s="54"/>
      <c r="E23" s="54">
        <v>0.3</v>
      </c>
      <c r="F23" s="55"/>
      <c r="G23" s="54"/>
      <c r="H23" s="54"/>
      <c r="I23" s="54"/>
      <c r="J23" s="55"/>
      <c r="K23" s="56">
        <f>+C23*E23</f>
        <v>2.7450000000000001</v>
      </c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ht="38.25" x14ac:dyDescent="0.25">
      <c r="A24" s="449"/>
      <c r="B24" s="53" t="s">
        <v>645</v>
      </c>
      <c r="C24" s="54">
        <v>9.15</v>
      </c>
      <c r="D24" s="54"/>
      <c r="E24" s="54">
        <v>0.3</v>
      </c>
      <c r="F24" s="55"/>
      <c r="G24" s="54"/>
      <c r="H24" s="54"/>
      <c r="I24" s="54"/>
      <c r="J24" s="55"/>
      <c r="K24" s="56">
        <f>+C24*E24</f>
        <v>2.7450000000000001</v>
      </c>
      <c r="L24" s="57"/>
      <c r="M24" s="453"/>
      <c r="N24" s="454"/>
      <c r="O24" s="454"/>
      <c r="P24" s="454"/>
      <c r="Q24" s="454"/>
      <c r="R24" s="454"/>
      <c r="S24" s="454"/>
      <c r="T24" s="454"/>
      <c r="U24" s="454"/>
      <c r="V24" s="455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3"/>
      <c r="N25" s="454"/>
      <c r="O25" s="454"/>
      <c r="P25" s="454"/>
      <c r="Q25" s="454"/>
      <c r="R25" s="454"/>
      <c r="S25" s="454"/>
      <c r="T25" s="454"/>
      <c r="U25" s="454"/>
      <c r="V25" s="455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56"/>
      <c r="N26" s="457"/>
      <c r="O26" s="457"/>
      <c r="P26" s="457"/>
      <c r="Q26" s="457"/>
      <c r="R26" s="457"/>
      <c r="S26" s="457"/>
      <c r="T26" s="457"/>
      <c r="U26" s="457"/>
      <c r="V26" s="458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59" t="s">
        <v>142</v>
      </c>
      <c r="N27" s="460"/>
      <c r="O27" s="460"/>
      <c r="P27" s="460"/>
      <c r="Q27" s="460"/>
      <c r="R27" s="460"/>
      <c r="S27" s="460"/>
      <c r="T27" s="460"/>
      <c r="U27" s="460"/>
      <c r="V27" s="461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65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2"/>
      <c r="N34" s="463"/>
      <c r="O34" s="463"/>
      <c r="P34" s="463"/>
      <c r="Q34" s="463"/>
      <c r="R34" s="463"/>
      <c r="S34" s="463"/>
      <c r="T34" s="463"/>
      <c r="U34" s="463"/>
      <c r="V34" s="464"/>
    </row>
    <row r="35" spans="1:22" x14ac:dyDescent="0.25">
      <c r="A35" s="449"/>
      <c r="B35" s="65"/>
      <c r="C35" s="54"/>
      <c r="D35" s="54"/>
      <c r="E35" s="54"/>
      <c r="F35" s="55"/>
      <c r="G35" s="54"/>
      <c r="H35" s="54"/>
      <c r="I35" s="54"/>
      <c r="J35" s="55"/>
      <c r="K35" s="56"/>
      <c r="L35" s="57"/>
      <c r="M35" s="462"/>
      <c r="N35" s="463"/>
      <c r="O35" s="463"/>
      <c r="P35" s="463"/>
      <c r="Q35" s="463"/>
      <c r="R35" s="463"/>
      <c r="S35" s="463"/>
      <c r="T35" s="463"/>
      <c r="U35" s="463"/>
      <c r="V35" s="464"/>
    </row>
    <row r="36" spans="1:22" x14ac:dyDescent="0.25">
      <c r="A36" s="449"/>
      <c r="B36" s="53"/>
      <c r="C36" s="54"/>
      <c r="D36" s="54"/>
      <c r="E36" s="54"/>
      <c r="F36" s="55"/>
      <c r="G36" s="54"/>
      <c r="H36" s="54"/>
      <c r="I36" s="54"/>
      <c r="J36" s="55"/>
      <c r="K36" s="56"/>
      <c r="L36" s="57"/>
      <c r="M36" s="465"/>
      <c r="N36" s="466"/>
      <c r="O36" s="466"/>
      <c r="P36" s="466"/>
      <c r="Q36" s="466"/>
      <c r="R36" s="466"/>
      <c r="S36" s="466"/>
      <c r="T36" s="466"/>
      <c r="U36" s="466"/>
      <c r="V36" s="467"/>
    </row>
    <row r="37" spans="1:22" x14ac:dyDescent="0.25">
      <c r="A37" s="44"/>
      <c r="B37" s="47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ht="18" x14ac:dyDescent="0.35">
      <c r="A38" s="58" t="s">
        <v>105</v>
      </c>
      <c r="B38" s="444"/>
      <c r="C38" s="444"/>
      <c r="D38" s="44"/>
      <c r="E38" s="44"/>
      <c r="G38" s="44"/>
      <c r="H38" s="44"/>
      <c r="I38" s="44"/>
      <c r="J38" s="59">
        <f>SUM(J13:J37)</f>
        <v>0</v>
      </c>
      <c r="K38" s="60">
        <f>SUM(K13:K37)</f>
        <v>17.73</v>
      </c>
      <c r="L38" s="61" t="s">
        <v>98</v>
      </c>
      <c r="M38" s="44"/>
      <c r="N38" s="44"/>
      <c r="O38" s="44"/>
      <c r="P38" s="44"/>
      <c r="Q38" s="44"/>
      <c r="R38" s="44"/>
      <c r="S38" s="44"/>
      <c r="T38" s="44"/>
      <c r="U38" s="44"/>
      <c r="V38" s="44"/>
    </row>
    <row r="39" spans="1:22" x14ac:dyDescent="0.25">
      <c r="A39" s="44"/>
      <c r="B39" s="47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</row>
    <row r="40" spans="1:22" x14ac:dyDescent="0.25">
      <c r="A40" s="62" t="s">
        <v>143</v>
      </c>
      <c r="B40" s="63"/>
      <c r="C40" s="62"/>
      <c r="D40" s="62"/>
      <c r="E40" s="62"/>
      <c r="F40" s="62"/>
      <c r="G40" s="62"/>
      <c r="H40" s="62"/>
      <c r="I40" s="62"/>
      <c r="J40" s="445" t="s">
        <v>144</v>
      </c>
      <c r="K40" s="445"/>
      <c r="L40" s="445"/>
      <c r="M40" s="445"/>
      <c r="N40" s="445"/>
      <c r="O40" s="445"/>
      <c r="P40" s="445"/>
      <c r="Q40" s="445"/>
      <c r="R40" s="445"/>
      <c r="S40" s="445"/>
      <c r="T40" s="445"/>
      <c r="U40" s="445"/>
      <c r="V40" s="445"/>
    </row>
    <row r="41" spans="1:22" x14ac:dyDescent="0.25">
      <c r="A41" s="64" t="s">
        <v>89</v>
      </c>
      <c r="B41" s="445"/>
      <c r="C41" s="445"/>
      <c r="D41" s="445"/>
      <c r="E41" s="445"/>
      <c r="F41" s="445"/>
      <c r="G41" s="445"/>
      <c r="H41" s="445"/>
      <c r="I41" s="445"/>
      <c r="J41" s="445"/>
      <c r="K41" s="445"/>
      <c r="L41" s="445"/>
      <c r="M41" s="445"/>
      <c r="N41" s="445"/>
      <c r="O41" s="445"/>
      <c r="P41" s="445"/>
      <c r="Q41" s="445"/>
      <c r="R41" s="445"/>
      <c r="S41" s="445"/>
      <c r="T41" s="445"/>
      <c r="U41" s="445"/>
      <c r="V41" s="445"/>
    </row>
  </sheetData>
  <mergeCells count="28">
    <mergeCell ref="A1:A3"/>
    <mergeCell ref="B1:R3"/>
    <mergeCell ref="S1:V3"/>
    <mergeCell ref="B5:I5"/>
    <mergeCell ref="K5:L5"/>
    <mergeCell ref="M5:V5"/>
    <mergeCell ref="B6:I6"/>
    <mergeCell ref="K6:L6"/>
    <mergeCell ref="M6:V6"/>
    <mergeCell ref="B7:I7"/>
    <mergeCell ref="B9:I9"/>
    <mergeCell ref="K9:L9"/>
    <mergeCell ref="M9:V9"/>
    <mergeCell ref="A13:A36"/>
    <mergeCell ref="M13:V26"/>
    <mergeCell ref="M27:V36"/>
    <mergeCell ref="A11:A12"/>
    <mergeCell ref="B11:B12"/>
    <mergeCell ref="C11:E11"/>
    <mergeCell ref="F11:F12"/>
    <mergeCell ref="G11:I11"/>
    <mergeCell ref="J11:J12"/>
    <mergeCell ref="B38:C38"/>
    <mergeCell ref="J40:V41"/>
    <mergeCell ref="B41:I41"/>
    <mergeCell ref="K11:K12"/>
    <mergeCell ref="L11:L12"/>
    <mergeCell ref="M11:V12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V41"/>
  <sheetViews>
    <sheetView topLeftCell="A7" zoomScale="85" zoomScaleNormal="85" workbookViewId="0">
      <selection activeCell="B24" sqref="B24"/>
    </sheetView>
  </sheetViews>
  <sheetFormatPr baseColWidth="10" defaultRowHeight="15" x14ac:dyDescent="0.25"/>
  <cols>
    <col min="1" max="1" width="91.7109375" customWidth="1"/>
    <col min="2" max="2" width="20.14062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44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282</v>
      </c>
      <c r="L9" s="445"/>
      <c r="M9" s="473" t="str">
        <f>+PRESUPUESTO!B20</f>
        <v>EXCAVACION PARA ANDEN EXTERIOR  INCLUYE RETIRO DE MATERIAL DE LA OBRA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133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140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/>
      <c r="B13" s="65"/>
      <c r="C13" s="54"/>
      <c r="D13" s="54"/>
      <c r="E13" s="54"/>
      <c r="F13" s="55"/>
      <c r="G13" s="54"/>
      <c r="H13" s="54"/>
      <c r="I13" s="54"/>
      <c r="J13" s="55"/>
      <c r="K13" s="56"/>
      <c r="L13" s="57" t="s">
        <v>145</v>
      </c>
      <c r="M13" s="450"/>
      <c r="N13" s="451"/>
      <c r="O13" s="451"/>
      <c r="P13" s="451"/>
      <c r="Q13" s="451"/>
      <c r="R13" s="451"/>
      <c r="S13" s="451"/>
      <c r="T13" s="451"/>
      <c r="U13" s="451"/>
      <c r="V13" s="452"/>
    </row>
    <row r="14" spans="1:22" x14ac:dyDescent="0.25">
      <c r="A14" s="449"/>
      <c r="B14" s="65"/>
      <c r="C14" s="54"/>
      <c r="D14" s="54"/>
      <c r="E14" s="54"/>
      <c r="F14" s="55"/>
      <c r="G14" s="54"/>
      <c r="H14" s="54"/>
      <c r="I14" s="54"/>
      <c r="J14" s="55"/>
      <c r="K14" s="56"/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/>
      <c r="C15" s="54"/>
      <c r="D15" s="54"/>
      <c r="E15" s="54"/>
      <c r="F15" s="55"/>
      <c r="G15" s="54"/>
      <c r="H15" s="54"/>
      <c r="I15" s="54"/>
      <c r="J15" s="55"/>
      <c r="K15" s="56"/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/>
      <c r="C16" s="54"/>
      <c r="D16" s="54"/>
      <c r="E16" s="54"/>
      <c r="F16" s="55"/>
      <c r="G16" s="54"/>
      <c r="H16" s="54"/>
      <c r="I16" s="54"/>
      <c r="J16" s="55"/>
      <c r="K16" s="56"/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/>
      <c r="C17" s="54"/>
      <c r="D17" s="54"/>
      <c r="E17" s="54"/>
      <c r="F17" s="55"/>
      <c r="G17" s="54"/>
      <c r="H17" s="54"/>
      <c r="I17" s="54"/>
      <c r="J17" s="55"/>
      <c r="K17" s="56"/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/>
      <c r="C18" s="54"/>
      <c r="D18" s="54"/>
      <c r="E18" s="54"/>
      <c r="F18" s="55"/>
      <c r="G18" s="54"/>
      <c r="H18" s="54"/>
      <c r="I18" s="54"/>
      <c r="J18" s="55"/>
      <c r="K18" s="56"/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65"/>
      <c r="C19" s="54"/>
      <c r="D19" s="54"/>
      <c r="E19" s="54"/>
      <c r="F19" s="55"/>
      <c r="G19" s="54"/>
      <c r="H19" s="54"/>
      <c r="I19" s="54"/>
      <c r="J19" s="55"/>
      <c r="K19" s="56"/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x14ac:dyDescent="0.25">
      <c r="A20" s="449"/>
      <c r="B20" s="53"/>
      <c r="C20" s="54"/>
      <c r="D20" s="54"/>
      <c r="E20" s="54"/>
      <c r="F20" s="55"/>
      <c r="G20" s="54"/>
      <c r="H20" s="54"/>
      <c r="I20" s="54"/>
      <c r="J20" s="55"/>
      <c r="K20" s="56"/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/>
      <c r="C21" s="54"/>
      <c r="D21" s="54"/>
      <c r="E21" s="54"/>
      <c r="F21" s="55"/>
      <c r="G21" s="54"/>
      <c r="H21" s="54"/>
      <c r="I21" s="54"/>
      <c r="J21" s="55"/>
      <c r="K21" s="56"/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ht="25.5" x14ac:dyDescent="0.25">
      <c r="A22" s="449"/>
      <c r="B22" s="53" t="s">
        <v>278</v>
      </c>
      <c r="C22" s="54">
        <f>8.24+2+2</f>
        <v>12.24</v>
      </c>
      <c r="D22" s="54">
        <v>0.2</v>
      </c>
      <c r="E22" s="54">
        <v>1</v>
      </c>
      <c r="F22" s="55"/>
      <c r="G22" s="54"/>
      <c r="H22" s="54"/>
      <c r="I22" s="54"/>
      <c r="J22" s="55"/>
      <c r="K22" s="56">
        <f t="shared" ref="K22" si="0">+C22*D22*E22</f>
        <v>2.4480000000000004</v>
      </c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/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3"/>
      <c r="N24" s="454"/>
      <c r="O24" s="454"/>
      <c r="P24" s="454"/>
      <c r="Q24" s="454"/>
      <c r="R24" s="454"/>
      <c r="S24" s="454"/>
      <c r="T24" s="454"/>
      <c r="U24" s="454"/>
      <c r="V24" s="455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3"/>
      <c r="N25" s="454"/>
      <c r="O25" s="454"/>
      <c r="P25" s="454"/>
      <c r="Q25" s="454"/>
      <c r="R25" s="454"/>
      <c r="S25" s="454"/>
      <c r="T25" s="454"/>
      <c r="U25" s="454"/>
      <c r="V25" s="455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56"/>
      <c r="N26" s="457"/>
      <c r="O26" s="457"/>
      <c r="P26" s="457"/>
      <c r="Q26" s="457"/>
      <c r="R26" s="457"/>
      <c r="S26" s="457"/>
      <c r="T26" s="457"/>
      <c r="U26" s="457"/>
      <c r="V26" s="458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59" t="s">
        <v>142</v>
      </c>
      <c r="N27" s="460"/>
      <c r="O27" s="460"/>
      <c r="P27" s="460"/>
      <c r="Q27" s="460"/>
      <c r="R27" s="460"/>
      <c r="S27" s="460"/>
      <c r="T27" s="460"/>
      <c r="U27" s="460"/>
      <c r="V27" s="461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65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2"/>
      <c r="N34" s="463"/>
      <c r="O34" s="463"/>
      <c r="P34" s="463"/>
      <c r="Q34" s="463"/>
      <c r="R34" s="463"/>
      <c r="S34" s="463"/>
      <c r="T34" s="463"/>
      <c r="U34" s="463"/>
      <c r="V34" s="464"/>
    </row>
    <row r="35" spans="1:22" x14ac:dyDescent="0.25">
      <c r="A35" s="449"/>
      <c r="B35" s="65"/>
      <c r="C35" s="54"/>
      <c r="D35" s="54"/>
      <c r="E35" s="54"/>
      <c r="F35" s="55"/>
      <c r="G35" s="54"/>
      <c r="H35" s="54"/>
      <c r="I35" s="54"/>
      <c r="J35" s="55"/>
      <c r="K35" s="56"/>
      <c r="L35" s="57"/>
      <c r="M35" s="462"/>
      <c r="N35" s="463"/>
      <c r="O35" s="463"/>
      <c r="P35" s="463"/>
      <c r="Q35" s="463"/>
      <c r="R35" s="463"/>
      <c r="S35" s="463"/>
      <c r="T35" s="463"/>
      <c r="U35" s="463"/>
      <c r="V35" s="464"/>
    </row>
    <row r="36" spans="1:22" x14ac:dyDescent="0.25">
      <c r="A36" s="449"/>
      <c r="B36" s="53"/>
      <c r="C36" s="54"/>
      <c r="D36" s="54"/>
      <c r="E36" s="54"/>
      <c r="F36" s="55"/>
      <c r="G36" s="54"/>
      <c r="H36" s="54"/>
      <c r="I36" s="54"/>
      <c r="J36" s="55"/>
      <c r="K36" s="56"/>
      <c r="L36" s="57"/>
      <c r="M36" s="465"/>
      <c r="N36" s="466"/>
      <c r="O36" s="466"/>
      <c r="P36" s="466"/>
      <c r="Q36" s="466"/>
      <c r="R36" s="466"/>
      <c r="S36" s="466"/>
      <c r="T36" s="466"/>
      <c r="U36" s="466"/>
      <c r="V36" s="467"/>
    </row>
    <row r="37" spans="1:22" x14ac:dyDescent="0.25">
      <c r="A37" s="44"/>
      <c r="B37" s="47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ht="18" x14ac:dyDescent="0.35">
      <c r="A38" s="58" t="s">
        <v>105</v>
      </c>
      <c r="B38" s="444"/>
      <c r="C38" s="444"/>
      <c r="D38" s="44"/>
      <c r="E38" s="44"/>
      <c r="G38" s="44"/>
      <c r="H38" s="44"/>
      <c r="I38" s="44"/>
      <c r="J38" s="59">
        <f>SUM(J13:J37)</f>
        <v>0</v>
      </c>
      <c r="K38" s="60">
        <f>SUM(K13:K37)</f>
        <v>2.4480000000000004</v>
      </c>
      <c r="L38" s="61" t="s">
        <v>145</v>
      </c>
      <c r="M38" s="44"/>
      <c r="N38" s="44"/>
      <c r="O38" s="44"/>
      <c r="P38" s="44"/>
      <c r="Q38" s="44"/>
      <c r="R38" s="44"/>
      <c r="S38" s="44"/>
      <c r="T38" s="44"/>
      <c r="U38" s="44"/>
      <c r="V38" s="44"/>
    </row>
    <row r="39" spans="1:22" x14ac:dyDescent="0.25">
      <c r="A39" s="44"/>
      <c r="B39" s="47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</row>
    <row r="40" spans="1:22" x14ac:dyDescent="0.25">
      <c r="A40" s="62" t="s">
        <v>143</v>
      </c>
      <c r="B40" s="63"/>
      <c r="C40" s="62"/>
      <c r="D40" s="62"/>
      <c r="E40" s="62"/>
      <c r="F40" s="62"/>
      <c r="G40" s="62"/>
      <c r="H40" s="62"/>
      <c r="I40" s="62"/>
      <c r="J40" s="445" t="s">
        <v>144</v>
      </c>
      <c r="K40" s="445"/>
      <c r="L40" s="445"/>
      <c r="M40" s="445"/>
      <c r="N40" s="445"/>
      <c r="O40" s="445"/>
      <c r="P40" s="445"/>
      <c r="Q40" s="445"/>
      <c r="R40" s="445"/>
      <c r="S40" s="445"/>
      <c r="T40" s="445"/>
      <c r="U40" s="445"/>
      <c r="V40" s="445"/>
    </row>
    <row r="41" spans="1:22" x14ac:dyDescent="0.25">
      <c r="A41" s="64" t="s">
        <v>89</v>
      </c>
      <c r="B41" s="445"/>
      <c r="C41" s="445"/>
      <c r="D41" s="445"/>
      <c r="E41" s="445"/>
      <c r="F41" s="445"/>
      <c r="G41" s="445"/>
      <c r="H41" s="445"/>
      <c r="I41" s="445"/>
      <c r="J41" s="445"/>
      <c r="K41" s="445"/>
      <c r="L41" s="445"/>
      <c r="M41" s="445"/>
      <c r="N41" s="445"/>
      <c r="O41" s="445"/>
      <c r="P41" s="445"/>
      <c r="Q41" s="445"/>
      <c r="R41" s="445"/>
      <c r="S41" s="445"/>
      <c r="T41" s="445"/>
      <c r="U41" s="445"/>
      <c r="V41" s="445"/>
    </row>
  </sheetData>
  <mergeCells count="28">
    <mergeCell ref="A1:A3"/>
    <mergeCell ref="B1:R3"/>
    <mergeCell ref="S1:V3"/>
    <mergeCell ref="B5:I5"/>
    <mergeCell ref="K5:L5"/>
    <mergeCell ref="M5:V5"/>
    <mergeCell ref="B6:I6"/>
    <mergeCell ref="K6:L6"/>
    <mergeCell ref="M6:V6"/>
    <mergeCell ref="B7:I7"/>
    <mergeCell ref="B9:I9"/>
    <mergeCell ref="K9:L9"/>
    <mergeCell ref="M9:V9"/>
    <mergeCell ref="A13:A36"/>
    <mergeCell ref="M13:V26"/>
    <mergeCell ref="M27:V36"/>
    <mergeCell ref="A11:A12"/>
    <mergeCell ref="B11:B12"/>
    <mergeCell ref="C11:E11"/>
    <mergeCell ref="F11:F12"/>
    <mergeCell ref="G11:I11"/>
    <mergeCell ref="J11:J12"/>
    <mergeCell ref="B38:C38"/>
    <mergeCell ref="J40:V41"/>
    <mergeCell ref="B41:I41"/>
    <mergeCell ref="K11:K12"/>
    <mergeCell ref="L11:L12"/>
    <mergeCell ref="M11:V12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V41"/>
  <sheetViews>
    <sheetView zoomScale="85" zoomScaleNormal="85" workbookViewId="0">
      <selection activeCell="D39" sqref="D39"/>
    </sheetView>
  </sheetViews>
  <sheetFormatPr baseColWidth="10" defaultRowHeight="15" x14ac:dyDescent="0.25"/>
  <cols>
    <col min="1" max="1" width="91.7109375" customWidth="1"/>
    <col min="2" max="2" width="20.14062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44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165</v>
      </c>
      <c r="L9" s="445"/>
      <c r="M9" s="473" t="str">
        <f>+PRESUPUESTO!B21</f>
        <v>SUMINISTRO E INSTALACION DE PISO ANKARA CAFE CARAS DIFERENCIADAS 60X60 Y  PISO CERÁMICO BUNES GRIS 60X60CM INSTALACION A DOS TONOS DIFERENCIANDO AREAS DE TRABAJO.  SEGÚN DISEÑO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133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140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/>
      <c r="B13" s="65" t="s">
        <v>149</v>
      </c>
      <c r="C13" s="54">
        <f>7.19+1.2</f>
        <v>8.39</v>
      </c>
      <c r="D13" s="54"/>
      <c r="E13" s="54">
        <v>4.6900000000000004</v>
      </c>
      <c r="F13" s="55"/>
      <c r="G13" s="54"/>
      <c r="H13" s="54"/>
      <c r="I13" s="54"/>
      <c r="J13" s="55"/>
      <c r="K13" s="56">
        <f>+C13*E13</f>
        <v>39.349100000000007</v>
      </c>
      <c r="L13" s="57" t="s">
        <v>98</v>
      </c>
      <c r="M13" s="450"/>
      <c r="N13" s="451"/>
      <c r="O13" s="451"/>
      <c r="P13" s="451"/>
      <c r="Q13" s="451"/>
      <c r="R13" s="451"/>
      <c r="S13" s="451"/>
      <c r="T13" s="451"/>
      <c r="U13" s="451"/>
      <c r="V13" s="452"/>
    </row>
    <row r="14" spans="1:22" x14ac:dyDescent="0.25">
      <c r="A14" s="449"/>
      <c r="B14" s="65" t="s">
        <v>150</v>
      </c>
      <c r="C14" s="54">
        <v>4.6900000000000004</v>
      </c>
      <c r="D14" s="54"/>
      <c r="E14" s="54">
        <v>3.81</v>
      </c>
      <c r="F14" s="55"/>
      <c r="G14" s="54"/>
      <c r="H14" s="54"/>
      <c r="I14" s="54"/>
      <c r="J14" s="55"/>
      <c r="K14" s="56">
        <f>+C14*E14</f>
        <v>17.8689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 t="s">
        <v>151</v>
      </c>
      <c r="C15" s="54">
        <v>3.04</v>
      </c>
      <c r="D15" s="54"/>
      <c r="E15" s="54">
        <v>3.81</v>
      </c>
      <c r="F15" s="55"/>
      <c r="G15" s="54"/>
      <c r="H15" s="54"/>
      <c r="I15" s="54"/>
      <c r="J15" s="55"/>
      <c r="K15" s="56">
        <f>+C15*E15</f>
        <v>11.5824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 t="s">
        <v>152</v>
      </c>
      <c r="C16" s="54">
        <v>3.21</v>
      </c>
      <c r="D16" s="54"/>
      <c r="E16" s="54">
        <v>1.37</v>
      </c>
      <c r="F16" s="55"/>
      <c r="G16" s="54"/>
      <c r="H16" s="54"/>
      <c r="I16" s="54"/>
      <c r="J16" s="55"/>
      <c r="K16" s="56">
        <f>+C16*E16</f>
        <v>4.3977000000000004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 t="s">
        <v>153</v>
      </c>
      <c r="C17" s="54">
        <v>1.48</v>
      </c>
      <c r="D17" s="54"/>
      <c r="E17" s="54">
        <v>1.36</v>
      </c>
      <c r="F17" s="55"/>
      <c r="G17" s="54"/>
      <c r="H17" s="54"/>
      <c r="I17" s="54"/>
      <c r="J17" s="55"/>
      <c r="K17" s="56">
        <f t="shared" ref="K17:K21" si="0">+C17*E17</f>
        <v>2.0127999999999999</v>
      </c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 t="s">
        <v>154</v>
      </c>
      <c r="C18" s="54">
        <v>1.4</v>
      </c>
      <c r="D18" s="54"/>
      <c r="E18" s="54">
        <v>1.53</v>
      </c>
      <c r="F18" s="55"/>
      <c r="G18" s="54"/>
      <c r="H18" s="54"/>
      <c r="I18" s="54"/>
      <c r="J18" s="55"/>
      <c r="K18" s="56">
        <f t="shared" si="0"/>
        <v>2.1419999999999999</v>
      </c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65" t="s">
        <v>155</v>
      </c>
      <c r="C19" s="54">
        <v>1.27</v>
      </c>
      <c r="D19" s="54"/>
      <c r="E19" s="54">
        <v>2.9</v>
      </c>
      <c r="F19" s="55"/>
      <c r="G19" s="54"/>
      <c r="H19" s="54"/>
      <c r="I19" s="54"/>
      <c r="J19" s="55"/>
      <c r="K19" s="56">
        <f t="shared" si="0"/>
        <v>3.6829999999999998</v>
      </c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ht="25.5" x14ac:dyDescent="0.25">
      <c r="A20" s="449"/>
      <c r="B20" s="53" t="s">
        <v>156</v>
      </c>
      <c r="C20" s="54">
        <v>0.7</v>
      </c>
      <c r="D20" s="54"/>
      <c r="E20" s="54">
        <v>0.76</v>
      </c>
      <c r="F20" s="55"/>
      <c r="G20" s="54"/>
      <c r="H20" s="54"/>
      <c r="I20" s="54"/>
      <c r="J20" s="55"/>
      <c r="K20" s="56">
        <f t="shared" si="0"/>
        <v>0.53199999999999992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 t="s">
        <v>157</v>
      </c>
      <c r="C21" s="54">
        <v>3.71</v>
      </c>
      <c r="D21" s="54"/>
      <c r="E21" s="54">
        <v>2.87</v>
      </c>
      <c r="F21" s="55"/>
      <c r="G21" s="54"/>
      <c r="H21" s="54"/>
      <c r="I21" s="54"/>
      <c r="J21" s="55"/>
      <c r="K21" s="56">
        <f t="shared" si="0"/>
        <v>10.6477</v>
      </c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/>
      <c r="C22" s="54"/>
      <c r="D22" s="54"/>
      <c r="E22" s="54"/>
      <c r="F22" s="55"/>
      <c r="G22" s="54"/>
      <c r="H22" s="54"/>
      <c r="I22" s="54"/>
      <c r="J22" s="55"/>
      <c r="K22" s="56"/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/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3"/>
      <c r="N24" s="454"/>
      <c r="O24" s="454"/>
      <c r="P24" s="454"/>
      <c r="Q24" s="454"/>
      <c r="R24" s="454"/>
      <c r="S24" s="454"/>
      <c r="T24" s="454"/>
      <c r="U24" s="454"/>
      <c r="V24" s="455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3"/>
      <c r="N25" s="454"/>
      <c r="O25" s="454"/>
      <c r="P25" s="454"/>
      <c r="Q25" s="454"/>
      <c r="R25" s="454"/>
      <c r="S25" s="454"/>
      <c r="T25" s="454"/>
      <c r="U25" s="454"/>
      <c r="V25" s="455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56"/>
      <c r="N26" s="457"/>
      <c r="O26" s="457"/>
      <c r="P26" s="457"/>
      <c r="Q26" s="457"/>
      <c r="R26" s="457"/>
      <c r="S26" s="457"/>
      <c r="T26" s="457"/>
      <c r="U26" s="457"/>
      <c r="V26" s="458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59" t="s">
        <v>142</v>
      </c>
      <c r="N27" s="460"/>
      <c r="O27" s="460"/>
      <c r="P27" s="460"/>
      <c r="Q27" s="460"/>
      <c r="R27" s="460"/>
      <c r="S27" s="460"/>
      <c r="T27" s="460"/>
      <c r="U27" s="460"/>
      <c r="V27" s="461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65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2"/>
      <c r="N34" s="463"/>
      <c r="O34" s="463"/>
      <c r="P34" s="463"/>
      <c r="Q34" s="463"/>
      <c r="R34" s="463"/>
      <c r="S34" s="463"/>
      <c r="T34" s="463"/>
      <c r="U34" s="463"/>
      <c r="V34" s="464"/>
    </row>
    <row r="35" spans="1:22" x14ac:dyDescent="0.25">
      <c r="A35" s="449"/>
      <c r="B35" s="65"/>
      <c r="C35" s="54"/>
      <c r="D35" s="54"/>
      <c r="E35" s="54"/>
      <c r="F35" s="55"/>
      <c r="G35" s="54"/>
      <c r="H35" s="54"/>
      <c r="I35" s="54"/>
      <c r="J35" s="55"/>
      <c r="K35" s="56"/>
      <c r="L35" s="57"/>
      <c r="M35" s="462"/>
      <c r="N35" s="463"/>
      <c r="O35" s="463"/>
      <c r="P35" s="463"/>
      <c r="Q35" s="463"/>
      <c r="R35" s="463"/>
      <c r="S35" s="463"/>
      <c r="T35" s="463"/>
      <c r="U35" s="463"/>
      <c r="V35" s="464"/>
    </row>
    <row r="36" spans="1:22" x14ac:dyDescent="0.25">
      <c r="A36" s="449"/>
      <c r="B36" s="53"/>
      <c r="C36" s="54"/>
      <c r="D36" s="54"/>
      <c r="E36" s="54"/>
      <c r="F36" s="55"/>
      <c r="G36" s="54"/>
      <c r="H36" s="54"/>
      <c r="I36" s="54"/>
      <c r="J36" s="55"/>
      <c r="K36" s="56"/>
      <c r="L36" s="57"/>
      <c r="M36" s="465"/>
      <c r="N36" s="466"/>
      <c r="O36" s="466"/>
      <c r="P36" s="466"/>
      <c r="Q36" s="466"/>
      <c r="R36" s="466"/>
      <c r="S36" s="466"/>
      <c r="T36" s="466"/>
      <c r="U36" s="466"/>
      <c r="V36" s="467"/>
    </row>
    <row r="37" spans="1:22" x14ac:dyDescent="0.25">
      <c r="A37" s="44"/>
      <c r="B37" s="47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ht="18" x14ac:dyDescent="0.35">
      <c r="A38" s="58" t="s">
        <v>105</v>
      </c>
      <c r="B38" s="444"/>
      <c r="C38" s="444"/>
      <c r="D38" s="44"/>
      <c r="E38" s="44"/>
      <c r="G38" s="44"/>
      <c r="H38" s="44"/>
      <c r="I38" s="44"/>
      <c r="J38" s="59">
        <f>SUM(J13:J37)</f>
        <v>0</v>
      </c>
      <c r="K38" s="60">
        <f>SUM(K13:K37)</f>
        <v>92.215599999999995</v>
      </c>
      <c r="L38" s="61" t="s">
        <v>98</v>
      </c>
      <c r="M38" s="44"/>
      <c r="N38" s="44"/>
      <c r="O38" s="44"/>
      <c r="P38" s="44"/>
      <c r="Q38" s="44"/>
      <c r="R38" s="44"/>
      <c r="S38" s="44"/>
      <c r="T38" s="44"/>
      <c r="U38" s="44"/>
      <c r="V38" s="44"/>
    </row>
    <row r="39" spans="1:22" x14ac:dyDescent="0.25">
      <c r="A39" s="44"/>
      <c r="B39" s="47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</row>
    <row r="40" spans="1:22" x14ac:dyDescent="0.25">
      <c r="A40" s="62" t="s">
        <v>143</v>
      </c>
      <c r="B40" s="63"/>
      <c r="C40" s="62"/>
      <c r="D40" s="62"/>
      <c r="E40" s="62"/>
      <c r="F40" s="62"/>
      <c r="G40" s="62"/>
      <c r="H40" s="62"/>
      <c r="I40" s="62"/>
      <c r="J40" s="445" t="s">
        <v>144</v>
      </c>
      <c r="K40" s="445"/>
      <c r="L40" s="445"/>
      <c r="M40" s="445"/>
      <c r="N40" s="445"/>
      <c r="O40" s="445"/>
      <c r="P40" s="445"/>
      <c r="Q40" s="445"/>
      <c r="R40" s="445"/>
      <c r="S40" s="445"/>
      <c r="T40" s="445"/>
      <c r="U40" s="445"/>
      <c r="V40" s="445"/>
    </row>
    <row r="41" spans="1:22" x14ac:dyDescent="0.25">
      <c r="A41" s="64" t="s">
        <v>89</v>
      </c>
      <c r="B41" s="445"/>
      <c r="C41" s="445"/>
      <c r="D41" s="445"/>
      <c r="E41" s="445"/>
      <c r="F41" s="445"/>
      <c r="G41" s="445"/>
      <c r="H41" s="445"/>
      <c r="I41" s="445"/>
      <c r="J41" s="445"/>
      <c r="K41" s="445"/>
      <c r="L41" s="445"/>
      <c r="M41" s="445"/>
      <c r="N41" s="445"/>
      <c r="O41" s="445"/>
      <c r="P41" s="445"/>
      <c r="Q41" s="445"/>
      <c r="R41" s="445"/>
      <c r="S41" s="445"/>
      <c r="T41" s="445"/>
      <c r="U41" s="445"/>
      <c r="V41" s="445"/>
    </row>
  </sheetData>
  <mergeCells count="28">
    <mergeCell ref="B38:C38"/>
    <mergeCell ref="J40:V41"/>
    <mergeCell ref="B41:I41"/>
    <mergeCell ref="K11:K12"/>
    <mergeCell ref="L11:L12"/>
    <mergeCell ref="M11:V12"/>
    <mergeCell ref="A13:A36"/>
    <mergeCell ref="M13:V26"/>
    <mergeCell ref="M27:V36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V41"/>
  <sheetViews>
    <sheetView topLeftCell="A4" zoomScale="85" zoomScaleNormal="85" workbookViewId="0">
      <selection activeCell="K39" sqref="K39"/>
    </sheetView>
  </sheetViews>
  <sheetFormatPr baseColWidth="10" defaultRowHeight="15" x14ac:dyDescent="0.25"/>
  <cols>
    <col min="1" max="1" width="91.7109375" customWidth="1"/>
    <col min="2" max="2" width="25.8554687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44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166</v>
      </c>
      <c r="L9" s="445"/>
      <c r="M9" s="473" t="str">
        <f>+PRESUPUESTO!B22</f>
        <v>SUMINISTRO E INSTALCION DE PORCELANATO TRAFICO PESADO ANTIDESLIZANTE PISO CERÁMICO PISO PARED ARABIA BEIGE EN FORMATO 30X60, CORREDORES EXTERIORES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133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140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/>
      <c r="B13" s="65" t="s">
        <v>167</v>
      </c>
      <c r="C13" s="54">
        <f>1.08+13.34+1</f>
        <v>15.42</v>
      </c>
      <c r="D13" s="54"/>
      <c r="E13" s="54">
        <v>2</v>
      </c>
      <c r="F13" s="55"/>
      <c r="G13" s="54"/>
      <c r="H13" s="54"/>
      <c r="I13" s="54"/>
      <c r="J13" s="55"/>
      <c r="K13" s="56">
        <f>+C13*E13</f>
        <v>30.84</v>
      </c>
      <c r="L13" s="57" t="s">
        <v>98</v>
      </c>
      <c r="M13" s="450"/>
      <c r="N13" s="451"/>
      <c r="O13" s="451"/>
      <c r="P13" s="451"/>
      <c r="Q13" s="451"/>
      <c r="R13" s="451"/>
      <c r="S13" s="451"/>
      <c r="T13" s="451"/>
      <c r="U13" s="451"/>
      <c r="V13" s="452"/>
    </row>
    <row r="14" spans="1:22" x14ac:dyDescent="0.25">
      <c r="A14" s="449"/>
      <c r="B14" s="65" t="s">
        <v>168</v>
      </c>
      <c r="C14" s="54">
        <f>1.08+13.34+1</f>
        <v>15.42</v>
      </c>
      <c r="D14" s="54"/>
      <c r="E14" s="54">
        <v>2.08</v>
      </c>
      <c r="F14" s="55"/>
      <c r="G14" s="54"/>
      <c r="H14" s="54"/>
      <c r="I14" s="54"/>
      <c r="J14" s="55"/>
      <c r="K14" s="56">
        <f>+C14*E14</f>
        <v>32.073599999999999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 t="s">
        <v>608</v>
      </c>
      <c r="C15" s="54">
        <v>8.24</v>
      </c>
      <c r="D15" s="54"/>
      <c r="E15" s="54">
        <v>1</v>
      </c>
      <c r="F15" s="55"/>
      <c r="G15" s="54"/>
      <c r="H15" s="54"/>
      <c r="I15" s="54"/>
      <c r="J15" s="55"/>
      <c r="K15" s="56">
        <f>+C15*E15</f>
        <v>8.24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 t="s">
        <v>609</v>
      </c>
      <c r="C16" s="54">
        <v>8.24</v>
      </c>
      <c r="D16" s="54"/>
      <c r="E16" s="54">
        <v>1.08</v>
      </c>
      <c r="F16" s="55"/>
      <c r="G16" s="54"/>
      <c r="H16" s="54"/>
      <c r="I16" s="54"/>
      <c r="J16" s="55"/>
      <c r="K16" s="56">
        <f>+C16*E16</f>
        <v>8.8992000000000004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 t="s">
        <v>643</v>
      </c>
      <c r="C17" s="54">
        <v>9.1199999999999992</v>
      </c>
      <c r="D17" s="54"/>
      <c r="E17" s="54">
        <v>1.85</v>
      </c>
      <c r="F17" s="55"/>
      <c r="G17" s="54"/>
      <c r="H17" s="54"/>
      <c r="I17" s="54"/>
      <c r="J17" s="55"/>
      <c r="K17" s="56">
        <f t="shared" ref="K17:K21" si="0">+C17*E17</f>
        <v>16.872</v>
      </c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/>
      <c r="C18" s="54"/>
      <c r="D18" s="54"/>
      <c r="E18" s="54"/>
      <c r="F18" s="55"/>
      <c r="G18" s="54"/>
      <c r="H18" s="54"/>
      <c r="I18" s="54"/>
      <c r="J18" s="55"/>
      <c r="K18" s="56">
        <f t="shared" si="0"/>
        <v>0</v>
      </c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65"/>
      <c r="C19" s="54"/>
      <c r="D19" s="54"/>
      <c r="E19" s="54"/>
      <c r="F19" s="55"/>
      <c r="G19" s="54"/>
      <c r="H19" s="54"/>
      <c r="I19" s="54"/>
      <c r="J19" s="55"/>
      <c r="K19" s="56">
        <f t="shared" si="0"/>
        <v>0</v>
      </c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x14ac:dyDescent="0.25">
      <c r="A20" s="449"/>
      <c r="B20" s="53"/>
      <c r="C20" s="54"/>
      <c r="D20" s="54"/>
      <c r="E20" s="54"/>
      <c r="F20" s="55"/>
      <c r="G20" s="54"/>
      <c r="H20" s="54"/>
      <c r="I20" s="54"/>
      <c r="J20" s="55"/>
      <c r="K20" s="56">
        <f t="shared" si="0"/>
        <v>0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/>
      <c r="C21" s="54"/>
      <c r="D21" s="54"/>
      <c r="E21" s="54"/>
      <c r="F21" s="55"/>
      <c r="G21" s="54"/>
      <c r="H21" s="54"/>
      <c r="I21" s="54"/>
      <c r="J21" s="55"/>
      <c r="K21" s="56">
        <f t="shared" si="0"/>
        <v>0</v>
      </c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/>
      <c r="C22" s="54"/>
      <c r="D22" s="54"/>
      <c r="E22" s="54"/>
      <c r="F22" s="55"/>
      <c r="G22" s="54"/>
      <c r="H22" s="54"/>
      <c r="I22" s="54"/>
      <c r="J22" s="55"/>
      <c r="K22" s="56"/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/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3"/>
      <c r="N24" s="454"/>
      <c r="O24" s="454"/>
      <c r="P24" s="454"/>
      <c r="Q24" s="454"/>
      <c r="R24" s="454"/>
      <c r="S24" s="454"/>
      <c r="T24" s="454"/>
      <c r="U24" s="454"/>
      <c r="V24" s="455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3"/>
      <c r="N25" s="454"/>
      <c r="O25" s="454"/>
      <c r="P25" s="454"/>
      <c r="Q25" s="454"/>
      <c r="R25" s="454"/>
      <c r="S25" s="454"/>
      <c r="T25" s="454"/>
      <c r="U25" s="454"/>
      <c r="V25" s="455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56"/>
      <c r="N26" s="457"/>
      <c r="O26" s="457"/>
      <c r="P26" s="457"/>
      <c r="Q26" s="457"/>
      <c r="R26" s="457"/>
      <c r="S26" s="457"/>
      <c r="T26" s="457"/>
      <c r="U26" s="457"/>
      <c r="V26" s="458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59" t="s">
        <v>142</v>
      </c>
      <c r="N27" s="460"/>
      <c r="O27" s="460"/>
      <c r="P27" s="460"/>
      <c r="Q27" s="460"/>
      <c r="R27" s="460"/>
      <c r="S27" s="460"/>
      <c r="T27" s="460"/>
      <c r="U27" s="460"/>
      <c r="V27" s="461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65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2"/>
      <c r="N34" s="463"/>
      <c r="O34" s="463"/>
      <c r="P34" s="463"/>
      <c r="Q34" s="463"/>
      <c r="R34" s="463"/>
      <c r="S34" s="463"/>
      <c r="T34" s="463"/>
      <c r="U34" s="463"/>
      <c r="V34" s="464"/>
    </row>
    <row r="35" spans="1:22" x14ac:dyDescent="0.25">
      <c r="A35" s="449"/>
      <c r="B35" s="65"/>
      <c r="C35" s="54"/>
      <c r="D35" s="54"/>
      <c r="E35" s="54"/>
      <c r="F35" s="55"/>
      <c r="G35" s="54"/>
      <c r="H35" s="54"/>
      <c r="I35" s="54"/>
      <c r="J35" s="55"/>
      <c r="K35" s="56"/>
      <c r="L35" s="57"/>
      <c r="M35" s="462"/>
      <c r="N35" s="463"/>
      <c r="O35" s="463"/>
      <c r="P35" s="463"/>
      <c r="Q35" s="463"/>
      <c r="R35" s="463"/>
      <c r="S35" s="463"/>
      <c r="T35" s="463"/>
      <c r="U35" s="463"/>
      <c r="V35" s="464"/>
    </row>
    <row r="36" spans="1:22" x14ac:dyDescent="0.25">
      <c r="A36" s="449"/>
      <c r="B36" s="53"/>
      <c r="C36" s="54"/>
      <c r="D36" s="54"/>
      <c r="E36" s="54"/>
      <c r="F36" s="55"/>
      <c r="G36" s="54"/>
      <c r="H36" s="54"/>
      <c r="I36" s="54"/>
      <c r="J36" s="55"/>
      <c r="K36" s="56"/>
      <c r="L36" s="57"/>
      <c r="M36" s="465"/>
      <c r="N36" s="466"/>
      <c r="O36" s="466"/>
      <c r="P36" s="466"/>
      <c r="Q36" s="466"/>
      <c r="R36" s="466"/>
      <c r="S36" s="466"/>
      <c r="T36" s="466"/>
      <c r="U36" s="466"/>
      <c r="V36" s="467"/>
    </row>
    <row r="37" spans="1:22" x14ac:dyDescent="0.25">
      <c r="A37" s="44"/>
      <c r="B37" s="47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ht="18" x14ac:dyDescent="0.35">
      <c r="A38" s="58" t="s">
        <v>105</v>
      </c>
      <c r="B38" s="444"/>
      <c r="C38" s="444"/>
      <c r="D38" s="44"/>
      <c r="E38" s="44"/>
      <c r="G38" s="44"/>
      <c r="H38" s="44"/>
      <c r="I38" s="44"/>
      <c r="J38" s="59">
        <f>SUM(J13:J37)</f>
        <v>0</v>
      </c>
      <c r="K38" s="60">
        <f>SUM(K13:K37)</f>
        <v>96.924799999999991</v>
      </c>
      <c r="L38" s="61" t="s">
        <v>98</v>
      </c>
      <c r="M38" s="44"/>
      <c r="N38" s="44"/>
      <c r="O38" s="44"/>
      <c r="P38" s="44"/>
      <c r="Q38" s="44"/>
      <c r="R38" s="44"/>
      <c r="S38" s="44"/>
      <c r="T38" s="44"/>
      <c r="U38" s="44"/>
      <c r="V38" s="44"/>
    </row>
    <row r="39" spans="1:22" x14ac:dyDescent="0.25">
      <c r="A39" s="44"/>
      <c r="B39" s="47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</row>
    <row r="40" spans="1:22" x14ac:dyDescent="0.25">
      <c r="A40" s="62" t="s">
        <v>143</v>
      </c>
      <c r="B40" s="63"/>
      <c r="C40" s="62"/>
      <c r="D40" s="62"/>
      <c r="E40" s="62"/>
      <c r="F40" s="62"/>
      <c r="G40" s="62"/>
      <c r="H40" s="62"/>
      <c r="I40" s="62"/>
      <c r="J40" s="445" t="s">
        <v>144</v>
      </c>
      <c r="K40" s="445"/>
      <c r="L40" s="445"/>
      <c r="M40" s="445"/>
      <c r="N40" s="445"/>
      <c r="O40" s="445"/>
      <c r="P40" s="445"/>
      <c r="Q40" s="445"/>
      <c r="R40" s="445"/>
      <c r="S40" s="445"/>
      <c r="T40" s="445"/>
      <c r="U40" s="445"/>
      <c r="V40" s="445"/>
    </row>
    <row r="41" spans="1:22" x14ac:dyDescent="0.25">
      <c r="A41" s="64" t="s">
        <v>89</v>
      </c>
      <c r="B41" s="445"/>
      <c r="C41" s="445"/>
      <c r="D41" s="445"/>
      <c r="E41" s="445"/>
      <c r="F41" s="445"/>
      <c r="G41" s="445"/>
      <c r="H41" s="445"/>
      <c r="I41" s="445"/>
      <c r="J41" s="445"/>
      <c r="K41" s="445"/>
      <c r="L41" s="445"/>
      <c r="M41" s="445"/>
      <c r="N41" s="445"/>
      <c r="O41" s="445"/>
      <c r="P41" s="445"/>
      <c r="Q41" s="445"/>
      <c r="R41" s="445"/>
      <c r="S41" s="445"/>
      <c r="T41" s="445"/>
      <c r="U41" s="445"/>
      <c r="V41" s="445"/>
    </row>
  </sheetData>
  <mergeCells count="28">
    <mergeCell ref="B38:C38"/>
    <mergeCell ref="J40:V41"/>
    <mergeCell ref="B41:I41"/>
    <mergeCell ref="K11:K12"/>
    <mergeCell ref="L11:L12"/>
    <mergeCell ref="M11:V12"/>
    <mergeCell ref="A13:A36"/>
    <mergeCell ref="M13:V26"/>
    <mergeCell ref="M27:V36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V41"/>
  <sheetViews>
    <sheetView topLeftCell="A7" zoomScale="85" zoomScaleNormal="85" workbookViewId="0">
      <selection activeCell="M9" sqref="M9:V9"/>
    </sheetView>
  </sheetViews>
  <sheetFormatPr baseColWidth="10" defaultRowHeight="15" x14ac:dyDescent="0.25"/>
  <cols>
    <col min="1" max="1" width="91.7109375" customWidth="1"/>
    <col min="2" max="2" width="20.14062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44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169</v>
      </c>
      <c r="L9" s="445"/>
      <c r="M9" s="473" t="str">
        <f>+PRESUPUESTO!B23</f>
        <v>SUMINISTRO E INSTALACION DE ENCHAPE MURO PARA BAÑO  FACHALETA JAEN BLANCO CARAS DIFERENCIADAS 25X41 INCLUYE  Y MATERIAL DE PEGA Y BOQUILLA Y WIN PLASTICOPARA ESQUINAS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133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140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/>
      <c r="B13" s="65" t="s">
        <v>153</v>
      </c>
      <c r="C13" s="54">
        <v>1.39</v>
      </c>
      <c r="D13" s="54"/>
      <c r="E13" s="54">
        <v>2.95</v>
      </c>
      <c r="F13" s="55"/>
      <c r="G13" s="54"/>
      <c r="H13" s="54"/>
      <c r="I13" s="54"/>
      <c r="J13" s="55"/>
      <c r="K13" s="56">
        <f>+C13*E13</f>
        <v>4.1005000000000003</v>
      </c>
      <c r="L13" s="57" t="s">
        <v>141</v>
      </c>
      <c r="M13" s="450"/>
      <c r="N13" s="451"/>
      <c r="O13" s="451"/>
      <c r="P13" s="451"/>
      <c r="Q13" s="451"/>
      <c r="R13" s="451"/>
      <c r="S13" s="451"/>
      <c r="T13" s="451"/>
      <c r="U13" s="451"/>
      <c r="V13" s="452"/>
    </row>
    <row r="14" spans="1:22" x14ac:dyDescent="0.25">
      <c r="A14" s="449"/>
      <c r="B14" s="65"/>
      <c r="C14" s="54">
        <v>1.41</v>
      </c>
      <c r="D14" s="54"/>
      <c r="E14" s="54">
        <v>2.95</v>
      </c>
      <c r="F14" s="55"/>
      <c r="G14" s="54"/>
      <c r="H14" s="54"/>
      <c r="I14" s="54"/>
      <c r="J14" s="55"/>
      <c r="K14" s="56">
        <f>+C14*E14</f>
        <v>4.1595000000000004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/>
      <c r="C15" s="54">
        <v>1.39</v>
      </c>
      <c r="D15" s="54"/>
      <c r="E15" s="54">
        <v>2.95</v>
      </c>
      <c r="F15" s="55"/>
      <c r="G15" s="54"/>
      <c r="H15" s="54"/>
      <c r="I15" s="54"/>
      <c r="J15" s="55"/>
      <c r="K15" s="56">
        <f>+C15*E15</f>
        <v>4.1005000000000003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/>
      <c r="C16" s="54">
        <v>0.66</v>
      </c>
      <c r="D16" s="54"/>
      <c r="E16" s="54">
        <v>2.95</v>
      </c>
      <c r="F16" s="55"/>
      <c r="G16" s="54"/>
      <c r="H16" s="54"/>
      <c r="I16" s="54"/>
      <c r="J16" s="55"/>
      <c r="K16" s="56">
        <f>+C16*E16</f>
        <v>1.9470000000000003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 t="s">
        <v>154</v>
      </c>
      <c r="C17" s="54">
        <v>1.39</v>
      </c>
      <c r="D17" s="54"/>
      <c r="E17" s="54">
        <v>2.95</v>
      </c>
      <c r="F17" s="55"/>
      <c r="G17" s="54"/>
      <c r="H17" s="54"/>
      <c r="I17" s="54"/>
      <c r="J17" s="55"/>
      <c r="K17" s="56">
        <f t="shared" ref="K17:K21" si="0">+C17*E17</f>
        <v>4.1005000000000003</v>
      </c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/>
      <c r="C18" s="54">
        <v>1.35</v>
      </c>
      <c r="D18" s="54"/>
      <c r="E18" s="54">
        <v>2.95</v>
      </c>
      <c r="F18" s="55"/>
      <c r="G18" s="54"/>
      <c r="H18" s="54"/>
      <c r="I18" s="54"/>
      <c r="J18" s="55"/>
      <c r="K18" s="56">
        <f t="shared" si="0"/>
        <v>3.9825000000000004</v>
      </c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65"/>
      <c r="C19" s="54">
        <v>1.39</v>
      </c>
      <c r="D19" s="54"/>
      <c r="E19" s="54">
        <v>2.95</v>
      </c>
      <c r="F19" s="55"/>
      <c r="G19" s="54"/>
      <c r="H19" s="54"/>
      <c r="I19" s="54"/>
      <c r="J19" s="55"/>
      <c r="K19" s="56">
        <f t="shared" si="0"/>
        <v>4.1005000000000003</v>
      </c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x14ac:dyDescent="0.25">
      <c r="A20" s="449"/>
      <c r="B20" s="53"/>
      <c r="C20" s="54">
        <v>0.66</v>
      </c>
      <c r="D20" s="54"/>
      <c r="E20" s="54">
        <v>2.95</v>
      </c>
      <c r="F20" s="55"/>
      <c r="G20" s="54"/>
      <c r="H20" s="54"/>
      <c r="I20" s="54"/>
      <c r="J20" s="55"/>
      <c r="K20" s="56">
        <f t="shared" si="0"/>
        <v>1.9470000000000003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/>
      <c r="C21" s="54"/>
      <c r="D21" s="54"/>
      <c r="E21" s="54"/>
      <c r="F21" s="55"/>
      <c r="G21" s="54"/>
      <c r="H21" s="54"/>
      <c r="I21" s="54"/>
      <c r="J21" s="55"/>
      <c r="K21" s="56">
        <f t="shared" si="0"/>
        <v>0</v>
      </c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/>
      <c r="C22" s="54"/>
      <c r="D22" s="54"/>
      <c r="E22" s="54"/>
      <c r="F22" s="55"/>
      <c r="G22" s="54"/>
      <c r="H22" s="54"/>
      <c r="I22" s="54"/>
      <c r="J22" s="55"/>
      <c r="K22" s="56"/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/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3"/>
      <c r="N24" s="454"/>
      <c r="O24" s="454"/>
      <c r="P24" s="454"/>
      <c r="Q24" s="454"/>
      <c r="R24" s="454"/>
      <c r="S24" s="454"/>
      <c r="T24" s="454"/>
      <c r="U24" s="454"/>
      <c r="V24" s="455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3"/>
      <c r="N25" s="454"/>
      <c r="O25" s="454"/>
      <c r="P25" s="454"/>
      <c r="Q25" s="454"/>
      <c r="R25" s="454"/>
      <c r="S25" s="454"/>
      <c r="T25" s="454"/>
      <c r="U25" s="454"/>
      <c r="V25" s="455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56"/>
      <c r="N26" s="457"/>
      <c r="O26" s="457"/>
      <c r="P26" s="457"/>
      <c r="Q26" s="457"/>
      <c r="R26" s="457"/>
      <c r="S26" s="457"/>
      <c r="T26" s="457"/>
      <c r="U26" s="457"/>
      <c r="V26" s="458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59" t="s">
        <v>142</v>
      </c>
      <c r="N27" s="460"/>
      <c r="O27" s="460"/>
      <c r="P27" s="460"/>
      <c r="Q27" s="460"/>
      <c r="R27" s="460"/>
      <c r="S27" s="460"/>
      <c r="T27" s="460"/>
      <c r="U27" s="460"/>
      <c r="V27" s="461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65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2"/>
      <c r="N34" s="463"/>
      <c r="O34" s="463"/>
      <c r="P34" s="463"/>
      <c r="Q34" s="463"/>
      <c r="R34" s="463"/>
      <c r="S34" s="463"/>
      <c r="T34" s="463"/>
      <c r="U34" s="463"/>
      <c r="V34" s="464"/>
    </row>
    <row r="35" spans="1:22" x14ac:dyDescent="0.25">
      <c r="A35" s="449"/>
      <c r="B35" s="65"/>
      <c r="C35" s="54"/>
      <c r="D35" s="54"/>
      <c r="E35" s="54"/>
      <c r="F35" s="55"/>
      <c r="G35" s="54"/>
      <c r="H35" s="54"/>
      <c r="I35" s="54"/>
      <c r="J35" s="55"/>
      <c r="K35" s="56"/>
      <c r="L35" s="57"/>
      <c r="M35" s="462"/>
      <c r="N35" s="463"/>
      <c r="O35" s="463"/>
      <c r="P35" s="463"/>
      <c r="Q35" s="463"/>
      <c r="R35" s="463"/>
      <c r="S35" s="463"/>
      <c r="T35" s="463"/>
      <c r="U35" s="463"/>
      <c r="V35" s="464"/>
    </row>
    <row r="36" spans="1:22" x14ac:dyDescent="0.25">
      <c r="A36" s="449"/>
      <c r="B36" s="53"/>
      <c r="C36" s="54"/>
      <c r="D36" s="54"/>
      <c r="E36" s="54"/>
      <c r="F36" s="55"/>
      <c r="G36" s="54"/>
      <c r="H36" s="54"/>
      <c r="I36" s="54"/>
      <c r="J36" s="55"/>
      <c r="K36" s="56"/>
      <c r="L36" s="57"/>
      <c r="M36" s="465"/>
      <c r="N36" s="466"/>
      <c r="O36" s="466"/>
      <c r="P36" s="466"/>
      <c r="Q36" s="466"/>
      <c r="R36" s="466"/>
      <c r="S36" s="466"/>
      <c r="T36" s="466"/>
      <c r="U36" s="466"/>
      <c r="V36" s="467"/>
    </row>
    <row r="37" spans="1:22" x14ac:dyDescent="0.25">
      <c r="A37" s="44"/>
      <c r="B37" s="47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ht="18" x14ac:dyDescent="0.35">
      <c r="A38" s="58" t="s">
        <v>105</v>
      </c>
      <c r="B38" s="444"/>
      <c r="C38" s="444"/>
      <c r="D38" s="44"/>
      <c r="E38" s="44"/>
      <c r="G38" s="44"/>
      <c r="H38" s="44"/>
      <c r="I38" s="44"/>
      <c r="J38" s="59">
        <f>SUM(J13:J37)</f>
        <v>0</v>
      </c>
      <c r="K38" s="60">
        <f>SUM(K13:K37)</f>
        <v>28.438000000000002</v>
      </c>
      <c r="L38" s="61" t="str">
        <f>+'[2]PRESUPUESTO (en construccion)'!D18</f>
        <v>M2</v>
      </c>
      <c r="M38" s="44"/>
      <c r="N38" s="44"/>
      <c r="O38" s="44"/>
      <c r="P38" s="44"/>
      <c r="Q38" s="44"/>
      <c r="R38" s="44"/>
      <c r="S38" s="44"/>
      <c r="T38" s="44"/>
      <c r="U38" s="44"/>
      <c r="V38" s="44"/>
    </row>
    <row r="39" spans="1:22" x14ac:dyDescent="0.25">
      <c r="A39" s="44"/>
      <c r="B39" s="47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</row>
    <row r="40" spans="1:22" x14ac:dyDescent="0.25">
      <c r="A40" s="62" t="s">
        <v>143</v>
      </c>
      <c r="B40" s="63"/>
      <c r="C40" s="62"/>
      <c r="D40" s="62"/>
      <c r="E40" s="62"/>
      <c r="F40" s="62"/>
      <c r="G40" s="62"/>
      <c r="H40" s="62"/>
      <c r="I40" s="62"/>
      <c r="J40" s="445" t="s">
        <v>144</v>
      </c>
      <c r="K40" s="445"/>
      <c r="L40" s="445"/>
      <c r="M40" s="445"/>
      <c r="N40" s="445"/>
      <c r="O40" s="445"/>
      <c r="P40" s="445"/>
      <c r="Q40" s="445"/>
      <c r="R40" s="445"/>
      <c r="S40" s="445"/>
      <c r="T40" s="445"/>
      <c r="U40" s="445"/>
      <c r="V40" s="445"/>
    </row>
    <row r="41" spans="1:22" x14ac:dyDescent="0.25">
      <c r="A41" s="64" t="s">
        <v>89</v>
      </c>
      <c r="B41" s="445"/>
      <c r="C41" s="445"/>
      <c r="D41" s="445"/>
      <c r="E41" s="445"/>
      <c r="F41" s="445"/>
      <c r="G41" s="445"/>
      <c r="H41" s="445"/>
      <c r="I41" s="445"/>
      <c r="J41" s="445"/>
      <c r="K41" s="445"/>
      <c r="L41" s="445"/>
      <c r="M41" s="445"/>
      <c r="N41" s="445"/>
      <c r="O41" s="445"/>
      <c r="P41" s="445"/>
      <c r="Q41" s="445"/>
      <c r="R41" s="445"/>
      <c r="S41" s="445"/>
      <c r="T41" s="445"/>
      <c r="U41" s="445"/>
      <c r="V41" s="445"/>
    </row>
  </sheetData>
  <mergeCells count="28">
    <mergeCell ref="B38:C38"/>
    <mergeCell ref="J40:V41"/>
    <mergeCell ref="B41:I41"/>
    <mergeCell ref="K11:K12"/>
    <mergeCell ref="L11:L12"/>
    <mergeCell ref="M11:V12"/>
    <mergeCell ref="A13:A36"/>
    <mergeCell ref="M13:V26"/>
    <mergeCell ref="M27:V36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V37"/>
  <sheetViews>
    <sheetView topLeftCell="A10" zoomScale="85" zoomScaleNormal="85" workbookViewId="0">
      <selection activeCell="K35" sqref="K35"/>
    </sheetView>
  </sheetViews>
  <sheetFormatPr baseColWidth="10" defaultRowHeight="15" x14ac:dyDescent="0.25"/>
  <cols>
    <col min="1" max="1" width="91.7109375" customWidth="1"/>
    <col min="2" max="2" width="20.14062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44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165</v>
      </c>
      <c r="L9" s="445"/>
      <c r="M9" s="473" t="str">
        <f>+PRESUPUESTO!B21</f>
        <v>SUMINISTRO E INSTALACION DE PISO ANKARA CAFE CARAS DIFERENCIADAS 60X60 Y  PISO CERÁMICO BUNES GRIS 60X60CM INSTALACION A DOS TONOS DIFERENCIANDO AREAS DE TRABAJO.  SEGÚN DISEÑO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133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140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/>
      <c r="B13" s="65" t="s">
        <v>153</v>
      </c>
      <c r="C13" s="54">
        <v>1.48</v>
      </c>
      <c r="D13" s="54"/>
      <c r="E13" s="54">
        <v>1.36</v>
      </c>
      <c r="F13" s="55"/>
      <c r="G13" s="54"/>
      <c r="H13" s="54"/>
      <c r="I13" s="54"/>
      <c r="J13" s="55"/>
      <c r="K13" s="56">
        <f>+C13*E13</f>
        <v>2.0127999999999999</v>
      </c>
      <c r="L13" s="57"/>
      <c r="M13" s="453"/>
      <c r="N13" s="454"/>
      <c r="O13" s="454"/>
      <c r="P13" s="454"/>
      <c r="Q13" s="454"/>
      <c r="R13" s="454"/>
      <c r="S13" s="454"/>
      <c r="T13" s="454"/>
      <c r="U13" s="454"/>
      <c r="V13" s="455"/>
    </row>
    <row r="14" spans="1:22" x14ac:dyDescent="0.25">
      <c r="A14" s="449"/>
      <c r="B14" s="65" t="s">
        <v>154</v>
      </c>
      <c r="C14" s="54">
        <v>1.4</v>
      </c>
      <c r="D14" s="54"/>
      <c r="E14" s="54">
        <v>1.53</v>
      </c>
      <c r="F14" s="55"/>
      <c r="G14" s="54"/>
      <c r="H14" s="54"/>
      <c r="I14" s="54"/>
      <c r="J14" s="55"/>
      <c r="K14" s="56">
        <f t="shared" ref="K14" si="0">+C14*E14</f>
        <v>2.1419999999999999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/>
      <c r="C15" s="54"/>
      <c r="D15" s="54"/>
      <c r="E15" s="54"/>
      <c r="F15" s="55"/>
      <c r="G15" s="54"/>
      <c r="H15" s="54"/>
      <c r="I15" s="54"/>
      <c r="J15" s="55"/>
      <c r="K15" s="56"/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53"/>
      <c r="C16" s="54"/>
      <c r="D16" s="54"/>
      <c r="E16" s="54"/>
      <c r="F16" s="55"/>
      <c r="G16" s="54"/>
      <c r="H16" s="54"/>
      <c r="I16" s="54"/>
      <c r="J16" s="55"/>
      <c r="K16" s="56"/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/>
      <c r="C17" s="54"/>
      <c r="D17" s="54"/>
      <c r="E17" s="54"/>
      <c r="F17" s="55"/>
      <c r="G17" s="54"/>
      <c r="H17" s="54"/>
      <c r="I17" s="54"/>
      <c r="J17" s="55"/>
      <c r="K17" s="56"/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/>
      <c r="C18" s="54"/>
      <c r="D18" s="54"/>
      <c r="E18" s="54"/>
      <c r="F18" s="55"/>
      <c r="G18" s="54"/>
      <c r="H18" s="54"/>
      <c r="I18" s="54"/>
      <c r="J18" s="55"/>
      <c r="K18" s="56"/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65"/>
      <c r="C19" s="54"/>
      <c r="D19" s="54"/>
      <c r="E19" s="54"/>
      <c r="F19" s="55"/>
      <c r="G19" s="54"/>
      <c r="H19" s="54"/>
      <c r="I19" s="54"/>
      <c r="J19" s="55"/>
      <c r="K19" s="56"/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x14ac:dyDescent="0.25">
      <c r="A20" s="449"/>
      <c r="B20" s="65"/>
      <c r="C20" s="54"/>
      <c r="D20" s="54"/>
      <c r="E20" s="54"/>
      <c r="F20" s="55"/>
      <c r="G20" s="54"/>
      <c r="H20" s="54"/>
      <c r="I20" s="54"/>
      <c r="J20" s="55"/>
      <c r="K20" s="56"/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/>
      <c r="C21" s="54"/>
      <c r="D21" s="54"/>
      <c r="E21" s="54"/>
      <c r="F21" s="55"/>
      <c r="G21" s="54"/>
      <c r="H21" s="54"/>
      <c r="I21" s="54"/>
      <c r="J21" s="55"/>
      <c r="K21" s="56"/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/>
      <c r="C22" s="54"/>
      <c r="D22" s="54"/>
      <c r="E22" s="54"/>
      <c r="F22" s="55"/>
      <c r="G22" s="54"/>
      <c r="H22" s="54"/>
      <c r="I22" s="54"/>
      <c r="J22" s="55"/>
      <c r="K22" s="56"/>
      <c r="L22" s="57"/>
      <c r="M22" s="456"/>
      <c r="N22" s="457"/>
      <c r="O22" s="457"/>
      <c r="P22" s="457"/>
      <c r="Q22" s="457"/>
      <c r="R22" s="457"/>
      <c r="S22" s="457"/>
      <c r="T22" s="457"/>
      <c r="U22" s="457"/>
      <c r="V22" s="458"/>
    </row>
    <row r="23" spans="1:2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/>
      <c r="L23" s="57"/>
      <c r="M23" s="459" t="s">
        <v>142</v>
      </c>
      <c r="N23" s="460"/>
      <c r="O23" s="460"/>
      <c r="P23" s="460"/>
      <c r="Q23" s="460"/>
      <c r="R23" s="460"/>
      <c r="S23" s="460"/>
      <c r="T23" s="460"/>
      <c r="U23" s="460"/>
      <c r="V23" s="461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62"/>
      <c r="N24" s="463"/>
      <c r="O24" s="463"/>
      <c r="P24" s="463"/>
      <c r="Q24" s="463"/>
      <c r="R24" s="463"/>
      <c r="S24" s="463"/>
      <c r="T24" s="463"/>
      <c r="U24" s="463"/>
      <c r="V24" s="464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62"/>
      <c r="N25" s="463"/>
      <c r="O25" s="463"/>
      <c r="P25" s="463"/>
      <c r="Q25" s="463"/>
      <c r="R25" s="463"/>
      <c r="S25" s="463"/>
      <c r="T25" s="463"/>
      <c r="U25" s="463"/>
      <c r="V25" s="464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62"/>
      <c r="N26" s="463"/>
      <c r="O26" s="463"/>
      <c r="P26" s="463"/>
      <c r="Q26" s="463"/>
      <c r="R26" s="463"/>
      <c r="S26" s="463"/>
      <c r="T26" s="463"/>
      <c r="U26" s="463"/>
      <c r="V26" s="464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62"/>
      <c r="N27" s="463"/>
      <c r="O27" s="463"/>
      <c r="P27" s="463"/>
      <c r="Q27" s="463"/>
      <c r="R27" s="463"/>
      <c r="S27" s="463"/>
      <c r="T27" s="463"/>
      <c r="U27" s="463"/>
      <c r="V27" s="464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53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5"/>
      <c r="N32" s="466"/>
      <c r="O32" s="466"/>
      <c r="P32" s="466"/>
      <c r="Q32" s="466"/>
      <c r="R32" s="466"/>
      <c r="S32" s="466"/>
      <c r="T32" s="466"/>
      <c r="U32" s="466"/>
      <c r="V32" s="467"/>
    </row>
    <row r="33" spans="1:22" x14ac:dyDescent="0.25">
      <c r="A33" s="44"/>
      <c r="B33" s="47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</row>
    <row r="34" spans="1:22" ht="18" x14ac:dyDescent="0.35">
      <c r="A34" s="58" t="s">
        <v>105</v>
      </c>
      <c r="B34" s="444"/>
      <c r="C34" s="444"/>
      <c r="D34" s="44"/>
      <c r="E34" s="44"/>
      <c r="G34" s="44"/>
      <c r="H34" s="44"/>
      <c r="I34" s="44"/>
      <c r="J34" s="59">
        <f>SUM(J13:J33)</f>
        <v>0</v>
      </c>
      <c r="K34" s="60">
        <f>SUM(K13:K33)</f>
        <v>4.1547999999999998</v>
      </c>
      <c r="L34" s="61" t="s">
        <v>98</v>
      </c>
      <c r="M34" s="44"/>
      <c r="N34" s="44"/>
      <c r="O34" s="44"/>
      <c r="P34" s="44"/>
      <c r="Q34" s="44"/>
      <c r="R34" s="44"/>
      <c r="S34" s="44"/>
      <c r="T34" s="44"/>
      <c r="U34" s="44"/>
      <c r="V34" s="44"/>
    </row>
    <row r="35" spans="1:22" x14ac:dyDescent="0.25">
      <c r="A35" s="44"/>
      <c r="B35" s="47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</row>
    <row r="36" spans="1:22" x14ac:dyDescent="0.25">
      <c r="A36" s="62" t="s">
        <v>143</v>
      </c>
      <c r="B36" s="63"/>
      <c r="C36" s="62"/>
      <c r="D36" s="62"/>
      <c r="E36" s="62"/>
      <c r="F36" s="62"/>
      <c r="G36" s="62"/>
      <c r="H36" s="62"/>
      <c r="I36" s="62"/>
      <c r="J36" s="445" t="s">
        <v>144</v>
      </c>
      <c r="K36" s="445"/>
      <c r="L36" s="445"/>
      <c r="M36" s="445"/>
      <c r="N36" s="445"/>
      <c r="O36" s="445"/>
      <c r="P36" s="445"/>
      <c r="Q36" s="445"/>
      <c r="R36" s="445"/>
      <c r="S36" s="445"/>
      <c r="T36" s="445"/>
      <c r="U36" s="445"/>
      <c r="V36" s="445"/>
    </row>
    <row r="37" spans="1:22" x14ac:dyDescent="0.25">
      <c r="A37" s="64" t="s">
        <v>89</v>
      </c>
      <c r="B37" s="445"/>
      <c r="C37" s="445"/>
      <c r="D37" s="445"/>
      <c r="E37" s="445"/>
      <c r="F37" s="445"/>
      <c r="G37" s="445"/>
      <c r="H37" s="445"/>
      <c r="I37" s="445"/>
      <c r="J37" s="445"/>
      <c r="K37" s="445"/>
      <c r="L37" s="445"/>
      <c r="M37" s="445"/>
      <c r="N37" s="445"/>
      <c r="O37" s="445"/>
      <c r="P37" s="445"/>
      <c r="Q37" s="445"/>
      <c r="R37" s="445"/>
      <c r="S37" s="445"/>
      <c r="T37" s="445"/>
      <c r="U37" s="445"/>
      <c r="V37" s="445"/>
    </row>
  </sheetData>
  <mergeCells count="28">
    <mergeCell ref="B34:C34"/>
    <mergeCell ref="J36:V37"/>
    <mergeCell ref="B37:I37"/>
    <mergeCell ref="K11:K12"/>
    <mergeCell ref="L11:L12"/>
    <mergeCell ref="M11:V12"/>
    <mergeCell ref="A13:A32"/>
    <mergeCell ref="M13:V22"/>
    <mergeCell ref="M23:V32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V53"/>
  <sheetViews>
    <sheetView topLeftCell="A20" zoomScaleNormal="100" workbookViewId="0">
      <selection activeCell="K50" sqref="K50"/>
    </sheetView>
  </sheetViews>
  <sheetFormatPr baseColWidth="10" defaultRowHeight="15" x14ac:dyDescent="0.25"/>
  <cols>
    <col min="1" max="1" width="91.7109375" customWidth="1"/>
    <col min="2" max="2" width="20.14062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44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186</v>
      </c>
      <c r="L9" s="445"/>
      <c r="M9" s="473" t="str">
        <f>+PRESUPUESTO!B25</f>
        <v>APLICACIÓN DE PINTURA Y ESTUCO GENERAL PARA  INTERIOR  EN VINILO TIPO 1 EN MUROS. INCLUYE LIMPIEZA , RASPADO, RESANES, LIJADO FILOS EN ESCUADRAS DE MUROS DE VENTANA Y PUERTAS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133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140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/>
      <c r="B13" s="65" t="s">
        <v>149</v>
      </c>
      <c r="C13" s="54"/>
      <c r="D13" s="54"/>
      <c r="E13" s="54"/>
      <c r="F13" s="55"/>
      <c r="G13" s="54"/>
      <c r="H13" s="54"/>
      <c r="I13" s="54"/>
      <c r="J13" s="55"/>
      <c r="K13" s="56"/>
      <c r="L13" s="57" t="s">
        <v>141</v>
      </c>
      <c r="M13" s="450"/>
      <c r="N13" s="451"/>
      <c r="O13" s="451"/>
      <c r="P13" s="451"/>
      <c r="Q13" s="451"/>
      <c r="R13" s="451"/>
      <c r="S13" s="451"/>
      <c r="T13" s="451"/>
      <c r="U13" s="451"/>
      <c r="V13" s="452"/>
    </row>
    <row r="14" spans="1:22" x14ac:dyDescent="0.25">
      <c r="A14" s="449"/>
      <c r="B14" s="65" t="s">
        <v>187</v>
      </c>
      <c r="C14" s="54">
        <v>6.82</v>
      </c>
      <c r="D14" s="54">
        <v>3.33</v>
      </c>
      <c r="E14" s="54"/>
      <c r="F14" s="55"/>
      <c r="G14" s="54"/>
      <c r="H14" s="54"/>
      <c r="I14" s="54"/>
      <c r="J14" s="55"/>
      <c r="K14" s="56">
        <f>+C14*D14-J15</f>
        <v>21.110600000000002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8" t="s">
        <v>188</v>
      </c>
      <c r="C15" s="54"/>
      <c r="D15" s="54"/>
      <c r="E15" s="54"/>
      <c r="F15" s="55"/>
      <c r="G15" s="54"/>
      <c r="H15" s="66">
        <v>2</v>
      </c>
      <c r="I15" s="66">
        <v>0.8</v>
      </c>
      <c r="J15" s="67">
        <f>+H15*I15</f>
        <v>1.6</v>
      </c>
      <c r="K15" s="56">
        <f>+C15*E15</f>
        <v>0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 t="s">
        <v>98</v>
      </c>
      <c r="C16" s="54">
        <v>4.8499999999999996</v>
      </c>
      <c r="D16" s="54">
        <v>2.95</v>
      </c>
      <c r="E16" s="54"/>
      <c r="F16" s="55"/>
      <c r="G16" s="54"/>
      <c r="H16" s="54"/>
      <c r="I16" s="54"/>
      <c r="J16" s="55"/>
      <c r="K16" s="56">
        <f>+C16*D16</f>
        <v>14.307499999999999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 t="s">
        <v>145</v>
      </c>
      <c r="C17" s="54">
        <f>6.82+1.2</f>
        <v>8.02</v>
      </c>
      <c r="D17" s="54">
        <v>2.4900000000000002</v>
      </c>
      <c r="E17" s="54"/>
      <c r="F17" s="55"/>
      <c r="G17" s="54"/>
      <c r="H17" s="54"/>
      <c r="I17" s="54"/>
      <c r="J17" s="55"/>
      <c r="K17" s="56">
        <f>+C17*D17-J18-J19-J20</f>
        <v>13.897699999999999</v>
      </c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8" t="s">
        <v>189</v>
      </c>
      <c r="C18" s="54"/>
      <c r="D18" s="54"/>
      <c r="E18" s="54"/>
      <c r="F18" s="55"/>
      <c r="G18" s="54"/>
      <c r="H18" s="66">
        <v>1.95</v>
      </c>
      <c r="I18" s="66">
        <v>1.08</v>
      </c>
      <c r="J18" s="67">
        <f t="shared" ref="J18:J20" si="0">+H18*I18</f>
        <v>2.1059999999999999</v>
      </c>
      <c r="K18" s="56">
        <f t="shared" ref="K18:K20" si="1">+C18*E18</f>
        <v>0</v>
      </c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68" t="s">
        <v>189</v>
      </c>
      <c r="C19" s="54"/>
      <c r="D19" s="54"/>
      <c r="E19" s="54"/>
      <c r="F19" s="55"/>
      <c r="G19" s="54"/>
      <c r="H19" s="66">
        <v>1.95</v>
      </c>
      <c r="I19" s="66">
        <v>1.08</v>
      </c>
      <c r="J19" s="67">
        <f t="shared" si="0"/>
        <v>2.1059999999999999</v>
      </c>
      <c r="K19" s="56">
        <f t="shared" si="1"/>
        <v>0</v>
      </c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x14ac:dyDescent="0.25">
      <c r="A20" s="449"/>
      <c r="B20" s="68" t="s">
        <v>190</v>
      </c>
      <c r="C20" s="54"/>
      <c r="D20" s="54"/>
      <c r="E20" s="54"/>
      <c r="F20" s="55"/>
      <c r="G20" s="54"/>
      <c r="H20" s="66">
        <v>2.09</v>
      </c>
      <c r="I20" s="66">
        <v>0.89</v>
      </c>
      <c r="J20" s="67">
        <f t="shared" si="0"/>
        <v>1.8600999999999999</v>
      </c>
      <c r="K20" s="56">
        <f t="shared" si="1"/>
        <v>0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 t="s">
        <v>170</v>
      </c>
      <c r="C21" s="54">
        <v>3.79</v>
      </c>
      <c r="D21" s="54">
        <v>2.95</v>
      </c>
      <c r="E21" s="54"/>
      <c r="F21" s="55"/>
      <c r="G21" s="54"/>
      <c r="H21" s="54"/>
      <c r="I21" s="54"/>
      <c r="J21" s="55"/>
      <c r="K21" s="56">
        <f>+C21*D21</f>
        <v>11.1805</v>
      </c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 t="s">
        <v>171</v>
      </c>
      <c r="C22" s="54">
        <v>3.79</v>
      </c>
      <c r="D22" s="54">
        <v>2.95</v>
      </c>
      <c r="E22" s="54"/>
      <c r="F22" s="55"/>
      <c r="G22" s="54"/>
      <c r="H22" s="54"/>
      <c r="I22" s="54"/>
      <c r="J22" s="55"/>
      <c r="K22" s="56">
        <f>+C22*D22</f>
        <v>11.1805</v>
      </c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 t="s">
        <v>172</v>
      </c>
      <c r="C23" s="54">
        <v>4.84</v>
      </c>
      <c r="D23" s="54">
        <v>2.5299999999999998</v>
      </c>
      <c r="E23" s="54"/>
      <c r="F23" s="55"/>
      <c r="G23" s="54"/>
      <c r="H23" s="54"/>
      <c r="I23" s="54"/>
      <c r="J23" s="55"/>
      <c r="K23" s="56">
        <f>+C23*D23-J24</f>
        <v>10.085199999999999</v>
      </c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8" t="s">
        <v>191</v>
      </c>
      <c r="C24" s="54"/>
      <c r="D24" s="54"/>
      <c r="E24" s="54"/>
      <c r="F24" s="55"/>
      <c r="G24" s="54"/>
      <c r="H24" s="66">
        <v>2</v>
      </c>
      <c r="I24" s="66">
        <v>1.08</v>
      </c>
      <c r="J24" s="67">
        <f t="shared" ref="J24" si="2">+H24*I24</f>
        <v>2.16</v>
      </c>
      <c r="K24" s="56"/>
      <c r="L24" s="57"/>
      <c r="M24" s="453"/>
      <c r="N24" s="454"/>
      <c r="O24" s="454"/>
      <c r="P24" s="454"/>
      <c r="Q24" s="454"/>
      <c r="R24" s="454"/>
      <c r="S24" s="454"/>
      <c r="T24" s="454"/>
      <c r="U24" s="454"/>
      <c r="V24" s="455"/>
    </row>
    <row r="25" spans="1:22" x14ac:dyDescent="0.25">
      <c r="A25" s="449"/>
      <c r="B25" s="65" t="s">
        <v>173</v>
      </c>
      <c r="C25" s="54">
        <v>4.7</v>
      </c>
      <c r="D25" s="54">
        <v>2.97</v>
      </c>
      <c r="E25" s="54"/>
      <c r="F25" s="55"/>
      <c r="G25" s="54"/>
      <c r="H25" s="54"/>
      <c r="I25" s="54"/>
      <c r="J25" s="55"/>
      <c r="K25" s="56">
        <f>+C25*D25</f>
        <v>13.959000000000001</v>
      </c>
      <c r="L25" s="57"/>
      <c r="M25" s="453"/>
      <c r="N25" s="454"/>
      <c r="O25" s="454"/>
      <c r="P25" s="454"/>
      <c r="Q25" s="454"/>
      <c r="R25" s="454"/>
      <c r="S25" s="454"/>
      <c r="T25" s="454"/>
      <c r="U25" s="454"/>
      <c r="V25" s="455"/>
    </row>
    <row r="26" spans="1:22" x14ac:dyDescent="0.25">
      <c r="A26" s="449"/>
      <c r="B26" s="65" t="s">
        <v>174</v>
      </c>
      <c r="C26" s="54">
        <v>4.8</v>
      </c>
      <c r="D26" s="54">
        <v>3.35</v>
      </c>
      <c r="E26" s="54"/>
      <c r="F26" s="55"/>
      <c r="G26" s="54"/>
      <c r="H26" s="54"/>
      <c r="I26" s="54"/>
      <c r="J26" s="55"/>
      <c r="K26" s="56">
        <f>+C26*D26</f>
        <v>16.079999999999998</v>
      </c>
      <c r="L26" s="57"/>
      <c r="M26" s="456"/>
      <c r="N26" s="457"/>
      <c r="O26" s="457"/>
      <c r="P26" s="457"/>
      <c r="Q26" s="457"/>
      <c r="R26" s="457"/>
      <c r="S26" s="457"/>
      <c r="T26" s="457"/>
      <c r="U26" s="457"/>
      <c r="V26" s="458"/>
    </row>
    <row r="27" spans="1:22" x14ac:dyDescent="0.25">
      <c r="A27" s="449"/>
      <c r="B27" s="65" t="s">
        <v>175</v>
      </c>
      <c r="C27" s="54">
        <v>4.8</v>
      </c>
      <c r="D27" s="54">
        <v>3.35</v>
      </c>
      <c r="E27" s="54"/>
      <c r="F27" s="55"/>
      <c r="G27" s="54"/>
      <c r="H27" s="54"/>
      <c r="I27" s="54"/>
      <c r="J27" s="55"/>
      <c r="K27" s="56">
        <f>+C27*D27</f>
        <v>16.079999999999998</v>
      </c>
      <c r="L27" s="57"/>
      <c r="M27" s="459" t="s">
        <v>142</v>
      </c>
      <c r="N27" s="460"/>
      <c r="O27" s="460"/>
      <c r="P27" s="460"/>
      <c r="Q27" s="460"/>
      <c r="R27" s="460"/>
      <c r="S27" s="460"/>
      <c r="T27" s="460"/>
      <c r="U27" s="460"/>
      <c r="V27" s="461"/>
    </row>
    <row r="28" spans="1:22" x14ac:dyDescent="0.25">
      <c r="A28" s="449"/>
      <c r="B28" s="65" t="s">
        <v>176</v>
      </c>
      <c r="C28" s="54">
        <v>3.06</v>
      </c>
      <c r="D28" s="54">
        <v>2.92</v>
      </c>
      <c r="E28" s="54"/>
      <c r="F28" s="55"/>
      <c r="G28" s="54"/>
      <c r="H28" s="54"/>
      <c r="I28" s="54"/>
      <c r="J28" s="55"/>
      <c r="K28" s="56">
        <f>+C28*D28</f>
        <v>8.9352</v>
      </c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 t="s">
        <v>177</v>
      </c>
      <c r="C29" s="54">
        <v>4.8</v>
      </c>
      <c r="D29" s="54">
        <v>2.52</v>
      </c>
      <c r="E29" s="54"/>
      <c r="F29" s="55"/>
      <c r="G29" s="54"/>
      <c r="H29" s="54"/>
      <c r="I29" s="54"/>
      <c r="J29" s="55"/>
      <c r="K29" s="56">
        <f>+C29*D29-J30</f>
        <v>10.1196</v>
      </c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8" t="s">
        <v>192</v>
      </c>
      <c r="C30" s="54"/>
      <c r="D30" s="54"/>
      <c r="E30" s="54"/>
      <c r="F30" s="55"/>
      <c r="G30" s="54"/>
      <c r="H30" s="66">
        <v>1.83</v>
      </c>
      <c r="I30" s="66">
        <v>1.08</v>
      </c>
      <c r="J30" s="67">
        <f t="shared" ref="J30" si="3">+H30*I30</f>
        <v>1.9764000000000002</v>
      </c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 t="s">
        <v>178</v>
      </c>
      <c r="C31" s="54">
        <v>1.97</v>
      </c>
      <c r="D31" s="54">
        <v>2.92</v>
      </c>
      <c r="E31" s="54"/>
      <c r="F31" s="55"/>
      <c r="G31" s="54"/>
      <c r="H31" s="54"/>
      <c r="I31" s="54"/>
      <c r="J31" s="55"/>
      <c r="K31" s="56">
        <f>+C31*D31</f>
        <v>5.7523999999999997</v>
      </c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 t="s">
        <v>179</v>
      </c>
      <c r="C32" s="54">
        <v>1.2</v>
      </c>
      <c r="D32" s="54">
        <v>2.52</v>
      </c>
      <c r="E32" s="54"/>
      <c r="F32" s="55"/>
      <c r="G32" s="54"/>
      <c r="H32" s="54"/>
      <c r="I32" s="54"/>
      <c r="J32" s="55"/>
      <c r="K32" s="56">
        <f>+C32*D32-J33</f>
        <v>1.1012000000000002</v>
      </c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8" t="s">
        <v>193</v>
      </c>
      <c r="C33" s="54"/>
      <c r="D33" s="54"/>
      <c r="E33" s="54"/>
      <c r="F33" s="55"/>
      <c r="G33" s="54"/>
      <c r="H33" s="66">
        <v>2.09</v>
      </c>
      <c r="I33" s="66">
        <v>0.92</v>
      </c>
      <c r="J33" s="67">
        <f t="shared" ref="J33" si="4">+H33*I33</f>
        <v>1.9227999999999998</v>
      </c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65" t="s">
        <v>180</v>
      </c>
      <c r="C34" s="54">
        <v>1.97</v>
      </c>
      <c r="D34" s="54">
        <v>2.92</v>
      </c>
      <c r="E34" s="54"/>
      <c r="F34" s="55"/>
      <c r="G34" s="54"/>
      <c r="H34" s="54"/>
      <c r="I34" s="54"/>
      <c r="J34" s="55"/>
      <c r="K34" s="56">
        <f>+C34*D34</f>
        <v>5.7523999999999997</v>
      </c>
      <c r="L34" s="57"/>
      <c r="M34" s="462"/>
      <c r="N34" s="463"/>
      <c r="O34" s="463"/>
      <c r="P34" s="463"/>
      <c r="Q34" s="463"/>
      <c r="R34" s="463"/>
      <c r="S34" s="463"/>
      <c r="T34" s="463"/>
      <c r="U34" s="463"/>
      <c r="V34" s="464"/>
    </row>
    <row r="35" spans="1:22" x14ac:dyDescent="0.25">
      <c r="A35" s="449"/>
      <c r="B35" s="65" t="s">
        <v>194</v>
      </c>
      <c r="C35" s="54">
        <v>1.47</v>
      </c>
      <c r="D35" s="54">
        <v>2.95</v>
      </c>
      <c r="E35" s="54"/>
      <c r="F35" s="55"/>
      <c r="G35" s="54"/>
      <c r="H35" s="54"/>
      <c r="I35" s="54"/>
      <c r="J35" s="55"/>
      <c r="K35" s="56">
        <f>+C35*D35</f>
        <v>4.3365</v>
      </c>
      <c r="L35" s="57"/>
      <c r="M35" s="462"/>
      <c r="N35" s="463"/>
      <c r="O35" s="463"/>
      <c r="P35" s="463"/>
      <c r="Q35" s="463"/>
      <c r="R35" s="463"/>
      <c r="S35" s="463"/>
      <c r="T35" s="463"/>
      <c r="U35" s="463"/>
      <c r="V35" s="464"/>
    </row>
    <row r="36" spans="1:22" x14ac:dyDescent="0.25">
      <c r="A36" s="449"/>
      <c r="B36" s="65" t="s">
        <v>181</v>
      </c>
      <c r="C36" s="54">
        <v>2.9</v>
      </c>
      <c r="D36" s="54">
        <v>2.95</v>
      </c>
      <c r="E36" s="54"/>
      <c r="F36" s="55"/>
      <c r="G36" s="54"/>
      <c r="H36" s="54"/>
      <c r="I36" s="54"/>
      <c r="J36" s="55"/>
      <c r="K36" s="56">
        <f>+C36*D36</f>
        <v>8.5549999999999997</v>
      </c>
      <c r="L36" s="57"/>
      <c r="M36" s="462"/>
      <c r="N36" s="463"/>
      <c r="O36" s="463"/>
      <c r="P36" s="463"/>
      <c r="Q36" s="463"/>
      <c r="R36" s="463"/>
      <c r="S36" s="463"/>
      <c r="T36" s="463"/>
      <c r="U36" s="463"/>
      <c r="V36" s="464"/>
    </row>
    <row r="37" spans="1:22" x14ac:dyDescent="0.25">
      <c r="A37" s="449"/>
      <c r="B37" s="65" t="s">
        <v>182</v>
      </c>
      <c r="C37" s="54">
        <v>1.27</v>
      </c>
      <c r="D37" s="54">
        <v>2.52</v>
      </c>
      <c r="E37" s="54"/>
      <c r="F37" s="55"/>
      <c r="G37" s="54"/>
      <c r="H37" s="54"/>
      <c r="I37" s="54"/>
      <c r="J37" s="55"/>
      <c r="K37" s="56">
        <f>+C37*D37-J38</f>
        <v>2.6204000000000001</v>
      </c>
      <c r="L37" s="57"/>
      <c r="M37" s="462"/>
      <c r="N37" s="463"/>
      <c r="O37" s="463"/>
      <c r="P37" s="463"/>
      <c r="Q37" s="463"/>
      <c r="R37" s="463"/>
      <c r="S37" s="463"/>
      <c r="T37" s="463"/>
      <c r="U37" s="463"/>
      <c r="V37" s="464"/>
    </row>
    <row r="38" spans="1:22" x14ac:dyDescent="0.25">
      <c r="A38" s="449"/>
      <c r="B38" s="68" t="s">
        <v>195</v>
      </c>
      <c r="C38" s="54"/>
      <c r="D38" s="54"/>
      <c r="E38" s="54"/>
      <c r="F38" s="55"/>
      <c r="G38" s="54"/>
      <c r="H38" s="66">
        <v>1.1599999999999999</v>
      </c>
      <c r="I38" s="66">
        <v>0.5</v>
      </c>
      <c r="J38" s="67">
        <f t="shared" ref="J38" si="5">+H38*I38</f>
        <v>0.57999999999999996</v>
      </c>
      <c r="K38" s="56"/>
      <c r="L38" s="57"/>
      <c r="M38" s="462"/>
      <c r="N38" s="463"/>
      <c r="O38" s="463"/>
      <c r="P38" s="463"/>
      <c r="Q38" s="463"/>
      <c r="R38" s="463"/>
      <c r="S38" s="463"/>
      <c r="T38" s="463"/>
      <c r="U38" s="463"/>
      <c r="V38" s="464"/>
    </row>
    <row r="39" spans="1:22" x14ac:dyDescent="0.25">
      <c r="A39" s="449"/>
      <c r="B39" s="65" t="s">
        <v>183</v>
      </c>
      <c r="C39" s="54">
        <v>1.27</v>
      </c>
      <c r="D39" s="54">
        <v>2.52</v>
      </c>
      <c r="E39" s="54"/>
      <c r="F39" s="55"/>
      <c r="G39" s="54"/>
      <c r="H39" s="54"/>
      <c r="I39" s="54"/>
      <c r="J39" s="55"/>
      <c r="K39" s="56">
        <f>+C39*D39-J40</f>
        <v>1.6004</v>
      </c>
      <c r="L39" s="57"/>
      <c r="M39" s="462"/>
      <c r="N39" s="463"/>
      <c r="O39" s="463"/>
      <c r="P39" s="463"/>
      <c r="Q39" s="463"/>
      <c r="R39" s="463"/>
      <c r="S39" s="463"/>
      <c r="T39" s="463"/>
      <c r="U39" s="463"/>
      <c r="V39" s="464"/>
    </row>
    <row r="40" spans="1:22" x14ac:dyDescent="0.25">
      <c r="A40" s="449"/>
      <c r="B40" s="68" t="s">
        <v>196</v>
      </c>
      <c r="C40" s="54"/>
      <c r="D40" s="54"/>
      <c r="E40" s="54"/>
      <c r="F40" s="55"/>
      <c r="G40" s="54"/>
      <c r="H40" s="66">
        <v>2</v>
      </c>
      <c r="I40" s="66">
        <v>0.8</v>
      </c>
      <c r="J40" s="67">
        <f t="shared" ref="J40" si="6">+H40*I40</f>
        <v>1.6</v>
      </c>
      <c r="K40" s="56"/>
      <c r="L40" s="57"/>
      <c r="M40" s="462"/>
      <c r="N40" s="463"/>
      <c r="O40" s="463"/>
      <c r="P40" s="463"/>
      <c r="Q40" s="463"/>
      <c r="R40" s="463"/>
      <c r="S40" s="463"/>
      <c r="T40" s="463"/>
      <c r="U40" s="463"/>
      <c r="V40" s="464"/>
    </row>
    <row r="41" spans="1:22" x14ac:dyDescent="0.25">
      <c r="A41" s="449"/>
      <c r="B41" s="65" t="s">
        <v>184</v>
      </c>
      <c r="C41" s="54">
        <v>3.71</v>
      </c>
      <c r="D41" s="54">
        <v>3.35</v>
      </c>
      <c r="E41" s="54"/>
      <c r="F41" s="55"/>
      <c r="G41" s="54"/>
      <c r="H41" s="54"/>
      <c r="I41" s="54"/>
      <c r="J41" s="55"/>
      <c r="K41" s="56">
        <f>+C41*D41</f>
        <v>12.4285</v>
      </c>
      <c r="L41" s="57"/>
      <c r="M41" s="462"/>
      <c r="N41" s="463"/>
      <c r="O41" s="463"/>
      <c r="P41" s="463"/>
      <c r="Q41" s="463"/>
      <c r="R41" s="463"/>
      <c r="S41" s="463"/>
      <c r="T41" s="463"/>
      <c r="U41" s="463"/>
      <c r="V41" s="464"/>
    </row>
    <row r="42" spans="1:22" x14ac:dyDescent="0.25">
      <c r="A42" s="449"/>
      <c r="B42" s="65" t="s">
        <v>185</v>
      </c>
      <c r="C42" s="54">
        <v>3.69</v>
      </c>
      <c r="D42" s="54">
        <v>2.52</v>
      </c>
      <c r="E42" s="54"/>
      <c r="F42" s="55"/>
      <c r="G42" s="54"/>
      <c r="H42" s="54"/>
      <c r="I42" s="54"/>
      <c r="J42" s="55"/>
      <c r="K42" s="56">
        <f>+C42*D42-J43-J44</f>
        <v>5.5508000000000006</v>
      </c>
      <c r="L42" s="57"/>
      <c r="M42" s="462"/>
      <c r="N42" s="463"/>
      <c r="O42" s="463"/>
      <c r="P42" s="463"/>
      <c r="Q42" s="463"/>
      <c r="R42" s="463"/>
      <c r="S42" s="463"/>
      <c r="T42" s="463"/>
      <c r="U42" s="463"/>
      <c r="V42" s="464"/>
    </row>
    <row r="43" spans="1:22" x14ac:dyDescent="0.25">
      <c r="A43" s="449"/>
      <c r="B43" s="68" t="s">
        <v>197</v>
      </c>
      <c r="C43" s="54"/>
      <c r="D43" s="54"/>
      <c r="E43" s="54"/>
      <c r="F43" s="55"/>
      <c r="G43" s="54"/>
      <c r="H43" s="54">
        <v>2.09</v>
      </c>
      <c r="I43" s="54">
        <v>0.92</v>
      </c>
      <c r="J43" s="67">
        <f t="shared" ref="J43:J44" si="7">+H43*I43</f>
        <v>1.9227999999999998</v>
      </c>
      <c r="K43" s="56"/>
      <c r="L43" s="57"/>
      <c r="M43" s="462"/>
      <c r="N43" s="463"/>
      <c r="O43" s="463"/>
      <c r="P43" s="463"/>
      <c r="Q43" s="463"/>
      <c r="R43" s="463"/>
      <c r="S43" s="463"/>
      <c r="T43" s="463"/>
      <c r="U43" s="463"/>
      <c r="V43" s="464"/>
    </row>
    <row r="44" spans="1:22" x14ac:dyDescent="0.25">
      <c r="A44" s="449"/>
      <c r="B44" s="68" t="s">
        <v>198</v>
      </c>
      <c r="C44" s="54"/>
      <c r="D44" s="54"/>
      <c r="E44" s="54"/>
      <c r="F44" s="55"/>
      <c r="G44" s="54"/>
      <c r="H44" s="54">
        <v>1.69</v>
      </c>
      <c r="I44" s="54">
        <v>1.08</v>
      </c>
      <c r="J44" s="67">
        <f t="shared" si="7"/>
        <v>1.8252000000000002</v>
      </c>
      <c r="K44" s="56"/>
      <c r="L44" s="57"/>
      <c r="M44" s="462"/>
      <c r="N44" s="463"/>
      <c r="O44" s="463"/>
      <c r="P44" s="463"/>
      <c r="Q44" s="463"/>
      <c r="R44" s="463"/>
      <c r="S44" s="463"/>
      <c r="T44" s="463"/>
      <c r="U44" s="463"/>
      <c r="V44" s="464"/>
    </row>
    <row r="45" spans="1:22" x14ac:dyDescent="0.25">
      <c r="A45" s="449"/>
      <c r="B45" s="69" t="s">
        <v>199</v>
      </c>
      <c r="C45" s="54">
        <f>1.15+0.76+0.15+0.6+0.96</f>
        <v>3.62</v>
      </c>
      <c r="D45" s="54">
        <v>2.95</v>
      </c>
      <c r="E45" s="54"/>
      <c r="F45" s="55"/>
      <c r="G45" s="54"/>
      <c r="H45" s="54"/>
      <c r="I45" s="54"/>
      <c r="J45" s="67"/>
      <c r="K45" s="56">
        <f>+C45*D45</f>
        <v>10.679</v>
      </c>
      <c r="L45" s="57"/>
      <c r="M45" s="462"/>
      <c r="N45" s="463"/>
      <c r="O45" s="463"/>
      <c r="P45" s="463"/>
      <c r="Q45" s="463"/>
      <c r="R45" s="463"/>
      <c r="S45" s="463"/>
      <c r="T45" s="463"/>
      <c r="U45" s="463"/>
      <c r="V45" s="464"/>
    </row>
    <row r="46" spans="1:22" x14ac:dyDescent="0.25">
      <c r="A46" s="449"/>
      <c r="B46" s="69" t="s">
        <v>200</v>
      </c>
      <c r="C46" s="54">
        <f>1.08+0.76+0.15+0.6+0.96</f>
        <v>3.55</v>
      </c>
      <c r="D46" s="54">
        <v>2.95</v>
      </c>
      <c r="E46" s="54"/>
      <c r="F46" s="55"/>
      <c r="G46" s="54"/>
      <c r="H46" s="54"/>
      <c r="I46" s="54"/>
      <c r="J46" s="67"/>
      <c r="K46" s="56">
        <f>+C46*D46</f>
        <v>10.4725</v>
      </c>
      <c r="L46" s="57"/>
      <c r="M46" s="462"/>
      <c r="N46" s="463"/>
      <c r="O46" s="463"/>
      <c r="P46" s="463"/>
      <c r="Q46" s="463"/>
      <c r="R46" s="463"/>
      <c r="S46" s="463"/>
      <c r="T46" s="463"/>
      <c r="U46" s="463"/>
      <c r="V46" s="464"/>
    </row>
    <row r="47" spans="1:22" x14ac:dyDescent="0.25">
      <c r="A47" s="449"/>
      <c r="B47" s="65"/>
      <c r="C47" s="54"/>
      <c r="D47" s="54"/>
      <c r="E47" s="54"/>
      <c r="F47" s="55"/>
      <c r="G47" s="54"/>
      <c r="H47" s="54"/>
      <c r="I47" s="54"/>
      <c r="J47" s="55"/>
      <c r="K47" s="56"/>
      <c r="L47" s="57"/>
      <c r="M47" s="462"/>
      <c r="N47" s="463"/>
      <c r="O47" s="463"/>
      <c r="P47" s="463"/>
      <c r="Q47" s="463"/>
      <c r="R47" s="463"/>
      <c r="S47" s="463"/>
      <c r="T47" s="463"/>
      <c r="U47" s="463"/>
      <c r="V47" s="464"/>
    </row>
    <row r="48" spans="1:22" x14ac:dyDescent="0.25">
      <c r="A48" s="449"/>
      <c r="B48" s="53"/>
      <c r="C48" s="54"/>
      <c r="D48" s="54"/>
      <c r="E48" s="54"/>
      <c r="F48" s="55"/>
      <c r="G48" s="54"/>
      <c r="H48" s="54"/>
      <c r="I48" s="54"/>
      <c r="J48" s="55"/>
      <c r="K48" s="56"/>
      <c r="L48" s="57"/>
      <c r="M48" s="465"/>
      <c r="N48" s="466"/>
      <c r="O48" s="466"/>
      <c r="P48" s="466"/>
      <c r="Q48" s="466"/>
      <c r="R48" s="466"/>
      <c r="S48" s="466"/>
      <c r="T48" s="466"/>
      <c r="U48" s="466"/>
      <c r="V48" s="467"/>
    </row>
    <row r="49" spans="1:22" x14ac:dyDescent="0.25">
      <c r="A49" s="44"/>
      <c r="B49" s="47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</row>
    <row r="50" spans="1:22" ht="18" x14ac:dyDescent="0.35">
      <c r="A50" s="58" t="s">
        <v>105</v>
      </c>
      <c r="B50" s="444"/>
      <c r="C50" s="444"/>
      <c r="D50" s="44"/>
      <c r="E50" s="44"/>
      <c r="G50" s="44"/>
      <c r="H50" s="44"/>
      <c r="I50" s="44"/>
      <c r="J50" s="59">
        <f>SUM(J13:J49)</f>
        <v>19.659299999999998</v>
      </c>
      <c r="K50" s="60">
        <f>SUM(K13:K49)</f>
        <v>215.78490000000002</v>
      </c>
      <c r="L50" s="61" t="str">
        <f>+'[2]PRESUPUESTO (en construccion)'!D18</f>
        <v>M2</v>
      </c>
      <c r="M50" s="44"/>
      <c r="N50" s="44"/>
      <c r="O50" s="44"/>
      <c r="P50" s="44"/>
      <c r="Q50" s="44"/>
      <c r="R50" s="44"/>
      <c r="S50" s="44"/>
      <c r="T50" s="44"/>
      <c r="U50" s="44"/>
      <c r="V50" s="44"/>
    </row>
    <row r="51" spans="1:22" x14ac:dyDescent="0.25">
      <c r="A51" s="44"/>
      <c r="B51" s="47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</row>
    <row r="52" spans="1:22" x14ac:dyDescent="0.25">
      <c r="A52" s="62" t="s">
        <v>143</v>
      </c>
      <c r="B52" s="63"/>
      <c r="C52" s="62"/>
      <c r="D52" s="62"/>
      <c r="E52" s="62"/>
      <c r="F52" s="62"/>
      <c r="G52" s="62"/>
      <c r="H52" s="62"/>
      <c r="I52" s="62"/>
      <c r="J52" s="445" t="s">
        <v>144</v>
      </c>
      <c r="K52" s="445"/>
      <c r="L52" s="445"/>
      <c r="M52" s="445"/>
      <c r="N52" s="445"/>
      <c r="O52" s="445"/>
      <c r="P52" s="445"/>
      <c r="Q52" s="445"/>
      <c r="R52" s="445"/>
      <c r="S52" s="445"/>
      <c r="T52" s="445"/>
      <c r="U52" s="445"/>
      <c r="V52" s="445"/>
    </row>
    <row r="53" spans="1:22" x14ac:dyDescent="0.25">
      <c r="A53" s="64" t="s">
        <v>89</v>
      </c>
      <c r="B53" s="445"/>
      <c r="C53" s="445"/>
      <c r="D53" s="445"/>
      <c r="E53" s="445"/>
      <c r="F53" s="445"/>
      <c r="G53" s="445"/>
      <c r="H53" s="445"/>
      <c r="I53" s="445"/>
      <c r="J53" s="445"/>
      <c r="K53" s="445"/>
      <c r="L53" s="445"/>
      <c r="M53" s="445"/>
      <c r="N53" s="445"/>
      <c r="O53" s="445"/>
      <c r="P53" s="445"/>
      <c r="Q53" s="445"/>
      <c r="R53" s="445"/>
      <c r="S53" s="445"/>
      <c r="T53" s="445"/>
      <c r="U53" s="445"/>
      <c r="V53" s="445"/>
    </row>
  </sheetData>
  <mergeCells count="28">
    <mergeCell ref="B50:C50"/>
    <mergeCell ref="J52:V53"/>
    <mergeCell ref="B53:I53"/>
    <mergeCell ref="K11:K12"/>
    <mergeCell ref="L11:L12"/>
    <mergeCell ref="M11:V12"/>
    <mergeCell ref="A13:A48"/>
    <mergeCell ref="M13:V26"/>
    <mergeCell ref="M27:V48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pageSetup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FFFF00"/>
  </sheetPr>
  <dimension ref="A1:AF41"/>
  <sheetViews>
    <sheetView zoomScale="85" zoomScaleNormal="85" workbookViewId="0">
      <selection activeCell="W18" sqref="W18"/>
    </sheetView>
  </sheetViews>
  <sheetFormatPr baseColWidth="10" defaultRowHeight="15" x14ac:dyDescent="0.25"/>
  <cols>
    <col min="1" max="1" width="91.7109375" customWidth="1"/>
    <col min="2" max="2" width="20.14062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  <col min="23" max="23" width="23.85546875" customWidth="1"/>
  </cols>
  <sheetData>
    <row r="1" spans="1:3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3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3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3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3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3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3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3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32" ht="53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201</v>
      </c>
      <c r="L9" s="445"/>
      <c r="M9" s="473" t="str">
        <f>+PRESUPUESTO!B26</f>
        <v>DESMONTE DE CIELO FALSO EXISTENTE  DE IMATERIAL DE ICOPOR , DESMONTE DE ESTRCUTURA SOPORTE , INCLUYE RETIRO Y DISPOSICION FINAL DE ESCOMBROS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3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3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133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32" ht="38.25" x14ac:dyDescent="0.25">
      <c r="A12" s="446"/>
      <c r="B12" s="446"/>
      <c r="C12" s="52" t="s">
        <v>138</v>
      </c>
      <c r="D12" s="52" t="s">
        <v>139</v>
      </c>
      <c r="E12" s="52" t="s">
        <v>140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32" x14ac:dyDescent="0.25">
      <c r="A13" s="449"/>
      <c r="B13" s="65" t="s">
        <v>149</v>
      </c>
      <c r="C13" s="54">
        <f>7.19+1.2</f>
        <v>8.39</v>
      </c>
      <c r="D13" s="54"/>
      <c r="E13" s="54">
        <v>4.6900000000000004</v>
      </c>
      <c r="F13" s="55"/>
      <c r="G13" s="54"/>
      <c r="H13" s="54"/>
      <c r="I13" s="54"/>
      <c r="J13" s="55"/>
      <c r="K13" s="56">
        <f>+C13*E13</f>
        <v>39.349100000000007</v>
      </c>
      <c r="L13" s="57" t="s">
        <v>98</v>
      </c>
      <c r="M13" s="450"/>
      <c r="N13" s="451"/>
      <c r="O13" s="451"/>
      <c r="P13" s="451"/>
      <c r="Q13" s="451"/>
      <c r="R13" s="451"/>
      <c r="S13" s="451"/>
      <c r="T13" s="451"/>
      <c r="U13" s="451"/>
      <c r="V13" s="452"/>
      <c r="W13" s="65" t="s">
        <v>149</v>
      </c>
      <c r="X13" s="54">
        <f>7.19+1.2</f>
        <v>8.39</v>
      </c>
      <c r="Y13" s="54"/>
      <c r="Z13" s="54">
        <v>4.6900000000000004</v>
      </c>
      <c r="AA13" s="55"/>
      <c r="AB13" s="54"/>
      <c r="AC13" s="54"/>
      <c r="AD13" s="54"/>
      <c r="AE13" s="55"/>
      <c r="AF13" s="56">
        <f>+X13*Z13</f>
        <v>39.349100000000007</v>
      </c>
    </row>
    <row r="14" spans="1:32" x14ac:dyDescent="0.25">
      <c r="A14" s="449"/>
      <c r="B14" s="65" t="s">
        <v>150</v>
      </c>
      <c r="C14" s="54">
        <v>4.6900000000000004</v>
      </c>
      <c r="D14" s="54"/>
      <c r="E14" s="54">
        <v>3.81</v>
      </c>
      <c r="F14" s="55"/>
      <c r="G14" s="54"/>
      <c r="H14" s="54"/>
      <c r="I14" s="54"/>
      <c r="J14" s="55"/>
      <c r="K14" s="56">
        <f>+C14*E14</f>
        <v>17.8689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  <c r="W14" s="65" t="s">
        <v>150</v>
      </c>
      <c r="X14" s="54">
        <v>4.6900000000000004</v>
      </c>
      <c r="Y14" s="54"/>
      <c r="Z14" s="54">
        <v>3.81</v>
      </c>
      <c r="AA14" s="55"/>
      <c r="AB14" s="54"/>
      <c r="AC14" s="54"/>
      <c r="AD14" s="54"/>
      <c r="AE14" s="55"/>
      <c r="AF14" s="56">
        <f>+X14*Z14</f>
        <v>17.8689</v>
      </c>
    </row>
    <row r="15" spans="1:32" x14ac:dyDescent="0.25">
      <c r="A15" s="449"/>
      <c r="B15" s="65" t="s">
        <v>151</v>
      </c>
      <c r="C15" s="54">
        <v>3.04</v>
      </c>
      <c r="D15" s="54"/>
      <c r="E15" s="54">
        <v>3.81</v>
      </c>
      <c r="F15" s="55"/>
      <c r="G15" s="54"/>
      <c r="H15" s="54"/>
      <c r="I15" s="54"/>
      <c r="J15" s="55"/>
      <c r="K15" s="56">
        <f>+C15*E15</f>
        <v>11.5824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  <c r="W15" s="65" t="s">
        <v>151</v>
      </c>
      <c r="X15" s="54">
        <v>3.04</v>
      </c>
      <c r="Y15" s="54"/>
      <c r="Z15" s="54">
        <v>3.81</v>
      </c>
      <c r="AA15" s="55"/>
      <c r="AB15" s="54"/>
      <c r="AC15" s="54"/>
      <c r="AD15" s="54"/>
      <c r="AE15" s="55"/>
      <c r="AF15" s="56">
        <f>+X15*Z15</f>
        <v>11.5824</v>
      </c>
    </row>
    <row r="16" spans="1:32" x14ac:dyDescent="0.25">
      <c r="A16" s="449"/>
      <c r="B16" s="65" t="s">
        <v>152</v>
      </c>
      <c r="C16" s="54">
        <v>3.21</v>
      </c>
      <c r="D16" s="54"/>
      <c r="E16" s="54">
        <v>1.37</v>
      </c>
      <c r="F16" s="55"/>
      <c r="G16" s="54"/>
      <c r="H16" s="54"/>
      <c r="I16" s="54"/>
      <c r="J16" s="55"/>
      <c r="K16" s="56">
        <f>+C16*E16</f>
        <v>4.3977000000000004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  <c r="W16" s="65" t="s">
        <v>152</v>
      </c>
      <c r="X16" s="54">
        <v>3.21</v>
      </c>
      <c r="Y16" s="54"/>
      <c r="Z16" s="54">
        <v>1.37</v>
      </c>
      <c r="AA16" s="55"/>
      <c r="AB16" s="54"/>
      <c r="AC16" s="54"/>
      <c r="AD16" s="54"/>
      <c r="AE16" s="55"/>
      <c r="AF16" s="56">
        <f>+X16*Z16</f>
        <v>4.3977000000000004</v>
      </c>
    </row>
    <row r="17" spans="1:32" x14ac:dyDescent="0.25">
      <c r="A17" s="449"/>
      <c r="B17" s="65" t="s">
        <v>153</v>
      </c>
      <c r="C17" s="54">
        <v>1.48</v>
      </c>
      <c r="D17" s="54"/>
      <c r="E17" s="54">
        <v>1.36</v>
      </c>
      <c r="F17" s="55"/>
      <c r="G17" s="54"/>
      <c r="H17" s="54"/>
      <c r="I17" s="54"/>
      <c r="J17" s="55"/>
      <c r="K17" s="56">
        <f t="shared" ref="K17:K21" si="0">+C17*E17</f>
        <v>2.0127999999999999</v>
      </c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  <c r="W17" s="65" t="s">
        <v>153</v>
      </c>
      <c r="X17" s="54">
        <v>1.48</v>
      </c>
      <c r="Y17" s="54"/>
      <c r="Z17" s="54">
        <v>1.36</v>
      </c>
      <c r="AA17" s="55"/>
      <c r="AB17" s="54"/>
      <c r="AC17" s="54"/>
      <c r="AD17" s="54"/>
      <c r="AE17" s="55"/>
      <c r="AF17" s="56">
        <f t="shared" ref="AF17:AF21" si="1">+X17*Z17</f>
        <v>2.0127999999999999</v>
      </c>
    </row>
    <row r="18" spans="1:32" x14ac:dyDescent="0.25">
      <c r="A18" s="449"/>
      <c r="B18" s="65" t="s">
        <v>154</v>
      </c>
      <c r="C18" s="54">
        <v>1.4</v>
      </c>
      <c r="D18" s="54"/>
      <c r="E18" s="54">
        <v>1.53</v>
      </c>
      <c r="F18" s="55"/>
      <c r="G18" s="54"/>
      <c r="H18" s="54"/>
      <c r="I18" s="54"/>
      <c r="J18" s="55"/>
      <c r="K18" s="56">
        <f t="shared" si="0"/>
        <v>2.1419999999999999</v>
      </c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  <c r="W18" s="65" t="s">
        <v>154</v>
      </c>
      <c r="X18" s="54">
        <v>1.4</v>
      </c>
      <c r="Y18" s="54"/>
      <c r="Z18" s="54">
        <v>1.53</v>
      </c>
      <c r="AA18" s="55"/>
      <c r="AB18" s="54"/>
      <c r="AC18" s="54"/>
      <c r="AD18" s="54"/>
      <c r="AE18" s="55"/>
      <c r="AF18" s="56">
        <f t="shared" si="1"/>
        <v>2.1419999999999999</v>
      </c>
    </row>
    <row r="19" spans="1:32" x14ac:dyDescent="0.25">
      <c r="A19" s="449"/>
      <c r="B19" s="65" t="s">
        <v>155</v>
      </c>
      <c r="C19" s="54">
        <v>1.27</v>
      </c>
      <c r="D19" s="54"/>
      <c r="E19" s="54">
        <v>2.9</v>
      </c>
      <c r="F19" s="55"/>
      <c r="G19" s="54"/>
      <c r="H19" s="54"/>
      <c r="I19" s="54"/>
      <c r="J19" s="55"/>
      <c r="K19" s="56">
        <f t="shared" si="0"/>
        <v>3.6829999999999998</v>
      </c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  <c r="W19" s="65" t="s">
        <v>155</v>
      </c>
      <c r="X19" s="54">
        <v>1.27</v>
      </c>
      <c r="Y19" s="54"/>
      <c r="Z19" s="54">
        <v>2.9</v>
      </c>
      <c r="AA19" s="55"/>
      <c r="AB19" s="54"/>
      <c r="AC19" s="54"/>
      <c r="AD19" s="54"/>
      <c r="AE19" s="55"/>
      <c r="AF19" s="56">
        <f t="shared" si="1"/>
        <v>3.6829999999999998</v>
      </c>
    </row>
    <row r="20" spans="1:32" ht="24" customHeight="1" x14ac:dyDescent="0.25">
      <c r="A20" s="449"/>
      <c r="B20" s="53" t="s">
        <v>156</v>
      </c>
      <c r="C20" s="54">
        <v>0.7</v>
      </c>
      <c r="D20" s="54"/>
      <c r="E20" s="54">
        <v>0.76</v>
      </c>
      <c r="F20" s="55"/>
      <c r="G20" s="54"/>
      <c r="H20" s="54"/>
      <c r="I20" s="54"/>
      <c r="J20" s="55"/>
      <c r="K20" s="56">
        <f t="shared" si="0"/>
        <v>0.53199999999999992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  <c r="W20" s="53" t="s">
        <v>156</v>
      </c>
      <c r="X20" s="54">
        <v>0.7</v>
      </c>
      <c r="Y20" s="54"/>
      <c r="Z20" s="54">
        <v>0.76</v>
      </c>
      <c r="AA20" s="55"/>
      <c r="AB20" s="54"/>
      <c r="AC20" s="54"/>
      <c r="AD20" s="54"/>
      <c r="AE20" s="55"/>
      <c r="AF20" s="56">
        <f t="shared" si="1"/>
        <v>0.53199999999999992</v>
      </c>
    </row>
    <row r="21" spans="1:32" x14ac:dyDescent="0.25">
      <c r="A21" s="449"/>
      <c r="B21" s="65" t="s">
        <v>157</v>
      </c>
      <c r="C21" s="54">
        <v>3.71</v>
      </c>
      <c r="D21" s="54"/>
      <c r="E21" s="54">
        <v>2.87</v>
      </c>
      <c r="F21" s="55"/>
      <c r="G21" s="54"/>
      <c r="H21" s="54"/>
      <c r="I21" s="54"/>
      <c r="J21" s="55"/>
      <c r="K21" s="56">
        <f t="shared" si="0"/>
        <v>10.6477</v>
      </c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  <c r="W21" s="65" t="s">
        <v>157</v>
      </c>
      <c r="X21" s="54">
        <v>3.71</v>
      </c>
      <c r="Y21" s="54"/>
      <c r="Z21" s="54">
        <v>2.87</v>
      </c>
      <c r="AA21" s="55"/>
      <c r="AB21" s="54"/>
      <c r="AC21" s="54"/>
      <c r="AD21" s="54"/>
      <c r="AE21" s="55"/>
      <c r="AF21" s="56">
        <f t="shared" si="1"/>
        <v>10.6477</v>
      </c>
    </row>
    <row r="22" spans="1:32" x14ac:dyDescent="0.25">
      <c r="A22" s="449"/>
      <c r="B22" s="65"/>
      <c r="C22" s="54"/>
      <c r="D22" s="54"/>
      <c r="E22" s="54"/>
      <c r="F22" s="55"/>
      <c r="G22" s="54"/>
      <c r="H22" s="54"/>
      <c r="I22" s="54"/>
      <c r="J22" s="55"/>
      <c r="K22" s="56"/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3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/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3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3"/>
      <c r="N24" s="454"/>
      <c r="O24" s="454"/>
      <c r="P24" s="454"/>
      <c r="Q24" s="454"/>
      <c r="R24" s="454"/>
      <c r="S24" s="454"/>
      <c r="T24" s="454"/>
      <c r="U24" s="454"/>
      <c r="V24" s="455"/>
    </row>
    <row r="25" spans="1:3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3"/>
      <c r="N25" s="454"/>
      <c r="O25" s="454"/>
      <c r="P25" s="454"/>
      <c r="Q25" s="454"/>
      <c r="R25" s="454"/>
      <c r="S25" s="454"/>
      <c r="T25" s="454"/>
      <c r="U25" s="454"/>
      <c r="V25" s="455"/>
    </row>
    <row r="26" spans="1:3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56"/>
      <c r="N26" s="457"/>
      <c r="O26" s="457"/>
      <c r="P26" s="457"/>
      <c r="Q26" s="457"/>
      <c r="R26" s="457"/>
      <c r="S26" s="457"/>
      <c r="T26" s="457"/>
      <c r="U26" s="457"/>
      <c r="V26" s="458"/>
    </row>
    <row r="27" spans="1:3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59" t="s">
        <v>142</v>
      </c>
      <c r="N27" s="460"/>
      <c r="O27" s="460"/>
      <c r="P27" s="460"/>
      <c r="Q27" s="460"/>
      <c r="R27" s="460"/>
      <c r="S27" s="460"/>
      <c r="T27" s="460"/>
      <c r="U27" s="460"/>
      <c r="V27" s="461"/>
    </row>
    <row r="28" spans="1:3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3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3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3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3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65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2"/>
      <c r="N34" s="463"/>
      <c r="O34" s="463"/>
      <c r="P34" s="463"/>
      <c r="Q34" s="463"/>
      <c r="R34" s="463"/>
      <c r="S34" s="463"/>
      <c r="T34" s="463"/>
      <c r="U34" s="463"/>
      <c r="V34" s="464"/>
    </row>
    <row r="35" spans="1:22" x14ac:dyDescent="0.25">
      <c r="A35" s="449"/>
      <c r="B35" s="65"/>
      <c r="C35" s="54"/>
      <c r="D35" s="54"/>
      <c r="E35" s="54"/>
      <c r="F35" s="55"/>
      <c r="G35" s="54"/>
      <c r="H35" s="54"/>
      <c r="I35" s="54"/>
      <c r="J35" s="55"/>
      <c r="K35" s="56"/>
      <c r="L35" s="57"/>
      <c r="M35" s="462"/>
      <c r="N35" s="463"/>
      <c r="O35" s="463"/>
      <c r="P35" s="463"/>
      <c r="Q35" s="463"/>
      <c r="R35" s="463"/>
      <c r="S35" s="463"/>
      <c r="T35" s="463"/>
      <c r="U35" s="463"/>
      <c r="V35" s="464"/>
    </row>
    <row r="36" spans="1:22" x14ac:dyDescent="0.25">
      <c r="A36" s="449"/>
      <c r="B36" s="53"/>
      <c r="C36" s="54"/>
      <c r="D36" s="54"/>
      <c r="E36" s="54"/>
      <c r="F36" s="55"/>
      <c r="G36" s="54"/>
      <c r="H36" s="54"/>
      <c r="I36" s="54"/>
      <c r="J36" s="55"/>
      <c r="K36" s="56"/>
      <c r="L36" s="57"/>
      <c r="M36" s="465"/>
      <c r="N36" s="466"/>
      <c r="O36" s="466"/>
      <c r="P36" s="466"/>
      <c r="Q36" s="466"/>
      <c r="R36" s="466"/>
      <c r="S36" s="466"/>
      <c r="T36" s="466"/>
      <c r="U36" s="466"/>
      <c r="V36" s="467"/>
    </row>
    <row r="37" spans="1:22" x14ac:dyDescent="0.25">
      <c r="A37" s="44"/>
      <c r="B37" s="47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ht="18" x14ac:dyDescent="0.35">
      <c r="A38" s="58" t="s">
        <v>105</v>
      </c>
      <c r="B38" s="444"/>
      <c r="C38" s="444"/>
      <c r="D38" s="44"/>
      <c r="E38" s="44"/>
      <c r="G38" s="44"/>
      <c r="H38" s="44"/>
      <c r="I38" s="44"/>
      <c r="J38" s="59">
        <f>SUM(J13:J37)</f>
        <v>0</v>
      </c>
      <c r="K38" s="60">
        <f>SUM(K13:K37)</f>
        <v>92.215599999999995</v>
      </c>
      <c r="L38" s="61" t="s">
        <v>98</v>
      </c>
      <c r="M38" s="44"/>
      <c r="N38" s="44"/>
      <c r="O38" s="44"/>
      <c r="P38" s="44"/>
      <c r="Q38" s="44"/>
      <c r="R38" s="44"/>
      <c r="S38" s="44"/>
      <c r="T38" s="44"/>
      <c r="U38" s="44"/>
      <c r="V38" s="44"/>
    </row>
    <row r="39" spans="1:22" x14ac:dyDescent="0.25">
      <c r="A39" s="44"/>
      <c r="B39" s="47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</row>
    <row r="40" spans="1:22" x14ac:dyDescent="0.25">
      <c r="A40" s="62" t="s">
        <v>143</v>
      </c>
      <c r="B40" s="63"/>
      <c r="C40" s="62"/>
      <c r="D40" s="62"/>
      <c r="E40" s="62"/>
      <c r="F40" s="62"/>
      <c r="G40" s="62"/>
      <c r="H40" s="62"/>
      <c r="I40" s="62"/>
      <c r="J40" s="445" t="s">
        <v>144</v>
      </c>
      <c r="K40" s="445"/>
      <c r="L40" s="445"/>
      <c r="M40" s="445"/>
      <c r="N40" s="445"/>
      <c r="O40" s="445"/>
      <c r="P40" s="445"/>
      <c r="Q40" s="445"/>
      <c r="R40" s="445"/>
      <c r="S40" s="445"/>
      <c r="T40" s="445"/>
      <c r="U40" s="445"/>
      <c r="V40" s="445"/>
    </row>
    <row r="41" spans="1:22" x14ac:dyDescent="0.25">
      <c r="A41" s="64" t="s">
        <v>89</v>
      </c>
      <c r="B41" s="445"/>
      <c r="C41" s="445"/>
      <c r="D41" s="445"/>
      <c r="E41" s="445"/>
      <c r="F41" s="445"/>
      <c r="G41" s="445"/>
      <c r="H41" s="445"/>
      <c r="I41" s="445"/>
      <c r="J41" s="445"/>
      <c r="K41" s="445"/>
      <c r="L41" s="445"/>
      <c r="M41" s="445"/>
      <c r="N41" s="445"/>
      <c r="O41" s="445"/>
      <c r="P41" s="445"/>
      <c r="Q41" s="445"/>
      <c r="R41" s="445"/>
      <c r="S41" s="445"/>
      <c r="T41" s="445"/>
      <c r="U41" s="445"/>
      <c r="V41" s="445"/>
    </row>
  </sheetData>
  <mergeCells count="28">
    <mergeCell ref="B38:C38"/>
    <mergeCell ref="J40:V41"/>
    <mergeCell ref="B41:I41"/>
    <mergeCell ref="K11:K12"/>
    <mergeCell ref="L11:L12"/>
    <mergeCell ref="M11:V12"/>
    <mergeCell ref="A13:A36"/>
    <mergeCell ref="M13:V26"/>
    <mergeCell ref="M27:V36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V41"/>
  <sheetViews>
    <sheetView topLeftCell="A2" zoomScale="85" zoomScaleNormal="85" workbookViewId="0">
      <selection activeCell="M9" sqref="M9:V9"/>
    </sheetView>
  </sheetViews>
  <sheetFormatPr baseColWidth="10" defaultRowHeight="15" x14ac:dyDescent="0.25"/>
  <cols>
    <col min="1" max="1" width="91.7109375" customWidth="1"/>
    <col min="2" max="2" width="20.14062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44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202</v>
      </c>
      <c r="L9" s="445"/>
      <c r="M9" s="473" t="str">
        <f>+PRESUPUESTO!B27</f>
        <v>SUMINISTRO E INSTALACION DE TECHO EN DRY WALL YESO DE 1/2"   INCLUYE ESTRUCTURA EN ALUMINIO (OMEGAS ) Y AISLANTE TERMICO FRESCASA FIBRA DE VIDRIO  ECO 2-1/2PG 7.62X1.22   Y DE  TODOS SUS ACCESORIOS PARA SU CORRECTA INSTALACION .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133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140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/>
      <c r="B13" s="65" t="s">
        <v>149</v>
      </c>
      <c r="C13" s="54">
        <f>7.19+1.2</f>
        <v>8.39</v>
      </c>
      <c r="D13" s="54"/>
      <c r="E13" s="54">
        <v>4.6900000000000004</v>
      </c>
      <c r="F13" s="55"/>
      <c r="G13" s="54"/>
      <c r="H13" s="54"/>
      <c r="I13" s="54"/>
      <c r="J13" s="55"/>
      <c r="K13" s="56">
        <f>+C13*E13</f>
        <v>39.349100000000007</v>
      </c>
      <c r="L13" s="57" t="s">
        <v>98</v>
      </c>
      <c r="M13" s="450"/>
      <c r="N13" s="451"/>
      <c r="O13" s="451"/>
      <c r="P13" s="451"/>
      <c r="Q13" s="451"/>
      <c r="R13" s="451"/>
      <c r="S13" s="451"/>
      <c r="T13" s="451"/>
      <c r="U13" s="451"/>
      <c r="V13" s="452"/>
    </row>
    <row r="14" spans="1:22" x14ac:dyDescent="0.25">
      <c r="A14" s="449"/>
      <c r="B14" s="65" t="s">
        <v>150</v>
      </c>
      <c r="C14" s="54">
        <v>4.6900000000000004</v>
      </c>
      <c r="D14" s="54"/>
      <c r="E14" s="54">
        <v>3.81</v>
      </c>
      <c r="F14" s="55"/>
      <c r="G14" s="54"/>
      <c r="H14" s="54"/>
      <c r="I14" s="54"/>
      <c r="J14" s="55"/>
      <c r="K14" s="56">
        <f>+C14*E14</f>
        <v>17.8689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 t="s">
        <v>151</v>
      </c>
      <c r="C15" s="54">
        <v>3.04</v>
      </c>
      <c r="D15" s="54"/>
      <c r="E15" s="54">
        <v>3.81</v>
      </c>
      <c r="F15" s="55"/>
      <c r="G15" s="54"/>
      <c r="H15" s="54"/>
      <c r="I15" s="54"/>
      <c r="J15" s="55"/>
      <c r="K15" s="56">
        <f>+C15*E15</f>
        <v>11.5824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 t="s">
        <v>152</v>
      </c>
      <c r="C16" s="54">
        <v>3.21</v>
      </c>
      <c r="D16" s="54"/>
      <c r="E16" s="54">
        <v>1.37</v>
      </c>
      <c r="F16" s="55"/>
      <c r="G16" s="54"/>
      <c r="H16" s="54"/>
      <c r="I16" s="54"/>
      <c r="J16" s="55"/>
      <c r="K16" s="56">
        <f>+C16*E16</f>
        <v>4.3977000000000004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 t="s">
        <v>153</v>
      </c>
      <c r="C17" s="54">
        <v>1.48</v>
      </c>
      <c r="D17" s="54"/>
      <c r="E17" s="54">
        <v>1.36</v>
      </c>
      <c r="F17" s="55"/>
      <c r="G17" s="54"/>
      <c r="H17" s="54"/>
      <c r="I17" s="54"/>
      <c r="J17" s="55"/>
      <c r="K17" s="56">
        <f t="shared" ref="K17:K21" si="0">+C17*E17</f>
        <v>2.0127999999999999</v>
      </c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 t="s">
        <v>154</v>
      </c>
      <c r="C18" s="54">
        <v>1.4</v>
      </c>
      <c r="D18" s="54"/>
      <c r="E18" s="54">
        <v>1.53</v>
      </c>
      <c r="F18" s="55"/>
      <c r="G18" s="54"/>
      <c r="H18" s="54"/>
      <c r="I18" s="54"/>
      <c r="J18" s="55"/>
      <c r="K18" s="56">
        <f t="shared" si="0"/>
        <v>2.1419999999999999</v>
      </c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65" t="s">
        <v>155</v>
      </c>
      <c r="C19" s="54">
        <v>1.27</v>
      </c>
      <c r="D19" s="54"/>
      <c r="E19" s="54">
        <v>2.9</v>
      </c>
      <c r="F19" s="55"/>
      <c r="G19" s="54"/>
      <c r="H19" s="54"/>
      <c r="I19" s="54"/>
      <c r="J19" s="55"/>
      <c r="K19" s="56">
        <f t="shared" si="0"/>
        <v>3.6829999999999998</v>
      </c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ht="25.5" x14ac:dyDescent="0.25">
      <c r="A20" s="449"/>
      <c r="B20" s="53" t="s">
        <v>156</v>
      </c>
      <c r="C20" s="54">
        <v>0.7</v>
      </c>
      <c r="D20" s="54"/>
      <c r="E20" s="54">
        <v>0.76</v>
      </c>
      <c r="F20" s="55"/>
      <c r="G20" s="54"/>
      <c r="H20" s="54"/>
      <c r="I20" s="54"/>
      <c r="J20" s="55"/>
      <c r="K20" s="56">
        <f t="shared" si="0"/>
        <v>0.53199999999999992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 t="s">
        <v>157</v>
      </c>
      <c r="C21" s="54">
        <v>3.71</v>
      </c>
      <c r="D21" s="54"/>
      <c r="E21" s="54">
        <v>2.87</v>
      </c>
      <c r="F21" s="55"/>
      <c r="G21" s="54"/>
      <c r="H21" s="54"/>
      <c r="I21" s="54"/>
      <c r="J21" s="55"/>
      <c r="K21" s="56">
        <f t="shared" si="0"/>
        <v>10.6477</v>
      </c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/>
      <c r="C22" s="54"/>
      <c r="D22" s="54"/>
      <c r="E22" s="54"/>
      <c r="F22" s="55"/>
      <c r="G22" s="54"/>
      <c r="H22" s="54"/>
      <c r="I22" s="54"/>
      <c r="J22" s="55"/>
      <c r="K22" s="56"/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/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3"/>
      <c r="N24" s="454"/>
      <c r="O24" s="454"/>
      <c r="P24" s="454"/>
      <c r="Q24" s="454"/>
      <c r="R24" s="454"/>
      <c r="S24" s="454"/>
      <c r="T24" s="454"/>
      <c r="U24" s="454"/>
      <c r="V24" s="455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3"/>
      <c r="N25" s="454"/>
      <c r="O25" s="454"/>
      <c r="P25" s="454"/>
      <c r="Q25" s="454"/>
      <c r="R25" s="454"/>
      <c r="S25" s="454"/>
      <c r="T25" s="454"/>
      <c r="U25" s="454"/>
      <c r="V25" s="455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56"/>
      <c r="N26" s="457"/>
      <c r="O26" s="457"/>
      <c r="P26" s="457"/>
      <c r="Q26" s="457"/>
      <c r="R26" s="457"/>
      <c r="S26" s="457"/>
      <c r="T26" s="457"/>
      <c r="U26" s="457"/>
      <c r="V26" s="458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59" t="s">
        <v>142</v>
      </c>
      <c r="N27" s="460"/>
      <c r="O27" s="460"/>
      <c r="P27" s="460"/>
      <c r="Q27" s="460"/>
      <c r="R27" s="460"/>
      <c r="S27" s="460"/>
      <c r="T27" s="460"/>
      <c r="U27" s="460"/>
      <c r="V27" s="461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65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2"/>
      <c r="N34" s="463"/>
      <c r="O34" s="463"/>
      <c r="P34" s="463"/>
      <c r="Q34" s="463"/>
      <c r="R34" s="463"/>
      <c r="S34" s="463"/>
      <c r="T34" s="463"/>
      <c r="U34" s="463"/>
      <c r="V34" s="464"/>
    </row>
    <row r="35" spans="1:22" x14ac:dyDescent="0.25">
      <c r="A35" s="449"/>
      <c r="B35" s="65"/>
      <c r="C35" s="54"/>
      <c r="D35" s="54"/>
      <c r="E35" s="54"/>
      <c r="F35" s="55"/>
      <c r="G35" s="54"/>
      <c r="H35" s="54"/>
      <c r="I35" s="54"/>
      <c r="J35" s="55"/>
      <c r="K35" s="56"/>
      <c r="L35" s="57"/>
      <c r="M35" s="462"/>
      <c r="N35" s="463"/>
      <c r="O35" s="463"/>
      <c r="P35" s="463"/>
      <c r="Q35" s="463"/>
      <c r="R35" s="463"/>
      <c r="S35" s="463"/>
      <c r="T35" s="463"/>
      <c r="U35" s="463"/>
      <c r="V35" s="464"/>
    </row>
    <row r="36" spans="1:22" x14ac:dyDescent="0.25">
      <c r="A36" s="449"/>
      <c r="B36" s="53"/>
      <c r="C36" s="54"/>
      <c r="D36" s="54"/>
      <c r="E36" s="54"/>
      <c r="F36" s="55"/>
      <c r="G36" s="54"/>
      <c r="H36" s="54"/>
      <c r="I36" s="54"/>
      <c r="J36" s="55"/>
      <c r="K36" s="56"/>
      <c r="L36" s="57"/>
      <c r="M36" s="465"/>
      <c r="N36" s="466"/>
      <c r="O36" s="466"/>
      <c r="P36" s="466"/>
      <c r="Q36" s="466"/>
      <c r="R36" s="466"/>
      <c r="S36" s="466"/>
      <c r="T36" s="466"/>
      <c r="U36" s="466"/>
      <c r="V36" s="467"/>
    </row>
    <row r="37" spans="1:22" x14ac:dyDescent="0.25">
      <c r="A37" s="44"/>
      <c r="B37" s="47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ht="18" x14ac:dyDescent="0.35">
      <c r="A38" s="58" t="s">
        <v>105</v>
      </c>
      <c r="B38" s="444"/>
      <c r="C38" s="444"/>
      <c r="D38" s="44"/>
      <c r="E38" s="44"/>
      <c r="G38" s="44"/>
      <c r="H38" s="44"/>
      <c r="I38" s="44"/>
      <c r="J38" s="59">
        <f>SUM(J13:J37)</f>
        <v>0</v>
      </c>
      <c r="K38" s="60">
        <f>SUM(K13:K37)</f>
        <v>92.215599999999995</v>
      </c>
      <c r="L38" s="61" t="s">
        <v>98</v>
      </c>
      <c r="M38" s="44"/>
      <c r="N38" s="44"/>
      <c r="O38" s="44"/>
      <c r="P38" s="44"/>
      <c r="Q38" s="44"/>
      <c r="R38" s="44"/>
      <c r="S38" s="44"/>
      <c r="T38" s="44"/>
      <c r="U38" s="44"/>
      <c r="V38" s="44"/>
    </row>
    <row r="39" spans="1:22" x14ac:dyDescent="0.25">
      <c r="A39" s="44"/>
      <c r="B39" s="47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</row>
    <row r="40" spans="1:22" x14ac:dyDescent="0.25">
      <c r="A40" s="62" t="s">
        <v>143</v>
      </c>
      <c r="B40" s="63"/>
      <c r="C40" s="62"/>
      <c r="D40" s="62"/>
      <c r="E40" s="62"/>
      <c r="F40" s="62"/>
      <c r="G40" s="62"/>
      <c r="H40" s="62"/>
      <c r="I40" s="62"/>
      <c r="J40" s="445" t="s">
        <v>144</v>
      </c>
      <c r="K40" s="445"/>
      <c r="L40" s="445"/>
      <c r="M40" s="445"/>
      <c r="N40" s="445"/>
      <c r="O40" s="445"/>
      <c r="P40" s="445"/>
      <c r="Q40" s="445"/>
      <c r="R40" s="445"/>
      <c r="S40" s="445"/>
      <c r="T40" s="445"/>
      <c r="U40" s="445"/>
      <c r="V40" s="445"/>
    </row>
    <row r="41" spans="1:22" x14ac:dyDescent="0.25">
      <c r="A41" s="64" t="s">
        <v>89</v>
      </c>
      <c r="B41" s="445"/>
      <c r="C41" s="445"/>
      <c r="D41" s="445"/>
      <c r="E41" s="445"/>
      <c r="F41" s="445"/>
      <c r="G41" s="445"/>
      <c r="H41" s="445"/>
      <c r="I41" s="445"/>
      <c r="J41" s="445"/>
      <c r="K41" s="445"/>
      <c r="L41" s="445"/>
      <c r="M41" s="445"/>
      <c r="N41" s="445"/>
      <c r="O41" s="445"/>
      <c r="P41" s="445"/>
      <c r="Q41" s="445"/>
      <c r="R41" s="445"/>
      <c r="S41" s="445"/>
      <c r="T41" s="445"/>
      <c r="U41" s="445"/>
      <c r="V41" s="445"/>
    </row>
  </sheetData>
  <mergeCells count="28">
    <mergeCell ref="B38:C38"/>
    <mergeCell ref="J40:V41"/>
    <mergeCell ref="B41:I41"/>
    <mergeCell ref="K11:K12"/>
    <mergeCell ref="L11:L12"/>
    <mergeCell ref="M11:V12"/>
    <mergeCell ref="A13:A36"/>
    <mergeCell ref="M13:V26"/>
    <mergeCell ref="M27:V36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V41"/>
  <sheetViews>
    <sheetView topLeftCell="A4" zoomScale="85" zoomScaleNormal="85" workbookViewId="0">
      <selection activeCell="K9" sqref="K9:L9"/>
    </sheetView>
  </sheetViews>
  <sheetFormatPr baseColWidth="10" defaultRowHeight="15" x14ac:dyDescent="0.25"/>
  <cols>
    <col min="1" max="1" width="91.7109375" customWidth="1"/>
    <col min="2" max="2" width="20.14062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53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203</v>
      </c>
      <c r="L9" s="445"/>
      <c r="M9" s="473" t="str">
        <f>+PRESUPUESTO!B28</f>
        <v>APLICACIÓN DE PINTURA GENERAL PARA INTERIORES EN VINILO TIPO 1   PARA TECHOS . INCLUYE LIMPIEZA , RASPADO, RESANES, LIJADO FILOS INSTALACION DE SELLO DE JUNTAS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133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140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/>
      <c r="B13" s="65" t="s">
        <v>149</v>
      </c>
      <c r="C13" s="54">
        <f>7.19+1.2</f>
        <v>8.39</v>
      </c>
      <c r="D13" s="54"/>
      <c r="E13" s="54">
        <v>4.6900000000000004</v>
      </c>
      <c r="F13" s="55"/>
      <c r="G13" s="54"/>
      <c r="H13" s="54"/>
      <c r="I13" s="54"/>
      <c r="J13" s="55"/>
      <c r="K13" s="56">
        <f>+C13*E13</f>
        <v>39.349100000000007</v>
      </c>
      <c r="L13" s="57" t="s">
        <v>98</v>
      </c>
      <c r="M13" s="450"/>
      <c r="N13" s="451"/>
      <c r="O13" s="451"/>
      <c r="P13" s="451"/>
      <c r="Q13" s="451"/>
      <c r="R13" s="451"/>
      <c r="S13" s="451"/>
      <c r="T13" s="451"/>
      <c r="U13" s="451"/>
      <c r="V13" s="452"/>
    </row>
    <row r="14" spans="1:22" x14ac:dyDescent="0.25">
      <c r="A14" s="449"/>
      <c r="B14" s="65" t="s">
        <v>150</v>
      </c>
      <c r="C14" s="54">
        <v>4.6900000000000004</v>
      </c>
      <c r="D14" s="54"/>
      <c r="E14" s="54">
        <v>3.81</v>
      </c>
      <c r="F14" s="55"/>
      <c r="G14" s="54"/>
      <c r="H14" s="54"/>
      <c r="I14" s="54"/>
      <c r="J14" s="55"/>
      <c r="K14" s="56">
        <f>+C14*E14</f>
        <v>17.8689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 t="s">
        <v>151</v>
      </c>
      <c r="C15" s="54">
        <v>3.04</v>
      </c>
      <c r="D15" s="54"/>
      <c r="E15" s="54">
        <v>3.81</v>
      </c>
      <c r="F15" s="55"/>
      <c r="G15" s="54"/>
      <c r="H15" s="54"/>
      <c r="I15" s="54"/>
      <c r="J15" s="55"/>
      <c r="K15" s="56">
        <f>+C15*E15</f>
        <v>11.5824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 t="s">
        <v>152</v>
      </c>
      <c r="C16" s="54">
        <v>3.21</v>
      </c>
      <c r="D16" s="54"/>
      <c r="E16" s="54">
        <v>1.37</v>
      </c>
      <c r="F16" s="55"/>
      <c r="G16" s="54"/>
      <c r="H16" s="54"/>
      <c r="I16" s="54"/>
      <c r="J16" s="55"/>
      <c r="K16" s="56">
        <f>+C16*E16</f>
        <v>4.3977000000000004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 t="s">
        <v>153</v>
      </c>
      <c r="C17" s="54">
        <v>1.48</v>
      </c>
      <c r="D17" s="54"/>
      <c r="E17" s="54">
        <v>1.36</v>
      </c>
      <c r="F17" s="55"/>
      <c r="G17" s="54"/>
      <c r="H17" s="54"/>
      <c r="I17" s="54"/>
      <c r="J17" s="55"/>
      <c r="K17" s="56">
        <f t="shared" ref="K17:K21" si="0">+C17*E17</f>
        <v>2.0127999999999999</v>
      </c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 t="s">
        <v>154</v>
      </c>
      <c r="C18" s="54">
        <v>1.4</v>
      </c>
      <c r="D18" s="54"/>
      <c r="E18" s="54">
        <v>1.53</v>
      </c>
      <c r="F18" s="55"/>
      <c r="G18" s="54"/>
      <c r="H18" s="54"/>
      <c r="I18" s="54"/>
      <c r="J18" s="55"/>
      <c r="K18" s="56">
        <f t="shared" si="0"/>
        <v>2.1419999999999999</v>
      </c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65" t="s">
        <v>155</v>
      </c>
      <c r="C19" s="54">
        <v>1.27</v>
      </c>
      <c r="D19" s="54"/>
      <c r="E19" s="54">
        <v>2.9</v>
      </c>
      <c r="F19" s="55"/>
      <c r="G19" s="54"/>
      <c r="H19" s="54"/>
      <c r="I19" s="54"/>
      <c r="J19" s="55"/>
      <c r="K19" s="56">
        <f t="shared" si="0"/>
        <v>3.6829999999999998</v>
      </c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ht="25.5" x14ac:dyDescent="0.25">
      <c r="A20" s="449"/>
      <c r="B20" s="53" t="s">
        <v>156</v>
      </c>
      <c r="C20" s="54">
        <v>0.7</v>
      </c>
      <c r="D20" s="54"/>
      <c r="E20" s="54">
        <v>0.76</v>
      </c>
      <c r="F20" s="55"/>
      <c r="G20" s="54"/>
      <c r="H20" s="54"/>
      <c r="I20" s="54"/>
      <c r="J20" s="55"/>
      <c r="K20" s="56">
        <f t="shared" si="0"/>
        <v>0.53199999999999992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 t="s">
        <v>157</v>
      </c>
      <c r="C21" s="54">
        <v>3.71</v>
      </c>
      <c r="D21" s="54"/>
      <c r="E21" s="54">
        <v>2.87</v>
      </c>
      <c r="F21" s="55"/>
      <c r="G21" s="54"/>
      <c r="H21" s="54"/>
      <c r="I21" s="54"/>
      <c r="J21" s="55"/>
      <c r="K21" s="56">
        <f t="shared" si="0"/>
        <v>10.6477</v>
      </c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/>
      <c r="C22" s="54"/>
      <c r="D22" s="54"/>
      <c r="E22" s="54"/>
      <c r="F22" s="55"/>
      <c r="G22" s="54"/>
      <c r="H22" s="54"/>
      <c r="I22" s="54"/>
      <c r="J22" s="55"/>
      <c r="K22" s="56"/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/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3"/>
      <c r="N24" s="454"/>
      <c r="O24" s="454"/>
      <c r="P24" s="454"/>
      <c r="Q24" s="454"/>
      <c r="R24" s="454"/>
      <c r="S24" s="454"/>
      <c r="T24" s="454"/>
      <c r="U24" s="454"/>
      <c r="V24" s="455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3"/>
      <c r="N25" s="454"/>
      <c r="O25" s="454"/>
      <c r="P25" s="454"/>
      <c r="Q25" s="454"/>
      <c r="R25" s="454"/>
      <c r="S25" s="454"/>
      <c r="T25" s="454"/>
      <c r="U25" s="454"/>
      <c r="V25" s="455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56"/>
      <c r="N26" s="457"/>
      <c r="O26" s="457"/>
      <c r="P26" s="457"/>
      <c r="Q26" s="457"/>
      <c r="R26" s="457"/>
      <c r="S26" s="457"/>
      <c r="T26" s="457"/>
      <c r="U26" s="457"/>
      <c r="V26" s="458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59" t="s">
        <v>142</v>
      </c>
      <c r="N27" s="460"/>
      <c r="O27" s="460"/>
      <c r="P27" s="460"/>
      <c r="Q27" s="460"/>
      <c r="R27" s="460"/>
      <c r="S27" s="460"/>
      <c r="T27" s="460"/>
      <c r="U27" s="460"/>
      <c r="V27" s="461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65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2"/>
      <c r="N34" s="463"/>
      <c r="O34" s="463"/>
      <c r="P34" s="463"/>
      <c r="Q34" s="463"/>
      <c r="R34" s="463"/>
      <c r="S34" s="463"/>
      <c r="T34" s="463"/>
      <c r="U34" s="463"/>
      <c r="V34" s="464"/>
    </row>
    <row r="35" spans="1:22" x14ac:dyDescent="0.25">
      <c r="A35" s="449"/>
      <c r="B35" s="65"/>
      <c r="C35" s="54"/>
      <c r="D35" s="54"/>
      <c r="E35" s="54"/>
      <c r="F35" s="55"/>
      <c r="G35" s="54"/>
      <c r="H35" s="54"/>
      <c r="I35" s="54"/>
      <c r="J35" s="55"/>
      <c r="K35" s="56"/>
      <c r="L35" s="57"/>
      <c r="M35" s="462"/>
      <c r="N35" s="463"/>
      <c r="O35" s="463"/>
      <c r="P35" s="463"/>
      <c r="Q35" s="463"/>
      <c r="R35" s="463"/>
      <c r="S35" s="463"/>
      <c r="T35" s="463"/>
      <c r="U35" s="463"/>
      <c r="V35" s="464"/>
    </row>
    <row r="36" spans="1:22" x14ac:dyDescent="0.25">
      <c r="A36" s="449"/>
      <c r="B36" s="53"/>
      <c r="C36" s="54"/>
      <c r="D36" s="54"/>
      <c r="E36" s="54"/>
      <c r="F36" s="55"/>
      <c r="G36" s="54"/>
      <c r="H36" s="54"/>
      <c r="I36" s="54"/>
      <c r="J36" s="55"/>
      <c r="K36" s="56"/>
      <c r="L36" s="57"/>
      <c r="M36" s="465"/>
      <c r="N36" s="466"/>
      <c r="O36" s="466"/>
      <c r="P36" s="466"/>
      <c r="Q36" s="466"/>
      <c r="R36" s="466"/>
      <c r="S36" s="466"/>
      <c r="T36" s="466"/>
      <c r="U36" s="466"/>
      <c r="V36" s="467"/>
    </row>
    <row r="37" spans="1:22" x14ac:dyDescent="0.25">
      <c r="A37" s="44"/>
      <c r="B37" s="47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ht="18" x14ac:dyDescent="0.35">
      <c r="A38" s="58" t="s">
        <v>105</v>
      </c>
      <c r="B38" s="444"/>
      <c r="C38" s="444"/>
      <c r="D38" s="44"/>
      <c r="E38" s="44"/>
      <c r="G38" s="44"/>
      <c r="H38" s="44"/>
      <c r="I38" s="44"/>
      <c r="J38" s="59">
        <f>SUM(J13:J37)</f>
        <v>0</v>
      </c>
      <c r="K38" s="60">
        <f>SUM(K13:K37)</f>
        <v>92.215599999999995</v>
      </c>
      <c r="L38" s="61" t="s">
        <v>98</v>
      </c>
      <c r="M38" s="44"/>
      <c r="N38" s="44"/>
      <c r="O38" s="44"/>
      <c r="P38" s="44"/>
      <c r="Q38" s="44"/>
      <c r="R38" s="44"/>
      <c r="S38" s="44"/>
      <c r="T38" s="44"/>
      <c r="U38" s="44"/>
      <c r="V38" s="44"/>
    </row>
    <row r="39" spans="1:22" x14ac:dyDescent="0.25">
      <c r="A39" s="44"/>
      <c r="B39" s="47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</row>
    <row r="40" spans="1:22" x14ac:dyDescent="0.25">
      <c r="A40" s="62" t="s">
        <v>143</v>
      </c>
      <c r="B40" s="63"/>
      <c r="C40" s="62"/>
      <c r="D40" s="62"/>
      <c r="E40" s="62"/>
      <c r="F40" s="62"/>
      <c r="G40" s="62"/>
      <c r="H40" s="62"/>
      <c r="I40" s="62"/>
      <c r="J40" s="445" t="s">
        <v>144</v>
      </c>
      <c r="K40" s="445"/>
      <c r="L40" s="445"/>
      <c r="M40" s="445"/>
      <c r="N40" s="445"/>
      <c r="O40" s="445"/>
      <c r="P40" s="445"/>
      <c r="Q40" s="445"/>
      <c r="R40" s="445"/>
      <c r="S40" s="445"/>
      <c r="T40" s="445"/>
      <c r="U40" s="445"/>
      <c r="V40" s="445"/>
    </row>
    <row r="41" spans="1:22" x14ac:dyDescent="0.25">
      <c r="A41" s="64" t="s">
        <v>89</v>
      </c>
      <c r="B41" s="445"/>
      <c r="C41" s="445"/>
      <c r="D41" s="445"/>
      <c r="E41" s="445"/>
      <c r="F41" s="445"/>
      <c r="G41" s="445"/>
      <c r="H41" s="445"/>
      <c r="I41" s="445"/>
      <c r="J41" s="445"/>
      <c r="K41" s="445"/>
      <c r="L41" s="445"/>
      <c r="M41" s="445"/>
      <c r="N41" s="445"/>
      <c r="O41" s="445"/>
      <c r="P41" s="445"/>
      <c r="Q41" s="445"/>
      <c r="R41" s="445"/>
      <c r="S41" s="445"/>
      <c r="T41" s="445"/>
      <c r="U41" s="445"/>
      <c r="V41" s="445"/>
    </row>
  </sheetData>
  <mergeCells count="28">
    <mergeCell ref="B38:C38"/>
    <mergeCell ref="J40:V41"/>
    <mergeCell ref="B41:I41"/>
    <mergeCell ref="K11:K12"/>
    <mergeCell ref="L11:L12"/>
    <mergeCell ref="M11:V12"/>
    <mergeCell ref="A13:A36"/>
    <mergeCell ref="M13:V26"/>
    <mergeCell ref="M27:V36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V58"/>
  <sheetViews>
    <sheetView topLeftCell="A14" zoomScaleNormal="100" workbookViewId="0">
      <selection activeCell="B18" sqref="B18:D18"/>
    </sheetView>
  </sheetViews>
  <sheetFormatPr baseColWidth="10" defaultRowHeight="15" x14ac:dyDescent="0.25"/>
  <cols>
    <col min="1" max="1" width="91.7109375" customWidth="1"/>
    <col min="2" max="2" width="20.14062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53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211</v>
      </c>
      <c r="L9" s="445"/>
      <c r="M9" s="473" t="str">
        <f>+PRESUPUESTO!B29</f>
        <v>SUMINISTRO Y APLICACIÓN  DE PINTURA  PARA EXTERIOR TIPO KORAZA.NCLUYE LIMPIEZA , RASPADO, RESANES, LIJADO FILOS EN ESCUADRAS DE MUROS DE VENTANA Y PUERTAS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133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140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/>
      <c r="B13" s="65" t="s">
        <v>204</v>
      </c>
      <c r="C13" s="54">
        <f>1+1.95+1.4+1.95+0.72+0.89+1.73+2+1.68</f>
        <v>13.319999999999999</v>
      </c>
      <c r="D13" s="54">
        <v>3.1</v>
      </c>
      <c r="E13" s="54"/>
      <c r="F13" s="55"/>
      <c r="G13" s="54"/>
      <c r="H13" s="54"/>
      <c r="I13" s="54"/>
      <c r="J13" s="55"/>
      <c r="K13" s="56">
        <f>+C13*D13-J14-J15-J16-J17</f>
        <v>33.059899999999985</v>
      </c>
      <c r="L13" s="57" t="s">
        <v>98</v>
      </c>
      <c r="M13" s="450"/>
      <c r="N13" s="451"/>
      <c r="O13" s="451"/>
      <c r="P13" s="451"/>
      <c r="Q13" s="451"/>
      <c r="R13" s="451"/>
      <c r="S13" s="451"/>
      <c r="T13" s="451"/>
      <c r="U13" s="451"/>
      <c r="V13" s="452"/>
    </row>
    <row r="14" spans="1:22" x14ac:dyDescent="0.25">
      <c r="A14" s="449"/>
      <c r="B14" s="68" t="s">
        <v>205</v>
      </c>
      <c r="C14" s="66"/>
      <c r="D14" s="66"/>
      <c r="E14" s="66"/>
      <c r="F14" s="67"/>
      <c r="G14" s="66">
        <v>1.95</v>
      </c>
      <c r="H14" s="66">
        <v>1.08</v>
      </c>
      <c r="I14" s="66"/>
      <c r="J14" s="67">
        <f>+G14*H14</f>
        <v>2.1059999999999999</v>
      </c>
      <c r="K14" s="56">
        <f>+C14*E14</f>
        <v>0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8" t="s">
        <v>205</v>
      </c>
      <c r="C15" s="66"/>
      <c r="D15" s="66"/>
      <c r="E15" s="66"/>
      <c r="F15" s="67"/>
      <c r="G15" s="66">
        <v>1.95</v>
      </c>
      <c r="H15" s="66">
        <v>1.08</v>
      </c>
      <c r="I15" s="66"/>
      <c r="J15" s="67">
        <f t="shared" ref="J15:J24" si="0">+G15*H15</f>
        <v>2.1059999999999999</v>
      </c>
      <c r="K15" s="56">
        <f>+C15*E15</f>
        <v>0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8" t="s">
        <v>206</v>
      </c>
      <c r="C16" s="66"/>
      <c r="D16" s="66"/>
      <c r="E16" s="66"/>
      <c r="F16" s="67"/>
      <c r="G16" s="66">
        <v>0.89</v>
      </c>
      <c r="H16" s="66">
        <v>2.09</v>
      </c>
      <c r="I16" s="66"/>
      <c r="J16" s="67">
        <f t="shared" si="0"/>
        <v>1.8600999999999999</v>
      </c>
      <c r="K16" s="56">
        <f>+C16*E16</f>
        <v>0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8" t="s">
        <v>205</v>
      </c>
      <c r="C17" s="66"/>
      <c r="D17" s="66"/>
      <c r="E17" s="66"/>
      <c r="F17" s="67"/>
      <c r="G17" s="66">
        <v>2</v>
      </c>
      <c r="H17" s="66">
        <v>1.08</v>
      </c>
      <c r="I17" s="66"/>
      <c r="J17" s="67">
        <f t="shared" si="0"/>
        <v>2.16</v>
      </c>
      <c r="K17" s="56">
        <f t="shared" ref="K17:K21" si="1">+C17*E17</f>
        <v>0</v>
      </c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 t="s">
        <v>207</v>
      </c>
      <c r="C18" s="54">
        <f>1.57+1.83+1.84+2.08+0.34+1.16+0.37+1.16+0.89+1.69+0.33</f>
        <v>13.26</v>
      </c>
      <c r="D18" s="54">
        <v>3</v>
      </c>
      <c r="E18" s="54"/>
      <c r="F18" s="55"/>
      <c r="G18" s="54"/>
      <c r="H18" s="54"/>
      <c r="I18" s="54"/>
      <c r="J18" s="55"/>
      <c r="K18" s="56">
        <f>+C18*D18-J19-J20-J21-J22-J23-J24</f>
        <v>31.065400000000007</v>
      </c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68" t="s">
        <v>205</v>
      </c>
      <c r="C19" s="54"/>
      <c r="D19" s="54"/>
      <c r="E19" s="54"/>
      <c r="F19" s="55"/>
      <c r="G19" s="54">
        <v>1.83</v>
      </c>
      <c r="H19" s="54">
        <v>1.08</v>
      </c>
      <c r="I19" s="54"/>
      <c r="J19" s="67">
        <f t="shared" si="0"/>
        <v>1.9764000000000002</v>
      </c>
      <c r="K19" s="56">
        <f t="shared" si="1"/>
        <v>0</v>
      </c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x14ac:dyDescent="0.25">
      <c r="A20" s="449"/>
      <c r="B20" s="68" t="s">
        <v>206</v>
      </c>
      <c r="C20" s="54"/>
      <c r="D20" s="54"/>
      <c r="E20" s="54"/>
      <c r="F20" s="55"/>
      <c r="G20" s="54">
        <v>0.9</v>
      </c>
      <c r="H20" s="54">
        <v>2.08</v>
      </c>
      <c r="I20" s="54"/>
      <c r="J20" s="67">
        <f t="shared" si="0"/>
        <v>1.8720000000000001</v>
      </c>
      <c r="K20" s="56">
        <f t="shared" si="1"/>
        <v>0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8" t="s">
        <v>205</v>
      </c>
      <c r="C21" s="54"/>
      <c r="D21" s="54"/>
      <c r="E21" s="54"/>
      <c r="F21" s="55"/>
      <c r="G21" s="54">
        <v>1.1599999999999999</v>
      </c>
      <c r="H21" s="54">
        <v>0.5</v>
      </c>
      <c r="I21" s="54"/>
      <c r="J21" s="67">
        <f t="shared" si="0"/>
        <v>0.57999999999999996</v>
      </c>
      <c r="K21" s="56">
        <f t="shared" si="1"/>
        <v>0</v>
      </c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8" t="s">
        <v>205</v>
      </c>
      <c r="C22" s="54"/>
      <c r="D22" s="54"/>
      <c r="E22" s="54"/>
      <c r="F22" s="55"/>
      <c r="G22" s="54">
        <v>1.1599999999999999</v>
      </c>
      <c r="H22" s="54">
        <v>0.5</v>
      </c>
      <c r="I22" s="54"/>
      <c r="J22" s="67">
        <f t="shared" si="0"/>
        <v>0.57999999999999996</v>
      </c>
      <c r="K22" s="56"/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8" t="s">
        <v>208</v>
      </c>
      <c r="C23" s="54"/>
      <c r="D23" s="54"/>
      <c r="E23" s="54"/>
      <c r="F23" s="55"/>
      <c r="G23" s="54">
        <v>0.9</v>
      </c>
      <c r="H23" s="54">
        <v>2.09</v>
      </c>
      <c r="I23" s="54"/>
      <c r="J23" s="67">
        <f t="shared" si="0"/>
        <v>1.881</v>
      </c>
      <c r="K23" s="56"/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8" t="s">
        <v>205</v>
      </c>
      <c r="C24" s="54"/>
      <c r="D24" s="54"/>
      <c r="E24" s="54"/>
      <c r="F24" s="55"/>
      <c r="G24" s="54">
        <v>1.69</v>
      </c>
      <c r="H24" s="54">
        <v>1.08</v>
      </c>
      <c r="I24" s="54"/>
      <c r="J24" s="67">
        <f t="shared" si="0"/>
        <v>1.8252000000000002</v>
      </c>
      <c r="K24" s="56"/>
      <c r="L24" s="57"/>
      <c r="M24" s="453"/>
      <c r="N24" s="454"/>
      <c r="O24" s="454"/>
      <c r="P24" s="454"/>
      <c r="Q24" s="454"/>
      <c r="R24" s="454"/>
      <c r="S24" s="454"/>
      <c r="T24" s="454"/>
      <c r="U24" s="454"/>
      <c r="V24" s="455"/>
    </row>
    <row r="25" spans="1:22" ht="25.5" x14ac:dyDescent="0.25">
      <c r="A25" s="449"/>
      <c r="B25" s="70" t="s">
        <v>209</v>
      </c>
      <c r="C25" s="54">
        <v>8.24</v>
      </c>
      <c r="D25" s="54">
        <v>4.16</v>
      </c>
      <c r="E25" s="54">
        <v>3</v>
      </c>
      <c r="F25" s="55"/>
      <c r="G25" s="54"/>
      <c r="H25" s="54"/>
      <c r="I25" s="54"/>
      <c r="J25" s="55"/>
      <c r="K25" s="56">
        <v>29.5</v>
      </c>
      <c r="L25" s="57"/>
      <c r="M25" s="453"/>
      <c r="N25" s="454"/>
      <c r="O25" s="454"/>
      <c r="P25" s="454"/>
      <c r="Q25" s="454"/>
      <c r="R25" s="454"/>
      <c r="S25" s="454"/>
      <c r="T25" s="454"/>
      <c r="U25" s="454"/>
      <c r="V25" s="455"/>
    </row>
    <row r="26" spans="1:22" ht="25.5" x14ac:dyDescent="0.25">
      <c r="A26" s="449"/>
      <c r="B26" s="70" t="s">
        <v>210</v>
      </c>
      <c r="C26" s="54">
        <v>8.24</v>
      </c>
      <c r="D26" s="54">
        <v>4.16</v>
      </c>
      <c r="E26" s="54">
        <v>3</v>
      </c>
      <c r="F26" s="55"/>
      <c r="G26" s="54"/>
      <c r="H26" s="54"/>
      <c r="I26" s="54"/>
      <c r="J26" s="55"/>
      <c r="K26" s="56">
        <v>29.5</v>
      </c>
      <c r="L26" s="57"/>
      <c r="M26" s="456"/>
      <c r="N26" s="457"/>
      <c r="O26" s="457"/>
      <c r="P26" s="457"/>
      <c r="Q26" s="457"/>
      <c r="R26" s="457"/>
      <c r="S26" s="457"/>
      <c r="T26" s="457"/>
      <c r="U26" s="457"/>
      <c r="V26" s="458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59" t="s">
        <v>142</v>
      </c>
      <c r="N27" s="460"/>
      <c r="O27" s="460"/>
      <c r="P27" s="460"/>
      <c r="Q27" s="460"/>
      <c r="R27" s="460"/>
      <c r="S27" s="460"/>
      <c r="T27" s="460"/>
      <c r="U27" s="460"/>
      <c r="V27" s="461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65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2"/>
      <c r="N34" s="463"/>
      <c r="O34" s="463"/>
      <c r="P34" s="463"/>
      <c r="Q34" s="463"/>
      <c r="R34" s="463"/>
      <c r="S34" s="463"/>
      <c r="T34" s="463"/>
      <c r="U34" s="463"/>
      <c r="V34" s="464"/>
    </row>
    <row r="35" spans="1:22" x14ac:dyDescent="0.25">
      <c r="A35" s="449"/>
      <c r="B35" s="65"/>
      <c r="C35" s="54"/>
      <c r="D35" s="54"/>
      <c r="E35" s="54"/>
      <c r="F35" s="55"/>
      <c r="G35" s="54"/>
      <c r="H35" s="54"/>
      <c r="I35" s="54"/>
      <c r="J35" s="55"/>
      <c r="K35" s="56"/>
      <c r="L35" s="57"/>
      <c r="M35" s="462"/>
      <c r="N35" s="463"/>
      <c r="O35" s="463"/>
      <c r="P35" s="463"/>
      <c r="Q35" s="463"/>
      <c r="R35" s="463"/>
      <c r="S35" s="463"/>
      <c r="T35" s="463"/>
      <c r="U35" s="463"/>
      <c r="V35" s="464"/>
    </row>
    <row r="36" spans="1:22" x14ac:dyDescent="0.25">
      <c r="A36" s="449"/>
      <c r="B36" s="65"/>
      <c r="C36" s="54"/>
      <c r="D36" s="54"/>
      <c r="E36" s="54"/>
      <c r="F36" s="55"/>
      <c r="G36" s="54"/>
      <c r="H36" s="54"/>
      <c r="I36" s="54"/>
      <c r="J36" s="55"/>
      <c r="K36" s="56"/>
      <c r="L36" s="57"/>
      <c r="M36" s="462"/>
      <c r="N36" s="463"/>
      <c r="O36" s="463"/>
      <c r="P36" s="463"/>
      <c r="Q36" s="463"/>
      <c r="R36" s="463"/>
      <c r="S36" s="463"/>
      <c r="T36" s="463"/>
      <c r="U36" s="463"/>
      <c r="V36" s="464"/>
    </row>
    <row r="37" spans="1:22" x14ac:dyDescent="0.25">
      <c r="A37" s="449"/>
      <c r="B37" s="65"/>
      <c r="C37" s="54"/>
      <c r="D37" s="54"/>
      <c r="E37" s="54"/>
      <c r="F37" s="55"/>
      <c r="G37" s="54"/>
      <c r="H37" s="54"/>
      <c r="I37" s="54"/>
      <c r="J37" s="55"/>
      <c r="K37" s="56"/>
      <c r="L37" s="57"/>
      <c r="M37" s="462"/>
      <c r="N37" s="463"/>
      <c r="O37" s="463"/>
      <c r="P37" s="463"/>
      <c r="Q37" s="463"/>
      <c r="R37" s="463"/>
      <c r="S37" s="463"/>
      <c r="T37" s="463"/>
      <c r="U37" s="463"/>
      <c r="V37" s="464"/>
    </row>
    <row r="38" spans="1:22" x14ac:dyDescent="0.25">
      <c r="A38" s="449"/>
      <c r="B38" s="65"/>
      <c r="C38" s="54"/>
      <c r="D38" s="54"/>
      <c r="E38" s="54"/>
      <c r="F38" s="55"/>
      <c r="G38" s="54"/>
      <c r="H38" s="54"/>
      <c r="I38" s="54"/>
      <c r="J38" s="55"/>
      <c r="K38" s="56"/>
      <c r="L38" s="57"/>
      <c r="M38" s="462"/>
      <c r="N38" s="463"/>
      <c r="O38" s="463"/>
      <c r="P38" s="463"/>
      <c r="Q38" s="463"/>
      <c r="R38" s="463"/>
      <c r="S38" s="463"/>
      <c r="T38" s="463"/>
      <c r="U38" s="463"/>
      <c r="V38" s="464"/>
    </row>
    <row r="39" spans="1:22" x14ac:dyDescent="0.25">
      <c r="A39" s="449"/>
      <c r="B39" s="65"/>
      <c r="C39" s="54"/>
      <c r="D39" s="54"/>
      <c r="E39" s="54"/>
      <c r="F39" s="55"/>
      <c r="G39" s="54"/>
      <c r="H39" s="54"/>
      <c r="I39" s="54"/>
      <c r="J39" s="55"/>
      <c r="K39" s="56"/>
      <c r="L39" s="57"/>
      <c r="M39" s="462"/>
      <c r="N39" s="463"/>
      <c r="O39" s="463"/>
      <c r="P39" s="463"/>
      <c r="Q39" s="463"/>
      <c r="R39" s="463"/>
      <c r="S39" s="463"/>
      <c r="T39" s="463"/>
      <c r="U39" s="463"/>
      <c r="V39" s="464"/>
    </row>
    <row r="40" spans="1:22" x14ac:dyDescent="0.25">
      <c r="A40" s="449"/>
      <c r="B40" s="65"/>
      <c r="C40" s="54"/>
      <c r="D40" s="54"/>
      <c r="E40" s="54"/>
      <c r="F40" s="55"/>
      <c r="G40" s="54"/>
      <c r="H40" s="54"/>
      <c r="I40" s="54"/>
      <c r="J40" s="55"/>
      <c r="K40" s="56"/>
      <c r="L40" s="57"/>
      <c r="M40" s="462"/>
      <c r="N40" s="463"/>
      <c r="O40" s="463"/>
      <c r="P40" s="463"/>
      <c r="Q40" s="463"/>
      <c r="R40" s="463"/>
      <c r="S40" s="463"/>
      <c r="T40" s="463"/>
      <c r="U40" s="463"/>
      <c r="V40" s="464"/>
    </row>
    <row r="41" spans="1:22" x14ac:dyDescent="0.25">
      <c r="A41" s="449"/>
      <c r="B41" s="65"/>
      <c r="C41" s="54"/>
      <c r="D41" s="54"/>
      <c r="E41" s="54"/>
      <c r="F41" s="55"/>
      <c r="G41" s="54"/>
      <c r="H41" s="54"/>
      <c r="I41" s="54"/>
      <c r="J41" s="55"/>
      <c r="K41" s="56"/>
      <c r="L41" s="57"/>
      <c r="M41" s="462"/>
      <c r="N41" s="463"/>
      <c r="O41" s="463"/>
      <c r="P41" s="463"/>
      <c r="Q41" s="463"/>
      <c r="R41" s="463"/>
      <c r="S41" s="463"/>
      <c r="T41" s="463"/>
      <c r="U41" s="463"/>
      <c r="V41" s="464"/>
    </row>
    <row r="42" spans="1:22" x14ac:dyDescent="0.25">
      <c r="A42" s="449"/>
      <c r="B42" s="65"/>
      <c r="C42" s="54"/>
      <c r="D42" s="54"/>
      <c r="E42" s="54"/>
      <c r="F42" s="55"/>
      <c r="G42" s="54"/>
      <c r="H42" s="54"/>
      <c r="I42" s="54"/>
      <c r="J42" s="55"/>
      <c r="K42" s="56"/>
      <c r="L42" s="57"/>
      <c r="M42" s="462"/>
      <c r="N42" s="463"/>
      <c r="O42" s="463"/>
      <c r="P42" s="463"/>
      <c r="Q42" s="463"/>
      <c r="R42" s="463"/>
      <c r="S42" s="463"/>
      <c r="T42" s="463"/>
      <c r="U42" s="463"/>
      <c r="V42" s="464"/>
    </row>
    <row r="43" spans="1:22" x14ac:dyDescent="0.25">
      <c r="A43" s="449"/>
      <c r="B43" s="65"/>
      <c r="C43" s="54"/>
      <c r="D43" s="54"/>
      <c r="E43" s="54"/>
      <c r="F43" s="55"/>
      <c r="G43" s="54"/>
      <c r="H43" s="54"/>
      <c r="I43" s="54"/>
      <c r="J43" s="55"/>
      <c r="K43" s="56"/>
      <c r="L43" s="57"/>
      <c r="M43" s="462"/>
      <c r="N43" s="463"/>
      <c r="O43" s="463"/>
      <c r="P43" s="463"/>
      <c r="Q43" s="463"/>
      <c r="R43" s="463"/>
      <c r="S43" s="463"/>
      <c r="T43" s="463"/>
      <c r="U43" s="463"/>
      <c r="V43" s="464"/>
    </row>
    <row r="44" spans="1:22" x14ac:dyDescent="0.25">
      <c r="A44" s="449"/>
      <c r="B44" s="65"/>
      <c r="C44" s="54"/>
      <c r="D44" s="54"/>
      <c r="E44" s="54"/>
      <c r="F44" s="55"/>
      <c r="G44" s="54"/>
      <c r="H44" s="54"/>
      <c r="I44" s="54"/>
      <c r="J44" s="55"/>
      <c r="K44" s="56"/>
      <c r="L44" s="57"/>
      <c r="M44" s="462"/>
      <c r="N44" s="463"/>
      <c r="O44" s="463"/>
      <c r="P44" s="463"/>
      <c r="Q44" s="463"/>
      <c r="R44" s="463"/>
      <c r="S44" s="463"/>
      <c r="T44" s="463"/>
      <c r="U44" s="463"/>
      <c r="V44" s="464"/>
    </row>
    <row r="45" spans="1:22" x14ac:dyDescent="0.25">
      <c r="A45" s="449"/>
      <c r="B45" s="65"/>
      <c r="C45" s="54"/>
      <c r="D45" s="54"/>
      <c r="E45" s="54"/>
      <c r="F45" s="55"/>
      <c r="G45" s="54"/>
      <c r="H45" s="54"/>
      <c r="I45" s="54"/>
      <c r="J45" s="55"/>
      <c r="K45" s="56"/>
      <c r="L45" s="57"/>
      <c r="M45" s="462"/>
      <c r="N45" s="463"/>
      <c r="O45" s="463"/>
      <c r="P45" s="463"/>
      <c r="Q45" s="463"/>
      <c r="R45" s="463"/>
      <c r="S45" s="463"/>
      <c r="T45" s="463"/>
      <c r="U45" s="463"/>
      <c r="V45" s="464"/>
    </row>
    <row r="46" spans="1:22" x14ac:dyDescent="0.25">
      <c r="A46" s="449"/>
      <c r="B46" s="65"/>
      <c r="C46" s="54"/>
      <c r="D46" s="54"/>
      <c r="E46" s="54"/>
      <c r="F46" s="55"/>
      <c r="G46" s="54"/>
      <c r="H46" s="54"/>
      <c r="I46" s="54"/>
      <c r="J46" s="55"/>
      <c r="K46" s="56"/>
      <c r="L46" s="57"/>
      <c r="M46" s="462"/>
      <c r="N46" s="463"/>
      <c r="O46" s="463"/>
      <c r="P46" s="463"/>
      <c r="Q46" s="463"/>
      <c r="R46" s="463"/>
      <c r="S46" s="463"/>
      <c r="T46" s="463"/>
      <c r="U46" s="463"/>
      <c r="V46" s="464"/>
    </row>
    <row r="47" spans="1:22" x14ac:dyDescent="0.25">
      <c r="A47" s="449"/>
      <c r="B47" s="65"/>
      <c r="C47" s="54"/>
      <c r="D47" s="54"/>
      <c r="E47" s="54"/>
      <c r="F47" s="55"/>
      <c r="G47" s="54"/>
      <c r="H47" s="54"/>
      <c r="I47" s="54"/>
      <c r="J47" s="55"/>
      <c r="K47" s="56"/>
      <c r="L47" s="57"/>
      <c r="M47" s="462"/>
      <c r="N47" s="463"/>
      <c r="O47" s="463"/>
      <c r="P47" s="463"/>
      <c r="Q47" s="463"/>
      <c r="R47" s="463"/>
      <c r="S47" s="463"/>
      <c r="T47" s="463"/>
      <c r="U47" s="463"/>
      <c r="V47" s="464"/>
    </row>
    <row r="48" spans="1:22" x14ac:dyDescent="0.25">
      <c r="A48" s="449"/>
      <c r="B48" s="65"/>
      <c r="C48" s="54"/>
      <c r="D48" s="54"/>
      <c r="E48" s="54"/>
      <c r="F48" s="55"/>
      <c r="G48" s="54"/>
      <c r="H48" s="54"/>
      <c r="I48" s="54"/>
      <c r="J48" s="55"/>
      <c r="K48" s="56"/>
      <c r="L48" s="57"/>
      <c r="M48" s="462"/>
      <c r="N48" s="463"/>
      <c r="O48" s="463"/>
      <c r="P48" s="463"/>
      <c r="Q48" s="463"/>
      <c r="R48" s="463"/>
      <c r="S48" s="463"/>
      <c r="T48" s="463"/>
      <c r="U48" s="463"/>
      <c r="V48" s="464"/>
    </row>
    <row r="49" spans="1:22" x14ac:dyDescent="0.25">
      <c r="A49" s="449"/>
      <c r="B49" s="65"/>
      <c r="C49" s="54"/>
      <c r="D49" s="54"/>
      <c r="E49" s="54"/>
      <c r="F49" s="55"/>
      <c r="G49" s="54"/>
      <c r="H49" s="54"/>
      <c r="I49" s="54"/>
      <c r="J49" s="55"/>
      <c r="K49" s="56"/>
      <c r="L49" s="57"/>
      <c r="M49" s="462"/>
      <c r="N49" s="463"/>
      <c r="O49" s="463"/>
      <c r="P49" s="463"/>
      <c r="Q49" s="463"/>
      <c r="R49" s="463"/>
      <c r="S49" s="463"/>
      <c r="T49" s="463"/>
      <c r="U49" s="463"/>
      <c r="V49" s="464"/>
    </row>
    <row r="50" spans="1:22" x14ac:dyDescent="0.25">
      <c r="A50" s="449"/>
      <c r="B50" s="65"/>
      <c r="C50" s="54"/>
      <c r="D50" s="54"/>
      <c r="E50" s="54"/>
      <c r="F50" s="55"/>
      <c r="G50" s="54"/>
      <c r="H50" s="54"/>
      <c r="I50" s="54"/>
      <c r="J50" s="55"/>
      <c r="K50" s="56"/>
      <c r="L50" s="57"/>
      <c r="M50" s="462"/>
      <c r="N50" s="463"/>
      <c r="O50" s="463"/>
      <c r="P50" s="463"/>
      <c r="Q50" s="463"/>
      <c r="R50" s="463"/>
      <c r="S50" s="463"/>
      <c r="T50" s="463"/>
      <c r="U50" s="463"/>
      <c r="V50" s="464"/>
    </row>
    <row r="51" spans="1:22" x14ac:dyDescent="0.25">
      <c r="A51" s="449"/>
      <c r="B51" s="65"/>
      <c r="C51" s="54"/>
      <c r="D51" s="54"/>
      <c r="E51" s="54"/>
      <c r="F51" s="55"/>
      <c r="G51" s="54"/>
      <c r="H51" s="54"/>
      <c r="I51" s="54"/>
      <c r="J51" s="55"/>
      <c r="K51" s="56"/>
      <c r="L51" s="57"/>
      <c r="M51" s="462"/>
      <c r="N51" s="463"/>
      <c r="O51" s="463"/>
      <c r="P51" s="463"/>
      <c r="Q51" s="463"/>
      <c r="R51" s="463"/>
      <c r="S51" s="463"/>
      <c r="T51" s="463"/>
      <c r="U51" s="463"/>
      <c r="V51" s="464"/>
    </row>
    <row r="52" spans="1:22" x14ac:dyDescent="0.25">
      <c r="A52" s="449"/>
      <c r="B52" s="65"/>
      <c r="C52" s="54"/>
      <c r="D52" s="54"/>
      <c r="E52" s="54"/>
      <c r="F52" s="55"/>
      <c r="G52" s="54"/>
      <c r="H52" s="54"/>
      <c r="I52" s="54"/>
      <c r="J52" s="55"/>
      <c r="K52" s="56"/>
      <c r="L52" s="57"/>
      <c r="M52" s="462"/>
      <c r="N52" s="463"/>
      <c r="O52" s="463"/>
      <c r="P52" s="463"/>
      <c r="Q52" s="463"/>
      <c r="R52" s="463"/>
      <c r="S52" s="463"/>
      <c r="T52" s="463"/>
      <c r="U52" s="463"/>
      <c r="V52" s="464"/>
    </row>
    <row r="53" spans="1:22" x14ac:dyDescent="0.25">
      <c r="A53" s="449"/>
      <c r="B53" s="65"/>
      <c r="C53" s="54"/>
      <c r="D53" s="54"/>
      <c r="E53" s="54"/>
      <c r="F53" s="55"/>
      <c r="G53" s="54"/>
      <c r="H53" s="54"/>
      <c r="I53" s="54"/>
      <c r="J53" s="55"/>
      <c r="K53" s="56"/>
      <c r="L53" s="57"/>
      <c r="M53" s="462"/>
      <c r="N53" s="463"/>
      <c r="O53" s="463"/>
      <c r="P53" s="463"/>
      <c r="Q53" s="463"/>
      <c r="R53" s="463"/>
      <c r="S53" s="463"/>
      <c r="T53" s="463"/>
      <c r="U53" s="463"/>
      <c r="V53" s="464"/>
    </row>
    <row r="54" spans="1:22" x14ac:dyDescent="0.25">
      <c r="A54" s="44"/>
      <c r="B54" s="47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</row>
    <row r="55" spans="1:22" ht="18" x14ac:dyDescent="0.35">
      <c r="A55" s="58" t="s">
        <v>105</v>
      </c>
      <c r="B55" s="444"/>
      <c r="C55" s="444"/>
      <c r="D55" s="44"/>
      <c r="E55" s="44"/>
      <c r="G55" s="44"/>
      <c r="H55" s="44"/>
      <c r="I55" s="44"/>
      <c r="J55" s="59">
        <f>SUM(J13:J54)</f>
        <v>16.9467</v>
      </c>
      <c r="K55" s="60">
        <f>SUM(K13:K54)</f>
        <v>123.1253</v>
      </c>
      <c r="L55" s="61" t="s">
        <v>98</v>
      </c>
      <c r="M55" s="44"/>
      <c r="N55" s="44"/>
      <c r="O55" s="44"/>
      <c r="P55" s="44"/>
      <c r="Q55" s="44"/>
      <c r="R55" s="44"/>
      <c r="S55" s="44"/>
      <c r="T55" s="44"/>
      <c r="U55" s="44"/>
      <c r="V55" s="44"/>
    </row>
    <row r="56" spans="1:22" x14ac:dyDescent="0.25">
      <c r="A56" s="44"/>
      <c r="B56" s="47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</row>
    <row r="57" spans="1:22" x14ac:dyDescent="0.25">
      <c r="A57" s="62" t="s">
        <v>143</v>
      </c>
      <c r="B57" s="63"/>
      <c r="C57" s="62"/>
      <c r="D57" s="62"/>
      <c r="E57" s="62"/>
      <c r="F57" s="62"/>
      <c r="G57" s="62"/>
      <c r="H57" s="62"/>
      <c r="I57" s="62"/>
      <c r="J57" s="445" t="s">
        <v>144</v>
      </c>
      <c r="K57" s="445"/>
      <c r="L57" s="445"/>
      <c r="M57" s="445"/>
      <c r="N57" s="445"/>
      <c r="O57" s="445"/>
      <c r="P57" s="445"/>
      <c r="Q57" s="445"/>
      <c r="R57" s="445"/>
      <c r="S57" s="445"/>
      <c r="T57" s="445"/>
      <c r="U57" s="445"/>
      <c r="V57" s="445"/>
    </row>
    <row r="58" spans="1:22" x14ac:dyDescent="0.25">
      <c r="A58" s="64" t="s">
        <v>89</v>
      </c>
      <c r="B58" s="445"/>
      <c r="C58" s="445"/>
      <c r="D58" s="445"/>
      <c r="E58" s="445"/>
      <c r="F58" s="445"/>
      <c r="G58" s="445"/>
      <c r="H58" s="445"/>
      <c r="I58" s="445"/>
      <c r="J58" s="445"/>
      <c r="K58" s="445"/>
      <c r="L58" s="445"/>
      <c r="M58" s="445"/>
      <c r="N58" s="445"/>
      <c r="O58" s="445"/>
      <c r="P58" s="445"/>
      <c r="Q58" s="445"/>
      <c r="R58" s="445"/>
      <c r="S58" s="445"/>
      <c r="T58" s="445"/>
      <c r="U58" s="445"/>
      <c r="V58" s="445"/>
    </row>
  </sheetData>
  <mergeCells count="28">
    <mergeCell ref="B55:C55"/>
    <mergeCell ref="J57:V58"/>
    <mergeCell ref="B58:I58"/>
    <mergeCell ref="K11:K12"/>
    <mergeCell ref="L11:L12"/>
    <mergeCell ref="M11:V12"/>
    <mergeCell ref="A13:A53"/>
    <mergeCell ref="M13:V26"/>
    <mergeCell ref="M27:V53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V40"/>
  <sheetViews>
    <sheetView topLeftCell="A13" zoomScaleNormal="100" workbookViewId="0">
      <selection activeCell="E14" sqref="E14:E19"/>
    </sheetView>
  </sheetViews>
  <sheetFormatPr baseColWidth="10" defaultRowHeight="15" x14ac:dyDescent="0.25"/>
  <cols>
    <col min="1" max="1" width="91.7109375" customWidth="1"/>
    <col min="2" max="2" width="23.14062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53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218</v>
      </c>
      <c r="L9" s="445"/>
      <c r="M9" s="473" t="str">
        <f>+PRESUPUESTO!B30</f>
        <v xml:space="preserve">SUMINISTRO Y APLICACIÓN  DE ANTICORROSIVO Y PINTURA ESMALTE  PARA  PUERTAS METALICAS .NCLUYE LIMPIEZA , LIJADO  RASPADO, RESANES 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133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140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/>
      <c r="B13" s="65"/>
      <c r="C13" s="54"/>
      <c r="D13" s="54"/>
      <c r="E13" s="54"/>
      <c r="F13" s="55"/>
      <c r="G13" s="54"/>
      <c r="H13" s="54"/>
      <c r="I13" s="54"/>
      <c r="J13" s="55"/>
      <c r="K13" s="56"/>
      <c r="L13" s="57" t="s">
        <v>98</v>
      </c>
      <c r="M13" s="453"/>
      <c r="N13" s="454"/>
      <c r="O13" s="454"/>
      <c r="P13" s="454"/>
      <c r="Q13" s="454"/>
      <c r="R13" s="454"/>
      <c r="S13" s="454"/>
      <c r="T13" s="454"/>
      <c r="U13" s="454"/>
      <c r="V13" s="455"/>
    </row>
    <row r="14" spans="1:22" x14ac:dyDescent="0.25">
      <c r="A14" s="449"/>
      <c r="B14" s="65" t="s">
        <v>213</v>
      </c>
      <c r="C14" s="54">
        <v>0.9</v>
      </c>
      <c r="D14" s="54">
        <v>2.0499999999999998</v>
      </c>
      <c r="E14" s="54">
        <v>2</v>
      </c>
      <c r="F14" s="55"/>
      <c r="G14" s="54"/>
      <c r="H14" s="54"/>
      <c r="I14" s="54"/>
      <c r="J14" s="55"/>
      <c r="K14" s="56">
        <f>+C14*D14*E14</f>
        <v>3.69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 t="s">
        <v>214</v>
      </c>
      <c r="C15" s="54">
        <v>0.9</v>
      </c>
      <c r="D15" s="54">
        <v>2.0499999999999998</v>
      </c>
      <c r="E15" s="54">
        <v>2</v>
      </c>
      <c r="F15" s="55"/>
      <c r="G15" s="54"/>
      <c r="H15" s="54"/>
      <c r="I15" s="54"/>
      <c r="J15" s="55"/>
      <c r="K15" s="56">
        <f t="shared" ref="K15:K19" si="0">+C15*D15*E15</f>
        <v>3.69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 t="s">
        <v>215</v>
      </c>
      <c r="C16" s="54">
        <v>0.7</v>
      </c>
      <c r="D16" s="54">
        <v>2.0499999999999998</v>
      </c>
      <c r="E16" s="54">
        <v>2</v>
      </c>
      <c r="F16" s="55"/>
      <c r="G16" s="54"/>
      <c r="H16" s="54"/>
      <c r="I16" s="54"/>
      <c r="J16" s="55"/>
      <c r="K16" s="56">
        <f t="shared" si="0"/>
        <v>2.8699999999999997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 t="s">
        <v>216</v>
      </c>
      <c r="C17" s="54">
        <v>0.7</v>
      </c>
      <c r="D17" s="54">
        <v>2.0499999999999998</v>
      </c>
      <c r="E17" s="54">
        <v>2</v>
      </c>
      <c r="F17" s="55"/>
      <c r="G17" s="54"/>
      <c r="H17" s="54"/>
      <c r="I17" s="54"/>
      <c r="J17" s="55"/>
      <c r="K17" s="56">
        <f t="shared" si="0"/>
        <v>2.8699999999999997</v>
      </c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 t="s">
        <v>219</v>
      </c>
      <c r="C18" s="54">
        <v>0.7</v>
      </c>
      <c r="D18" s="54">
        <v>2.0499999999999998</v>
      </c>
      <c r="E18" s="54">
        <v>2</v>
      </c>
      <c r="F18" s="55"/>
      <c r="G18" s="54"/>
      <c r="H18" s="54"/>
      <c r="I18" s="54"/>
      <c r="J18" s="55"/>
      <c r="K18" s="56">
        <f t="shared" si="0"/>
        <v>2.8699999999999997</v>
      </c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ht="25.5" x14ac:dyDescent="0.25">
      <c r="A19" s="449"/>
      <c r="B19" s="53" t="s">
        <v>220</v>
      </c>
      <c r="C19" s="54">
        <v>0.9</v>
      </c>
      <c r="D19" s="54">
        <v>2.0499999999999998</v>
      </c>
      <c r="E19" s="54">
        <v>2</v>
      </c>
      <c r="F19" s="55"/>
      <c r="G19" s="54"/>
      <c r="H19" s="54"/>
      <c r="I19" s="54"/>
      <c r="J19" s="55"/>
      <c r="K19" s="56">
        <f t="shared" si="0"/>
        <v>3.69</v>
      </c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x14ac:dyDescent="0.25">
      <c r="A20" s="449"/>
      <c r="B20" s="65"/>
      <c r="C20" s="54"/>
      <c r="D20" s="54"/>
      <c r="E20" s="54"/>
      <c r="F20" s="55"/>
      <c r="G20" s="54"/>
      <c r="H20" s="54"/>
      <c r="I20" s="54"/>
      <c r="J20" s="55"/>
      <c r="K20" s="56">
        <f>+C20*D20</f>
        <v>0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/>
      <c r="C21" s="54"/>
      <c r="D21" s="54"/>
      <c r="E21" s="54"/>
      <c r="F21" s="55"/>
      <c r="G21" s="54"/>
      <c r="H21" s="54"/>
      <c r="I21" s="54"/>
      <c r="J21" s="55"/>
      <c r="K21" s="56"/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/>
      <c r="C22" s="54"/>
      <c r="D22" s="54"/>
      <c r="E22" s="54"/>
      <c r="F22" s="55"/>
      <c r="G22" s="54"/>
      <c r="H22" s="54"/>
      <c r="I22" s="54"/>
      <c r="J22" s="55"/>
      <c r="K22" s="56"/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/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3"/>
      <c r="N24" s="454"/>
      <c r="O24" s="454"/>
      <c r="P24" s="454"/>
      <c r="Q24" s="454"/>
      <c r="R24" s="454"/>
      <c r="S24" s="454"/>
      <c r="T24" s="454"/>
      <c r="U24" s="454"/>
      <c r="V24" s="455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6"/>
      <c r="N25" s="457"/>
      <c r="O25" s="457"/>
      <c r="P25" s="457"/>
      <c r="Q25" s="457"/>
      <c r="R25" s="457"/>
      <c r="S25" s="457"/>
      <c r="T25" s="457"/>
      <c r="U25" s="457"/>
      <c r="V25" s="458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59" t="s">
        <v>142</v>
      </c>
      <c r="N26" s="460"/>
      <c r="O26" s="460"/>
      <c r="P26" s="460"/>
      <c r="Q26" s="460"/>
      <c r="R26" s="460"/>
      <c r="S26" s="460"/>
      <c r="T26" s="460"/>
      <c r="U26" s="460"/>
      <c r="V26" s="461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62"/>
      <c r="N27" s="463"/>
      <c r="O27" s="463"/>
      <c r="P27" s="463"/>
      <c r="Q27" s="463"/>
      <c r="R27" s="463"/>
      <c r="S27" s="463"/>
      <c r="T27" s="463"/>
      <c r="U27" s="463"/>
      <c r="V27" s="464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65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2"/>
      <c r="N34" s="463"/>
      <c r="O34" s="463"/>
      <c r="P34" s="463"/>
      <c r="Q34" s="463"/>
      <c r="R34" s="463"/>
      <c r="S34" s="463"/>
      <c r="T34" s="463"/>
      <c r="U34" s="463"/>
      <c r="V34" s="464"/>
    </row>
    <row r="35" spans="1:22" x14ac:dyDescent="0.25">
      <c r="A35" s="449"/>
      <c r="B35" s="53"/>
      <c r="C35" s="54"/>
      <c r="D35" s="54"/>
      <c r="E35" s="54"/>
      <c r="F35" s="55"/>
      <c r="G35" s="54"/>
      <c r="H35" s="54"/>
      <c r="I35" s="54"/>
      <c r="J35" s="55"/>
      <c r="K35" s="56"/>
      <c r="L35" s="57"/>
      <c r="M35" s="465"/>
      <c r="N35" s="466"/>
      <c r="O35" s="466"/>
      <c r="P35" s="466"/>
      <c r="Q35" s="466"/>
      <c r="R35" s="466"/>
      <c r="S35" s="466"/>
      <c r="T35" s="466"/>
      <c r="U35" s="466"/>
      <c r="V35" s="467"/>
    </row>
    <row r="36" spans="1:22" x14ac:dyDescent="0.25">
      <c r="A36" s="44"/>
      <c r="B36" s="47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18" x14ac:dyDescent="0.35">
      <c r="A37" s="58" t="s">
        <v>105</v>
      </c>
      <c r="B37" s="444"/>
      <c r="C37" s="444"/>
      <c r="D37" s="44"/>
      <c r="E37" s="44"/>
      <c r="G37" s="44"/>
      <c r="H37" s="44"/>
      <c r="I37" s="44"/>
      <c r="J37" s="59">
        <f>SUM(J13:J36)</f>
        <v>0</v>
      </c>
      <c r="K37" s="60">
        <f>SUM(K13:K36)</f>
        <v>19.68</v>
      </c>
      <c r="L37" s="61" t="s">
        <v>98</v>
      </c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x14ac:dyDescent="0.25">
      <c r="A38" s="44"/>
      <c r="B38" s="47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</row>
    <row r="39" spans="1:22" x14ac:dyDescent="0.25">
      <c r="A39" s="62" t="s">
        <v>143</v>
      </c>
      <c r="B39" s="63"/>
      <c r="C39" s="62"/>
      <c r="D39" s="62"/>
      <c r="E39" s="62"/>
      <c r="F39" s="62"/>
      <c r="G39" s="62"/>
      <c r="H39" s="62"/>
      <c r="I39" s="62"/>
      <c r="J39" s="445" t="s">
        <v>144</v>
      </c>
      <c r="K39" s="445"/>
      <c r="L39" s="445"/>
      <c r="M39" s="445"/>
      <c r="N39" s="445"/>
      <c r="O39" s="445"/>
      <c r="P39" s="445"/>
      <c r="Q39" s="445"/>
      <c r="R39" s="445"/>
      <c r="S39" s="445"/>
      <c r="T39" s="445"/>
      <c r="U39" s="445"/>
      <c r="V39" s="445"/>
    </row>
    <row r="40" spans="1:22" x14ac:dyDescent="0.25">
      <c r="A40" s="64" t="s">
        <v>89</v>
      </c>
      <c r="B40" s="445"/>
      <c r="C40" s="445"/>
      <c r="D40" s="445"/>
      <c r="E40" s="445"/>
      <c r="F40" s="445"/>
      <c r="G40" s="445"/>
      <c r="H40" s="445"/>
      <c r="I40" s="445"/>
      <c r="J40" s="445"/>
      <c r="K40" s="445"/>
      <c r="L40" s="445"/>
      <c r="M40" s="445"/>
      <c r="N40" s="445"/>
      <c r="O40" s="445"/>
      <c r="P40" s="445"/>
      <c r="Q40" s="445"/>
      <c r="R40" s="445"/>
      <c r="S40" s="445"/>
      <c r="T40" s="445"/>
      <c r="U40" s="445"/>
      <c r="V40" s="445"/>
    </row>
  </sheetData>
  <mergeCells count="28">
    <mergeCell ref="B37:C37"/>
    <mergeCell ref="J39:V40"/>
    <mergeCell ref="B40:I40"/>
    <mergeCell ref="K11:K12"/>
    <mergeCell ref="L11:L12"/>
    <mergeCell ref="M11:V12"/>
    <mergeCell ref="A13:A35"/>
    <mergeCell ref="M13:V25"/>
    <mergeCell ref="M26:V35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V40"/>
  <sheetViews>
    <sheetView topLeftCell="B1" zoomScaleNormal="100" workbookViewId="0">
      <selection activeCell="K38" sqref="K38"/>
    </sheetView>
  </sheetViews>
  <sheetFormatPr baseColWidth="10" defaultRowHeight="15" x14ac:dyDescent="0.25"/>
  <cols>
    <col min="1" max="1" width="91.7109375" customWidth="1"/>
    <col min="2" max="2" width="27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53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221</v>
      </c>
      <c r="L9" s="445"/>
      <c r="M9" s="473" t="str">
        <f>+PRESUPUESTO!B31</f>
        <v xml:space="preserve">SUMINISTRO Y APLICACIÓN  DE ANTICORROSIVOO Y PINTURA ESMALTE  PARA  REJAS DE VENTANAS  METALICAS .NCLUYE LIMPIEZA , LIJADO  RASPADO, RESANES 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133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140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/>
      <c r="B13" s="65"/>
      <c r="C13" s="54"/>
      <c r="D13" s="54"/>
      <c r="E13" s="54"/>
      <c r="F13" s="55"/>
      <c r="G13" s="54"/>
      <c r="H13" s="54"/>
      <c r="I13" s="54"/>
      <c r="J13" s="55"/>
      <c r="K13" s="56"/>
      <c r="L13" s="57" t="s">
        <v>98</v>
      </c>
      <c r="M13" s="453"/>
      <c r="N13" s="454"/>
      <c r="O13" s="454"/>
      <c r="P13" s="454"/>
      <c r="Q13" s="454"/>
      <c r="R13" s="454"/>
      <c r="S13" s="454"/>
      <c r="T13" s="454"/>
      <c r="U13" s="454"/>
      <c r="V13" s="455"/>
    </row>
    <row r="14" spans="1:22" x14ac:dyDescent="0.25">
      <c r="A14" s="449"/>
      <c r="B14" s="65" t="s">
        <v>222</v>
      </c>
      <c r="C14" s="54">
        <v>1.95</v>
      </c>
      <c r="D14" s="54">
        <v>1.08</v>
      </c>
      <c r="E14" s="54"/>
      <c r="F14" s="55"/>
      <c r="G14" s="54"/>
      <c r="H14" s="54"/>
      <c r="I14" s="54"/>
      <c r="J14" s="55"/>
      <c r="K14" s="56">
        <f>+C14*D14</f>
        <v>2.1059999999999999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 t="s">
        <v>223</v>
      </c>
      <c r="C15" s="54">
        <v>1.95</v>
      </c>
      <c r="D15" s="54">
        <v>1.08</v>
      </c>
      <c r="E15" s="54"/>
      <c r="F15" s="55"/>
      <c r="G15" s="54"/>
      <c r="H15" s="54"/>
      <c r="I15" s="54"/>
      <c r="J15" s="55"/>
      <c r="K15" s="56">
        <f t="shared" ref="K15:K20" si="0">+C15*D15</f>
        <v>2.1059999999999999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 t="s">
        <v>227</v>
      </c>
      <c r="C16" s="54">
        <v>2</v>
      </c>
      <c r="D16" s="54">
        <v>1.08</v>
      </c>
      <c r="E16" s="54"/>
      <c r="F16" s="55"/>
      <c r="G16" s="54"/>
      <c r="H16" s="54"/>
      <c r="I16" s="54"/>
      <c r="J16" s="55"/>
      <c r="K16" s="56">
        <f t="shared" si="0"/>
        <v>2.16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 t="s">
        <v>224</v>
      </c>
      <c r="C17" s="54">
        <v>1.83</v>
      </c>
      <c r="D17" s="54">
        <v>1.08</v>
      </c>
      <c r="E17" s="54"/>
      <c r="F17" s="55"/>
      <c r="G17" s="54"/>
      <c r="H17" s="54"/>
      <c r="I17" s="54"/>
      <c r="J17" s="55"/>
      <c r="K17" s="56">
        <f t="shared" si="0"/>
        <v>1.9764000000000002</v>
      </c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 t="s">
        <v>153</v>
      </c>
      <c r="C18" s="54">
        <v>1.1599999999999999</v>
      </c>
      <c r="D18" s="54">
        <v>0.5</v>
      </c>
      <c r="E18" s="54"/>
      <c r="F18" s="55"/>
      <c r="G18" s="54"/>
      <c r="H18" s="54"/>
      <c r="I18" s="54"/>
      <c r="J18" s="55"/>
      <c r="K18" s="56">
        <f t="shared" si="0"/>
        <v>0.57999999999999996</v>
      </c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53" t="s">
        <v>155</v>
      </c>
      <c r="C19" s="54">
        <v>1.1599999999999999</v>
      </c>
      <c r="D19" s="54">
        <v>0.5</v>
      </c>
      <c r="E19" s="54"/>
      <c r="F19" s="55"/>
      <c r="G19" s="54"/>
      <c r="H19" s="54"/>
      <c r="I19" s="54"/>
      <c r="J19" s="55"/>
      <c r="K19" s="56">
        <f t="shared" si="0"/>
        <v>0.57999999999999996</v>
      </c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x14ac:dyDescent="0.25">
      <c r="A20" s="449"/>
      <c r="B20" s="65" t="s">
        <v>226</v>
      </c>
      <c r="C20" s="54">
        <v>1.69</v>
      </c>
      <c r="D20" s="54">
        <v>1.08</v>
      </c>
      <c r="E20" s="54"/>
      <c r="F20" s="55"/>
      <c r="G20" s="54"/>
      <c r="H20" s="54"/>
      <c r="I20" s="54"/>
      <c r="J20" s="55"/>
      <c r="K20" s="56">
        <f t="shared" si="0"/>
        <v>1.8252000000000002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/>
      <c r="C21" s="54"/>
      <c r="D21" s="54"/>
      <c r="E21" s="54"/>
      <c r="F21" s="55"/>
      <c r="G21" s="54"/>
      <c r="H21" s="54"/>
      <c r="I21" s="54"/>
      <c r="J21" s="55"/>
      <c r="K21" s="56"/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/>
      <c r="C22" s="54"/>
      <c r="D22" s="54"/>
      <c r="E22" s="54"/>
      <c r="F22" s="55"/>
      <c r="G22" s="54"/>
      <c r="H22" s="54"/>
      <c r="I22" s="54"/>
      <c r="J22" s="55"/>
      <c r="K22" s="56"/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/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3"/>
      <c r="N24" s="454"/>
      <c r="O24" s="454"/>
      <c r="P24" s="454"/>
      <c r="Q24" s="454"/>
      <c r="R24" s="454"/>
      <c r="S24" s="454"/>
      <c r="T24" s="454"/>
      <c r="U24" s="454"/>
      <c r="V24" s="455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6"/>
      <c r="N25" s="457"/>
      <c r="O25" s="457"/>
      <c r="P25" s="457"/>
      <c r="Q25" s="457"/>
      <c r="R25" s="457"/>
      <c r="S25" s="457"/>
      <c r="T25" s="457"/>
      <c r="U25" s="457"/>
      <c r="V25" s="458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59" t="s">
        <v>142</v>
      </c>
      <c r="N26" s="460"/>
      <c r="O26" s="460"/>
      <c r="P26" s="460"/>
      <c r="Q26" s="460"/>
      <c r="R26" s="460"/>
      <c r="S26" s="460"/>
      <c r="T26" s="460"/>
      <c r="U26" s="460"/>
      <c r="V26" s="461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62"/>
      <c r="N27" s="463"/>
      <c r="O27" s="463"/>
      <c r="P27" s="463"/>
      <c r="Q27" s="463"/>
      <c r="R27" s="463"/>
      <c r="S27" s="463"/>
      <c r="T27" s="463"/>
      <c r="U27" s="463"/>
      <c r="V27" s="464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65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2"/>
      <c r="N34" s="463"/>
      <c r="O34" s="463"/>
      <c r="P34" s="463"/>
      <c r="Q34" s="463"/>
      <c r="R34" s="463"/>
      <c r="S34" s="463"/>
      <c r="T34" s="463"/>
      <c r="U34" s="463"/>
      <c r="V34" s="464"/>
    </row>
    <row r="35" spans="1:22" x14ac:dyDescent="0.25">
      <c r="A35" s="449"/>
      <c r="B35" s="53"/>
      <c r="C35" s="54"/>
      <c r="D35" s="54"/>
      <c r="E35" s="54"/>
      <c r="F35" s="55"/>
      <c r="G35" s="54"/>
      <c r="H35" s="54"/>
      <c r="I35" s="54"/>
      <c r="J35" s="55"/>
      <c r="K35" s="56"/>
      <c r="L35" s="57"/>
      <c r="M35" s="465"/>
      <c r="N35" s="466"/>
      <c r="O35" s="466"/>
      <c r="P35" s="466"/>
      <c r="Q35" s="466"/>
      <c r="R35" s="466"/>
      <c r="S35" s="466"/>
      <c r="T35" s="466"/>
      <c r="U35" s="466"/>
      <c r="V35" s="467"/>
    </row>
    <row r="36" spans="1:22" x14ac:dyDescent="0.25">
      <c r="A36" s="44"/>
      <c r="B36" s="47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18" x14ac:dyDescent="0.35">
      <c r="A37" s="58" t="s">
        <v>105</v>
      </c>
      <c r="B37" s="444"/>
      <c r="C37" s="444"/>
      <c r="D37" s="44"/>
      <c r="E37" s="44"/>
      <c r="G37" s="44"/>
      <c r="H37" s="44"/>
      <c r="I37" s="44"/>
      <c r="J37" s="59">
        <f>SUM(J13:J36)</f>
        <v>0</v>
      </c>
      <c r="K37" s="60">
        <f>SUM(K13:K36)</f>
        <v>11.333600000000001</v>
      </c>
      <c r="L37" s="61" t="s">
        <v>98</v>
      </c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x14ac:dyDescent="0.25">
      <c r="A38" s="44"/>
      <c r="B38" s="47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</row>
    <row r="39" spans="1:22" x14ac:dyDescent="0.25">
      <c r="A39" s="62" t="s">
        <v>143</v>
      </c>
      <c r="B39" s="63"/>
      <c r="C39" s="62"/>
      <c r="D39" s="62"/>
      <c r="E39" s="62"/>
      <c r="F39" s="62"/>
      <c r="G39" s="62"/>
      <c r="H39" s="62"/>
      <c r="I39" s="62"/>
      <c r="J39" s="445" t="s">
        <v>144</v>
      </c>
      <c r="K39" s="445"/>
      <c r="L39" s="445"/>
      <c r="M39" s="445"/>
      <c r="N39" s="445"/>
      <c r="O39" s="445"/>
      <c r="P39" s="445"/>
      <c r="Q39" s="445"/>
      <c r="R39" s="445"/>
      <c r="S39" s="445"/>
      <c r="T39" s="445"/>
      <c r="U39" s="445"/>
      <c r="V39" s="445"/>
    </row>
    <row r="40" spans="1:22" x14ac:dyDescent="0.25">
      <c r="A40" s="64" t="s">
        <v>89</v>
      </c>
      <c r="B40" s="445"/>
      <c r="C40" s="445"/>
      <c r="D40" s="445"/>
      <c r="E40" s="445"/>
      <c r="F40" s="445"/>
      <c r="G40" s="445"/>
      <c r="H40" s="445"/>
      <c r="I40" s="445"/>
      <c r="J40" s="445"/>
      <c r="K40" s="445"/>
      <c r="L40" s="445"/>
      <c r="M40" s="445"/>
      <c r="N40" s="445"/>
      <c r="O40" s="445"/>
      <c r="P40" s="445"/>
      <c r="Q40" s="445"/>
      <c r="R40" s="445"/>
      <c r="S40" s="445"/>
      <c r="T40" s="445"/>
      <c r="U40" s="445"/>
      <c r="V40" s="445"/>
    </row>
  </sheetData>
  <mergeCells count="28">
    <mergeCell ref="B37:C37"/>
    <mergeCell ref="J39:V40"/>
    <mergeCell ref="B40:I40"/>
    <mergeCell ref="K11:K12"/>
    <mergeCell ref="L11:L12"/>
    <mergeCell ref="M11:V12"/>
    <mergeCell ref="A13:A35"/>
    <mergeCell ref="M13:V25"/>
    <mergeCell ref="M26:V35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V40"/>
  <sheetViews>
    <sheetView topLeftCell="A4" zoomScaleNormal="100" workbookViewId="0">
      <selection activeCell="K16" sqref="K16"/>
    </sheetView>
  </sheetViews>
  <sheetFormatPr baseColWidth="10" defaultRowHeight="15" x14ac:dyDescent="0.25"/>
  <cols>
    <col min="1" max="1" width="91.7109375" customWidth="1"/>
    <col min="2" max="2" width="27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53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229</v>
      </c>
      <c r="L9" s="445"/>
      <c r="M9" s="473" t="str">
        <f>+PRESUPUESTO!B32</f>
        <v xml:space="preserve">DESMONTE  DE TEJAS EXITENTES EN CUBIERTA INCLUYE RETIRO Y DISPOSICION FINAL 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133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140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/>
      <c r="B13" s="65"/>
      <c r="C13" s="54"/>
      <c r="D13" s="54"/>
      <c r="E13" s="54"/>
      <c r="F13" s="55"/>
      <c r="G13" s="54"/>
      <c r="H13" s="54"/>
      <c r="I13" s="54"/>
      <c r="J13" s="55"/>
      <c r="K13" s="56"/>
      <c r="L13" s="57" t="s">
        <v>98</v>
      </c>
      <c r="M13" s="453"/>
      <c r="N13" s="454"/>
      <c r="O13" s="454"/>
      <c r="P13" s="454"/>
      <c r="Q13" s="454"/>
      <c r="R13" s="454"/>
      <c r="S13" s="454"/>
      <c r="T13" s="454"/>
      <c r="U13" s="454"/>
      <c r="V13" s="455"/>
    </row>
    <row r="14" spans="1:22" x14ac:dyDescent="0.25">
      <c r="A14" s="449"/>
      <c r="B14" s="65" t="s">
        <v>118</v>
      </c>
      <c r="C14" s="54">
        <v>13.4</v>
      </c>
      <c r="D14" s="54"/>
      <c r="E14" s="54">
        <v>12.4</v>
      </c>
      <c r="F14" s="55"/>
      <c r="G14" s="54"/>
      <c r="H14" s="54"/>
      <c r="I14" s="54"/>
      <c r="J14" s="55"/>
      <c r="K14" s="56">
        <f>+C14*E14</f>
        <v>166.16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/>
      <c r="C15" s="54"/>
      <c r="D15" s="54"/>
      <c r="E15" s="54"/>
      <c r="F15" s="55"/>
      <c r="G15" s="54"/>
      <c r="H15" s="54"/>
      <c r="I15" s="54"/>
      <c r="J15" s="55"/>
      <c r="K15" s="56">
        <f t="shared" ref="K15:K20" si="0">+C15*D15</f>
        <v>0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/>
      <c r="C16" s="54"/>
      <c r="D16" s="54"/>
      <c r="E16" s="54"/>
      <c r="F16" s="55"/>
      <c r="G16" s="54"/>
      <c r="H16" s="54"/>
      <c r="I16" s="54"/>
      <c r="J16" s="55"/>
      <c r="K16" s="56">
        <f t="shared" si="0"/>
        <v>0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/>
      <c r="C17" s="54"/>
      <c r="D17" s="54"/>
      <c r="E17" s="54"/>
      <c r="F17" s="55"/>
      <c r="G17" s="54"/>
      <c r="H17" s="54"/>
      <c r="I17" s="54"/>
      <c r="J17" s="55"/>
      <c r="K17" s="56">
        <f t="shared" si="0"/>
        <v>0</v>
      </c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/>
      <c r="C18" s="54"/>
      <c r="D18" s="54"/>
      <c r="E18" s="54"/>
      <c r="F18" s="55"/>
      <c r="G18" s="54"/>
      <c r="H18" s="54"/>
      <c r="I18" s="54"/>
      <c r="J18" s="55"/>
      <c r="K18" s="56">
        <f t="shared" si="0"/>
        <v>0</v>
      </c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53"/>
      <c r="C19" s="54"/>
      <c r="D19" s="54"/>
      <c r="E19" s="54"/>
      <c r="F19" s="55"/>
      <c r="G19" s="54"/>
      <c r="H19" s="54"/>
      <c r="I19" s="54"/>
      <c r="J19" s="55"/>
      <c r="K19" s="56">
        <f t="shared" si="0"/>
        <v>0</v>
      </c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x14ac:dyDescent="0.25">
      <c r="A20" s="449"/>
      <c r="B20" s="65"/>
      <c r="C20" s="54"/>
      <c r="D20" s="54"/>
      <c r="E20" s="54"/>
      <c r="F20" s="55"/>
      <c r="G20" s="54"/>
      <c r="H20" s="54"/>
      <c r="I20" s="54"/>
      <c r="J20" s="55"/>
      <c r="K20" s="56">
        <f t="shared" si="0"/>
        <v>0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/>
      <c r="C21" s="54"/>
      <c r="D21" s="54"/>
      <c r="E21" s="54"/>
      <c r="F21" s="55"/>
      <c r="G21" s="54"/>
      <c r="H21" s="54"/>
      <c r="I21" s="54"/>
      <c r="J21" s="55"/>
      <c r="K21" s="56"/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/>
      <c r="C22" s="54"/>
      <c r="D22" s="54"/>
      <c r="E22" s="54"/>
      <c r="F22" s="55"/>
      <c r="G22" s="54"/>
      <c r="H22" s="54"/>
      <c r="I22" s="54"/>
      <c r="J22" s="55"/>
      <c r="K22" s="56"/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/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3"/>
      <c r="N24" s="454"/>
      <c r="O24" s="454"/>
      <c r="P24" s="454"/>
      <c r="Q24" s="454"/>
      <c r="R24" s="454"/>
      <c r="S24" s="454"/>
      <c r="T24" s="454"/>
      <c r="U24" s="454"/>
      <c r="V24" s="455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6"/>
      <c r="N25" s="457"/>
      <c r="O25" s="457"/>
      <c r="P25" s="457"/>
      <c r="Q25" s="457"/>
      <c r="R25" s="457"/>
      <c r="S25" s="457"/>
      <c r="T25" s="457"/>
      <c r="U25" s="457"/>
      <c r="V25" s="458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59" t="s">
        <v>142</v>
      </c>
      <c r="N26" s="460"/>
      <c r="O26" s="460"/>
      <c r="P26" s="460"/>
      <c r="Q26" s="460"/>
      <c r="R26" s="460"/>
      <c r="S26" s="460"/>
      <c r="T26" s="460"/>
      <c r="U26" s="460"/>
      <c r="V26" s="461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62"/>
      <c r="N27" s="463"/>
      <c r="O27" s="463"/>
      <c r="P27" s="463"/>
      <c r="Q27" s="463"/>
      <c r="R27" s="463"/>
      <c r="S27" s="463"/>
      <c r="T27" s="463"/>
      <c r="U27" s="463"/>
      <c r="V27" s="464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65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2"/>
      <c r="N34" s="463"/>
      <c r="O34" s="463"/>
      <c r="P34" s="463"/>
      <c r="Q34" s="463"/>
      <c r="R34" s="463"/>
      <c r="S34" s="463"/>
      <c r="T34" s="463"/>
      <c r="U34" s="463"/>
      <c r="V34" s="464"/>
    </row>
    <row r="35" spans="1:22" x14ac:dyDescent="0.25">
      <c r="A35" s="449"/>
      <c r="B35" s="53"/>
      <c r="C35" s="54"/>
      <c r="D35" s="54"/>
      <c r="E35" s="54"/>
      <c r="F35" s="55"/>
      <c r="G35" s="54"/>
      <c r="H35" s="54"/>
      <c r="I35" s="54"/>
      <c r="J35" s="55"/>
      <c r="K35" s="56"/>
      <c r="L35" s="57"/>
      <c r="M35" s="465"/>
      <c r="N35" s="466"/>
      <c r="O35" s="466"/>
      <c r="P35" s="466"/>
      <c r="Q35" s="466"/>
      <c r="R35" s="466"/>
      <c r="S35" s="466"/>
      <c r="T35" s="466"/>
      <c r="U35" s="466"/>
      <c r="V35" s="467"/>
    </row>
    <row r="36" spans="1:22" x14ac:dyDescent="0.25">
      <c r="A36" s="44"/>
      <c r="B36" s="47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18" x14ac:dyDescent="0.35">
      <c r="A37" s="58" t="s">
        <v>105</v>
      </c>
      <c r="B37" s="444"/>
      <c r="C37" s="444"/>
      <c r="D37" s="44"/>
      <c r="E37" s="44"/>
      <c r="G37" s="44"/>
      <c r="H37" s="44"/>
      <c r="I37" s="44"/>
      <c r="J37" s="59">
        <f>SUM(J13:J36)</f>
        <v>0</v>
      </c>
      <c r="K37" s="60">
        <f>SUM(K13:K36)</f>
        <v>166.16</v>
      </c>
      <c r="L37" s="61" t="s">
        <v>98</v>
      </c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x14ac:dyDescent="0.25">
      <c r="A38" s="44"/>
      <c r="B38" s="47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</row>
    <row r="39" spans="1:22" x14ac:dyDescent="0.25">
      <c r="A39" s="62" t="s">
        <v>143</v>
      </c>
      <c r="B39" s="63"/>
      <c r="C39" s="62"/>
      <c r="D39" s="62"/>
      <c r="E39" s="62"/>
      <c r="F39" s="62"/>
      <c r="G39" s="62"/>
      <c r="H39" s="62"/>
      <c r="I39" s="62"/>
      <c r="J39" s="445" t="s">
        <v>144</v>
      </c>
      <c r="K39" s="445"/>
      <c r="L39" s="445"/>
      <c r="M39" s="445"/>
      <c r="N39" s="445"/>
      <c r="O39" s="445"/>
      <c r="P39" s="445"/>
      <c r="Q39" s="445"/>
      <c r="R39" s="445"/>
      <c r="S39" s="445"/>
      <c r="T39" s="445"/>
      <c r="U39" s="445"/>
      <c r="V39" s="445"/>
    </row>
    <row r="40" spans="1:22" x14ac:dyDescent="0.25">
      <c r="A40" s="64" t="s">
        <v>89</v>
      </c>
      <c r="B40" s="445"/>
      <c r="C40" s="445"/>
      <c r="D40" s="445"/>
      <c r="E40" s="445"/>
      <c r="F40" s="445"/>
      <c r="G40" s="445"/>
      <c r="H40" s="445"/>
      <c r="I40" s="445"/>
      <c r="J40" s="445"/>
      <c r="K40" s="445"/>
      <c r="L40" s="445"/>
      <c r="M40" s="445"/>
      <c r="N40" s="445"/>
      <c r="O40" s="445"/>
      <c r="P40" s="445"/>
      <c r="Q40" s="445"/>
      <c r="R40" s="445"/>
      <c r="S40" s="445"/>
      <c r="T40" s="445"/>
      <c r="U40" s="445"/>
      <c r="V40" s="445"/>
    </row>
  </sheetData>
  <mergeCells count="28">
    <mergeCell ref="B37:C37"/>
    <mergeCell ref="J39:V40"/>
    <mergeCell ref="B40:I40"/>
    <mergeCell ref="K11:K12"/>
    <mergeCell ref="L11:L12"/>
    <mergeCell ref="M11:V12"/>
    <mergeCell ref="A13:A35"/>
    <mergeCell ref="M13:V25"/>
    <mergeCell ref="M26:V35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V40"/>
  <sheetViews>
    <sheetView topLeftCell="A5" zoomScaleNormal="100" workbookViewId="0">
      <selection activeCell="C25" sqref="C25"/>
    </sheetView>
  </sheetViews>
  <sheetFormatPr baseColWidth="10" defaultRowHeight="15" x14ac:dyDescent="0.25"/>
  <cols>
    <col min="1" max="1" width="91.7109375" customWidth="1"/>
    <col min="2" max="2" width="27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53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230</v>
      </c>
      <c r="L9" s="445"/>
      <c r="M9" s="473" t="str">
        <f>+PRESUPUESTO!B33</f>
        <v>MANTENIMIENTO DE ESTRUCTURA DE CUBIERTA, INCLUYE  LIMPIEZA, APLICACIÓN ANTICORROSIVO Y PIINTURA  ESMALTE, REPARACION  Y AJUSTE QUE SE REQUIERA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133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140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/>
      <c r="B13" s="65"/>
      <c r="C13" s="54"/>
      <c r="D13" s="54"/>
      <c r="E13" s="54"/>
      <c r="F13" s="55"/>
      <c r="G13" s="54"/>
      <c r="H13" s="54"/>
      <c r="I13" s="54"/>
      <c r="J13" s="55"/>
      <c r="K13" s="56"/>
      <c r="L13" s="57" t="s">
        <v>98</v>
      </c>
      <c r="M13" s="453"/>
      <c r="N13" s="454"/>
      <c r="O13" s="454"/>
      <c r="P13" s="454"/>
      <c r="Q13" s="454"/>
      <c r="R13" s="454"/>
      <c r="S13" s="454"/>
      <c r="T13" s="454"/>
      <c r="U13" s="454"/>
      <c r="V13" s="455"/>
    </row>
    <row r="14" spans="1:22" x14ac:dyDescent="0.25">
      <c r="A14" s="449"/>
      <c r="B14" s="65" t="s">
        <v>118</v>
      </c>
      <c r="C14" s="54">
        <v>13.4</v>
      </c>
      <c r="D14" s="54"/>
      <c r="E14" s="54">
        <v>8.24</v>
      </c>
      <c r="F14" s="55"/>
      <c r="G14" s="54"/>
      <c r="H14" s="54"/>
      <c r="I14" s="54"/>
      <c r="J14" s="55"/>
      <c r="K14" s="56">
        <f>+C14*E14</f>
        <v>110.41600000000001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/>
      <c r="C15" s="54"/>
      <c r="D15" s="54"/>
      <c r="E15" s="54"/>
      <c r="F15" s="55"/>
      <c r="G15" s="54"/>
      <c r="H15" s="54"/>
      <c r="I15" s="54"/>
      <c r="J15" s="55"/>
      <c r="K15" s="56">
        <f t="shared" ref="K15:K20" si="0">+C15*D15</f>
        <v>0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/>
      <c r="C16" s="54"/>
      <c r="D16" s="54"/>
      <c r="E16" s="54"/>
      <c r="F16" s="55"/>
      <c r="G16" s="54"/>
      <c r="H16" s="54"/>
      <c r="I16" s="54"/>
      <c r="J16" s="55"/>
      <c r="K16" s="56">
        <f t="shared" si="0"/>
        <v>0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/>
      <c r="C17" s="54"/>
      <c r="D17" s="54"/>
      <c r="E17" s="54"/>
      <c r="F17" s="55"/>
      <c r="G17" s="54"/>
      <c r="H17" s="54"/>
      <c r="I17" s="54"/>
      <c r="J17" s="55"/>
      <c r="K17" s="56">
        <f t="shared" si="0"/>
        <v>0</v>
      </c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/>
      <c r="C18" s="54"/>
      <c r="D18" s="54"/>
      <c r="E18" s="54"/>
      <c r="F18" s="55"/>
      <c r="G18" s="54"/>
      <c r="H18" s="54"/>
      <c r="I18" s="54"/>
      <c r="J18" s="55"/>
      <c r="K18" s="56">
        <f t="shared" si="0"/>
        <v>0</v>
      </c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53"/>
      <c r="C19" s="54"/>
      <c r="D19" s="54"/>
      <c r="E19" s="54"/>
      <c r="F19" s="55"/>
      <c r="G19" s="54"/>
      <c r="H19" s="54"/>
      <c r="I19" s="54"/>
      <c r="J19" s="55"/>
      <c r="K19" s="56">
        <f t="shared" si="0"/>
        <v>0</v>
      </c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x14ac:dyDescent="0.25">
      <c r="A20" s="449"/>
      <c r="B20" s="65"/>
      <c r="C20" s="54"/>
      <c r="D20" s="54"/>
      <c r="E20" s="54"/>
      <c r="F20" s="55"/>
      <c r="G20" s="54"/>
      <c r="H20" s="54"/>
      <c r="I20" s="54"/>
      <c r="J20" s="55"/>
      <c r="K20" s="56">
        <f t="shared" si="0"/>
        <v>0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/>
      <c r="C21" s="54"/>
      <c r="D21" s="54"/>
      <c r="E21" s="54"/>
      <c r="F21" s="55"/>
      <c r="G21" s="54"/>
      <c r="H21" s="54"/>
      <c r="I21" s="54"/>
      <c r="J21" s="55"/>
      <c r="K21" s="56"/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/>
      <c r="C22" s="54"/>
      <c r="D22" s="54"/>
      <c r="E22" s="54"/>
      <c r="F22" s="55"/>
      <c r="G22" s="54"/>
      <c r="H22" s="54"/>
      <c r="I22" s="54"/>
      <c r="J22" s="55"/>
      <c r="K22" s="56"/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/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3"/>
      <c r="N24" s="454"/>
      <c r="O24" s="454"/>
      <c r="P24" s="454"/>
      <c r="Q24" s="454"/>
      <c r="R24" s="454"/>
      <c r="S24" s="454"/>
      <c r="T24" s="454"/>
      <c r="U24" s="454"/>
      <c r="V24" s="455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6"/>
      <c r="N25" s="457"/>
      <c r="O25" s="457"/>
      <c r="P25" s="457"/>
      <c r="Q25" s="457"/>
      <c r="R25" s="457"/>
      <c r="S25" s="457"/>
      <c r="T25" s="457"/>
      <c r="U25" s="457"/>
      <c r="V25" s="458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59" t="s">
        <v>142</v>
      </c>
      <c r="N26" s="460"/>
      <c r="O26" s="460"/>
      <c r="P26" s="460"/>
      <c r="Q26" s="460"/>
      <c r="R26" s="460"/>
      <c r="S26" s="460"/>
      <c r="T26" s="460"/>
      <c r="U26" s="460"/>
      <c r="V26" s="461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62"/>
      <c r="N27" s="463"/>
      <c r="O27" s="463"/>
      <c r="P27" s="463"/>
      <c r="Q27" s="463"/>
      <c r="R27" s="463"/>
      <c r="S27" s="463"/>
      <c r="T27" s="463"/>
      <c r="U27" s="463"/>
      <c r="V27" s="464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65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2"/>
      <c r="N34" s="463"/>
      <c r="O34" s="463"/>
      <c r="P34" s="463"/>
      <c r="Q34" s="463"/>
      <c r="R34" s="463"/>
      <c r="S34" s="463"/>
      <c r="T34" s="463"/>
      <c r="U34" s="463"/>
      <c r="V34" s="464"/>
    </row>
    <row r="35" spans="1:22" x14ac:dyDescent="0.25">
      <c r="A35" s="449"/>
      <c r="B35" s="53"/>
      <c r="C35" s="54"/>
      <c r="D35" s="54"/>
      <c r="E35" s="54"/>
      <c r="F35" s="55"/>
      <c r="G35" s="54"/>
      <c r="H35" s="54"/>
      <c r="I35" s="54"/>
      <c r="J35" s="55"/>
      <c r="K35" s="56"/>
      <c r="L35" s="57"/>
      <c r="M35" s="465"/>
      <c r="N35" s="466"/>
      <c r="O35" s="466"/>
      <c r="P35" s="466"/>
      <c r="Q35" s="466"/>
      <c r="R35" s="466"/>
      <c r="S35" s="466"/>
      <c r="T35" s="466"/>
      <c r="U35" s="466"/>
      <c r="V35" s="467"/>
    </row>
    <row r="36" spans="1:22" x14ac:dyDescent="0.25">
      <c r="A36" s="44"/>
      <c r="B36" s="47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18" x14ac:dyDescent="0.35">
      <c r="A37" s="58" t="s">
        <v>105</v>
      </c>
      <c r="B37" s="444"/>
      <c r="C37" s="444"/>
      <c r="D37" s="44"/>
      <c r="E37" s="44"/>
      <c r="G37" s="44"/>
      <c r="H37" s="44"/>
      <c r="I37" s="44"/>
      <c r="J37" s="59">
        <f>SUM(J13:J36)</f>
        <v>0</v>
      </c>
      <c r="K37" s="60">
        <f>SUM(K13:K36)</f>
        <v>110.41600000000001</v>
      </c>
      <c r="L37" s="61" t="s">
        <v>98</v>
      </c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x14ac:dyDescent="0.25">
      <c r="A38" s="44"/>
      <c r="B38" s="47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</row>
    <row r="39" spans="1:22" x14ac:dyDescent="0.25">
      <c r="A39" s="62" t="s">
        <v>143</v>
      </c>
      <c r="B39" s="63"/>
      <c r="C39" s="62"/>
      <c r="D39" s="62"/>
      <c r="E39" s="62"/>
      <c r="F39" s="62"/>
      <c r="G39" s="62"/>
      <c r="H39" s="62"/>
      <c r="I39" s="62"/>
      <c r="J39" s="445" t="s">
        <v>144</v>
      </c>
      <c r="K39" s="445"/>
      <c r="L39" s="445"/>
      <c r="M39" s="445"/>
      <c r="N39" s="445"/>
      <c r="O39" s="445"/>
      <c r="P39" s="445"/>
      <c r="Q39" s="445"/>
      <c r="R39" s="445"/>
      <c r="S39" s="445"/>
      <c r="T39" s="445"/>
      <c r="U39" s="445"/>
      <c r="V39" s="445"/>
    </row>
    <row r="40" spans="1:22" x14ac:dyDescent="0.25">
      <c r="A40" s="64" t="s">
        <v>89</v>
      </c>
      <c r="B40" s="445"/>
      <c r="C40" s="445"/>
      <c r="D40" s="445"/>
      <c r="E40" s="445"/>
      <c r="F40" s="445"/>
      <c r="G40" s="445"/>
      <c r="H40" s="445"/>
      <c r="I40" s="445"/>
      <c r="J40" s="445"/>
      <c r="K40" s="445"/>
      <c r="L40" s="445"/>
      <c r="M40" s="445"/>
      <c r="N40" s="445"/>
      <c r="O40" s="445"/>
      <c r="P40" s="445"/>
      <c r="Q40" s="445"/>
      <c r="R40" s="445"/>
      <c r="S40" s="445"/>
      <c r="T40" s="445"/>
      <c r="U40" s="445"/>
      <c r="V40" s="445"/>
    </row>
  </sheetData>
  <mergeCells count="28">
    <mergeCell ref="B37:C37"/>
    <mergeCell ref="J39:V40"/>
    <mergeCell ref="B40:I40"/>
    <mergeCell ref="K11:K12"/>
    <mergeCell ref="L11:L12"/>
    <mergeCell ref="M11:V12"/>
    <mergeCell ref="A13:A35"/>
    <mergeCell ref="M13:V25"/>
    <mergeCell ref="M26:V35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V40"/>
  <sheetViews>
    <sheetView zoomScaleNormal="100" workbookViewId="0">
      <selection activeCell="M10" sqref="M10"/>
    </sheetView>
  </sheetViews>
  <sheetFormatPr baseColWidth="10" defaultRowHeight="15" x14ac:dyDescent="0.25"/>
  <cols>
    <col min="1" max="1" width="91.7109375" customWidth="1"/>
    <col min="2" max="2" width="27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53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232</v>
      </c>
      <c r="L9" s="445"/>
      <c r="M9" s="473" t="str">
        <f>+PRESUPUESTO!B34</f>
        <v>SUINISTRO E  INSTALACCION DE TEJA  DE FIBRO CEMENTO No 8 CON TODOS SUS ACCESORIOS DEE SUJECION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133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140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/>
      <c r="B13" s="65"/>
      <c r="C13" s="54"/>
      <c r="D13" s="54"/>
      <c r="E13" s="54"/>
      <c r="F13" s="55"/>
      <c r="G13" s="54"/>
      <c r="H13" s="54"/>
      <c r="I13" s="54"/>
      <c r="J13" s="55"/>
      <c r="K13" s="56"/>
      <c r="L13" s="57" t="s">
        <v>98</v>
      </c>
      <c r="M13" s="453"/>
      <c r="N13" s="454"/>
      <c r="O13" s="454"/>
      <c r="P13" s="454"/>
      <c r="Q13" s="454"/>
      <c r="R13" s="454"/>
      <c r="S13" s="454"/>
      <c r="T13" s="454"/>
      <c r="U13" s="454"/>
      <c r="V13" s="455"/>
    </row>
    <row r="14" spans="1:22" x14ac:dyDescent="0.25">
      <c r="A14" s="449"/>
      <c r="B14" s="65" t="s">
        <v>118</v>
      </c>
      <c r="C14" s="54">
        <v>13.4</v>
      </c>
      <c r="D14" s="54"/>
      <c r="E14" s="54">
        <v>8.24</v>
      </c>
      <c r="F14" s="55"/>
      <c r="G14" s="54"/>
      <c r="H14" s="54"/>
      <c r="I14" s="54"/>
      <c r="J14" s="55"/>
      <c r="K14" s="56">
        <f>+C14*E14</f>
        <v>110.41600000000001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/>
      <c r="C15" s="54"/>
      <c r="D15" s="54"/>
      <c r="E15" s="54"/>
      <c r="F15" s="55"/>
      <c r="G15" s="54"/>
      <c r="H15" s="54"/>
      <c r="I15" s="54"/>
      <c r="J15" s="55"/>
      <c r="K15" s="56">
        <f t="shared" ref="K15:K20" si="0">+C15*D15</f>
        <v>0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/>
      <c r="C16" s="54"/>
      <c r="D16" s="54"/>
      <c r="E16" s="54"/>
      <c r="F16" s="55"/>
      <c r="G16" s="54"/>
      <c r="H16" s="54"/>
      <c r="I16" s="54"/>
      <c r="J16" s="55"/>
      <c r="K16" s="56">
        <f t="shared" si="0"/>
        <v>0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/>
      <c r="C17" s="54"/>
      <c r="D17" s="54"/>
      <c r="E17" s="54"/>
      <c r="F17" s="55"/>
      <c r="G17" s="54"/>
      <c r="H17" s="54"/>
      <c r="I17" s="54"/>
      <c r="J17" s="55"/>
      <c r="K17" s="56">
        <f t="shared" si="0"/>
        <v>0</v>
      </c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/>
      <c r="C18" s="54"/>
      <c r="D18" s="54"/>
      <c r="E18" s="54"/>
      <c r="F18" s="55"/>
      <c r="G18" s="54"/>
      <c r="H18" s="54"/>
      <c r="I18" s="54"/>
      <c r="J18" s="55"/>
      <c r="K18" s="56">
        <f t="shared" si="0"/>
        <v>0</v>
      </c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53"/>
      <c r="C19" s="54"/>
      <c r="D19" s="54"/>
      <c r="E19" s="54"/>
      <c r="F19" s="55"/>
      <c r="G19" s="54"/>
      <c r="H19" s="54"/>
      <c r="I19" s="54"/>
      <c r="J19" s="55"/>
      <c r="K19" s="56">
        <f t="shared" si="0"/>
        <v>0</v>
      </c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x14ac:dyDescent="0.25">
      <c r="A20" s="449"/>
      <c r="B20" s="65"/>
      <c r="C20" s="54"/>
      <c r="D20" s="54"/>
      <c r="E20" s="54"/>
      <c r="F20" s="55"/>
      <c r="G20" s="54"/>
      <c r="H20" s="54"/>
      <c r="I20" s="54"/>
      <c r="J20" s="55"/>
      <c r="K20" s="56">
        <f t="shared" si="0"/>
        <v>0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/>
      <c r="C21" s="54"/>
      <c r="D21" s="54"/>
      <c r="E21" s="54"/>
      <c r="F21" s="55"/>
      <c r="G21" s="54"/>
      <c r="H21" s="54"/>
      <c r="I21" s="54"/>
      <c r="J21" s="55"/>
      <c r="K21" s="56"/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/>
      <c r="C22" s="54"/>
      <c r="D22" s="54"/>
      <c r="E22" s="54"/>
      <c r="F22" s="55"/>
      <c r="G22" s="54"/>
      <c r="H22" s="54"/>
      <c r="I22" s="54"/>
      <c r="J22" s="55"/>
      <c r="K22" s="56"/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/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3"/>
      <c r="N24" s="454"/>
      <c r="O24" s="454"/>
      <c r="P24" s="454"/>
      <c r="Q24" s="454"/>
      <c r="R24" s="454"/>
      <c r="S24" s="454"/>
      <c r="T24" s="454"/>
      <c r="U24" s="454"/>
      <c r="V24" s="455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6"/>
      <c r="N25" s="457"/>
      <c r="O25" s="457"/>
      <c r="P25" s="457"/>
      <c r="Q25" s="457"/>
      <c r="R25" s="457"/>
      <c r="S25" s="457"/>
      <c r="T25" s="457"/>
      <c r="U25" s="457"/>
      <c r="V25" s="458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59" t="s">
        <v>142</v>
      </c>
      <c r="N26" s="460"/>
      <c r="O26" s="460"/>
      <c r="P26" s="460"/>
      <c r="Q26" s="460"/>
      <c r="R26" s="460"/>
      <c r="S26" s="460"/>
      <c r="T26" s="460"/>
      <c r="U26" s="460"/>
      <c r="V26" s="461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62"/>
      <c r="N27" s="463"/>
      <c r="O27" s="463"/>
      <c r="P27" s="463"/>
      <c r="Q27" s="463"/>
      <c r="R27" s="463"/>
      <c r="S27" s="463"/>
      <c r="T27" s="463"/>
      <c r="U27" s="463"/>
      <c r="V27" s="464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65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2"/>
      <c r="N34" s="463"/>
      <c r="O34" s="463"/>
      <c r="P34" s="463"/>
      <c r="Q34" s="463"/>
      <c r="R34" s="463"/>
      <c r="S34" s="463"/>
      <c r="T34" s="463"/>
      <c r="U34" s="463"/>
      <c r="V34" s="464"/>
    </row>
    <row r="35" spans="1:22" x14ac:dyDescent="0.25">
      <c r="A35" s="449"/>
      <c r="B35" s="53"/>
      <c r="C35" s="54"/>
      <c r="D35" s="54"/>
      <c r="E35" s="54"/>
      <c r="F35" s="55"/>
      <c r="G35" s="54"/>
      <c r="H35" s="54"/>
      <c r="I35" s="54"/>
      <c r="J35" s="55"/>
      <c r="K35" s="56"/>
      <c r="L35" s="57"/>
      <c r="M35" s="465"/>
      <c r="N35" s="466"/>
      <c r="O35" s="466"/>
      <c r="P35" s="466"/>
      <c r="Q35" s="466"/>
      <c r="R35" s="466"/>
      <c r="S35" s="466"/>
      <c r="T35" s="466"/>
      <c r="U35" s="466"/>
      <c r="V35" s="467"/>
    </row>
    <row r="36" spans="1:22" x14ac:dyDescent="0.25">
      <c r="A36" s="44"/>
      <c r="B36" s="47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18" x14ac:dyDescent="0.35">
      <c r="A37" s="58" t="s">
        <v>105</v>
      </c>
      <c r="B37" s="444"/>
      <c r="C37" s="444"/>
      <c r="D37" s="44"/>
      <c r="E37" s="44"/>
      <c r="G37" s="44"/>
      <c r="H37" s="44"/>
      <c r="I37" s="44"/>
      <c r="J37" s="59">
        <f>SUM(J13:J36)</f>
        <v>0</v>
      </c>
      <c r="K37" s="60">
        <f>SUM(K13:K36)</f>
        <v>110.41600000000001</v>
      </c>
      <c r="L37" s="61" t="s">
        <v>98</v>
      </c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x14ac:dyDescent="0.25">
      <c r="A38" s="44"/>
      <c r="B38" s="47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</row>
    <row r="39" spans="1:22" x14ac:dyDescent="0.25">
      <c r="A39" s="62" t="s">
        <v>143</v>
      </c>
      <c r="B39" s="63"/>
      <c r="C39" s="62"/>
      <c r="D39" s="62"/>
      <c r="E39" s="62"/>
      <c r="F39" s="62"/>
      <c r="G39" s="62"/>
      <c r="H39" s="62"/>
      <c r="I39" s="62"/>
      <c r="J39" s="445" t="s">
        <v>144</v>
      </c>
      <c r="K39" s="445"/>
      <c r="L39" s="445"/>
      <c r="M39" s="445"/>
      <c r="N39" s="445"/>
      <c r="O39" s="445"/>
      <c r="P39" s="445"/>
      <c r="Q39" s="445"/>
      <c r="R39" s="445"/>
      <c r="S39" s="445"/>
      <c r="T39" s="445"/>
      <c r="U39" s="445"/>
      <c r="V39" s="445"/>
    </row>
    <row r="40" spans="1:22" x14ac:dyDescent="0.25">
      <c r="A40" s="64" t="s">
        <v>89</v>
      </c>
      <c r="B40" s="445"/>
      <c r="C40" s="445"/>
      <c r="D40" s="445"/>
      <c r="E40" s="445"/>
      <c r="F40" s="445"/>
      <c r="G40" s="445"/>
      <c r="H40" s="445"/>
      <c r="I40" s="445"/>
      <c r="J40" s="445"/>
      <c r="K40" s="445"/>
      <c r="L40" s="445"/>
      <c r="M40" s="445"/>
      <c r="N40" s="445"/>
      <c r="O40" s="445"/>
      <c r="P40" s="445"/>
      <c r="Q40" s="445"/>
      <c r="R40" s="445"/>
      <c r="S40" s="445"/>
      <c r="T40" s="445"/>
      <c r="U40" s="445"/>
      <c r="V40" s="445"/>
    </row>
  </sheetData>
  <mergeCells count="28">
    <mergeCell ref="B37:C37"/>
    <mergeCell ref="J39:V40"/>
    <mergeCell ref="B40:I40"/>
    <mergeCell ref="K11:K12"/>
    <mergeCell ref="L11:L12"/>
    <mergeCell ref="M11:V12"/>
    <mergeCell ref="A13:A35"/>
    <mergeCell ref="M13:V25"/>
    <mergeCell ref="M26:V35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V40"/>
  <sheetViews>
    <sheetView topLeftCell="A7" zoomScaleNormal="100" workbookViewId="0">
      <selection activeCell="L38" sqref="L38"/>
    </sheetView>
  </sheetViews>
  <sheetFormatPr baseColWidth="10" defaultRowHeight="15" x14ac:dyDescent="0.25"/>
  <cols>
    <col min="1" max="1" width="91.7109375" customWidth="1"/>
    <col min="2" max="2" width="27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53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234</v>
      </c>
      <c r="L9" s="445"/>
      <c r="M9" s="473" t="str">
        <f>+PRESUPUESTO!B35</f>
        <v>DESMONTE DE  LAVAMANOS Y SANITARIOS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133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140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/>
      <c r="B13" s="65"/>
      <c r="C13" s="54"/>
      <c r="D13" s="54"/>
      <c r="E13" s="54"/>
      <c r="F13" s="55"/>
      <c r="G13" s="54"/>
      <c r="H13" s="54"/>
      <c r="I13" s="54"/>
      <c r="J13" s="55"/>
      <c r="K13" s="56"/>
      <c r="L13" s="57" t="s">
        <v>136</v>
      </c>
      <c r="M13" s="453"/>
      <c r="N13" s="454"/>
      <c r="O13" s="454"/>
      <c r="P13" s="454"/>
      <c r="Q13" s="454"/>
      <c r="R13" s="454"/>
      <c r="S13" s="454"/>
      <c r="T13" s="454"/>
      <c r="U13" s="454"/>
      <c r="V13" s="455"/>
    </row>
    <row r="14" spans="1:22" x14ac:dyDescent="0.25">
      <c r="A14" s="449"/>
      <c r="B14" s="65" t="s">
        <v>153</v>
      </c>
      <c r="C14" s="54"/>
      <c r="D14" s="54"/>
      <c r="E14" s="54"/>
      <c r="F14" s="55"/>
      <c r="G14" s="54"/>
      <c r="H14" s="54"/>
      <c r="I14" s="54"/>
      <c r="J14" s="55"/>
      <c r="K14" s="56"/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 t="s">
        <v>236</v>
      </c>
      <c r="C15" s="54"/>
      <c r="D15" s="54"/>
      <c r="E15" s="54"/>
      <c r="F15" s="55">
        <v>1</v>
      </c>
      <c r="G15" s="54"/>
      <c r="H15" s="54"/>
      <c r="I15" s="54"/>
      <c r="J15" s="55"/>
      <c r="K15" s="56">
        <f>+F15</f>
        <v>1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 t="s">
        <v>235</v>
      </c>
      <c r="C16" s="54"/>
      <c r="D16" s="54"/>
      <c r="E16" s="54"/>
      <c r="F16" s="55">
        <v>1</v>
      </c>
      <c r="G16" s="54"/>
      <c r="H16" s="54"/>
      <c r="I16" s="54"/>
      <c r="J16" s="55"/>
      <c r="K16" s="56">
        <f t="shared" ref="K16:K23" si="0">+F16</f>
        <v>1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 t="s">
        <v>154</v>
      </c>
      <c r="C17" s="54"/>
      <c r="D17" s="54"/>
      <c r="E17" s="54"/>
      <c r="F17" s="55"/>
      <c r="G17" s="54"/>
      <c r="H17" s="54"/>
      <c r="I17" s="54"/>
      <c r="J17" s="55"/>
      <c r="K17" s="56">
        <f t="shared" si="0"/>
        <v>0</v>
      </c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 t="s">
        <v>236</v>
      </c>
      <c r="C18" s="54"/>
      <c r="D18" s="54"/>
      <c r="E18" s="54"/>
      <c r="F18" s="55">
        <v>1</v>
      </c>
      <c r="G18" s="54"/>
      <c r="H18" s="54"/>
      <c r="I18" s="54"/>
      <c r="J18" s="55"/>
      <c r="K18" s="56">
        <f t="shared" si="0"/>
        <v>1</v>
      </c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65" t="s">
        <v>235</v>
      </c>
      <c r="C19" s="54"/>
      <c r="D19" s="54"/>
      <c r="E19" s="54"/>
      <c r="F19" s="55">
        <v>1</v>
      </c>
      <c r="G19" s="54"/>
      <c r="H19" s="54"/>
      <c r="I19" s="54"/>
      <c r="J19" s="55"/>
      <c r="K19" s="56">
        <f t="shared" si="0"/>
        <v>1</v>
      </c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x14ac:dyDescent="0.25">
      <c r="A20" s="449"/>
      <c r="B20" s="65" t="s">
        <v>237</v>
      </c>
      <c r="C20" s="54"/>
      <c r="D20" s="54"/>
      <c r="E20" s="54"/>
      <c r="F20" s="55"/>
      <c r="G20" s="54"/>
      <c r="H20" s="54"/>
      <c r="I20" s="54"/>
      <c r="J20" s="55"/>
      <c r="K20" s="56">
        <f t="shared" si="0"/>
        <v>0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 t="s">
        <v>236</v>
      </c>
      <c r="C21" s="54"/>
      <c r="D21" s="54"/>
      <c r="E21" s="54"/>
      <c r="F21" s="55">
        <v>1</v>
      </c>
      <c r="G21" s="54"/>
      <c r="H21" s="54"/>
      <c r="I21" s="54"/>
      <c r="J21" s="55"/>
      <c r="K21" s="56">
        <f t="shared" si="0"/>
        <v>1</v>
      </c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 t="s">
        <v>235</v>
      </c>
      <c r="C22" s="54"/>
      <c r="D22" s="54"/>
      <c r="E22" s="54"/>
      <c r="F22" s="55">
        <v>1</v>
      </c>
      <c r="G22" s="54"/>
      <c r="H22" s="54"/>
      <c r="I22" s="54"/>
      <c r="J22" s="55"/>
      <c r="K22" s="56">
        <f t="shared" si="0"/>
        <v>1</v>
      </c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 t="s">
        <v>238</v>
      </c>
      <c r="C23" s="54"/>
      <c r="D23" s="54"/>
      <c r="E23" s="54"/>
      <c r="F23" s="55">
        <v>1</v>
      </c>
      <c r="G23" s="54"/>
      <c r="H23" s="54"/>
      <c r="I23" s="54"/>
      <c r="J23" s="55"/>
      <c r="K23" s="56">
        <f t="shared" si="0"/>
        <v>1</v>
      </c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3"/>
      <c r="N24" s="454"/>
      <c r="O24" s="454"/>
      <c r="P24" s="454"/>
      <c r="Q24" s="454"/>
      <c r="R24" s="454"/>
      <c r="S24" s="454"/>
      <c r="T24" s="454"/>
      <c r="U24" s="454"/>
      <c r="V24" s="455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6"/>
      <c r="N25" s="457"/>
      <c r="O25" s="457"/>
      <c r="P25" s="457"/>
      <c r="Q25" s="457"/>
      <c r="R25" s="457"/>
      <c r="S25" s="457"/>
      <c r="T25" s="457"/>
      <c r="U25" s="457"/>
      <c r="V25" s="458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59" t="s">
        <v>142</v>
      </c>
      <c r="N26" s="460"/>
      <c r="O26" s="460"/>
      <c r="P26" s="460"/>
      <c r="Q26" s="460"/>
      <c r="R26" s="460"/>
      <c r="S26" s="460"/>
      <c r="T26" s="460"/>
      <c r="U26" s="460"/>
      <c r="V26" s="461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62"/>
      <c r="N27" s="463"/>
      <c r="O27" s="463"/>
      <c r="P27" s="463"/>
      <c r="Q27" s="463"/>
      <c r="R27" s="463"/>
      <c r="S27" s="463"/>
      <c r="T27" s="463"/>
      <c r="U27" s="463"/>
      <c r="V27" s="464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65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2"/>
      <c r="N34" s="463"/>
      <c r="O34" s="463"/>
      <c r="P34" s="463"/>
      <c r="Q34" s="463"/>
      <c r="R34" s="463"/>
      <c r="S34" s="463"/>
      <c r="T34" s="463"/>
      <c r="U34" s="463"/>
      <c r="V34" s="464"/>
    </row>
    <row r="35" spans="1:22" x14ac:dyDescent="0.25">
      <c r="A35" s="449"/>
      <c r="B35" s="53"/>
      <c r="C35" s="54"/>
      <c r="D35" s="54"/>
      <c r="E35" s="54"/>
      <c r="F35" s="55"/>
      <c r="G35" s="54"/>
      <c r="H35" s="54"/>
      <c r="I35" s="54"/>
      <c r="J35" s="55"/>
      <c r="K35" s="56"/>
      <c r="L35" s="57"/>
      <c r="M35" s="465"/>
      <c r="N35" s="466"/>
      <c r="O35" s="466"/>
      <c r="P35" s="466"/>
      <c r="Q35" s="466"/>
      <c r="R35" s="466"/>
      <c r="S35" s="466"/>
      <c r="T35" s="466"/>
      <c r="U35" s="466"/>
      <c r="V35" s="467"/>
    </row>
    <row r="36" spans="1:22" x14ac:dyDescent="0.25">
      <c r="A36" s="44"/>
      <c r="B36" s="47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18" x14ac:dyDescent="0.35">
      <c r="A37" s="58" t="s">
        <v>105</v>
      </c>
      <c r="B37" s="444"/>
      <c r="C37" s="444"/>
      <c r="D37" s="44"/>
      <c r="E37" s="44"/>
      <c r="G37" s="44"/>
      <c r="H37" s="44"/>
      <c r="I37" s="44"/>
      <c r="J37" s="59">
        <f>SUM(J13:J36)</f>
        <v>0</v>
      </c>
      <c r="K37" s="60">
        <f>SUM(K13:K36)</f>
        <v>7</v>
      </c>
      <c r="L37" s="61" t="s">
        <v>239</v>
      </c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x14ac:dyDescent="0.25">
      <c r="A38" s="44"/>
      <c r="B38" s="47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</row>
    <row r="39" spans="1:22" x14ac:dyDescent="0.25">
      <c r="A39" s="62" t="s">
        <v>143</v>
      </c>
      <c r="B39" s="63"/>
      <c r="C39" s="62"/>
      <c r="D39" s="62"/>
      <c r="E39" s="62"/>
      <c r="F39" s="62"/>
      <c r="G39" s="62"/>
      <c r="H39" s="62"/>
      <c r="I39" s="62"/>
      <c r="J39" s="445" t="s">
        <v>144</v>
      </c>
      <c r="K39" s="445"/>
      <c r="L39" s="445"/>
      <c r="M39" s="445"/>
      <c r="N39" s="445"/>
      <c r="O39" s="445"/>
      <c r="P39" s="445"/>
      <c r="Q39" s="445"/>
      <c r="R39" s="445"/>
      <c r="S39" s="445"/>
      <c r="T39" s="445"/>
      <c r="U39" s="445"/>
      <c r="V39" s="445"/>
    </row>
    <row r="40" spans="1:22" x14ac:dyDescent="0.25">
      <c r="A40" s="64" t="s">
        <v>89</v>
      </c>
      <c r="B40" s="445"/>
      <c r="C40" s="445"/>
      <c r="D40" s="445"/>
      <c r="E40" s="445"/>
      <c r="F40" s="445"/>
      <c r="G40" s="445"/>
      <c r="H40" s="445"/>
      <c r="I40" s="445"/>
      <c r="J40" s="445"/>
      <c r="K40" s="445"/>
      <c r="L40" s="445"/>
      <c r="M40" s="445"/>
      <c r="N40" s="445"/>
      <c r="O40" s="445"/>
      <c r="P40" s="445"/>
      <c r="Q40" s="445"/>
      <c r="R40" s="445"/>
      <c r="S40" s="445"/>
      <c r="T40" s="445"/>
      <c r="U40" s="445"/>
      <c r="V40" s="445"/>
    </row>
  </sheetData>
  <mergeCells count="28">
    <mergeCell ref="B37:C37"/>
    <mergeCell ref="J39:V40"/>
    <mergeCell ref="B40:I40"/>
    <mergeCell ref="K11:K12"/>
    <mergeCell ref="L11:L12"/>
    <mergeCell ref="M11:V12"/>
    <mergeCell ref="A13:A35"/>
    <mergeCell ref="M13:V25"/>
    <mergeCell ref="M26:V35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V38"/>
  <sheetViews>
    <sheetView topLeftCell="A11" zoomScaleNormal="100" workbookViewId="0">
      <selection activeCell="I18" sqref="I18"/>
    </sheetView>
  </sheetViews>
  <sheetFormatPr baseColWidth="10" defaultRowHeight="15" x14ac:dyDescent="0.25"/>
  <cols>
    <col min="1" max="1" width="91.7109375" customWidth="1"/>
    <col min="2" max="2" width="27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53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240</v>
      </c>
      <c r="L9" s="445"/>
      <c r="M9" s="473" t="str">
        <f>+PRESUPUESTO!B36</f>
        <v>SUMINISTRO E INSTALACION DE SANITARIOS  REFERENCIA SANITARIO SMART ALONGADO SINGLE BLANCO INCLUYE TODOS SU ACCESORIOS CON VALVULA AHORRADORA Y TODOS SUS ACCESORIOS PARA SU CORRECTO FUNCIONAMIENTO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133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140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/>
      <c r="B13" s="65"/>
      <c r="C13" s="54"/>
      <c r="D13" s="54"/>
      <c r="E13" s="54"/>
      <c r="F13" s="55"/>
      <c r="G13" s="54"/>
      <c r="H13" s="54"/>
      <c r="I13" s="54"/>
      <c r="J13" s="55"/>
      <c r="K13" s="56"/>
      <c r="L13" s="57" t="s">
        <v>136</v>
      </c>
      <c r="M13" s="453"/>
      <c r="N13" s="454"/>
      <c r="O13" s="454"/>
      <c r="P13" s="454"/>
      <c r="Q13" s="454"/>
      <c r="R13" s="454"/>
      <c r="S13" s="454"/>
      <c r="T13" s="454"/>
      <c r="U13" s="454"/>
      <c r="V13" s="455"/>
    </row>
    <row r="14" spans="1:22" x14ac:dyDescent="0.25">
      <c r="A14" s="449"/>
      <c r="B14" s="65" t="s">
        <v>153</v>
      </c>
      <c r="C14" s="54"/>
      <c r="D14" s="54"/>
      <c r="E14" s="54"/>
      <c r="F14" s="55"/>
      <c r="G14" s="54"/>
      <c r="H14" s="54"/>
      <c r="I14" s="54"/>
      <c r="J14" s="55"/>
      <c r="K14" s="56"/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 t="s">
        <v>235</v>
      </c>
      <c r="C15" s="54"/>
      <c r="D15" s="54"/>
      <c r="E15" s="54"/>
      <c r="F15" s="55">
        <v>1</v>
      </c>
      <c r="G15" s="54"/>
      <c r="H15" s="54"/>
      <c r="I15" s="54"/>
      <c r="J15" s="55"/>
      <c r="K15" s="56">
        <f t="shared" ref="K15:K21" si="0">+F15</f>
        <v>1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 t="s">
        <v>154</v>
      </c>
      <c r="C16" s="54"/>
      <c r="D16" s="54"/>
      <c r="E16" s="54"/>
      <c r="F16" s="55"/>
      <c r="G16" s="54"/>
      <c r="H16" s="54"/>
      <c r="I16" s="54"/>
      <c r="J16" s="55"/>
      <c r="K16" s="56">
        <f t="shared" si="0"/>
        <v>0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 t="s">
        <v>235</v>
      </c>
      <c r="C17" s="54"/>
      <c r="D17" s="54"/>
      <c r="E17" s="54"/>
      <c r="F17" s="55">
        <v>1</v>
      </c>
      <c r="G17" s="54"/>
      <c r="H17" s="54"/>
      <c r="I17" s="54"/>
      <c r="J17" s="55"/>
      <c r="K17" s="56">
        <f t="shared" si="0"/>
        <v>1</v>
      </c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/>
      <c r="C18" s="54"/>
      <c r="D18" s="54"/>
      <c r="E18" s="54"/>
      <c r="F18" s="55"/>
      <c r="G18" s="54"/>
      <c r="H18" s="54"/>
      <c r="I18" s="54"/>
      <c r="J18" s="55"/>
      <c r="K18" s="56">
        <f t="shared" si="0"/>
        <v>0</v>
      </c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65"/>
      <c r="C19" s="54"/>
      <c r="D19" s="54"/>
      <c r="E19" s="54"/>
      <c r="F19" s="55"/>
      <c r="G19" s="54"/>
      <c r="H19" s="54"/>
      <c r="I19" s="54"/>
      <c r="J19" s="55"/>
      <c r="K19" s="56">
        <f t="shared" si="0"/>
        <v>0</v>
      </c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x14ac:dyDescent="0.25">
      <c r="A20" s="449"/>
      <c r="B20" s="65"/>
      <c r="C20" s="54"/>
      <c r="D20" s="54"/>
      <c r="E20" s="54"/>
      <c r="F20" s="55"/>
      <c r="G20" s="54"/>
      <c r="H20" s="54"/>
      <c r="I20" s="54"/>
      <c r="J20" s="55"/>
      <c r="K20" s="56">
        <f t="shared" si="0"/>
        <v>0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/>
      <c r="C21" s="54"/>
      <c r="D21" s="54"/>
      <c r="E21" s="54"/>
      <c r="F21" s="55"/>
      <c r="G21" s="54"/>
      <c r="H21" s="54"/>
      <c r="I21" s="54"/>
      <c r="J21" s="55"/>
      <c r="K21" s="56">
        <f t="shared" si="0"/>
        <v>0</v>
      </c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/>
      <c r="C22" s="54"/>
      <c r="D22" s="54"/>
      <c r="E22" s="54"/>
      <c r="F22" s="55"/>
      <c r="G22" s="54"/>
      <c r="H22" s="54"/>
      <c r="I22" s="54"/>
      <c r="J22" s="55"/>
      <c r="K22" s="56"/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/>
      <c r="L23" s="57"/>
      <c r="M23" s="456"/>
      <c r="N23" s="457"/>
      <c r="O23" s="457"/>
      <c r="P23" s="457"/>
      <c r="Q23" s="457"/>
      <c r="R23" s="457"/>
      <c r="S23" s="457"/>
      <c r="T23" s="457"/>
      <c r="U23" s="457"/>
      <c r="V23" s="458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9" t="s">
        <v>142</v>
      </c>
      <c r="N24" s="460"/>
      <c r="O24" s="460"/>
      <c r="P24" s="460"/>
      <c r="Q24" s="460"/>
      <c r="R24" s="460"/>
      <c r="S24" s="460"/>
      <c r="T24" s="460"/>
      <c r="U24" s="460"/>
      <c r="V24" s="461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62"/>
      <c r="N25" s="463"/>
      <c r="O25" s="463"/>
      <c r="P25" s="463"/>
      <c r="Q25" s="463"/>
      <c r="R25" s="463"/>
      <c r="S25" s="463"/>
      <c r="T25" s="463"/>
      <c r="U25" s="463"/>
      <c r="V25" s="464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62"/>
      <c r="N26" s="463"/>
      <c r="O26" s="463"/>
      <c r="P26" s="463"/>
      <c r="Q26" s="463"/>
      <c r="R26" s="463"/>
      <c r="S26" s="463"/>
      <c r="T26" s="463"/>
      <c r="U26" s="463"/>
      <c r="V26" s="464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62"/>
      <c r="N27" s="463"/>
      <c r="O27" s="463"/>
      <c r="P27" s="463"/>
      <c r="Q27" s="463"/>
      <c r="R27" s="463"/>
      <c r="S27" s="463"/>
      <c r="T27" s="463"/>
      <c r="U27" s="463"/>
      <c r="V27" s="464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53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5"/>
      <c r="N33" s="466"/>
      <c r="O33" s="466"/>
      <c r="P33" s="466"/>
      <c r="Q33" s="466"/>
      <c r="R33" s="466"/>
      <c r="S33" s="466"/>
      <c r="T33" s="466"/>
      <c r="U33" s="466"/>
      <c r="V33" s="467"/>
    </row>
    <row r="34" spans="1:22" x14ac:dyDescent="0.25">
      <c r="A34" s="44"/>
      <c r="B34" s="47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</row>
    <row r="35" spans="1:22" ht="18" x14ac:dyDescent="0.35">
      <c r="A35" s="58" t="s">
        <v>105</v>
      </c>
      <c r="B35" s="444"/>
      <c r="C35" s="444"/>
      <c r="D35" s="44"/>
      <c r="E35" s="44"/>
      <c r="G35" s="44"/>
      <c r="H35" s="44"/>
      <c r="I35" s="44"/>
      <c r="J35" s="59">
        <f>SUM(J13:J34)</f>
        <v>0</v>
      </c>
      <c r="K35" s="60">
        <f>SUM(K13:K34)</f>
        <v>2</v>
      </c>
      <c r="L35" s="61" t="s">
        <v>239</v>
      </c>
      <c r="M35" s="44"/>
      <c r="N35" s="44"/>
      <c r="O35" s="44"/>
      <c r="P35" s="44"/>
      <c r="Q35" s="44"/>
      <c r="R35" s="44"/>
      <c r="S35" s="44"/>
      <c r="T35" s="44"/>
      <c r="U35" s="44"/>
      <c r="V35" s="44"/>
    </row>
    <row r="36" spans="1:22" x14ac:dyDescent="0.25">
      <c r="A36" s="44"/>
      <c r="B36" s="47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x14ac:dyDescent="0.25">
      <c r="A37" s="62" t="s">
        <v>143</v>
      </c>
      <c r="B37" s="63"/>
      <c r="C37" s="62"/>
      <c r="D37" s="62"/>
      <c r="E37" s="62"/>
      <c r="F37" s="62"/>
      <c r="G37" s="62"/>
      <c r="H37" s="62"/>
      <c r="I37" s="62"/>
      <c r="J37" s="445" t="s">
        <v>144</v>
      </c>
      <c r="K37" s="445"/>
      <c r="L37" s="445"/>
      <c r="M37" s="445"/>
      <c r="N37" s="445"/>
      <c r="O37" s="445"/>
      <c r="P37" s="445"/>
      <c r="Q37" s="445"/>
      <c r="R37" s="445"/>
      <c r="S37" s="445"/>
      <c r="T37" s="445"/>
      <c r="U37" s="445"/>
      <c r="V37" s="445"/>
    </row>
    <row r="38" spans="1:22" x14ac:dyDescent="0.25">
      <c r="A38" s="64" t="s">
        <v>89</v>
      </c>
      <c r="B38" s="445"/>
      <c r="C38" s="445"/>
      <c r="D38" s="445"/>
      <c r="E38" s="445"/>
      <c r="F38" s="445"/>
      <c r="G38" s="445"/>
      <c r="H38" s="445"/>
      <c r="I38" s="445"/>
      <c r="J38" s="445"/>
      <c r="K38" s="445"/>
      <c r="L38" s="445"/>
      <c r="M38" s="445"/>
      <c r="N38" s="445"/>
      <c r="O38" s="445"/>
      <c r="P38" s="445"/>
      <c r="Q38" s="445"/>
      <c r="R38" s="445"/>
      <c r="S38" s="445"/>
      <c r="T38" s="445"/>
      <c r="U38" s="445"/>
      <c r="V38" s="445"/>
    </row>
  </sheetData>
  <mergeCells count="28">
    <mergeCell ref="B35:C35"/>
    <mergeCell ref="J37:V38"/>
    <mergeCell ref="B38:I38"/>
    <mergeCell ref="K11:K12"/>
    <mergeCell ref="L11:L12"/>
    <mergeCell ref="M11:V12"/>
    <mergeCell ref="A13:A33"/>
    <mergeCell ref="M13:V23"/>
    <mergeCell ref="M24:V33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V39"/>
  <sheetViews>
    <sheetView topLeftCell="A14" zoomScaleNormal="100" workbookViewId="0">
      <selection activeCell="C25" sqref="C25"/>
    </sheetView>
  </sheetViews>
  <sheetFormatPr baseColWidth="10" defaultRowHeight="15" x14ac:dyDescent="0.25"/>
  <cols>
    <col min="1" max="1" width="91.7109375" customWidth="1"/>
    <col min="2" max="2" width="27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53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241</v>
      </c>
      <c r="L9" s="445"/>
      <c r="M9" s="473" t="str">
        <f>+PRESUPUESTO!B37</f>
        <v>SUMINISTRO E INSTALACION DE LAVAMANOS CON  MUEBLE ALUVIA ELEVADO 60X45 CM MILAN CON LAVAMANOS CORONA
 CON SISTEMA AHORRADOR DE AGUA INSTITUCIONAL.INCLUYE TODOS SUS ACCESORIOS PARA SU CORRECTO FUNCIONAMIENTO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133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140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/>
      <c r="B13" s="65"/>
      <c r="C13" s="54"/>
      <c r="D13" s="54"/>
      <c r="E13" s="54"/>
      <c r="F13" s="55"/>
      <c r="G13" s="54"/>
      <c r="H13" s="54"/>
      <c r="I13" s="54"/>
      <c r="J13" s="55"/>
      <c r="K13" s="56"/>
      <c r="L13" s="57" t="s">
        <v>136</v>
      </c>
      <c r="M13" s="453"/>
      <c r="N13" s="454"/>
      <c r="O13" s="454"/>
      <c r="P13" s="454"/>
      <c r="Q13" s="454"/>
      <c r="R13" s="454"/>
      <c r="S13" s="454"/>
      <c r="T13" s="454"/>
      <c r="U13" s="454"/>
      <c r="V13" s="455"/>
    </row>
    <row r="14" spans="1:22" x14ac:dyDescent="0.25">
      <c r="A14" s="449"/>
      <c r="B14" s="65" t="s">
        <v>153</v>
      </c>
      <c r="C14" s="54"/>
      <c r="D14" s="54"/>
      <c r="E14" s="54"/>
      <c r="F14" s="55"/>
      <c r="G14" s="54"/>
      <c r="H14" s="54"/>
      <c r="I14" s="54"/>
      <c r="J14" s="55"/>
      <c r="K14" s="56"/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 t="s">
        <v>236</v>
      </c>
      <c r="C15" s="54"/>
      <c r="D15" s="54"/>
      <c r="E15" s="54"/>
      <c r="F15" s="55">
        <v>1</v>
      </c>
      <c r="G15" s="54"/>
      <c r="H15" s="54"/>
      <c r="I15" s="54"/>
      <c r="J15" s="55"/>
      <c r="K15" s="56">
        <f>+F15</f>
        <v>1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 t="s">
        <v>154</v>
      </c>
      <c r="C16" s="54"/>
      <c r="D16" s="54"/>
      <c r="E16" s="54"/>
      <c r="F16" s="55"/>
      <c r="G16" s="54"/>
      <c r="H16" s="54"/>
      <c r="I16" s="54"/>
      <c r="J16" s="55"/>
      <c r="K16" s="56">
        <f t="shared" ref="K16:K22" si="0">+F16</f>
        <v>0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 t="s">
        <v>236</v>
      </c>
      <c r="C17" s="54"/>
      <c r="D17" s="54"/>
      <c r="E17" s="54"/>
      <c r="F17" s="55">
        <v>1</v>
      </c>
      <c r="G17" s="54"/>
      <c r="H17" s="54"/>
      <c r="I17" s="54"/>
      <c r="J17" s="55"/>
      <c r="K17" s="56">
        <f t="shared" si="0"/>
        <v>1</v>
      </c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/>
      <c r="C18" s="54"/>
      <c r="D18" s="54"/>
      <c r="E18" s="54"/>
      <c r="F18" s="55"/>
      <c r="G18" s="54"/>
      <c r="H18" s="54"/>
      <c r="I18" s="54"/>
      <c r="J18" s="55"/>
      <c r="K18" s="56">
        <f t="shared" si="0"/>
        <v>0</v>
      </c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65"/>
      <c r="C19" s="54"/>
      <c r="D19" s="54"/>
      <c r="E19" s="54"/>
      <c r="F19" s="55"/>
      <c r="G19" s="54"/>
      <c r="H19" s="54"/>
      <c r="I19" s="54"/>
      <c r="J19" s="55"/>
      <c r="K19" s="56">
        <f t="shared" si="0"/>
        <v>0</v>
      </c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x14ac:dyDescent="0.25">
      <c r="A20" s="449"/>
      <c r="B20" s="65"/>
      <c r="C20" s="54"/>
      <c r="D20" s="54"/>
      <c r="E20" s="54"/>
      <c r="F20" s="55"/>
      <c r="G20" s="54"/>
      <c r="H20" s="54"/>
      <c r="I20" s="54"/>
      <c r="J20" s="55"/>
      <c r="K20" s="56">
        <f t="shared" si="0"/>
        <v>0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/>
      <c r="C21" s="54"/>
      <c r="D21" s="54"/>
      <c r="E21" s="54"/>
      <c r="F21" s="55"/>
      <c r="G21" s="54"/>
      <c r="H21" s="54"/>
      <c r="I21" s="54"/>
      <c r="J21" s="55"/>
      <c r="K21" s="56">
        <f t="shared" si="0"/>
        <v>0</v>
      </c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/>
      <c r="C22" s="54"/>
      <c r="D22" s="54"/>
      <c r="E22" s="54"/>
      <c r="F22" s="55"/>
      <c r="G22" s="54"/>
      <c r="H22" s="54"/>
      <c r="I22" s="54"/>
      <c r="J22" s="55"/>
      <c r="K22" s="56">
        <f t="shared" si="0"/>
        <v>0</v>
      </c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/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6"/>
      <c r="N24" s="457"/>
      <c r="O24" s="457"/>
      <c r="P24" s="457"/>
      <c r="Q24" s="457"/>
      <c r="R24" s="457"/>
      <c r="S24" s="457"/>
      <c r="T24" s="457"/>
      <c r="U24" s="457"/>
      <c r="V24" s="458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9" t="s">
        <v>142</v>
      </c>
      <c r="N25" s="460"/>
      <c r="O25" s="460"/>
      <c r="P25" s="460"/>
      <c r="Q25" s="460"/>
      <c r="R25" s="460"/>
      <c r="S25" s="460"/>
      <c r="T25" s="460"/>
      <c r="U25" s="460"/>
      <c r="V25" s="461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62"/>
      <c r="N26" s="463"/>
      <c r="O26" s="463"/>
      <c r="P26" s="463"/>
      <c r="Q26" s="463"/>
      <c r="R26" s="463"/>
      <c r="S26" s="463"/>
      <c r="T26" s="463"/>
      <c r="U26" s="463"/>
      <c r="V26" s="464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62"/>
      <c r="N27" s="463"/>
      <c r="O27" s="463"/>
      <c r="P27" s="463"/>
      <c r="Q27" s="463"/>
      <c r="R27" s="463"/>
      <c r="S27" s="463"/>
      <c r="T27" s="463"/>
      <c r="U27" s="463"/>
      <c r="V27" s="464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53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5"/>
      <c r="N34" s="466"/>
      <c r="O34" s="466"/>
      <c r="P34" s="466"/>
      <c r="Q34" s="466"/>
      <c r="R34" s="466"/>
      <c r="S34" s="466"/>
      <c r="T34" s="466"/>
      <c r="U34" s="466"/>
      <c r="V34" s="467"/>
    </row>
    <row r="35" spans="1:22" x14ac:dyDescent="0.25">
      <c r="A35" s="44"/>
      <c r="B35" s="47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</row>
    <row r="36" spans="1:22" ht="18" x14ac:dyDescent="0.35">
      <c r="A36" s="58" t="s">
        <v>105</v>
      </c>
      <c r="B36" s="444"/>
      <c r="C36" s="444"/>
      <c r="D36" s="44"/>
      <c r="E36" s="44"/>
      <c r="G36" s="44"/>
      <c r="H36" s="44"/>
      <c r="I36" s="44"/>
      <c r="J36" s="59">
        <f>SUM(J13:J35)</f>
        <v>0</v>
      </c>
      <c r="K36" s="60">
        <f>SUM(K13:K35)</f>
        <v>2</v>
      </c>
      <c r="L36" s="61" t="s">
        <v>239</v>
      </c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x14ac:dyDescent="0.25">
      <c r="A37" s="44"/>
      <c r="B37" s="47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x14ac:dyDescent="0.25">
      <c r="A38" s="62" t="s">
        <v>143</v>
      </c>
      <c r="B38" s="63"/>
      <c r="C38" s="62"/>
      <c r="D38" s="62"/>
      <c r="E38" s="62"/>
      <c r="F38" s="62"/>
      <c r="G38" s="62"/>
      <c r="H38" s="62"/>
      <c r="I38" s="62"/>
      <c r="J38" s="445" t="s">
        <v>144</v>
      </c>
      <c r="K38" s="445"/>
      <c r="L38" s="445"/>
      <c r="M38" s="445"/>
      <c r="N38" s="445"/>
      <c r="O38" s="445"/>
      <c r="P38" s="445"/>
      <c r="Q38" s="445"/>
      <c r="R38" s="445"/>
      <c r="S38" s="445"/>
      <c r="T38" s="445"/>
      <c r="U38" s="445"/>
      <c r="V38" s="445"/>
    </row>
    <row r="39" spans="1:22" x14ac:dyDescent="0.25">
      <c r="A39" s="64" t="s">
        <v>89</v>
      </c>
      <c r="B39" s="445"/>
      <c r="C39" s="445"/>
      <c r="D39" s="445"/>
      <c r="E39" s="445"/>
      <c r="F39" s="445"/>
      <c r="G39" s="445"/>
      <c r="H39" s="445"/>
      <c r="I39" s="445"/>
      <c r="J39" s="445"/>
      <c r="K39" s="445"/>
      <c r="L39" s="445"/>
      <c r="M39" s="445"/>
      <c r="N39" s="445"/>
      <c r="O39" s="445"/>
      <c r="P39" s="445"/>
      <c r="Q39" s="445"/>
      <c r="R39" s="445"/>
      <c r="S39" s="445"/>
      <c r="T39" s="445"/>
      <c r="U39" s="445"/>
      <c r="V39" s="445"/>
    </row>
  </sheetData>
  <mergeCells count="28">
    <mergeCell ref="B36:C36"/>
    <mergeCell ref="J38:V39"/>
    <mergeCell ref="B39:I39"/>
    <mergeCell ref="K11:K12"/>
    <mergeCell ref="L11:L12"/>
    <mergeCell ref="M11:V12"/>
    <mergeCell ref="A13:A34"/>
    <mergeCell ref="M13:V24"/>
    <mergeCell ref="M25:V34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V39"/>
  <sheetViews>
    <sheetView topLeftCell="A17" zoomScaleNormal="100" workbookViewId="0">
      <selection activeCell="B21" sqref="B21"/>
    </sheetView>
  </sheetViews>
  <sheetFormatPr baseColWidth="10" defaultRowHeight="15" x14ac:dyDescent="0.25"/>
  <cols>
    <col min="1" max="1" width="91.7109375" customWidth="1"/>
    <col min="2" max="2" width="27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53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242</v>
      </c>
      <c r="L9" s="445"/>
      <c r="M9" s="473" t="str">
        <f>+PRESUPUESTO!B38</f>
        <v>SUMINISTRO E INSTALACION DE PUERTA EN VIDRIO DE SEGURIDAD DE 2.00 DE ALTO X 0,0,8 DE 10 mm  CON SANBLASTING INCLUYE BISAGRA DE PISO SPEEDY M60 , MANIJA DE ACERO INOXIDABLE. ESQUINERO SUPERIOR E INFERIOR.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133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140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/>
      <c r="B13" s="65"/>
      <c r="C13" s="54"/>
      <c r="D13" s="54"/>
      <c r="E13" s="54"/>
      <c r="F13" s="55"/>
      <c r="G13" s="54"/>
      <c r="H13" s="54"/>
      <c r="I13" s="54"/>
      <c r="J13" s="55"/>
      <c r="K13" s="56"/>
      <c r="L13" s="57" t="s">
        <v>136</v>
      </c>
      <c r="M13" s="453"/>
      <c r="N13" s="454"/>
      <c r="O13" s="454"/>
      <c r="P13" s="454"/>
      <c r="Q13" s="454"/>
      <c r="R13" s="454"/>
      <c r="S13" s="454"/>
      <c r="T13" s="454"/>
      <c r="U13" s="454"/>
      <c r="V13" s="455"/>
    </row>
    <row r="14" spans="1:22" x14ac:dyDescent="0.25">
      <c r="A14" s="449"/>
      <c r="B14" s="65"/>
      <c r="C14" s="54"/>
      <c r="D14" s="54"/>
      <c r="E14" s="54"/>
      <c r="F14" s="55"/>
      <c r="G14" s="54"/>
      <c r="H14" s="54"/>
      <c r="I14" s="54"/>
      <c r="J14" s="55"/>
      <c r="K14" s="56"/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 t="s">
        <v>225</v>
      </c>
      <c r="C15" s="54"/>
      <c r="D15" s="54"/>
      <c r="E15" s="54"/>
      <c r="F15" s="55">
        <v>1</v>
      </c>
      <c r="G15" s="54"/>
      <c r="H15" s="54"/>
      <c r="I15" s="54"/>
      <c r="J15" s="55"/>
      <c r="K15" s="56">
        <f>+F15</f>
        <v>1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/>
      <c r="C16" s="54"/>
      <c r="D16" s="54"/>
      <c r="E16" s="54"/>
      <c r="F16" s="55"/>
      <c r="G16" s="54"/>
      <c r="H16" s="54"/>
      <c r="I16" s="54"/>
      <c r="J16" s="55"/>
      <c r="K16" s="56">
        <f t="shared" ref="K16:K22" si="0">+F16</f>
        <v>0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/>
      <c r="C17" s="54"/>
      <c r="D17" s="54"/>
      <c r="E17" s="54"/>
      <c r="F17" s="55"/>
      <c r="G17" s="54"/>
      <c r="H17" s="54"/>
      <c r="I17" s="54"/>
      <c r="J17" s="55"/>
      <c r="K17" s="56">
        <f t="shared" si="0"/>
        <v>0</v>
      </c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/>
      <c r="C18" s="54"/>
      <c r="D18" s="54"/>
      <c r="E18" s="54"/>
      <c r="F18" s="55"/>
      <c r="G18" s="54"/>
      <c r="H18" s="54"/>
      <c r="I18" s="54"/>
      <c r="J18" s="55"/>
      <c r="K18" s="56">
        <f t="shared" si="0"/>
        <v>0</v>
      </c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65"/>
      <c r="C19" s="54"/>
      <c r="D19" s="54"/>
      <c r="E19" s="54"/>
      <c r="F19" s="55"/>
      <c r="G19" s="54"/>
      <c r="H19" s="54"/>
      <c r="I19" s="54"/>
      <c r="J19" s="55"/>
      <c r="K19" s="56">
        <f t="shared" si="0"/>
        <v>0</v>
      </c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x14ac:dyDescent="0.25">
      <c r="A20" s="449"/>
      <c r="B20" s="65"/>
      <c r="C20" s="54"/>
      <c r="D20" s="54"/>
      <c r="E20" s="54"/>
      <c r="F20" s="55"/>
      <c r="G20" s="54"/>
      <c r="H20" s="54"/>
      <c r="I20" s="54"/>
      <c r="J20" s="55"/>
      <c r="K20" s="56">
        <f t="shared" si="0"/>
        <v>0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/>
      <c r="C21" s="54"/>
      <c r="D21" s="54"/>
      <c r="E21" s="54"/>
      <c r="F21" s="55"/>
      <c r="G21" s="54"/>
      <c r="H21" s="54"/>
      <c r="I21" s="54"/>
      <c r="J21" s="55"/>
      <c r="K21" s="56">
        <f t="shared" si="0"/>
        <v>0</v>
      </c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/>
      <c r="C22" s="54"/>
      <c r="D22" s="54"/>
      <c r="E22" s="54"/>
      <c r="F22" s="55"/>
      <c r="G22" s="54"/>
      <c r="H22" s="54"/>
      <c r="I22" s="54"/>
      <c r="J22" s="55"/>
      <c r="K22" s="56">
        <f t="shared" si="0"/>
        <v>0</v>
      </c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/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6"/>
      <c r="N24" s="457"/>
      <c r="O24" s="457"/>
      <c r="P24" s="457"/>
      <c r="Q24" s="457"/>
      <c r="R24" s="457"/>
      <c r="S24" s="457"/>
      <c r="T24" s="457"/>
      <c r="U24" s="457"/>
      <c r="V24" s="458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9" t="s">
        <v>142</v>
      </c>
      <c r="N25" s="460"/>
      <c r="O25" s="460"/>
      <c r="P25" s="460"/>
      <c r="Q25" s="460"/>
      <c r="R25" s="460"/>
      <c r="S25" s="460"/>
      <c r="T25" s="460"/>
      <c r="U25" s="460"/>
      <c r="V25" s="461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62"/>
      <c r="N26" s="463"/>
      <c r="O26" s="463"/>
      <c r="P26" s="463"/>
      <c r="Q26" s="463"/>
      <c r="R26" s="463"/>
      <c r="S26" s="463"/>
      <c r="T26" s="463"/>
      <c r="U26" s="463"/>
      <c r="V26" s="464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62"/>
      <c r="N27" s="463"/>
      <c r="O27" s="463"/>
      <c r="P27" s="463"/>
      <c r="Q27" s="463"/>
      <c r="R27" s="463"/>
      <c r="S27" s="463"/>
      <c r="T27" s="463"/>
      <c r="U27" s="463"/>
      <c r="V27" s="464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53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5"/>
      <c r="N34" s="466"/>
      <c r="O34" s="466"/>
      <c r="P34" s="466"/>
      <c r="Q34" s="466"/>
      <c r="R34" s="466"/>
      <c r="S34" s="466"/>
      <c r="T34" s="466"/>
      <c r="U34" s="466"/>
      <c r="V34" s="467"/>
    </row>
    <row r="35" spans="1:22" x14ac:dyDescent="0.25">
      <c r="A35" s="44"/>
      <c r="B35" s="47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</row>
    <row r="36" spans="1:22" ht="18" x14ac:dyDescent="0.35">
      <c r="A36" s="58" t="s">
        <v>105</v>
      </c>
      <c r="B36" s="444"/>
      <c r="C36" s="444"/>
      <c r="D36" s="44"/>
      <c r="E36" s="44"/>
      <c r="G36" s="44"/>
      <c r="H36" s="44"/>
      <c r="I36" s="44"/>
      <c r="J36" s="59">
        <f>SUM(J13:J35)</f>
        <v>0</v>
      </c>
      <c r="K36" s="60">
        <f>SUM(K13:K35)</f>
        <v>1</v>
      </c>
      <c r="L36" s="61" t="s">
        <v>239</v>
      </c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x14ac:dyDescent="0.25">
      <c r="A37" s="44"/>
      <c r="B37" s="47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x14ac:dyDescent="0.25">
      <c r="A38" s="62" t="s">
        <v>143</v>
      </c>
      <c r="B38" s="63"/>
      <c r="C38" s="62"/>
      <c r="D38" s="62"/>
      <c r="E38" s="62"/>
      <c r="F38" s="62"/>
      <c r="G38" s="62"/>
      <c r="H38" s="62"/>
      <c r="I38" s="62"/>
      <c r="J38" s="445" t="s">
        <v>144</v>
      </c>
      <c r="K38" s="445"/>
      <c r="L38" s="445"/>
      <c r="M38" s="445"/>
      <c r="N38" s="445"/>
      <c r="O38" s="445"/>
      <c r="P38" s="445"/>
      <c r="Q38" s="445"/>
      <c r="R38" s="445"/>
      <c r="S38" s="445"/>
      <c r="T38" s="445"/>
      <c r="U38" s="445"/>
      <c r="V38" s="445"/>
    </row>
    <row r="39" spans="1:22" x14ac:dyDescent="0.25">
      <c r="A39" s="64" t="s">
        <v>89</v>
      </c>
      <c r="B39" s="445"/>
      <c r="C39" s="445"/>
      <c r="D39" s="445"/>
      <c r="E39" s="445"/>
      <c r="F39" s="445"/>
      <c r="G39" s="445"/>
      <c r="H39" s="445"/>
      <c r="I39" s="445"/>
      <c r="J39" s="445"/>
      <c r="K39" s="445"/>
      <c r="L39" s="445"/>
      <c r="M39" s="445"/>
      <c r="N39" s="445"/>
      <c r="O39" s="445"/>
      <c r="P39" s="445"/>
      <c r="Q39" s="445"/>
      <c r="R39" s="445"/>
      <c r="S39" s="445"/>
      <c r="T39" s="445"/>
      <c r="U39" s="445"/>
      <c r="V39" s="445"/>
    </row>
  </sheetData>
  <mergeCells count="28">
    <mergeCell ref="B36:C36"/>
    <mergeCell ref="J38:V39"/>
    <mergeCell ref="B39:I39"/>
    <mergeCell ref="K11:K12"/>
    <mergeCell ref="L11:L12"/>
    <mergeCell ref="M11:V12"/>
    <mergeCell ref="A13:A34"/>
    <mergeCell ref="M13:V24"/>
    <mergeCell ref="M25:V34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V40"/>
  <sheetViews>
    <sheetView topLeftCell="A9" zoomScaleNormal="100" workbookViewId="0">
      <selection activeCell="K21" sqref="K21"/>
    </sheetView>
  </sheetViews>
  <sheetFormatPr baseColWidth="10" defaultRowHeight="15" x14ac:dyDescent="0.25"/>
  <cols>
    <col min="1" max="1" width="91.7109375" customWidth="1"/>
    <col min="2" max="2" width="27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53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243</v>
      </c>
      <c r="L9" s="445"/>
      <c r="M9" s="473" t="str">
        <f>+PRESUPUESTO!B39</f>
        <v>ARREGLO DE PUERTAS Y VENTANERIA DE EXISTENTE EN ALUMINIO ADECUACION  Y AJUSTE  DE HOJAS  Y MARCOS PARA SU CORRECTO FUNCIONAMMIENTO.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133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140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/>
      <c r="B13" s="102" t="s">
        <v>479</v>
      </c>
      <c r="C13" s="54"/>
      <c r="D13" s="54"/>
      <c r="E13" s="54"/>
      <c r="F13" s="55"/>
      <c r="G13" s="54"/>
      <c r="H13" s="54"/>
      <c r="I13" s="54"/>
      <c r="J13" s="55"/>
      <c r="K13" s="56"/>
      <c r="L13" s="57" t="s">
        <v>98</v>
      </c>
      <c r="M13" s="453"/>
      <c r="N13" s="454"/>
      <c r="O13" s="454"/>
      <c r="P13" s="454"/>
      <c r="Q13" s="454"/>
      <c r="R13" s="454"/>
      <c r="S13" s="454"/>
      <c r="T13" s="454"/>
      <c r="U13" s="454"/>
      <c r="V13" s="455"/>
    </row>
    <row r="14" spans="1:22" x14ac:dyDescent="0.25">
      <c r="A14" s="449"/>
      <c r="B14" s="65" t="s">
        <v>222</v>
      </c>
      <c r="C14" s="54">
        <v>1.95</v>
      </c>
      <c r="D14" s="54">
        <v>1.08</v>
      </c>
      <c r="E14" s="54"/>
      <c r="F14" s="55"/>
      <c r="G14" s="54"/>
      <c r="H14" s="54"/>
      <c r="I14" s="54"/>
      <c r="J14" s="55"/>
      <c r="K14" s="56">
        <f>+C14*D14</f>
        <v>2.1059999999999999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 t="s">
        <v>223</v>
      </c>
      <c r="C15" s="54">
        <v>1.95</v>
      </c>
      <c r="D15" s="54">
        <v>1.08</v>
      </c>
      <c r="E15" s="54"/>
      <c r="F15" s="55"/>
      <c r="G15" s="54"/>
      <c r="H15" s="54"/>
      <c r="I15" s="54"/>
      <c r="J15" s="55"/>
      <c r="K15" s="56">
        <f t="shared" ref="K15:K28" si="0">+C15*D15</f>
        <v>2.1059999999999999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 t="s">
        <v>227</v>
      </c>
      <c r="C16" s="54">
        <v>2</v>
      </c>
      <c r="D16" s="54">
        <v>1.08</v>
      </c>
      <c r="E16" s="54"/>
      <c r="F16" s="55"/>
      <c r="G16" s="54"/>
      <c r="H16" s="54"/>
      <c r="I16" s="54"/>
      <c r="J16" s="55"/>
      <c r="K16" s="56">
        <f t="shared" si="0"/>
        <v>2.16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 t="s">
        <v>224</v>
      </c>
      <c r="C17" s="54">
        <v>1.83</v>
      </c>
      <c r="D17" s="54">
        <v>1.08</v>
      </c>
      <c r="E17" s="54"/>
      <c r="F17" s="55"/>
      <c r="G17" s="54"/>
      <c r="H17" s="54"/>
      <c r="I17" s="54"/>
      <c r="J17" s="55"/>
      <c r="K17" s="56">
        <f t="shared" si="0"/>
        <v>1.9764000000000002</v>
      </c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 t="s">
        <v>153</v>
      </c>
      <c r="C18" s="54">
        <v>1.1599999999999999</v>
      </c>
      <c r="D18" s="54">
        <v>0.5</v>
      </c>
      <c r="E18" s="54"/>
      <c r="F18" s="55"/>
      <c r="G18" s="54"/>
      <c r="H18" s="54"/>
      <c r="I18" s="54"/>
      <c r="J18" s="55"/>
      <c r="K18" s="56">
        <f t="shared" si="0"/>
        <v>0.57999999999999996</v>
      </c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53" t="s">
        <v>155</v>
      </c>
      <c r="C19" s="54">
        <v>1.1599999999999999</v>
      </c>
      <c r="D19" s="54">
        <v>0.5</v>
      </c>
      <c r="E19" s="54"/>
      <c r="F19" s="55"/>
      <c r="G19" s="54"/>
      <c r="H19" s="54"/>
      <c r="I19" s="54"/>
      <c r="J19" s="55"/>
      <c r="K19" s="56">
        <f t="shared" si="0"/>
        <v>0.57999999999999996</v>
      </c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x14ac:dyDescent="0.25">
      <c r="A20" s="449"/>
      <c r="B20" s="65" t="s">
        <v>226</v>
      </c>
      <c r="C20" s="54">
        <v>1.69</v>
      </c>
      <c r="D20" s="54">
        <v>1.08</v>
      </c>
      <c r="E20" s="54"/>
      <c r="F20" s="55"/>
      <c r="G20" s="54"/>
      <c r="H20" s="54"/>
      <c r="I20" s="54"/>
      <c r="J20" s="55"/>
      <c r="K20" s="56">
        <f t="shared" si="0"/>
        <v>1.8252000000000002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102" t="s">
        <v>56</v>
      </c>
      <c r="C21" s="54"/>
      <c r="D21" s="54"/>
      <c r="E21" s="54"/>
      <c r="F21" s="55"/>
      <c r="G21" s="54"/>
      <c r="H21" s="54"/>
      <c r="I21" s="54"/>
      <c r="J21" s="55"/>
      <c r="K21" s="56"/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 t="s">
        <v>480</v>
      </c>
      <c r="C22" s="54">
        <v>1.95</v>
      </c>
      <c r="D22" s="54">
        <v>1.08</v>
      </c>
      <c r="E22" s="54"/>
      <c r="F22" s="55"/>
      <c r="G22" s="54"/>
      <c r="H22" s="54"/>
      <c r="I22" s="54"/>
      <c r="J22" s="55"/>
      <c r="K22" s="56">
        <f t="shared" si="0"/>
        <v>2.1059999999999999</v>
      </c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 t="s">
        <v>481</v>
      </c>
      <c r="C23" s="54">
        <v>1.95</v>
      </c>
      <c r="D23" s="54">
        <v>1.08</v>
      </c>
      <c r="E23" s="54"/>
      <c r="F23" s="55"/>
      <c r="G23" s="54"/>
      <c r="H23" s="54"/>
      <c r="I23" s="54"/>
      <c r="J23" s="55"/>
      <c r="K23" s="56">
        <f t="shared" si="0"/>
        <v>2.1059999999999999</v>
      </c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5" t="s">
        <v>227</v>
      </c>
      <c r="C24" s="54">
        <v>2</v>
      </c>
      <c r="D24" s="54">
        <v>1.08</v>
      </c>
      <c r="E24" s="54"/>
      <c r="F24" s="55"/>
      <c r="G24" s="54"/>
      <c r="H24" s="54"/>
      <c r="I24" s="54"/>
      <c r="J24" s="55"/>
      <c r="K24" s="56">
        <f t="shared" si="0"/>
        <v>2.16</v>
      </c>
      <c r="L24" s="57"/>
      <c r="M24" s="453"/>
      <c r="N24" s="454"/>
      <c r="O24" s="454"/>
      <c r="P24" s="454"/>
      <c r="Q24" s="454"/>
      <c r="R24" s="454"/>
      <c r="S24" s="454"/>
      <c r="T24" s="454"/>
      <c r="U24" s="454"/>
      <c r="V24" s="455"/>
    </row>
    <row r="25" spans="1:22" x14ac:dyDescent="0.25">
      <c r="A25" s="449"/>
      <c r="B25" s="65" t="s">
        <v>224</v>
      </c>
      <c r="C25" s="54">
        <v>1.83</v>
      </c>
      <c r="D25" s="54">
        <v>1.08</v>
      </c>
      <c r="E25" s="54"/>
      <c r="F25" s="55"/>
      <c r="G25" s="54"/>
      <c r="H25" s="54"/>
      <c r="I25" s="54"/>
      <c r="J25" s="55"/>
      <c r="K25" s="56">
        <f t="shared" si="0"/>
        <v>1.9764000000000002</v>
      </c>
      <c r="L25" s="57"/>
      <c r="M25" s="456"/>
      <c r="N25" s="457"/>
      <c r="O25" s="457"/>
      <c r="P25" s="457"/>
      <c r="Q25" s="457"/>
      <c r="R25" s="457"/>
      <c r="S25" s="457"/>
      <c r="T25" s="457"/>
      <c r="U25" s="457"/>
      <c r="V25" s="458"/>
    </row>
    <row r="26" spans="1:22" x14ac:dyDescent="0.25">
      <c r="A26" s="449"/>
      <c r="B26" s="65" t="s">
        <v>153</v>
      </c>
      <c r="C26" s="54">
        <v>1.1599999999999999</v>
      </c>
      <c r="D26" s="54">
        <v>0.5</v>
      </c>
      <c r="E26" s="54"/>
      <c r="F26" s="55"/>
      <c r="G26" s="54"/>
      <c r="H26" s="54"/>
      <c r="I26" s="54"/>
      <c r="J26" s="55"/>
      <c r="K26" s="56">
        <f t="shared" si="0"/>
        <v>0.57999999999999996</v>
      </c>
      <c r="L26" s="57"/>
      <c r="M26" s="459" t="s">
        <v>142</v>
      </c>
      <c r="N26" s="460"/>
      <c r="O26" s="460"/>
      <c r="P26" s="460"/>
      <c r="Q26" s="460"/>
      <c r="R26" s="460"/>
      <c r="S26" s="460"/>
      <c r="T26" s="460"/>
      <c r="U26" s="460"/>
      <c r="V26" s="461"/>
    </row>
    <row r="27" spans="1:22" x14ac:dyDescent="0.25">
      <c r="A27" s="449"/>
      <c r="B27" s="53" t="s">
        <v>155</v>
      </c>
      <c r="C27" s="54">
        <v>1.1599999999999999</v>
      </c>
      <c r="D27" s="54">
        <v>0.5</v>
      </c>
      <c r="E27" s="54"/>
      <c r="F27" s="55"/>
      <c r="G27" s="54"/>
      <c r="H27" s="54"/>
      <c r="I27" s="54"/>
      <c r="J27" s="55"/>
      <c r="K27" s="56">
        <f t="shared" si="0"/>
        <v>0.57999999999999996</v>
      </c>
      <c r="L27" s="57"/>
      <c r="M27" s="462"/>
      <c r="N27" s="463"/>
      <c r="O27" s="463"/>
      <c r="P27" s="463"/>
      <c r="Q27" s="463"/>
      <c r="R27" s="463"/>
      <c r="S27" s="463"/>
      <c r="T27" s="463"/>
      <c r="U27" s="463"/>
      <c r="V27" s="464"/>
    </row>
    <row r="28" spans="1:22" x14ac:dyDescent="0.25">
      <c r="A28" s="449"/>
      <c r="B28" s="65" t="s">
        <v>226</v>
      </c>
      <c r="C28" s="54">
        <v>1.69</v>
      </c>
      <c r="D28" s="54">
        <v>1.08</v>
      </c>
      <c r="E28" s="54"/>
      <c r="F28" s="55"/>
      <c r="G28" s="54"/>
      <c r="H28" s="54"/>
      <c r="I28" s="54"/>
      <c r="J28" s="55"/>
      <c r="K28" s="56">
        <f t="shared" si="0"/>
        <v>1.8252000000000002</v>
      </c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65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2"/>
      <c r="N34" s="463"/>
      <c r="O34" s="463"/>
      <c r="P34" s="463"/>
      <c r="Q34" s="463"/>
      <c r="R34" s="463"/>
      <c r="S34" s="463"/>
      <c r="T34" s="463"/>
      <c r="U34" s="463"/>
      <c r="V34" s="464"/>
    </row>
    <row r="35" spans="1:22" x14ac:dyDescent="0.25">
      <c r="A35" s="449"/>
      <c r="B35" s="53"/>
      <c r="C35" s="54"/>
      <c r="D35" s="54"/>
      <c r="E35" s="54"/>
      <c r="F35" s="55"/>
      <c r="G35" s="54"/>
      <c r="H35" s="54"/>
      <c r="I35" s="54"/>
      <c r="J35" s="55"/>
      <c r="K35" s="56"/>
      <c r="L35" s="57"/>
      <c r="M35" s="465"/>
      <c r="N35" s="466"/>
      <c r="O35" s="466"/>
      <c r="P35" s="466"/>
      <c r="Q35" s="466"/>
      <c r="R35" s="466"/>
      <c r="S35" s="466"/>
      <c r="T35" s="466"/>
      <c r="U35" s="466"/>
      <c r="V35" s="467"/>
    </row>
    <row r="36" spans="1:22" x14ac:dyDescent="0.25">
      <c r="A36" s="44"/>
      <c r="B36" s="47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18" x14ac:dyDescent="0.35">
      <c r="A37" s="58" t="s">
        <v>105</v>
      </c>
      <c r="B37" s="444"/>
      <c r="C37" s="444"/>
      <c r="D37" s="44"/>
      <c r="E37" s="44"/>
      <c r="G37" s="44"/>
      <c r="H37" s="44"/>
      <c r="I37" s="44"/>
      <c r="J37" s="59">
        <f>SUM(J13:J36)</f>
        <v>0</v>
      </c>
      <c r="K37" s="60">
        <f>SUM(K13:K36)</f>
        <v>22.667199999999998</v>
      </c>
      <c r="L37" s="61" t="s">
        <v>98</v>
      </c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x14ac:dyDescent="0.25">
      <c r="A38" s="44"/>
      <c r="B38" s="47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</row>
    <row r="39" spans="1:22" x14ac:dyDescent="0.25">
      <c r="A39" s="62" t="s">
        <v>143</v>
      </c>
      <c r="B39" s="63"/>
      <c r="C39" s="62"/>
      <c r="D39" s="62"/>
      <c r="E39" s="62"/>
      <c r="F39" s="62"/>
      <c r="G39" s="62"/>
      <c r="H39" s="62"/>
      <c r="I39" s="62"/>
      <c r="J39" s="445" t="s">
        <v>144</v>
      </c>
      <c r="K39" s="445"/>
      <c r="L39" s="445"/>
      <c r="M39" s="445"/>
      <c r="N39" s="445"/>
      <c r="O39" s="445"/>
      <c r="P39" s="445"/>
      <c r="Q39" s="445"/>
      <c r="R39" s="445"/>
      <c r="S39" s="445"/>
      <c r="T39" s="445"/>
      <c r="U39" s="445"/>
      <c r="V39" s="445"/>
    </row>
    <row r="40" spans="1:22" x14ac:dyDescent="0.25">
      <c r="A40" s="64" t="s">
        <v>89</v>
      </c>
      <c r="B40" s="445"/>
      <c r="C40" s="445"/>
      <c r="D40" s="445"/>
      <c r="E40" s="445"/>
      <c r="F40" s="445"/>
      <c r="G40" s="445"/>
      <c r="H40" s="445"/>
      <c r="I40" s="445"/>
      <c r="J40" s="445"/>
      <c r="K40" s="445"/>
      <c r="L40" s="445"/>
      <c r="M40" s="445"/>
      <c r="N40" s="445"/>
      <c r="O40" s="445"/>
      <c r="P40" s="445"/>
      <c r="Q40" s="445"/>
      <c r="R40" s="445"/>
      <c r="S40" s="445"/>
      <c r="T40" s="445"/>
      <c r="U40" s="445"/>
      <c r="V40" s="445"/>
    </row>
  </sheetData>
  <mergeCells count="28">
    <mergeCell ref="B37:C37"/>
    <mergeCell ref="J39:V40"/>
    <mergeCell ref="B40:I40"/>
    <mergeCell ref="K11:K12"/>
    <mergeCell ref="L11:L12"/>
    <mergeCell ref="M11:V12"/>
    <mergeCell ref="A13:A35"/>
    <mergeCell ref="M13:V25"/>
    <mergeCell ref="M26:V35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pageSetup orientation="portrait" horizontalDpi="200" verticalDpi="2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V39"/>
  <sheetViews>
    <sheetView topLeftCell="A9" zoomScaleNormal="100" workbookViewId="0">
      <selection activeCell="C18" sqref="C18"/>
    </sheetView>
  </sheetViews>
  <sheetFormatPr baseColWidth="10" defaultRowHeight="15" x14ac:dyDescent="0.25"/>
  <cols>
    <col min="1" max="1" width="91.7109375" customWidth="1"/>
    <col min="2" max="2" width="27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53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244</v>
      </c>
      <c r="L9" s="445"/>
      <c r="M9" s="473" t="e">
        <f>+PRESUPUESTO!#REF!</f>
        <v>#REF!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133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140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/>
      <c r="B13" s="65"/>
      <c r="C13" s="54"/>
      <c r="D13" s="54"/>
      <c r="E13" s="54"/>
      <c r="F13" s="55"/>
      <c r="G13" s="54"/>
      <c r="H13" s="54"/>
      <c r="I13" s="54"/>
      <c r="J13" s="55"/>
      <c r="K13" s="56"/>
      <c r="L13" s="57" t="s">
        <v>136</v>
      </c>
      <c r="M13" s="453"/>
      <c r="N13" s="454"/>
      <c r="O13" s="454"/>
      <c r="P13" s="454"/>
      <c r="Q13" s="454"/>
      <c r="R13" s="454"/>
      <c r="S13" s="454"/>
      <c r="T13" s="454"/>
      <c r="U13" s="454"/>
      <c r="V13" s="455"/>
    </row>
    <row r="14" spans="1:22" x14ac:dyDescent="0.25">
      <c r="A14" s="449"/>
      <c r="B14" s="65" t="s">
        <v>245</v>
      </c>
      <c r="C14" s="54"/>
      <c r="D14" s="54"/>
      <c r="E14" s="54">
        <v>1</v>
      </c>
      <c r="F14" s="55"/>
      <c r="G14" s="54"/>
      <c r="H14" s="54"/>
      <c r="I14" s="54"/>
      <c r="J14" s="55"/>
      <c r="K14" s="56">
        <f>+E14</f>
        <v>1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 t="s">
        <v>227</v>
      </c>
      <c r="C15" s="54"/>
      <c r="D15" s="54"/>
      <c r="E15" s="54">
        <v>1</v>
      </c>
      <c r="F15" s="55"/>
      <c r="G15" s="54"/>
      <c r="H15" s="54"/>
      <c r="I15" s="54"/>
      <c r="J15" s="55"/>
      <c r="K15" s="56">
        <f t="shared" ref="K15:K16" si="0">+E15</f>
        <v>1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 t="s">
        <v>224</v>
      </c>
      <c r="C16" s="54"/>
      <c r="D16" s="54"/>
      <c r="E16" s="54">
        <v>1</v>
      </c>
      <c r="F16" s="55"/>
      <c r="G16" s="54"/>
      <c r="H16" s="54"/>
      <c r="I16" s="54"/>
      <c r="J16" s="55"/>
      <c r="K16" s="56">
        <f t="shared" si="0"/>
        <v>1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/>
      <c r="C17" s="54"/>
      <c r="D17" s="54"/>
      <c r="E17" s="54"/>
      <c r="F17" s="55"/>
      <c r="G17" s="54"/>
      <c r="H17" s="54"/>
      <c r="I17" s="54"/>
      <c r="J17" s="55"/>
      <c r="K17" s="56">
        <f t="shared" ref="K17:K19" si="1">+C17*D17</f>
        <v>0</v>
      </c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53"/>
      <c r="C18" s="54"/>
      <c r="D18" s="54"/>
      <c r="E18" s="54"/>
      <c r="F18" s="55"/>
      <c r="G18" s="54"/>
      <c r="H18" s="54"/>
      <c r="I18" s="54"/>
      <c r="J18" s="55"/>
      <c r="K18" s="56">
        <f t="shared" si="1"/>
        <v>0</v>
      </c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65"/>
      <c r="C19" s="54"/>
      <c r="D19" s="54"/>
      <c r="E19" s="54"/>
      <c r="F19" s="55"/>
      <c r="G19" s="54"/>
      <c r="H19" s="54"/>
      <c r="I19" s="54"/>
      <c r="J19" s="55"/>
      <c r="K19" s="56">
        <f t="shared" si="1"/>
        <v>0</v>
      </c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x14ac:dyDescent="0.25">
      <c r="A20" s="449"/>
      <c r="B20" s="65"/>
      <c r="C20" s="54"/>
      <c r="D20" s="54"/>
      <c r="E20" s="54"/>
      <c r="F20" s="55"/>
      <c r="G20" s="54"/>
      <c r="H20" s="54"/>
      <c r="I20" s="54"/>
      <c r="J20" s="55"/>
      <c r="K20" s="56"/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/>
      <c r="C21" s="54"/>
      <c r="D21" s="54"/>
      <c r="E21" s="54"/>
      <c r="F21" s="55"/>
      <c r="G21" s="54"/>
      <c r="H21" s="54"/>
      <c r="I21" s="54"/>
      <c r="J21" s="55"/>
      <c r="K21" s="56"/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/>
      <c r="C22" s="54"/>
      <c r="D22" s="54"/>
      <c r="E22" s="54"/>
      <c r="F22" s="55"/>
      <c r="G22" s="54"/>
      <c r="H22" s="54"/>
      <c r="I22" s="54"/>
      <c r="J22" s="55"/>
      <c r="K22" s="56"/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/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6"/>
      <c r="N24" s="457"/>
      <c r="O24" s="457"/>
      <c r="P24" s="457"/>
      <c r="Q24" s="457"/>
      <c r="R24" s="457"/>
      <c r="S24" s="457"/>
      <c r="T24" s="457"/>
      <c r="U24" s="457"/>
      <c r="V24" s="458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9" t="s">
        <v>142</v>
      </c>
      <c r="N25" s="460"/>
      <c r="O25" s="460"/>
      <c r="P25" s="460"/>
      <c r="Q25" s="460"/>
      <c r="R25" s="460"/>
      <c r="S25" s="460"/>
      <c r="T25" s="460"/>
      <c r="U25" s="460"/>
      <c r="V25" s="461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62"/>
      <c r="N26" s="463"/>
      <c r="O26" s="463"/>
      <c r="P26" s="463"/>
      <c r="Q26" s="463"/>
      <c r="R26" s="463"/>
      <c r="S26" s="463"/>
      <c r="T26" s="463"/>
      <c r="U26" s="463"/>
      <c r="V26" s="464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62"/>
      <c r="N27" s="463"/>
      <c r="O27" s="463"/>
      <c r="P27" s="463"/>
      <c r="Q27" s="463"/>
      <c r="R27" s="463"/>
      <c r="S27" s="463"/>
      <c r="T27" s="463"/>
      <c r="U27" s="463"/>
      <c r="V27" s="464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53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5"/>
      <c r="N34" s="466"/>
      <c r="O34" s="466"/>
      <c r="P34" s="466"/>
      <c r="Q34" s="466"/>
      <c r="R34" s="466"/>
      <c r="S34" s="466"/>
      <c r="T34" s="466"/>
      <c r="U34" s="466"/>
      <c r="V34" s="467"/>
    </row>
    <row r="35" spans="1:22" x14ac:dyDescent="0.25">
      <c r="A35" s="44"/>
      <c r="B35" s="47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</row>
    <row r="36" spans="1:22" ht="18" x14ac:dyDescent="0.35">
      <c r="A36" s="58" t="s">
        <v>105</v>
      </c>
      <c r="B36" s="444"/>
      <c r="C36" s="444"/>
      <c r="D36" s="44"/>
      <c r="E36" s="44"/>
      <c r="G36" s="44"/>
      <c r="H36" s="44"/>
      <c r="I36" s="44"/>
      <c r="J36" s="59">
        <f>SUM(J13:J35)</f>
        <v>0</v>
      </c>
      <c r="K36" s="60">
        <f>SUM(K13:K35)</f>
        <v>3</v>
      </c>
      <c r="L36" s="61" t="s">
        <v>239</v>
      </c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x14ac:dyDescent="0.25">
      <c r="A37" s="44"/>
      <c r="B37" s="47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x14ac:dyDescent="0.25">
      <c r="A38" s="62" t="s">
        <v>143</v>
      </c>
      <c r="B38" s="63"/>
      <c r="C38" s="62"/>
      <c r="D38" s="62"/>
      <c r="E38" s="62"/>
      <c r="F38" s="62"/>
      <c r="G38" s="62"/>
      <c r="H38" s="62"/>
      <c r="I38" s="62"/>
      <c r="J38" s="445" t="s">
        <v>144</v>
      </c>
      <c r="K38" s="445"/>
      <c r="L38" s="445"/>
      <c r="M38" s="445"/>
      <c r="N38" s="445"/>
      <c r="O38" s="445"/>
      <c r="P38" s="445"/>
      <c r="Q38" s="445"/>
      <c r="R38" s="445"/>
      <c r="S38" s="445"/>
      <c r="T38" s="445"/>
      <c r="U38" s="445"/>
      <c r="V38" s="445"/>
    </row>
    <row r="39" spans="1:22" x14ac:dyDescent="0.25">
      <c r="A39" s="64" t="s">
        <v>89</v>
      </c>
      <c r="B39" s="445"/>
      <c r="C39" s="445"/>
      <c r="D39" s="445"/>
      <c r="E39" s="445"/>
      <c r="F39" s="445"/>
      <c r="G39" s="445"/>
      <c r="H39" s="445"/>
      <c r="I39" s="445"/>
      <c r="J39" s="445"/>
      <c r="K39" s="445"/>
      <c r="L39" s="445"/>
      <c r="M39" s="445"/>
      <c r="N39" s="445"/>
      <c r="O39" s="445"/>
      <c r="P39" s="445"/>
      <c r="Q39" s="445"/>
      <c r="R39" s="445"/>
      <c r="S39" s="445"/>
      <c r="T39" s="445"/>
      <c r="U39" s="445"/>
      <c r="V39" s="445"/>
    </row>
  </sheetData>
  <mergeCells count="28">
    <mergeCell ref="B36:C36"/>
    <mergeCell ref="J38:V39"/>
    <mergeCell ref="B39:I39"/>
    <mergeCell ref="K11:K12"/>
    <mergeCell ref="L11:L12"/>
    <mergeCell ref="M11:V12"/>
    <mergeCell ref="A13:A34"/>
    <mergeCell ref="M13:V24"/>
    <mergeCell ref="M25:V34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V40"/>
  <sheetViews>
    <sheetView zoomScaleNormal="100" workbookViewId="0">
      <selection activeCell="F21" sqref="F21"/>
    </sheetView>
  </sheetViews>
  <sheetFormatPr baseColWidth="10" defaultRowHeight="15" x14ac:dyDescent="0.25"/>
  <cols>
    <col min="1" max="1" width="91.7109375" customWidth="1"/>
    <col min="2" max="2" width="27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53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246</v>
      </c>
      <c r="L9" s="445"/>
      <c r="M9" s="473" t="str">
        <f>+PRESUPUESTO!B40</f>
        <v>ARREGLO  Y AJUSTE SUMINISTRO DE AGUA  PARA BAÑOS DE MUJER  Y DE HOMBRE PARA LAVAMNOS Y   SANITARIOS  PARA SU CORRECTO FUNCIONAMIENTO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133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140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/>
      <c r="B13" s="65"/>
      <c r="C13" s="54"/>
      <c r="D13" s="54"/>
      <c r="E13" s="54"/>
      <c r="F13" s="55"/>
      <c r="G13" s="54"/>
      <c r="H13" s="54"/>
      <c r="I13" s="54"/>
      <c r="J13" s="55"/>
      <c r="K13" s="56"/>
      <c r="L13" s="57" t="s">
        <v>136</v>
      </c>
      <c r="M13" s="453"/>
      <c r="N13" s="454"/>
      <c r="O13" s="454"/>
      <c r="P13" s="454"/>
      <c r="Q13" s="454"/>
      <c r="R13" s="454"/>
      <c r="S13" s="454"/>
      <c r="T13" s="454"/>
      <c r="U13" s="454"/>
      <c r="V13" s="455"/>
    </row>
    <row r="14" spans="1:22" x14ac:dyDescent="0.25">
      <c r="A14" s="449"/>
      <c r="B14" s="102" t="s">
        <v>153</v>
      </c>
      <c r="C14" s="54"/>
      <c r="D14" s="54"/>
      <c r="E14" s="54"/>
      <c r="F14" s="55"/>
      <c r="G14" s="54"/>
      <c r="H14" s="54"/>
      <c r="I14" s="54"/>
      <c r="J14" s="55"/>
      <c r="K14" s="56"/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 t="s">
        <v>236</v>
      </c>
      <c r="C15" s="54"/>
      <c r="D15" s="54"/>
      <c r="E15" s="54"/>
      <c r="F15" s="55">
        <v>1</v>
      </c>
      <c r="G15" s="54"/>
      <c r="H15" s="54"/>
      <c r="I15" s="54"/>
      <c r="J15" s="55"/>
      <c r="K15" s="56">
        <f>+F15</f>
        <v>1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 t="s">
        <v>235</v>
      </c>
      <c r="C16" s="54"/>
      <c r="D16" s="54"/>
      <c r="E16" s="54"/>
      <c r="F16" s="55">
        <v>1</v>
      </c>
      <c r="G16" s="54"/>
      <c r="H16" s="54"/>
      <c r="I16" s="54"/>
      <c r="J16" s="55"/>
      <c r="K16" s="56">
        <f t="shared" ref="K16:K23" si="0">+F16</f>
        <v>1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102" t="s">
        <v>154</v>
      </c>
      <c r="C17" s="54"/>
      <c r="D17" s="54"/>
      <c r="E17" s="54"/>
      <c r="F17" s="55"/>
      <c r="G17" s="54"/>
      <c r="H17" s="54"/>
      <c r="I17" s="54"/>
      <c r="J17" s="55"/>
      <c r="K17" s="56">
        <f t="shared" si="0"/>
        <v>0</v>
      </c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 t="s">
        <v>236</v>
      </c>
      <c r="C18" s="54"/>
      <c r="D18" s="54"/>
      <c r="E18" s="54"/>
      <c r="F18" s="55">
        <v>1</v>
      </c>
      <c r="G18" s="54"/>
      <c r="H18" s="54"/>
      <c r="I18" s="54"/>
      <c r="J18" s="55"/>
      <c r="K18" s="56">
        <f t="shared" si="0"/>
        <v>1</v>
      </c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65" t="s">
        <v>235</v>
      </c>
      <c r="C19" s="54"/>
      <c r="D19" s="54"/>
      <c r="E19" s="54"/>
      <c r="F19" s="55">
        <v>1</v>
      </c>
      <c r="G19" s="54"/>
      <c r="H19" s="54"/>
      <c r="I19" s="54"/>
      <c r="J19" s="55"/>
      <c r="K19" s="56">
        <f t="shared" si="0"/>
        <v>1</v>
      </c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x14ac:dyDescent="0.25">
      <c r="A20" s="449"/>
      <c r="B20" s="65" t="s">
        <v>660</v>
      </c>
      <c r="C20" s="54"/>
      <c r="D20" s="54"/>
      <c r="E20" s="54"/>
      <c r="F20" s="55">
        <v>1</v>
      </c>
      <c r="G20" s="54"/>
      <c r="H20" s="54"/>
      <c r="I20" s="54"/>
      <c r="J20" s="55"/>
      <c r="K20" s="56">
        <f t="shared" si="0"/>
        <v>1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/>
      <c r="C21" s="54"/>
      <c r="D21" s="54"/>
      <c r="E21" s="54"/>
      <c r="F21" s="55"/>
      <c r="G21" s="54"/>
      <c r="H21" s="54"/>
      <c r="I21" s="54"/>
      <c r="J21" s="55"/>
      <c r="K21" s="56">
        <f t="shared" si="0"/>
        <v>0</v>
      </c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/>
      <c r="C22" s="54"/>
      <c r="D22" s="54"/>
      <c r="E22" s="54"/>
      <c r="F22" s="55"/>
      <c r="G22" s="54"/>
      <c r="H22" s="54"/>
      <c r="I22" s="54"/>
      <c r="J22" s="55"/>
      <c r="K22" s="56">
        <f t="shared" si="0"/>
        <v>0</v>
      </c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>
        <f t="shared" si="0"/>
        <v>0</v>
      </c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3"/>
      <c r="N24" s="454"/>
      <c r="O24" s="454"/>
      <c r="P24" s="454"/>
      <c r="Q24" s="454"/>
      <c r="R24" s="454"/>
      <c r="S24" s="454"/>
      <c r="T24" s="454"/>
      <c r="U24" s="454"/>
      <c r="V24" s="455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6"/>
      <c r="N25" s="457"/>
      <c r="O25" s="457"/>
      <c r="P25" s="457"/>
      <c r="Q25" s="457"/>
      <c r="R25" s="457"/>
      <c r="S25" s="457"/>
      <c r="T25" s="457"/>
      <c r="U25" s="457"/>
      <c r="V25" s="458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59" t="s">
        <v>142</v>
      </c>
      <c r="N26" s="460"/>
      <c r="O26" s="460"/>
      <c r="P26" s="460"/>
      <c r="Q26" s="460"/>
      <c r="R26" s="460"/>
      <c r="S26" s="460"/>
      <c r="T26" s="460"/>
      <c r="U26" s="460"/>
      <c r="V26" s="461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62"/>
      <c r="N27" s="463"/>
      <c r="O27" s="463"/>
      <c r="P27" s="463"/>
      <c r="Q27" s="463"/>
      <c r="R27" s="463"/>
      <c r="S27" s="463"/>
      <c r="T27" s="463"/>
      <c r="U27" s="463"/>
      <c r="V27" s="464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65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2"/>
      <c r="N34" s="463"/>
      <c r="O34" s="463"/>
      <c r="P34" s="463"/>
      <c r="Q34" s="463"/>
      <c r="R34" s="463"/>
      <c r="S34" s="463"/>
      <c r="T34" s="463"/>
      <c r="U34" s="463"/>
      <c r="V34" s="464"/>
    </row>
    <row r="35" spans="1:22" x14ac:dyDescent="0.25">
      <c r="A35" s="449"/>
      <c r="B35" s="53"/>
      <c r="C35" s="54"/>
      <c r="D35" s="54"/>
      <c r="E35" s="54"/>
      <c r="F35" s="55"/>
      <c r="G35" s="54"/>
      <c r="H35" s="54"/>
      <c r="I35" s="54"/>
      <c r="J35" s="55"/>
      <c r="K35" s="56"/>
      <c r="L35" s="57"/>
      <c r="M35" s="465"/>
      <c r="N35" s="466"/>
      <c r="O35" s="466"/>
      <c r="P35" s="466"/>
      <c r="Q35" s="466"/>
      <c r="R35" s="466"/>
      <c r="S35" s="466"/>
      <c r="T35" s="466"/>
      <c r="U35" s="466"/>
      <c r="V35" s="467"/>
    </row>
    <row r="36" spans="1:22" x14ac:dyDescent="0.25">
      <c r="A36" s="44"/>
      <c r="B36" s="47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18" x14ac:dyDescent="0.35">
      <c r="A37" s="58" t="s">
        <v>105</v>
      </c>
      <c r="B37" s="444"/>
      <c r="C37" s="444"/>
      <c r="D37" s="44"/>
      <c r="E37" s="44"/>
      <c r="G37" s="44"/>
      <c r="H37" s="44"/>
      <c r="I37" s="44"/>
      <c r="J37" s="59">
        <f>SUM(J13:J36)</f>
        <v>0</v>
      </c>
      <c r="K37" s="60">
        <f>SUM(K13:K36)</f>
        <v>5</v>
      </c>
      <c r="L37" s="61" t="s">
        <v>239</v>
      </c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x14ac:dyDescent="0.25">
      <c r="A38" s="44"/>
      <c r="B38" s="47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</row>
    <row r="39" spans="1:22" x14ac:dyDescent="0.25">
      <c r="A39" s="62" t="s">
        <v>143</v>
      </c>
      <c r="B39" s="63"/>
      <c r="C39" s="62"/>
      <c r="D39" s="62"/>
      <c r="E39" s="62"/>
      <c r="F39" s="62"/>
      <c r="G39" s="62"/>
      <c r="H39" s="62"/>
      <c r="I39" s="62"/>
      <c r="J39" s="445" t="s">
        <v>144</v>
      </c>
      <c r="K39" s="445"/>
      <c r="L39" s="445"/>
      <c r="M39" s="445"/>
      <c r="N39" s="445"/>
      <c r="O39" s="445"/>
      <c r="P39" s="445"/>
      <c r="Q39" s="445"/>
      <c r="R39" s="445"/>
      <c r="S39" s="445"/>
      <c r="T39" s="445"/>
      <c r="U39" s="445"/>
      <c r="V39" s="445"/>
    </row>
    <row r="40" spans="1:22" x14ac:dyDescent="0.25">
      <c r="A40" s="64" t="s">
        <v>89</v>
      </c>
      <c r="B40" s="445"/>
      <c r="C40" s="445"/>
      <c r="D40" s="445"/>
      <c r="E40" s="445"/>
      <c r="F40" s="445"/>
      <c r="G40" s="445"/>
      <c r="H40" s="445"/>
      <c r="I40" s="445"/>
      <c r="J40" s="445"/>
      <c r="K40" s="445"/>
      <c r="L40" s="445"/>
      <c r="M40" s="445"/>
      <c r="N40" s="445"/>
      <c r="O40" s="445"/>
      <c r="P40" s="445"/>
      <c r="Q40" s="445"/>
      <c r="R40" s="445"/>
      <c r="S40" s="445"/>
      <c r="T40" s="445"/>
      <c r="U40" s="445"/>
      <c r="V40" s="445"/>
    </row>
  </sheetData>
  <mergeCells count="28">
    <mergeCell ref="B37:C37"/>
    <mergeCell ref="J39:V40"/>
    <mergeCell ref="B40:I40"/>
    <mergeCell ref="K11:K12"/>
    <mergeCell ref="L11:L12"/>
    <mergeCell ref="M11:V12"/>
    <mergeCell ref="A13:A35"/>
    <mergeCell ref="M13:V25"/>
    <mergeCell ref="M26:V35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pageSetup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V41"/>
  <sheetViews>
    <sheetView topLeftCell="A9" zoomScaleNormal="100" workbookViewId="0">
      <selection activeCell="F26" sqref="F26"/>
    </sheetView>
  </sheetViews>
  <sheetFormatPr baseColWidth="10" defaultRowHeight="15" x14ac:dyDescent="0.25"/>
  <cols>
    <col min="1" max="1" width="91.7109375" customWidth="1"/>
    <col min="2" max="2" width="23.14062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53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248</v>
      </c>
      <c r="L9" s="445"/>
      <c r="M9" s="473" t="str">
        <f>+PRESUPUESTO!B41</f>
        <v xml:space="preserve">RETIRO DE MANIJAS DE PUERTA EXISTENTESY SUMINISTRO E INSTALCION DE CERRADURA  DE INCRUSTRAR DE TRES BULONES EN PUERTAS EXISTENTES  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133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140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/>
      <c r="B13" s="65"/>
      <c r="C13" s="54"/>
      <c r="D13" s="54"/>
      <c r="E13" s="54"/>
      <c r="F13" s="55"/>
      <c r="G13" s="54"/>
      <c r="H13" s="54"/>
      <c r="I13" s="54"/>
      <c r="J13" s="55"/>
      <c r="K13" s="56"/>
      <c r="L13" s="57" t="s">
        <v>136</v>
      </c>
      <c r="M13" s="453"/>
      <c r="N13" s="454"/>
      <c r="O13" s="454"/>
      <c r="P13" s="454"/>
      <c r="Q13" s="454"/>
      <c r="R13" s="454"/>
      <c r="S13" s="454"/>
      <c r="T13" s="454"/>
      <c r="U13" s="454"/>
      <c r="V13" s="455"/>
    </row>
    <row r="14" spans="1:22" x14ac:dyDescent="0.25">
      <c r="A14" s="449"/>
      <c r="B14" s="65"/>
      <c r="C14" s="54"/>
      <c r="D14" s="54"/>
      <c r="E14" s="54"/>
      <c r="F14" s="55"/>
      <c r="G14" s="54"/>
      <c r="H14" s="54"/>
      <c r="I14" s="54"/>
      <c r="J14" s="55"/>
      <c r="K14" s="56"/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 t="s">
        <v>249</v>
      </c>
      <c r="C15" s="54"/>
      <c r="D15" s="54"/>
      <c r="E15" s="54">
        <v>1</v>
      </c>
      <c r="F15" s="55"/>
      <c r="G15" s="54"/>
      <c r="H15" s="54"/>
      <c r="I15" s="54"/>
      <c r="J15" s="55"/>
      <c r="K15" s="56">
        <f t="shared" ref="K15:K20" si="0">+E15</f>
        <v>1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 t="s">
        <v>214</v>
      </c>
      <c r="C16" s="54"/>
      <c r="D16" s="54"/>
      <c r="E16" s="54">
        <v>1</v>
      </c>
      <c r="F16" s="55"/>
      <c r="G16" s="54"/>
      <c r="H16" s="54"/>
      <c r="I16" s="54"/>
      <c r="J16" s="55"/>
      <c r="K16" s="56">
        <f t="shared" ref="K16:K17" si="1">+E16</f>
        <v>1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 t="s">
        <v>215</v>
      </c>
      <c r="C17" s="54"/>
      <c r="D17" s="54"/>
      <c r="E17" s="54">
        <v>1</v>
      </c>
      <c r="F17" s="55"/>
      <c r="G17" s="54"/>
      <c r="H17" s="54"/>
      <c r="I17" s="54"/>
      <c r="J17" s="55"/>
      <c r="K17" s="56">
        <f t="shared" si="1"/>
        <v>1</v>
      </c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 t="s">
        <v>216</v>
      </c>
      <c r="C18" s="54"/>
      <c r="D18" s="54"/>
      <c r="E18" s="54">
        <v>1</v>
      </c>
      <c r="F18" s="55"/>
      <c r="G18" s="54"/>
      <c r="H18" s="54"/>
      <c r="I18" s="54"/>
      <c r="J18" s="55"/>
      <c r="K18" s="56">
        <f t="shared" si="0"/>
        <v>1</v>
      </c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65" t="s">
        <v>219</v>
      </c>
      <c r="C19" s="54"/>
      <c r="D19" s="54"/>
      <c r="E19" s="54">
        <v>1</v>
      </c>
      <c r="F19" s="55"/>
      <c r="G19" s="54"/>
      <c r="H19" s="54"/>
      <c r="I19" s="54"/>
      <c r="J19" s="55"/>
      <c r="K19" s="56">
        <f t="shared" si="0"/>
        <v>1</v>
      </c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ht="25.5" x14ac:dyDescent="0.25">
      <c r="A20" s="449"/>
      <c r="B20" s="53" t="s">
        <v>220</v>
      </c>
      <c r="C20" s="54"/>
      <c r="D20" s="54"/>
      <c r="E20" s="54">
        <v>1</v>
      </c>
      <c r="F20" s="55"/>
      <c r="G20" s="54"/>
      <c r="H20" s="54"/>
      <c r="I20" s="54"/>
      <c r="J20" s="55"/>
      <c r="K20" s="56">
        <f t="shared" si="0"/>
        <v>1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ht="25.5" x14ac:dyDescent="0.25">
      <c r="A21" s="449"/>
      <c r="B21" s="53" t="s">
        <v>482</v>
      </c>
      <c r="C21" s="54"/>
      <c r="D21" s="54"/>
      <c r="E21" s="54">
        <v>1</v>
      </c>
      <c r="F21" s="55"/>
      <c r="G21" s="54"/>
      <c r="H21" s="54"/>
      <c r="I21" s="54"/>
      <c r="J21" s="55"/>
      <c r="K21" s="56">
        <f t="shared" ref="K21:K22" si="2">+E21</f>
        <v>1</v>
      </c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 t="s">
        <v>661</v>
      </c>
      <c r="C22" s="54"/>
      <c r="D22" s="54"/>
      <c r="E22" s="54">
        <v>1</v>
      </c>
      <c r="F22" s="55"/>
      <c r="G22" s="54"/>
      <c r="H22" s="54"/>
      <c r="I22" s="54"/>
      <c r="J22" s="55"/>
      <c r="K22" s="56">
        <f t="shared" si="2"/>
        <v>1</v>
      </c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/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3"/>
      <c r="N24" s="454"/>
      <c r="O24" s="454"/>
      <c r="P24" s="454"/>
      <c r="Q24" s="454"/>
      <c r="R24" s="454"/>
      <c r="S24" s="454"/>
      <c r="T24" s="454"/>
      <c r="U24" s="454"/>
      <c r="V24" s="455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3"/>
      <c r="N25" s="454"/>
      <c r="O25" s="454"/>
      <c r="P25" s="454"/>
      <c r="Q25" s="454"/>
      <c r="R25" s="454"/>
      <c r="S25" s="454"/>
      <c r="T25" s="454"/>
      <c r="U25" s="454"/>
      <c r="V25" s="455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56"/>
      <c r="N26" s="457"/>
      <c r="O26" s="457"/>
      <c r="P26" s="457"/>
      <c r="Q26" s="457"/>
      <c r="R26" s="457"/>
      <c r="S26" s="457"/>
      <c r="T26" s="457"/>
      <c r="U26" s="457"/>
      <c r="V26" s="458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59" t="s">
        <v>142</v>
      </c>
      <c r="N27" s="460"/>
      <c r="O27" s="460"/>
      <c r="P27" s="460"/>
      <c r="Q27" s="460"/>
      <c r="R27" s="460"/>
      <c r="S27" s="460"/>
      <c r="T27" s="460"/>
      <c r="U27" s="460"/>
      <c r="V27" s="461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65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2"/>
      <c r="N34" s="463"/>
      <c r="O34" s="463"/>
      <c r="P34" s="463"/>
      <c r="Q34" s="463"/>
      <c r="R34" s="463"/>
      <c r="S34" s="463"/>
      <c r="T34" s="463"/>
      <c r="U34" s="463"/>
      <c r="V34" s="464"/>
    </row>
    <row r="35" spans="1:22" x14ac:dyDescent="0.25">
      <c r="A35" s="449"/>
      <c r="B35" s="65"/>
      <c r="C35" s="54"/>
      <c r="D35" s="54"/>
      <c r="E35" s="54"/>
      <c r="F35" s="55"/>
      <c r="G35" s="54"/>
      <c r="H35" s="54"/>
      <c r="I35" s="54"/>
      <c r="J35" s="55"/>
      <c r="K35" s="56"/>
      <c r="L35" s="57"/>
      <c r="M35" s="462"/>
      <c r="N35" s="463"/>
      <c r="O35" s="463"/>
      <c r="P35" s="463"/>
      <c r="Q35" s="463"/>
      <c r="R35" s="463"/>
      <c r="S35" s="463"/>
      <c r="T35" s="463"/>
      <c r="U35" s="463"/>
      <c r="V35" s="464"/>
    </row>
    <row r="36" spans="1:22" x14ac:dyDescent="0.25">
      <c r="A36" s="449"/>
      <c r="B36" s="53"/>
      <c r="C36" s="54"/>
      <c r="D36" s="54"/>
      <c r="E36" s="54"/>
      <c r="F36" s="55"/>
      <c r="G36" s="54"/>
      <c r="H36" s="54"/>
      <c r="I36" s="54"/>
      <c r="J36" s="55"/>
      <c r="K36" s="56"/>
      <c r="L36" s="57"/>
      <c r="M36" s="465"/>
      <c r="N36" s="466"/>
      <c r="O36" s="466"/>
      <c r="P36" s="466"/>
      <c r="Q36" s="466"/>
      <c r="R36" s="466"/>
      <c r="S36" s="466"/>
      <c r="T36" s="466"/>
      <c r="U36" s="466"/>
      <c r="V36" s="467"/>
    </row>
    <row r="37" spans="1:22" x14ac:dyDescent="0.25">
      <c r="A37" s="44"/>
      <c r="B37" s="47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ht="18" x14ac:dyDescent="0.35">
      <c r="A38" s="58" t="s">
        <v>105</v>
      </c>
      <c r="B38" s="444"/>
      <c r="C38" s="444"/>
      <c r="D38" s="44"/>
      <c r="E38" s="44"/>
      <c r="G38" s="44"/>
      <c r="H38" s="44"/>
      <c r="I38" s="44"/>
      <c r="J38" s="59">
        <f>SUM(J13:J37)</f>
        <v>0</v>
      </c>
      <c r="K38" s="60">
        <f>SUM(K13:K37)</f>
        <v>8</v>
      </c>
      <c r="L38" s="61" t="s">
        <v>239</v>
      </c>
      <c r="M38" s="44"/>
      <c r="N38" s="44"/>
      <c r="O38" s="44"/>
      <c r="P38" s="44"/>
      <c r="Q38" s="44"/>
      <c r="R38" s="44"/>
      <c r="S38" s="44"/>
      <c r="T38" s="44"/>
      <c r="U38" s="44"/>
      <c r="V38" s="44"/>
    </row>
    <row r="39" spans="1:22" x14ac:dyDescent="0.25">
      <c r="A39" s="44"/>
      <c r="B39" s="47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</row>
    <row r="40" spans="1:22" x14ac:dyDescent="0.25">
      <c r="A40" s="62" t="s">
        <v>143</v>
      </c>
      <c r="B40" s="63"/>
      <c r="C40" s="62"/>
      <c r="D40" s="62"/>
      <c r="E40" s="62"/>
      <c r="F40" s="62"/>
      <c r="G40" s="62"/>
      <c r="H40" s="62"/>
      <c r="I40" s="62"/>
      <c r="J40" s="445" t="s">
        <v>144</v>
      </c>
      <c r="K40" s="445"/>
      <c r="L40" s="445"/>
      <c r="M40" s="445"/>
      <c r="N40" s="445"/>
      <c r="O40" s="445"/>
      <c r="P40" s="445"/>
      <c r="Q40" s="445"/>
      <c r="R40" s="445"/>
      <c r="S40" s="445"/>
      <c r="T40" s="445"/>
      <c r="U40" s="445"/>
      <c r="V40" s="445"/>
    </row>
    <row r="41" spans="1:22" x14ac:dyDescent="0.25">
      <c r="A41" s="64" t="s">
        <v>89</v>
      </c>
      <c r="B41" s="445"/>
      <c r="C41" s="445"/>
      <c r="D41" s="445"/>
      <c r="E41" s="445"/>
      <c r="F41" s="445"/>
      <c r="G41" s="445"/>
      <c r="H41" s="445"/>
      <c r="I41" s="445"/>
      <c r="J41" s="445"/>
      <c r="K41" s="445"/>
      <c r="L41" s="445"/>
      <c r="M41" s="445"/>
      <c r="N41" s="445"/>
      <c r="O41" s="445"/>
      <c r="P41" s="445"/>
      <c r="Q41" s="445"/>
      <c r="R41" s="445"/>
      <c r="S41" s="445"/>
      <c r="T41" s="445"/>
      <c r="U41" s="445"/>
      <c r="V41" s="445"/>
    </row>
  </sheetData>
  <mergeCells count="28">
    <mergeCell ref="B38:C38"/>
    <mergeCell ref="J40:V41"/>
    <mergeCell ref="B41:I41"/>
    <mergeCell ref="K11:K12"/>
    <mergeCell ref="L11:L12"/>
    <mergeCell ref="M11:V12"/>
    <mergeCell ref="A13:A36"/>
    <mergeCell ref="M13:V26"/>
    <mergeCell ref="M27:V36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V41"/>
  <sheetViews>
    <sheetView topLeftCell="A9" zoomScaleNormal="100" workbookViewId="0">
      <selection activeCell="B15" sqref="B15:K23"/>
    </sheetView>
  </sheetViews>
  <sheetFormatPr baseColWidth="10" defaultRowHeight="15" x14ac:dyDescent="0.25"/>
  <cols>
    <col min="1" max="1" width="91.7109375" customWidth="1"/>
    <col min="2" max="2" width="23.14062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53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378</v>
      </c>
      <c r="L9" s="445"/>
      <c r="M9" s="473" t="str">
        <f>+PRESUPUESTO!B42</f>
        <v>RETIRO DE MANIJA DE PUERTA EXISTENTE DE ACCESO PRINCIPAL Y SUMINISTRO E INSTALCION DE MANIJA TIPO CERRADURA INCRUSTAR 4 BULONES ROSETA BARI
 EN PUERTA ACCESO PRINCIAPAL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133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140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/>
      <c r="B13" s="65"/>
      <c r="C13" s="54"/>
      <c r="D13" s="54"/>
      <c r="E13" s="54"/>
      <c r="F13" s="55"/>
      <c r="G13" s="54"/>
      <c r="H13" s="54"/>
      <c r="I13" s="54"/>
      <c r="J13" s="55"/>
      <c r="K13" s="56"/>
      <c r="L13" s="57" t="s">
        <v>136</v>
      </c>
      <c r="M13" s="453"/>
      <c r="N13" s="454"/>
      <c r="O13" s="454"/>
      <c r="P13" s="454"/>
      <c r="Q13" s="454"/>
      <c r="R13" s="454"/>
      <c r="S13" s="454"/>
      <c r="T13" s="454"/>
      <c r="U13" s="454"/>
      <c r="V13" s="455"/>
    </row>
    <row r="14" spans="1:22" x14ac:dyDescent="0.25">
      <c r="A14" s="449"/>
      <c r="B14" s="65" t="s">
        <v>212</v>
      </c>
      <c r="C14" s="54"/>
      <c r="D14" s="54"/>
      <c r="E14" s="54">
        <v>1</v>
      </c>
      <c r="F14" s="55"/>
      <c r="G14" s="54"/>
      <c r="H14" s="54"/>
      <c r="I14" s="54"/>
      <c r="J14" s="55"/>
      <c r="K14" s="56">
        <f>+E14</f>
        <v>1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/>
      <c r="C15" s="54"/>
      <c r="D15" s="54"/>
      <c r="E15" s="54"/>
      <c r="F15" s="55"/>
      <c r="G15" s="54"/>
      <c r="H15" s="54"/>
      <c r="I15" s="54"/>
      <c r="J15" s="55"/>
      <c r="K15" s="56"/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/>
      <c r="C16" s="54"/>
      <c r="D16" s="54"/>
      <c r="E16" s="54"/>
      <c r="F16" s="55"/>
      <c r="G16" s="54"/>
      <c r="H16" s="54"/>
      <c r="I16" s="54"/>
      <c r="J16" s="55"/>
      <c r="K16" s="56"/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/>
      <c r="C17" s="54"/>
      <c r="D17" s="54"/>
      <c r="E17" s="54"/>
      <c r="F17" s="55"/>
      <c r="G17" s="54"/>
      <c r="H17" s="54"/>
      <c r="I17" s="54"/>
      <c r="J17" s="55"/>
      <c r="K17" s="56"/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/>
      <c r="C18" s="54"/>
      <c r="D18" s="54"/>
      <c r="E18" s="54"/>
      <c r="F18" s="55"/>
      <c r="G18" s="54"/>
      <c r="H18" s="54"/>
      <c r="I18" s="54"/>
      <c r="J18" s="55"/>
      <c r="K18" s="56"/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65"/>
      <c r="C19" s="54"/>
      <c r="D19" s="54"/>
      <c r="E19" s="54"/>
      <c r="F19" s="55"/>
      <c r="G19" s="54"/>
      <c r="H19" s="54"/>
      <c r="I19" s="54"/>
      <c r="J19" s="55"/>
      <c r="K19" s="56"/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x14ac:dyDescent="0.25">
      <c r="A20" s="449"/>
      <c r="B20" s="53"/>
      <c r="C20" s="54"/>
      <c r="D20" s="54"/>
      <c r="E20" s="54"/>
      <c r="F20" s="55"/>
      <c r="G20" s="54"/>
      <c r="H20" s="54"/>
      <c r="I20" s="54"/>
      <c r="J20" s="55"/>
      <c r="K20" s="56"/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/>
      <c r="C21" s="54"/>
      <c r="D21" s="54"/>
      <c r="E21" s="54"/>
      <c r="F21" s="55"/>
      <c r="G21" s="54"/>
      <c r="H21" s="54"/>
      <c r="I21" s="54"/>
      <c r="J21" s="55"/>
      <c r="K21" s="56"/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/>
      <c r="C22" s="54"/>
      <c r="D22" s="54"/>
      <c r="E22" s="54"/>
      <c r="F22" s="55"/>
      <c r="G22" s="54"/>
      <c r="H22" s="54"/>
      <c r="I22" s="54"/>
      <c r="J22" s="55"/>
      <c r="K22" s="56"/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/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3"/>
      <c r="N24" s="454"/>
      <c r="O24" s="454"/>
      <c r="P24" s="454"/>
      <c r="Q24" s="454"/>
      <c r="R24" s="454"/>
      <c r="S24" s="454"/>
      <c r="T24" s="454"/>
      <c r="U24" s="454"/>
      <c r="V24" s="455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3"/>
      <c r="N25" s="454"/>
      <c r="O25" s="454"/>
      <c r="P25" s="454"/>
      <c r="Q25" s="454"/>
      <c r="R25" s="454"/>
      <c r="S25" s="454"/>
      <c r="T25" s="454"/>
      <c r="U25" s="454"/>
      <c r="V25" s="455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56"/>
      <c r="N26" s="457"/>
      <c r="O26" s="457"/>
      <c r="P26" s="457"/>
      <c r="Q26" s="457"/>
      <c r="R26" s="457"/>
      <c r="S26" s="457"/>
      <c r="T26" s="457"/>
      <c r="U26" s="457"/>
      <c r="V26" s="458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59" t="s">
        <v>142</v>
      </c>
      <c r="N27" s="460"/>
      <c r="O27" s="460"/>
      <c r="P27" s="460"/>
      <c r="Q27" s="460"/>
      <c r="R27" s="460"/>
      <c r="S27" s="460"/>
      <c r="T27" s="460"/>
      <c r="U27" s="460"/>
      <c r="V27" s="461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65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2"/>
      <c r="N34" s="463"/>
      <c r="O34" s="463"/>
      <c r="P34" s="463"/>
      <c r="Q34" s="463"/>
      <c r="R34" s="463"/>
      <c r="S34" s="463"/>
      <c r="T34" s="463"/>
      <c r="U34" s="463"/>
      <c r="V34" s="464"/>
    </row>
    <row r="35" spans="1:22" x14ac:dyDescent="0.25">
      <c r="A35" s="449"/>
      <c r="B35" s="65"/>
      <c r="C35" s="54"/>
      <c r="D35" s="54"/>
      <c r="E35" s="54"/>
      <c r="F35" s="55"/>
      <c r="G35" s="54"/>
      <c r="H35" s="54"/>
      <c r="I35" s="54"/>
      <c r="J35" s="55"/>
      <c r="K35" s="56"/>
      <c r="L35" s="57"/>
      <c r="M35" s="462"/>
      <c r="N35" s="463"/>
      <c r="O35" s="463"/>
      <c r="P35" s="463"/>
      <c r="Q35" s="463"/>
      <c r="R35" s="463"/>
      <c r="S35" s="463"/>
      <c r="T35" s="463"/>
      <c r="U35" s="463"/>
      <c r="V35" s="464"/>
    </row>
    <row r="36" spans="1:22" x14ac:dyDescent="0.25">
      <c r="A36" s="449"/>
      <c r="B36" s="53"/>
      <c r="C36" s="54"/>
      <c r="D36" s="54"/>
      <c r="E36" s="54"/>
      <c r="F36" s="55"/>
      <c r="G36" s="54"/>
      <c r="H36" s="54"/>
      <c r="I36" s="54"/>
      <c r="J36" s="55"/>
      <c r="K36" s="56"/>
      <c r="L36" s="57"/>
      <c r="M36" s="465"/>
      <c r="N36" s="466"/>
      <c r="O36" s="466"/>
      <c r="P36" s="466"/>
      <c r="Q36" s="466"/>
      <c r="R36" s="466"/>
      <c r="S36" s="466"/>
      <c r="T36" s="466"/>
      <c r="U36" s="466"/>
      <c r="V36" s="467"/>
    </row>
    <row r="37" spans="1:22" x14ac:dyDescent="0.25">
      <c r="A37" s="44"/>
      <c r="B37" s="47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ht="18" x14ac:dyDescent="0.35">
      <c r="A38" s="58" t="s">
        <v>105</v>
      </c>
      <c r="B38" s="444"/>
      <c r="C38" s="444"/>
      <c r="D38" s="44"/>
      <c r="E38" s="44"/>
      <c r="G38" s="44"/>
      <c r="H38" s="44"/>
      <c r="I38" s="44"/>
      <c r="J38" s="59">
        <f>SUM(J13:J37)</f>
        <v>0</v>
      </c>
      <c r="K38" s="60">
        <f>SUM(K13:K37)</f>
        <v>1</v>
      </c>
      <c r="L38" s="61" t="s">
        <v>239</v>
      </c>
      <c r="M38" s="44"/>
      <c r="N38" s="44"/>
      <c r="O38" s="44"/>
      <c r="P38" s="44"/>
      <c r="Q38" s="44"/>
      <c r="R38" s="44"/>
      <c r="S38" s="44"/>
      <c r="T38" s="44"/>
      <c r="U38" s="44"/>
      <c r="V38" s="44"/>
    </row>
    <row r="39" spans="1:22" x14ac:dyDescent="0.25">
      <c r="A39" s="44"/>
      <c r="B39" s="47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</row>
    <row r="40" spans="1:22" x14ac:dyDescent="0.25">
      <c r="A40" s="62" t="s">
        <v>143</v>
      </c>
      <c r="B40" s="63"/>
      <c r="C40" s="62"/>
      <c r="D40" s="62"/>
      <c r="E40" s="62"/>
      <c r="F40" s="62"/>
      <c r="G40" s="62"/>
      <c r="H40" s="62"/>
      <c r="I40" s="62"/>
      <c r="J40" s="445" t="s">
        <v>144</v>
      </c>
      <c r="K40" s="445"/>
      <c r="L40" s="445"/>
      <c r="M40" s="445"/>
      <c r="N40" s="445"/>
      <c r="O40" s="445"/>
      <c r="P40" s="445"/>
      <c r="Q40" s="445"/>
      <c r="R40" s="445"/>
      <c r="S40" s="445"/>
      <c r="T40" s="445"/>
      <c r="U40" s="445"/>
      <c r="V40" s="445"/>
    </row>
    <row r="41" spans="1:22" x14ac:dyDescent="0.25">
      <c r="A41" s="64" t="s">
        <v>89</v>
      </c>
      <c r="B41" s="445"/>
      <c r="C41" s="445"/>
      <c r="D41" s="445"/>
      <c r="E41" s="445"/>
      <c r="F41" s="445"/>
      <c r="G41" s="445"/>
      <c r="H41" s="445"/>
      <c r="I41" s="445"/>
      <c r="J41" s="445"/>
      <c r="K41" s="445"/>
      <c r="L41" s="445"/>
      <c r="M41" s="445"/>
      <c r="N41" s="445"/>
      <c r="O41" s="445"/>
      <c r="P41" s="445"/>
      <c r="Q41" s="445"/>
      <c r="R41" s="445"/>
      <c r="S41" s="445"/>
      <c r="T41" s="445"/>
      <c r="U41" s="445"/>
      <c r="V41" s="445"/>
    </row>
  </sheetData>
  <mergeCells count="28">
    <mergeCell ref="A1:A3"/>
    <mergeCell ref="B1:R3"/>
    <mergeCell ref="S1:V3"/>
    <mergeCell ref="B5:I5"/>
    <mergeCell ref="K5:L5"/>
    <mergeCell ref="M5:V5"/>
    <mergeCell ref="B6:I6"/>
    <mergeCell ref="K6:L6"/>
    <mergeCell ref="M6:V6"/>
    <mergeCell ref="B7:I7"/>
    <mergeCell ref="B9:I9"/>
    <mergeCell ref="K9:L9"/>
    <mergeCell ref="M9:V9"/>
    <mergeCell ref="A13:A36"/>
    <mergeCell ref="M13:V26"/>
    <mergeCell ref="M27:V36"/>
    <mergeCell ref="A11:A12"/>
    <mergeCell ref="B11:B12"/>
    <mergeCell ref="C11:E11"/>
    <mergeCell ref="F11:F12"/>
    <mergeCell ref="G11:I11"/>
    <mergeCell ref="J11:J12"/>
    <mergeCell ref="B38:C38"/>
    <mergeCell ref="J40:V41"/>
    <mergeCell ref="B41:I41"/>
    <mergeCell ref="K11:K12"/>
    <mergeCell ref="L11:L12"/>
    <mergeCell ref="M11:V12"/>
  </mergeCells>
  <pageMargins left="0.7" right="0.7" top="0.75" bottom="0.75" header="0.3" footer="0.3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V39"/>
  <sheetViews>
    <sheetView zoomScaleNormal="100" workbookViewId="0">
      <selection activeCell="B14" sqref="B14:K15"/>
    </sheetView>
  </sheetViews>
  <sheetFormatPr baseColWidth="10" defaultRowHeight="15" x14ac:dyDescent="0.25"/>
  <cols>
    <col min="1" max="1" width="91.7109375" customWidth="1"/>
    <col min="2" max="2" width="27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53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250</v>
      </c>
      <c r="L9" s="445"/>
      <c r="M9" s="473" t="str">
        <f>+PRESUPUESTO!B43</f>
        <v>SUMINISTRO EN INSTALACION DE MAMPOSTERIA PARA SELLO DE MUROS EN BAÑOS EN CUCHILLA  EN BLOQUE No 4 MORTERO 1:4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133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140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/>
      <c r="B13" s="65"/>
      <c r="C13" s="54"/>
      <c r="D13" s="54"/>
      <c r="E13" s="54"/>
      <c r="F13" s="55"/>
      <c r="G13" s="54"/>
      <c r="H13" s="54"/>
      <c r="I13" s="54"/>
      <c r="J13" s="55"/>
      <c r="K13" s="56"/>
      <c r="L13" s="57" t="s">
        <v>136</v>
      </c>
      <c r="M13" s="453"/>
      <c r="N13" s="454"/>
      <c r="O13" s="454"/>
      <c r="P13" s="454"/>
      <c r="Q13" s="454"/>
      <c r="R13" s="454"/>
      <c r="S13" s="454"/>
      <c r="T13" s="454"/>
      <c r="U13" s="454"/>
      <c r="V13" s="455"/>
    </row>
    <row r="14" spans="1:22" x14ac:dyDescent="0.25">
      <c r="A14" s="449"/>
      <c r="B14" s="65" t="s">
        <v>251</v>
      </c>
      <c r="C14" s="54">
        <v>2.9</v>
      </c>
      <c r="D14" s="54">
        <v>0.5</v>
      </c>
      <c r="E14" s="54">
        <v>2</v>
      </c>
      <c r="F14" s="55"/>
      <c r="G14" s="54"/>
      <c r="H14" s="54"/>
      <c r="I14" s="54"/>
      <c r="J14" s="55"/>
      <c r="K14" s="56">
        <f>+C14*D14/E14</f>
        <v>0.72499999999999998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 t="s">
        <v>252</v>
      </c>
      <c r="C15" s="54">
        <v>1.39</v>
      </c>
      <c r="D15" s="54">
        <v>0.56999999999999995</v>
      </c>
      <c r="E15" s="54"/>
      <c r="F15" s="55"/>
      <c r="G15" s="54"/>
      <c r="H15" s="54"/>
      <c r="I15" s="54"/>
      <c r="J15" s="55"/>
      <c r="K15" s="56">
        <f>+C15*D15</f>
        <v>0.79229999999999989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/>
      <c r="C16" s="54"/>
      <c r="D16" s="54"/>
      <c r="E16" s="54"/>
      <c r="F16" s="55"/>
      <c r="G16" s="54"/>
      <c r="H16" s="54"/>
      <c r="I16" s="54"/>
      <c r="J16" s="55"/>
      <c r="K16" s="56">
        <f t="shared" ref="K16:K22" si="0">+F16</f>
        <v>0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/>
      <c r="C17" s="54"/>
      <c r="D17" s="54"/>
      <c r="E17" s="54"/>
      <c r="F17" s="55"/>
      <c r="G17" s="54"/>
      <c r="H17" s="54"/>
      <c r="I17" s="54"/>
      <c r="J17" s="55"/>
      <c r="K17" s="56">
        <f t="shared" si="0"/>
        <v>0</v>
      </c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/>
      <c r="C18" s="54"/>
      <c r="D18" s="54"/>
      <c r="E18" s="54"/>
      <c r="F18" s="55"/>
      <c r="G18" s="54"/>
      <c r="H18" s="54"/>
      <c r="I18" s="54"/>
      <c r="J18" s="55"/>
      <c r="K18" s="56">
        <f t="shared" si="0"/>
        <v>0</v>
      </c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65"/>
      <c r="C19" s="54"/>
      <c r="D19" s="54"/>
      <c r="E19" s="54"/>
      <c r="F19" s="55"/>
      <c r="G19" s="54"/>
      <c r="H19" s="54"/>
      <c r="I19" s="54"/>
      <c r="J19" s="55"/>
      <c r="K19" s="56">
        <f t="shared" si="0"/>
        <v>0</v>
      </c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x14ac:dyDescent="0.25">
      <c r="A20" s="449"/>
      <c r="B20" s="65"/>
      <c r="C20" s="54"/>
      <c r="D20" s="54"/>
      <c r="E20" s="54"/>
      <c r="F20" s="55"/>
      <c r="G20" s="54"/>
      <c r="H20" s="54"/>
      <c r="I20" s="54"/>
      <c r="J20" s="55"/>
      <c r="K20" s="56">
        <f t="shared" si="0"/>
        <v>0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/>
      <c r="C21" s="54"/>
      <c r="D21" s="54"/>
      <c r="E21" s="54"/>
      <c r="F21" s="55"/>
      <c r="G21" s="54"/>
      <c r="H21" s="54"/>
      <c r="I21" s="54"/>
      <c r="J21" s="55"/>
      <c r="K21" s="56">
        <f t="shared" si="0"/>
        <v>0</v>
      </c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/>
      <c r="C22" s="54"/>
      <c r="D22" s="54"/>
      <c r="E22" s="54"/>
      <c r="F22" s="55"/>
      <c r="G22" s="54"/>
      <c r="H22" s="54"/>
      <c r="I22" s="54"/>
      <c r="J22" s="55"/>
      <c r="K22" s="56">
        <f t="shared" si="0"/>
        <v>0</v>
      </c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/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6"/>
      <c r="N24" s="457"/>
      <c r="O24" s="457"/>
      <c r="P24" s="457"/>
      <c r="Q24" s="457"/>
      <c r="R24" s="457"/>
      <c r="S24" s="457"/>
      <c r="T24" s="457"/>
      <c r="U24" s="457"/>
      <c r="V24" s="458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9" t="s">
        <v>142</v>
      </c>
      <c r="N25" s="460"/>
      <c r="O25" s="460"/>
      <c r="P25" s="460"/>
      <c r="Q25" s="460"/>
      <c r="R25" s="460"/>
      <c r="S25" s="460"/>
      <c r="T25" s="460"/>
      <c r="U25" s="460"/>
      <c r="V25" s="461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62"/>
      <c r="N26" s="463"/>
      <c r="O26" s="463"/>
      <c r="P26" s="463"/>
      <c r="Q26" s="463"/>
      <c r="R26" s="463"/>
      <c r="S26" s="463"/>
      <c r="T26" s="463"/>
      <c r="U26" s="463"/>
      <c r="V26" s="464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62"/>
      <c r="N27" s="463"/>
      <c r="O27" s="463"/>
      <c r="P27" s="463"/>
      <c r="Q27" s="463"/>
      <c r="R27" s="463"/>
      <c r="S27" s="463"/>
      <c r="T27" s="463"/>
      <c r="U27" s="463"/>
      <c r="V27" s="464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53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5"/>
      <c r="N34" s="466"/>
      <c r="O34" s="466"/>
      <c r="P34" s="466"/>
      <c r="Q34" s="466"/>
      <c r="R34" s="466"/>
      <c r="S34" s="466"/>
      <c r="T34" s="466"/>
      <c r="U34" s="466"/>
      <c r="V34" s="467"/>
    </row>
    <row r="35" spans="1:22" x14ac:dyDescent="0.25">
      <c r="A35" s="44"/>
      <c r="B35" s="47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</row>
    <row r="36" spans="1:22" ht="18" x14ac:dyDescent="0.35">
      <c r="A36" s="58" t="s">
        <v>105</v>
      </c>
      <c r="B36" s="444"/>
      <c r="C36" s="444"/>
      <c r="D36" s="44"/>
      <c r="E36" s="44"/>
      <c r="G36" s="44"/>
      <c r="H36" s="44"/>
      <c r="I36" s="44"/>
      <c r="J36" s="59">
        <f>SUM(J13:J35)</f>
        <v>0</v>
      </c>
      <c r="K36" s="60">
        <f>SUM(K13:K35)</f>
        <v>1.5172999999999999</v>
      </c>
      <c r="L36" s="61" t="s">
        <v>239</v>
      </c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x14ac:dyDescent="0.25">
      <c r="A37" s="44"/>
      <c r="B37" s="47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x14ac:dyDescent="0.25">
      <c r="A38" s="62" t="s">
        <v>143</v>
      </c>
      <c r="B38" s="63"/>
      <c r="C38" s="62"/>
      <c r="D38" s="62"/>
      <c r="E38" s="62"/>
      <c r="F38" s="62"/>
      <c r="G38" s="62"/>
      <c r="H38" s="62"/>
      <c r="I38" s="62"/>
      <c r="J38" s="445" t="s">
        <v>144</v>
      </c>
      <c r="K38" s="445"/>
      <c r="L38" s="445"/>
      <c r="M38" s="445"/>
      <c r="N38" s="445"/>
      <c r="O38" s="445"/>
      <c r="P38" s="445"/>
      <c r="Q38" s="445"/>
      <c r="R38" s="445"/>
      <c r="S38" s="445"/>
      <c r="T38" s="445"/>
      <c r="U38" s="445"/>
      <c r="V38" s="445"/>
    </row>
    <row r="39" spans="1:22" x14ac:dyDescent="0.25">
      <c r="A39" s="64" t="s">
        <v>89</v>
      </c>
      <c r="B39" s="445"/>
      <c r="C39" s="445"/>
      <c r="D39" s="445"/>
      <c r="E39" s="445"/>
      <c r="F39" s="445"/>
      <c r="G39" s="445"/>
      <c r="H39" s="445"/>
      <c r="I39" s="445"/>
      <c r="J39" s="445"/>
      <c r="K39" s="445"/>
      <c r="L39" s="445"/>
      <c r="M39" s="445"/>
      <c r="N39" s="445"/>
      <c r="O39" s="445"/>
      <c r="P39" s="445"/>
      <c r="Q39" s="445"/>
      <c r="R39" s="445"/>
      <c r="S39" s="445"/>
      <c r="T39" s="445"/>
      <c r="U39" s="445"/>
      <c r="V39" s="445"/>
    </row>
  </sheetData>
  <mergeCells count="28">
    <mergeCell ref="B36:C36"/>
    <mergeCell ref="J38:V39"/>
    <mergeCell ref="B39:I39"/>
    <mergeCell ref="K11:K12"/>
    <mergeCell ref="L11:L12"/>
    <mergeCell ref="M11:V12"/>
    <mergeCell ref="A13:A34"/>
    <mergeCell ref="M13:V24"/>
    <mergeCell ref="M25:V34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V39"/>
  <sheetViews>
    <sheetView topLeftCell="A9" zoomScaleNormal="100" workbookViewId="0">
      <selection activeCell="B26" sqref="B26"/>
    </sheetView>
  </sheetViews>
  <sheetFormatPr baseColWidth="10" defaultRowHeight="15" x14ac:dyDescent="0.25"/>
  <cols>
    <col min="1" max="1" width="91.7109375" customWidth="1"/>
    <col min="2" max="2" width="27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53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391</v>
      </c>
      <c r="L9" s="445"/>
      <c r="M9" s="473" t="str">
        <f>+PRESUPUESTO!B44</f>
        <v xml:space="preserve">SUMINISTRO E  INSTALACION DE FLANCHE CAL 26 EN LAMINA GALVANIZADA SEGÚN DISEÑO INCLUYE CORTE  EN MURO Y SELLO EN SILICONA 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133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140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/>
      <c r="B13" s="65"/>
      <c r="C13" s="54"/>
      <c r="D13" s="54"/>
      <c r="E13" s="54"/>
      <c r="F13" s="55"/>
      <c r="G13" s="54"/>
      <c r="H13" s="54"/>
      <c r="I13" s="54"/>
      <c r="J13" s="55"/>
      <c r="K13" s="56"/>
      <c r="L13" s="57" t="s">
        <v>136</v>
      </c>
      <c r="M13" s="453"/>
      <c r="N13" s="454"/>
      <c r="O13" s="454"/>
      <c r="P13" s="454"/>
      <c r="Q13" s="454"/>
      <c r="R13" s="454"/>
      <c r="S13" s="454"/>
      <c r="T13" s="454"/>
      <c r="U13" s="454"/>
      <c r="V13" s="455"/>
    </row>
    <row r="14" spans="1:22" x14ac:dyDescent="0.25">
      <c r="A14" s="449"/>
      <c r="B14" s="65" t="s">
        <v>392</v>
      </c>
      <c r="C14" s="54">
        <f>1+1.95+1.4+1.95+0.72+0.89+1.73+2+1.68</f>
        <v>13.319999999999999</v>
      </c>
      <c r="D14" s="54"/>
      <c r="E14" s="54"/>
      <c r="F14" s="55"/>
      <c r="G14" s="54"/>
      <c r="H14" s="54"/>
      <c r="I14" s="54"/>
      <c r="J14" s="55"/>
      <c r="K14" s="56">
        <f>+C14</f>
        <v>13.319999999999999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 t="s">
        <v>207</v>
      </c>
      <c r="C15" s="54">
        <f>1.57+1.83+1.84+2.08+0.34+1.16+0.37+1.16+0.89+1.69+0.33</f>
        <v>13.26</v>
      </c>
      <c r="D15" s="54"/>
      <c r="E15" s="54"/>
      <c r="F15" s="55"/>
      <c r="G15" s="54"/>
      <c r="H15" s="54"/>
      <c r="I15" s="54"/>
      <c r="J15" s="55"/>
      <c r="K15" s="56">
        <f>+C15</f>
        <v>13.26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/>
      <c r="C16" s="66"/>
      <c r="D16" s="54"/>
      <c r="E16" s="54"/>
      <c r="F16" s="55"/>
      <c r="G16" s="54"/>
      <c r="H16" s="54"/>
      <c r="I16" s="54"/>
      <c r="J16" s="55"/>
      <c r="K16" s="56">
        <f t="shared" ref="K16:K22" si="0">+F16</f>
        <v>0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/>
      <c r="C17" s="66"/>
      <c r="D17" s="54"/>
      <c r="E17" s="54"/>
      <c r="F17" s="55"/>
      <c r="G17" s="54"/>
      <c r="H17" s="54"/>
      <c r="I17" s="54"/>
      <c r="J17" s="55"/>
      <c r="K17" s="56">
        <f t="shared" si="0"/>
        <v>0</v>
      </c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/>
      <c r="C18" s="66"/>
      <c r="D18" s="54"/>
      <c r="E18" s="54"/>
      <c r="F18" s="55"/>
      <c r="G18" s="54"/>
      <c r="H18" s="54"/>
      <c r="I18" s="54"/>
      <c r="J18" s="55"/>
      <c r="K18" s="56">
        <f t="shared" si="0"/>
        <v>0</v>
      </c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65"/>
      <c r="D19" s="54"/>
      <c r="E19" s="54"/>
      <c r="F19" s="55"/>
      <c r="G19" s="54"/>
      <c r="H19" s="54"/>
      <c r="I19" s="54"/>
      <c r="J19" s="55"/>
      <c r="K19" s="56">
        <f t="shared" si="0"/>
        <v>0</v>
      </c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x14ac:dyDescent="0.25">
      <c r="A20" s="449"/>
      <c r="B20" s="65"/>
      <c r="C20" s="54"/>
      <c r="D20" s="54"/>
      <c r="E20" s="54"/>
      <c r="F20" s="55"/>
      <c r="G20" s="54"/>
      <c r="H20" s="54"/>
      <c r="I20" s="54"/>
      <c r="J20" s="55"/>
      <c r="K20" s="56">
        <f t="shared" si="0"/>
        <v>0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/>
      <c r="C21" s="54"/>
      <c r="D21" s="54"/>
      <c r="E21" s="54"/>
      <c r="F21" s="55"/>
      <c r="G21" s="54"/>
      <c r="H21" s="54"/>
      <c r="I21" s="54"/>
      <c r="J21" s="55"/>
      <c r="K21" s="56">
        <f t="shared" si="0"/>
        <v>0</v>
      </c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/>
      <c r="C22" s="54"/>
      <c r="D22" s="54"/>
      <c r="E22" s="54"/>
      <c r="F22" s="55"/>
      <c r="G22" s="54"/>
      <c r="H22" s="54"/>
      <c r="I22" s="54"/>
      <c r="J22" s="55"/>
      <c r="K22" s="56">
        <f t="shared" si="0"/>
        <v>0</v>
      </c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/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6"/>
      <c r="N24" s="457"/>
      <c r="O24" s="457"/>
      <c r="P24" s="457"/>
      <c r="Q24" s="457"/>
      <c r="R24" s="457"/>
      <c r="S24" s="457"/>
      <c r="T24" s="457"/>
      <c r="U24" s="457"/>
      <c r="V24" s="458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9" t="s">
        <v>142</v>
      </c>
      <c r="N25" s="460"/>
      <c r="O25" s="460"/>
      <c r="P25" s="460"/>
      <c r="Q25" s="460"/>
      <c r="R25" s="460"/>
      <c r="S25" s="460"/>
      <c r="T25" s="460"/>
      <c r="U25" s="460"/>
      <c r="V25" s="461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62"/>
      <c r="N26" s="463"/>
      <c r="O26" s="463"/>
      <c r="P26" s="463"/>
      <c r="Q26" s="463"/>
      <c r="R26" s="463"/>
      <c r="S26" s="463"/>
      <c r="T26" s="463"/>
      <c r="U26" s="463"/>
      <c r="V26" s="464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62"/>
      <c r="N27" s="463"/>
      <c r="O27" s="463"/>
      <c r="P27" s="463"/>
      <c r="Q27" s="463"/>
      <c r="R27" s="463"/>
      <c r="S27" s="463"/>
      <c r="T27" s="463"/>
      <c r="U27" s="463"/>
      <c r="V27" s="464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53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5"/>
      <c r="N34" s="466"/>
      <c r="O34" s="466"/>
      <c r="P34" s="466"/>
      <c r="Q34" s="466"/>
      <c r="R34" s="466"/>
      <c r="S34" s="466"/>
      <c r="T34" s="466"/>
      <c r="U34" s="466"/>
      <c r="V34" s="467"/>
    </row>
    <row r="35" spans="1:22" x14ac:dyDescent="0.25">
      <c r="A35" s="44"/>
      <c r="B35" s="47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</row>
    <row r="36" spans="1:22" ht="18" x14ac:dyDescent="0.35">
      <c r="A36" s="58" t="s">
        <v>105</v>
      </c>
      <c r="B36" s="444"/>
      <c r="C36" s="444"/>
      <c r="D36" s="44"/>
      <c r="E36" s="44"/>
      <c r="G36" s="44"/>
      <c r="H36" s="44"/>
      <c r="I36" s="44"/>
      <c r="J36" s="59">
        <f>SUM(J13:J35)</f>
        <v>0</v>
      </c>
      <c r="K36" s="60">
        <f>SUM(K13:K35)</f>
        <v>26.58</v>
      </c>
      <c r="L36" s="61" t="s">
        <v>239</v>
      </c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x14ac:dyDescent="0.25">
      <c r="A37" s="44"/>
      <c r="B37" s="47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x14ac:dyDescent="0.25">
      <c r="A38" s="62" t="s">
        <v>143</v>
      </c>
      <c r="B38" s="63"/>
      <c r="C38" s="62"/>
      <c r="D38" s="62"/>
      <c r="E38" s="62"/>
      <c r="F38" s="62"/>
      <c r="G38" s="62"/>
      <c r="H38" s="62"/>
      <c r="I38" s="62"/>
      <c r="J38" s="445" t="s">
        <v>144</v>
      </c>
      <c r="K38" s="445"/>
      <c r="L38" s="445"/>
      <c r="M38" s="445"/>
      <c r="N38" s="445"/>
      <c r="O38" s="445"/>
      <c r="P38" s="445"/>
      <c r="Q38" s="445"/>
      <c r="R38" s="445"/>
      <c r="S38" s="445"/>
      <c r="T38" s="445"/>
      <c r="U38" s="445"/>
      <c r="V38" s="445"/>
    </row>
    <row r="39" spans="1:22" x14ac:dyDescent="0.25">
      <c r="A39" s="64" t="s">
        <v>89</v>
      </c>
      <c r="B39" s="445"/>
      <c r="C39" s="445"/>
      <c r="D39" s="445"/>
      <c r="E39" s="445"/>
      <c r="F39" s="445"/>
      <c r="G39" s="445"/>
      <c r="H39" s="445"/>
      <c r="I39" s="445"/>
      <c r="J39" s="445"/>
      <c r="K39" s="445"/>
      <c r="L39" s="445"/>
      <c r="M39" s="445"/>
      <c r="N39" s="445"/>
      <c r="O39" s="445"/>
      <c r="P39" s="445"/>
      <c r="Q39" s="445"/>
      <c r="R39" s="445"/>
      <c r="S39" s="445"/>
      <c r="T39" s="445"/>
      <c r="U39" s="445"/>
      <c r="V39" s="445"/>
    </row>
  </sheetData>
  <mergeCells count="28">
    <mergeCell ref="A1:A3"/>
    <mergeCell ref="B1:R3"/>
    <mergeCell ref="S1:V3"/>
    <mergeCell ref="B5:I5"/>
    <mergeCell ref="K5:L5"/>
    <mergeCell ref="M5:V5"/>
    <mergeCell ref="B6:I6"/>
    <mergeCell ref="K6:L6"/>
    <mergeCell ref="M6:V6"/>
    <mergeCell ref="B7:I7"/>
    <mergeCell ref="B9:I9"/>
    <mergeCell ref="K9:L9"/>
    <mergeCell ref="M9:V9"/>
    <mergeCell ref="A13:A34"/>
    <mergeCell ref="M13:V24"/>
    <mergeCell ref="M25:V34"/>
    <mergeCell ref="A11:A12"/>
    <mergeCell ref="B11:B12"/>
    <mergeCell ref="C11:E11"/>
    <mergeCell ref="F11:F12"/>
    <mergeCell ref="G11:I11"/>
    <mergeCell ref="J11:J12"/>
    <mergeCell ref="B36:C36"/>
    <mergeCell ref="J38:V39"/>
    <mergeCell ref="B39:I39"/>
    <mergeCell ref="K11:K12"/>
    <mergeCell ref="L11:L12"/>
    <mergeCell ref="M11:V12"/>
  </mergeCells>
  <pageMargins left="0.7" right="0.7" top="0.75" bottom="0.75" header="0.3" footer="0.3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V39"/>
  <sheetViews>
    <sheetView topLeftCell="A7" zoomScaleNormal="100" workbookViewId="0">
      <selection activeCell="M25" sqref="M25:V34"/>
    </sheetView>
  </sheetViews>
  <sheetFormatPr baseColWidth="10" defaultRowHeight="15" x14ac:dyDescent="0.25"/>
  <cols>
    <col min="1" max="1" width="91.7109375" customWidth="1"/>
    <col min="2" max="2" width="27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53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406</v>
      </c>
      <c r="L9" s="445"/>
      <c r="M9" s="473" t="str">
        <f>+PRESUPUESTO!B46</f>
        <v>SUMINISITRO E INSTALACION DE PERGOLA EN ESTRUCTURA  METALICA CONSTRUIDA EN PERFIL VIGA  IP 200 ESTRUCTURA PRINCIPAL Y BASES EN PLATINA DE 1/4  DE 0.25X0.25    Y HORIZONTALES EN TUBERIA RECTANGULAR  50 MM X 25 MM SEGÚN DISSEÑO PINTADA EN ANTICORROSIVO Y PINTURA ESMALTE ACABADO FINAL  PINTURA EPOXICA COLOR NEGRO.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133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140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 t="s">
        <v>419</v>
      </c>
      <c r="B13" s="65"/>
      <c r="C13" s="54"/>
      <c r="D13" s="54"/>
      <c r="E13" s="54"/>
      <c r="F13" s="55"/>
      <c r="G13" s="54"/>
      <c r="H13" s="54"/>
      <c r="I13" s="54"/>
      <c r="J13" s="55"/>
      <c r="K13" s="56"/>
      <c r="L13" s="57" t="s">
        <v>136</v>
      </c>
      <c r="M13" s="453"/>
      <c r="N13" s="454"/>
      <c r="O13" s="454"/>
      <c r="P13" s="454"/>
      <c r="Q13" s="454"/>
      <c r="R13" s="454"/>
      <c r="S13" s="454"/>
      <c r="T13" s="454"/>
      <c r="U13" s="454"/>
      <c r="V13" s="455"/>
    </row>
    <row r="14" spans="1:22" x14ac:dyDescent="0.25">
      <c r="A14" s="449"/>
      <c r="B14" s="65" t="s">
        <v>204</v>
      </c>
      <c r="C14" s="54">
        <f>1+1.95+1.4+1.95+0.72+0.89+1.73+2+1.68+2</f>
        <v>15.319999999999999</v>
      </c>
      <c r="D14" s="54"/>
      <c r="E14" s="54">
        <v>2</v>
      </c>
      <c r="F14" s="55"/>
      <c r="G14" s="54"/>
      <c r="H14" s="54"/>
      <c r="I14" s="54"/>
      <c r="J14" s="55"/>
      <c r="K14" s="56">
        <f>+C14*E14</f>
        <v>30.639999999999997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 t="s">
        <v>207</v>
      </c>
      <c r="C15" s="54">
        <f>1.57+1.83+1.84+2.08+0.34+1.16+0.37+1.16+0.89+1.69+0.33+2</f>
        <v>15.26</v>
      </c>
      <c r="D15" s="54"/>
      <c r="E15" s="54">
        <v>2</v>
      </c>
      <c r="F15" s="55"/>
      <c r="G15" s="54"/>
      <c r="H15" s="54"/>
      <c r="I15" s="54"/>
      <c r="J15" s="55"/>
      <c r="K15" s="56">
        <f>+C15*E15</f>
        <v>30.52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 t="s">
        <v>465</v>
      </c>
      <c r="C16" s="54">
        <f>9.12+0.15+0.15</f>
        <v>9.42</v>
      </c>
      <c r="D16" s="54"/>
      <c r="E16" s="54">
        <v>1.8</v>
      </c>
      <c r="F16" s="55"/>
      <c r="G16" s="54"/>
      <c r="H16" s="54"/>
      <c r="I16" s="54"/>
      <c r="J16" s="55"/>
      <c r="K16" s="56">
        <f>+C16*E16</f>
        <v>16.956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/>
      <c r="C17" s="54"/>
      <c r="D17" s="54"/>
      <c r="E17" s="54"/>
      <c r="F17" s="55"/>
      <c r="G17" s="54"/>
      <c r="H17" s="54"/>
      <c r="I17" s="54"/>
      <c r="J17" s="55"/>
      <c r="K17" s="56">
        <f t="shared" ref="K17:K22" si="0">+F17</f>
        <v>0</v>
      </c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/>
      <c r="C18" s="54"/>
      <c r="D18" s="54"/>
      <c r="E18" s="54"/>
      <c r="F18" s="55"/>
      <c r="G18" s="54"/>
      <c r="H18" s="54"/>
      <c r="I18" s="54"/>
      <c r="J18" s="55"/>
      <c r="K18" s="56">
        <f t="shared" si="0"/>
        <v>0</v>
      </c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65"/>
      <c r="C19" s="54"/>
      <c r="D19" s="54"/>
      <c r="E19" s="54"/>
      <c r="F19" s="55"/>
      <c r="G19" s="54"/>
      <c r="H19" s="54"/>
      <c r="I19" s="54"/>
      <c r="J19" s="55"/>
      <c r="K19" s="56">
        <f t="shared" si="0"/>
        <v>0</v>
      </c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x14ac:dyDescent="0.25">
      <c r="A20" s="449"/>
      <c r="B20" s="65"/>
      <c r="C20" s="54"/>
      <c r="D20" s="54"/>
      <c r="E20" s="54"/>
      <c r="F20" s="55"/>
      <c r="G20" s="54"/>
      <c r="H20" s="54"/>
      <c r="I20" s="54"/>
      <c r="J20" s="55"/>
      <c r="K20" s="56">
        <f t="shared" si="0"/>
        <v>0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/>
      <c r="C21" s="54"/>
      <c r="D21" s="54"/>
      <c r="E21" s="54"/>
      <c r="F21" s="55"/>
      <c r="G21" s="54"/>
      <c r="H21" s="54"/>
      <c r="I21" s="54"/>
      <c r="J21" s="55"/>
      <c r="K21" s="56">
        <f t="shared" si="0"/>
        <v>0</v>
      </c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/>
      <c r="C22" s="54"/>
      <c r="D22" s="54"/>
      <c r="E22" s="54"/>
      <c r="F22" s="55"/>
      <c r="G22" s="54"/>
      <c r="H22" s="54"/>
      <c r="I22" s="54"/>
      <c r="J22" s="55"/>
      <c r="K22" s="56">
        <f t="shared" si="0"/>
        <v>0</v>
      </c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/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6"/>
      <c r="N24" s="457"/>
      <c r="O24" s="457"/>
      <c r="P24" s="457"/>
      <c r="Q24" s="457"/>
      <c r="R24" s="457"/>
      <c r="S24" s="457"/>
      <c r="T24" s="457"/>
      <c r="U24" s="457"/>
      <c r="V24" s="458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9" t="s">
        <v>142</v>
      </c>
      <c r="N25" s="460"/>
      <c r="O25" s="460"/>
      <c r="P25" s="460"/>
      <c r="Q25" s="460"/>
      <c r="R25" s="460"/>
      <c r="S25" s="460"/>
      <c r="T25" s="460"/>
      <c r="U25" s="460"/>
      <c r="V25" s="461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62"/>
      <c r="N26" s="463"/>
      <c r="O26" s="463"/>
      <c r="P26" s="463"/>
      <c r="Q26" s="463"/>
      <c r="R26" s="463"/>
      <c r="S26" s="463"/>
      <c r="T26" s="463"/>
      <c r="U26" s="463"/>
      <c r="V26" s="464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62"/>
      <c r="N27" s="463"/>
      <c r="O27" s="463"/>
      <c r="P27" s="463"/>
      <c r="Q27" s="463"/>
      <c r="R27" s="463"/>
      <c r="S27" s="463"/>
      <c r="T27" s="463"/>
      <c r="U27" s="463"/>
      <c r="V27" s="464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53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5"/>
      <c r="N34" s="466"/>
      <c r="O34" s="466"/>
      <c r="P34" s="466"/>
      <c r="Q34" s="466"/>
      <c r="R34" s="466"/>
      <c r="S34" s="466"/>
      <c r="T34" s="466"/>
      <c r="U34" s="466"/>
      <c r="V34" s="467"/>
    </row>
    <row r="35" spans="1:22" x14ac:dyDescent="0.25">
      <c r="A35" s="44"/>
      <c r="B35" s="47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</row>
    <row r="36" spans="1:22" ht="18" x14ac:dyDescent="0.35">
      <c r="A36" s="58" t="s">
        <v>105</v>
      </c>
      <c r="B36" s="444"/>
      <c r="C36" s="444"/>
      <c r="D36" s="44"/>
      <c r="E36" s="44"/>
      <c r="G36" s="44"/>
      <c r="H36" s="44"/>
      <c r="I36" s="44"/>
      <c r="J36" s="59">
        <f>SUM(J13:J35)</f>
        <v>0</v>
      </c>
      <c r="K36" s="60">
        <f>SUM(K13:K35)</f>
        <v>78.116</v>
      </c>
      <c r="L36" s="61" t="s">
        <v>239</v>
      </c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x14ac:dyDescent="0.25">
      <c r="A37" s="44"/>
      <c r="B37" s="47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x14ac:dyDescent="0.25">
      <c r="A38" s="62" t="s">
        <v>143</v>
      </c>
      <c r="B38" s="63"/>
      <c r="C38" s="62"/>
      <c r="D38" s="62"/>
      <c r="E38" s="62"/>
      <c r="F38" s="62"/>
      <c r="G38" s="62"/>
      <c r="H38" s="62"/>
      <c r="I38" s="62"/>
      <c r="J38" s="445" t="s">
        <v>144</v>
      </c>
      <c r="K38" s="445"/>
      <c r="L38" s="445"/>
      <c r="M38" s="445"/>
      <c r="N38" s="445"/>
      <c r="O38" s="445"/>
      <c r="P38" s="445"/>
      <c r="Q38" s="445"/>
      <c r="R38" s="445"/>
      <c r="S38" s="445"/>
      <c r="T38" s="445"/>
      <c r="U38" s="445"/>
      <c r="V38" s="445"/>
    </row>
    <row r="39" spans="1:22" x14ac:dyDescent="0.25">
      <c r="A39" s="64" t="s">
        <v>89</v>
      </c>
      <c r="B39" s="445"/>
      <c r="C39" s="445"/>
      <c r="D39" s="445"/>
      <c r="E39" s="445"/>
      <c r="F39" s="445"/>
      <c r="G39" s="445"/>
      <c r="H39" s="445"/>
      <c r="I39" s="445"/>
      <c r="J39" s="445"/>
      <c r="K39" s="445"/>
      <c r="L39" s="445"/>
      <c r="M39" s="445"/>
      <c r="N39" s="445"/>
      <c r="O39" s="445"/>
      <c r="P39" s="445"/>
      <c r="Q39" s="445"/>
      <c r="R39" s="445"/>
      <c r="S39" s="445"/>
      <c r="T39" s="445"/>
      <c r="U39" s="445"/>
      <c r="V39" s="445"/>
    </row>
  </sheetData>
  <mergeCells count="28">
    <mergeCell ref="A1:A3"/>
    <mergeCell ref="B1:R3"/>
    <mergeCell ref="S1:V3"/>
    <mergeCell ref="B5:I5"/>
    <mergeCell ref="K5:L5"/>
    <mergeCell ref="M5:V5"/>
    <mergeCell ref="B6:I6"/>
    <mergeCell ref="K6:L6"/>
    <mergeCell ref="M6:V6"/>
    <mergeCell ref="B7:I7"/>
    <mergeCell ref="B9:I9"/>
    <mergeCell ref="K9:L9"/>
    <mergeCell ref="M9:V9"/>
    <mergeCell ref="A13:A34"/>
    <mergeCell ref="M13:V24"/>
    <mergeCell ref="M25:V34"/>
    <mergeCell ref="A11:A12"/>
    <mergeCell ref="B11:B12"/>
    <mergeCell ref="C11:E11"/>
    <mergeCell ref="F11:F12"/>
    <mergeCell ref="G11:I11"/>
    <mergeCell ref="J11:J12"/>
    <mergeCell ref="B36:C36"/>
    <mergeCell ref="J38:V39"/>
    <mergeCell ref="B39:I39"/>
    <mergeCell ref="K11:K12"/>
    <mergeCell ref="L11:L12"/>
    <mergeCell ref="M11:V12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V39"/>
  <sheetViews>
    <sheetView topLeftCell="B7" zoomScaleNormal="100" workbookViewId="0">
      <selection activeCell="M25" sqref="M25:V34"/>
    </sheetView>
  </sheetViews>
  <sheetFormatPr baseColWidth="10" defaultRowHeight="15" x14ac:dyDescent="0.25"/>
  <cols>
    <col min="1" max="1" width="91.7109375" customWidth="1"/>
    <col min="2" max="2" width="27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53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420</v>
      </c>
      <c r="L9" s="445"/>
      <c r="M9" s="473" t="str">
        <f>+PRESUPUESTO!B47</f>
        <v>ZAPATAS EN CONCRETO DE 3000 PSI, CONCRETO E 3000 PSI  PARA SOPORTE DE ESTRUCTURA METALIZA PARA PERGOLA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133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140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 t="s">
        <v>419</v>
      </c>
      <c r="B13" s="65"/>
      <c r="C13" s="54"/>
      <c r="D13" s="54"/>
      <c r="E13" s="54"/>
      <c r="F13" s="55"/>
      <c r="G13" s="54"/>
      <c r="H13" s="54"/>
      <c r="I13" s="54"/>
      <c r="J13" s="55"/>
      <c r="K13" s="56"/>
      <c r="L13" s="57" t="s">
        <v>145</v>
      </c>
      <c r="M13" s="453"/>
      <c r="N13" s="454"/>
      <c r="O13" s="454"/>
      <c r="P13" s="454"/>
      <c r="Q13" s="454"/>
      <c r="R13" s="454"/>
      <c r="S13" s="454"/>
      <c r="T13" s="454"/>
      <c r="U13" s="454"/>
      <c r="V13" s="455"/>
    </row>
    <row r="14" spans="1:22" x14ac:dyDescent="0.25">
      <c r="A14" s="449"/>
      <c r="B14" s="65" t="s">
        <v>204</v>
      </c>
      <c r="C14" s="54">
        <v>0.8</v>
      </c>
      <c r="D14" s="54">
        <v>0.3</v>
      </c>
      <c r="E14" s="54">
        <v>0.8</v>
      </c>
      <c r="F14" s="55">
        <v>5</v>
      </c>
      <c r="G14" s="54"/>
      <c r="H14" s="54"/>
      <c r="I14" s="54"/>
      <c r="J14" s="55"/>
      <c r="K14" s="56">
        <f>+C14*D14*E14*F14</f>
        <v>0.96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 t="s">
        <v>207</v>
      </c>
      <c r="C15" s="54">
        <v>0.8</v>
      </c>
      <c r="D15" s="54">
        <v>0.3</v>
      </c>
      <c r="E15" s="54">
        <v>0.8</v>
      </c>
      <c r="F15" s="55">
        <v>5</v>
      </c>
      <c r="G15" s="54"/>
      <c r="H15" s="54"/>
      <c r="I15" s="54"/>
      <c r="J15" s="55"/>
      <c r="K15" s="56">
        <f>+C15*D15*E15*F15</f>
        <v>0.96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 t="s">
        <v>421</v>
      </c>
      <c r="C16" s="54">
        <v>0.8</v>
      </c>
      <c r="D16" s="54">
        <v>0.3</v>
      </c>
      <c r="E16" s="54">
        <v>0.8</v>
      </c>
      <c r="F16" s="55">
        <v>8</v>
      </c>
      <c r="G16" s="54"/>
      <c r="H16" s="54"/>
      <c r="I16" s="54"/>
      <c r="J16" s="55"/>
      <c r="K16" s="56">
        <f>+C16*D16*E16*F16</f>
        <v>1.536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/>
      <c r="C17" s="54"/>
      <c r="D17" s="54"/>
      <c r="E17" s="54"/>
      <c r="F17" s="55"/>
      <c r="G17" s="54"/>
      <c r="H17" s="54"/>
      <c r="I17" s="54"/>
      <c r="J17" s="55"/>
      <c r="K17" s="56">
        <f t="shared" ref="K17:K22" si="0">+F17</f>
        <v>0</v>
      </c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/>
      <c r="C18" s="54"/>
      <c r="D18" s="54"/>
      <c r="E18" s="54"/>
      <c r="F18" s="55"/>
      <c r="G18" s="54"/>
      <c r="H18" s="54"/>
      <c r="I18" s="54"/>
      <c r="J18" s="55"/>
      <c r="K18" s="56">
        <f t="shared" si="0"/>
        <v>0</v>
      </c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65"/>
      <c r="C19" s="54"/>
      <c r="D19" s="54"/>
      <c r="E19" s="54"/>
      <c r="F19" s="55"/>
      <c r="G19" s="54"/>
      <c r="H19" s="54"/>
      <c r="I19" s="54"/>
      <c r="J19" s="55"/>
      <c r="K19" s="56">
        <f t="shared" si="0"/>
        <v>0</v>
      </c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x14ac:dyDescent="0.25">
      <c r="A20" s="449"/>
      <c r="B20" s="65"/>
      <c r="C20" s="54"/>
      <c r="D20" s="54"/>
      <c r="E20" s="54"/>
      <c r="F20" s="55"/>
      <c r="G20" s="54"/>
      <c r="H20" s="54"/>
      <c r="I20" s="54"/>
      <c r="J20" s="55"/>
      <c r="K20" s="56">
        <f t="shared" si="0"/>
        <v>0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/>
      <c r="C21" s="54"/>
      <c r="D21" s="54"/>
      <c r="E21" s="54"/>
      <c r="F21" s="55"/>
      <c r="G21" s="54"/>
      <c r="H21" s="54"/>
      <c r="I21" s="54"/>
      <c r="J21" s="55"/>
      <c r="K21" s="56">
        <f t="shared" si="0"/>
        <v>0</v>
      </c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/>
      <c r="C22" s="54"/>
      <c r="D22" s="54"/>
      <c r="E22" s="54"/>
      <c r="F22" s="55"/>
      <c r="G22" s="54"/>
      <c r="H22" s="54"/>
      <c r="I22" s="54"/>
      <c r="J22" s="55"/>
      <c r="K22" s="56">
        <f t="shared" si="0"/>
        <v>0</v>
      </c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/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6"/>
      <c r="N24" s="457"/>
      <c r="O24" s="457"/>
      <c r="P24" s="457"/>
      <c r="Q24" s="457"/>
      <c r="R24" s="457"/>
      <c r="S24" s="457"/>
      <c r="T24" s="457"/>
      <c r="U24" s="457"/>
      <c r="V24" s="458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9" t="s">
        <v>142</v>
      </c>
      <c r="N25" s="460"/>
      <c r="O25" s="460"/>
      <c r="P25" s="460"/>
      <c r="Q25" s="460"/>
      <c r="R25" s="460"/>
      <c r="S25" s="460"/>
      <c r="T25" s="460"/>
      <c r="U25" s="460"/>
      <c r="V25" s="461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62"/>
      <c r="N26" s="463"/>
      <c r="O26" s="463"/>
      <c r="P26" s="463"/>
      <c r="Q26" s="463"/>
      <c r="R26" s="463"/>
      <c r="S26" s="463"/>
      <c r="T26" s="463"/>
      <c r="U26" s="463"/>
      <c r="V26" s="464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62"/>
      <c r="N27" s="463"/>
      <c r="O27" s="463"/>
      <c r="P27" s="463"/>
      <c r="Q27" s="463"/>
      <c r="R27" s="463"/>
      <c r="S27" s="463"/>
      <c r="T27" s="463"/>
      <c r="U27" s="463"/>
      <c r="V27" s="464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53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5"/>
      <c r="N34" s="466"/>
      <c r="O34" s="466"/>
      <c r="P34" s="466"/>
      <c r="Q34" s="466"/>
      <c r="R34" s="466"/>
      <c r="S34" s="466"/>
      <c r="T34" s="466"/>
      <c r="U34" s="466"/>
      <c r="V34" s="467"/>
    </row>
    <row r="35" spans="1:22" x14ac:dyDescent="0.25">
      <c r="A35" s="44"/>
      <c r="B35" s="47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</row>
    <row r="36" spans="1:22" ht="18" x14ac:dyDescent="0.35">
      <c r="A36" s="58" t="s">
        <v>105</v>
      </c>
      <c r="B36" s="444"/>
      <c r="C36" s="444"/>
      <c r="D36" s="44"/>
      <c r="E36" s="44"/>
      <c r="G36" s="44"/>
      <c r="H36" s="44"/>
      <c r="I36" s="44"/>
      <c r="J36" s="59">
        <f>SUM(J13:J35)</f>
        <v>0</v>
      </c>
      <c r="K36" s="60">
        <f>SUM(K13:K35)</f>
        <v>3.456</v>
      </c>
      <c r="L36" s="61" t="s">
        <v>145</v>
      </c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x14ac:dyDescent="0.25">
      <c r="A37" s="44"/>
      <c r="B37" s="47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x14ac:dyDescent="0.25">
      <c r="A38" s="62" t="s">
        <v>143</v>
      </c>
      <c r="B38" s="63"/>
      <c r="C38" s="62"/>
      <c r="D38" s="62"/>
      <c r="E38" s="62"/>
      <c r="F38" s="62"/>
      <c r="G38" s="62"/>
      <c r="H38" s="62"/>
      <c r="I38" s="62"/>
      <c r="J38" s="445" t="s">
        <v>144</v>
      </c>
      <c r="K38" s="445"/>
      <c r="L38" s="445"/>
      <c r="M38" s="445"/>
      <c r="N38" s="445"/>
      <c r="O38" s="445"/>
      <c r="P38" s="445"/>
      <c r="Q38" s="445"/>
      <c r="R38" s="445"/>
      <c r="S38" s="445"/>
      <c r="T38" s="445"/>
      <c r="U38" s="445"/>
      <c r="V38" s="445"/>
    </row>
    <row r="39" spans="1:22" x14ac:dyDescent="0.25">
      <c r="A39" s="64" t="s">
        <v>89</v>
      </c>
      <c r="B39" s="445"/>
      <c r="C39" s="445"/>
      <c r="D39" s="445"/>
      <c r="E39" s="445"/>
      <c r="F39" s="445"/>
      <c r="G39" s="445"/>
      <c r="H39" s="445"/>
      <c r="I39" s="445"/>
      <c r="J39" s="445"/>
      <c r="K39" s="445"/>
      <c r="L39" s="445"/>
      <c r="M39" s="445"/>
      <c r="N39" s="445"/>
      <c r="O39" s="445"/>
      <c r="P39" s="445"/>
      <c r="Q39" s="445"/>
      <c r="R39" s="445"/>
      <c r="S39" s="445"/>
      <c r="T39" s="445"/>
      <c r="U39" s="445"/>
      <c r="V39" s="445"/>
    </row>
  </sheetData>
  <mergeCells count="28">
    <mergeCell ref="A1:A3"/>
    <mergeCell ref="B1:R3"/>
    <mergeCell ref="S1:V3"/>
    <mergeCell ref="B5:I5"/>
    <mergeCell ref="K5:L5"/>
    <mergeCell ref="M5:V5"/>
    <mergeCell ref="B6:I6"/>
    <mergeCell ref="K6:L6"/>
    <mergeCell ref="M6:V6"/>
    <mergeCell ref="B7:I7"/>
    <mergeCell ref="B9:I9"/>
    <mergeCell ref="K9:L9"/>
    <mergeCell ref="M9:V9"/>
    <mergeCell ref="A13:A34"/>
    <mergeCell ref="M13:V24"/>
    <mergeCell ref="M25:V34"/>
    <mergeCell ref="A11:A12"/>
    <mergeCell ref="B11:B12"/>
    <mergeCell ref="C11:E11"/>
    <mergeCell ref="F11:F12"/>
    <mergeCell ref="G11:I11"/>
    <mergeCell ref="J11:J12"/>
    <mergeCell ref="B36:C36"/>
    <mergeCell ref="J38:V39"/>
    <mergeCell ref="B39:I39"/>
    <mergeCell ref="K11:K12"/>
    <mergeCell ref="L11:L12"/>
    <mergeCell ref="M11:V12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V39"/>
  <sheetViews>
    <sheetView topLeftCell="B7" zoomScaleNormal="100" workbookViewId="0">
      <selection activeCell="M25" sqref="M25:V34"/>
    </sheetView>
  </sheetViews>
  <sheetFormatPr baseColWidth="10" defaultRowHeight="15" x14ac:dyDescent="0.25"/>
  <cols>
    <col min="1" max="1" width="91.7109375" customWidth="1"/>
    <col min="2" max="2" width="27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53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423</v>
      </c>
      <c r="L9" s="445"/>
      <c r="M9" s="473" t="str">
        <f>+PRESUPUESTO!B48</f>
        <v>PEDESTAL  EN CONCRETO DE 3000 PSI INCLUYE EXCAVACION,PARA SOPORTE DE ESTRUCTURA METALICA DE PERGOLA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133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140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 t="s">
        <v>419</v>
      </c>
      <c r="B13" s="65"/>
      <c r="C13" s="54"/>
      <c r="D13" s="54"/>
      <c r="E13" s="54"/>
      <c r="F13" s="55"/>
      <c r="G13" s="54"/>
      <c r="H13" s="54"/>
      <c r="I13" s="54"/>
      <c r="J13" s="55"/>
      <c r="K13" s="56"/>
      <c r="L13" s="57" t="s">
        <v>145</v>
      </c>
      <c r="M13" s="453"/>
      <c r="N13" s="454"/>
      <c r="O13" s="454"/>
      <c r="P13" s="454"/>
      <c r="Q13" s="454"/>
      <c r="R13" s="454"/>
      <c r="S13" s="454"/>
      <c r="T13" s="454"/>
      <c r="U13" s="454"/>
      <c r="V13" s="455"/>
    </row>
    <row r="14" spans="1:22" x14ac:dyDescent="0.25">
      <c r="A14" s="449"/>
      <c r="B14" s="65" t="s">
        <v>204</v>
      </c>
      <c r="C14" s="54">
        <v>0.3</v>
      </c>
      <c r="D14" s="54">
        <v>0.6</v>
      </c>
      <c r="E14" s="54">
        <v>0.3</v>
      </c>
      <c r="F14" s="55">
        <v>5</v>
      </c>
      <c r="G14" s="54"/>
      <c r="H14" s="54"/>
      <c r="I14" s="54"/>
      <c r="J14" s="55"/>
      <c r="K14" s="56">
        <f>+C14*D14*E14*F14</f>
        <v>0.27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 t="s">
        <v>207</v>
      </c>
      <c r="C15" s="54">
        <v>0.3</v>
      </c>
      <c r="D15" s="54">
        <v>0.6</v>
      </c>
      <c r="E15" s="54">
        <v>0.3</v>
      </c>
      <c r="F15" s="55">
        <v>5</v>
      </c>
      <c r="G15" s="54"/>
      <c r="H15" s="54"/>
      <c r="I15" s="54"/>
      <c r="J15" s="55"/>
      <c r="K15" s="56">
        <f>+C15*D15*E15*F15</f>
        <v>0.27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 t="s">
        <v>421</v>
      </c>
      <c r="C16" s="54">
        <v>0.3</v>
      </c>
      <c r="D16" s="54">
        <v>0.6</v>
      </c>
      <c r="E16" s="54">
        <v>0.3</v>
      </c>
      <c r="F16" s="55">
        <v>8</v>
      </c>
      <c r="G16" s="54"/>
      <c r="H16" s="54"/>
      <c r="I16" s="54"/>
      <c r="J16" s="55"/>
      <c r="K16" s="56">
        <f>+C16*D16*E16*F16</f>
        <v>0.432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/>
      <c r="C17" s="54"/>
      <c r="D17" s="54"/>
      <c r="E17" s="54"/>
      <c r="F17" s="55"/>
      <c r="G17" s="54"/>
      <c r="H17" s="54"/>
      <c r="I17" s="54"/>
      <c r="J17" s="55"/>
      <c r="K17" s="56">
        <f t="shared" ref="K17:K22" si="0">+F17</f>
        <v>0</v>
      </c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/>
      <c r="C18" s="54"/>
      <c r="D18" s="54"/>
      <c r="E18" s="54"/>
      <c r="F18" s="55"/>
      <c r="G18" s="54"/>
      <c r="H18" s="54"/>
      <c r="I18" s="54"/>
      <c r="J18" s="55"/>
      <c r="K18" s="56">
        <f t="shared" si="0"/>
        <v>0</v>
      </c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65"/>
      <c r="C19" s="54"/>
      <c r="D19" s="54"/>
      <c r="E19" s="54"/>
      <c r="F19" s="55"/>
      <c r="G19" s="54"/>
      <c r="H19" s="54"/>
      <c r="I19" s="54"/>
      <c r="J19" s="55"/>
      <c r="K19" s="56">
        <f t="shared" si="0"/>
        <v>0</v>
      </c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x14ac:dyDescent="0.25">
      <c r="A20" s="449"/>
      <c r="B20" s="65"/>
      <c r="C20" s="54"/>
      <c r="D20" s="54"/>
      <c r="E20" s="54"/>
      <c r="F20" s="55"/>
      <c r="G20" s="54"/>
      <c r="H20" s="54"/>
      <c r="I20" s="54"/>
      <c r="J20" s="55"/>
      <c r="K20" s="56">
        <f t="shared" si="0"/>
        <v>0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/>
      <c r="C21" s="54"/>
      <c r="D21" s="54"/>
      <c r="E21" s="54"/>
      <c r="F21" s="55"/>
      <c r="G21" s="54"/>
      <c r="H21" s="54"/>
      <c r="I21" s="54"/>
      <c r="J21" s="55"/>
      <c r="K21" s="56">
        <f t="shared" si="0"/>
        <v>0</v>
      </c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/>
      <c r="C22" s="54"/>
      <c r="D22" s="54"/>
      <c r="E22" s="54"/>
      <c r="F22" s="55"/>
      <c r="G22" s="54"/>
      <c r="H22" s="54"/>
      <c r="I22" s="54"/>
      <c r="J22" s="55"/>
      <c r="K22" s="56">
        <f t="shared" si="0"/>
        <v>0</v>
      </c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/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6"/>
      <c r="N24" s="457"/>
      <c r="O24" s="457"/>
      <c r="P24" s="457"/>
      <c r="Q24" s="457"/>
      <c r="R24" s="457"/>
      <c r="S24" s="457"/>
      <c r="T24" s="457"/>
      <c r="U24" s="457"/>
      <c r="V24" s="458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9" t="s">
        <v>142</v>
      </c>
      <c r="N25" s="460"/>
      <c r="O25" s="460"/>
      <c r="P25" s="460"/>
      <c r="Q25" s="460"/>
      <c r="R25" s="460"/>
      <c r="S25" s="460"/>
      <c r="T25" s="460"/>
      <c r="U25" s="460"/>
      <c r="V25" s="461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62"/>
      <c r="N26" s="463"/>
      <c r="O26" s="463"/>
      <c r="P26" s="463"/>
      <c r="Q26" s="463"/>
      <c r="R26" s="463"/>
      <c r="S26" s="463"/>
      <c r="T26" s="463"/>
      <c r="U26" s="463"/>
      <c r="V26" s="464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62"/>
      <c r="N27" s="463"/>
      <c r="O27" s="463"/>
      <c r="P27" s="463"/>
      <c r="Q27" s="463"/>
      <c r="R27" s="463"/>
      <c r="S27" s="463"/>
      <c r="T27" s="463"/>
      <c r="U27" s="463"/>
      <c r="V27" s="464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53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5"/>
      <c r="N34" s="466"/>
      <c r="O34" s="466"/>
      <c r="P34" s="466"/>
      <c r="Q34" s="466"/>
      <c r="R34" s="466"/>
      <c r="S34" s="466"/>
      <c r="T34" s="466"/>
      <c r="U34" s="466"/>
      <c r="V34" s="467"/>
    </row>
    <row r="35" spans="1:22" x14ac:dyDescent="0.25">
      <c r="A35" s="44"/>
      <c r="B35" s="47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</row>
    <row r="36" spans="1:22" ht="18" x14ac:dyDescent="0.35">
      <c r="A36" s="58" t="s">
        <v>105</v>
      </c>
      <c r="B36" s="444"/>
      <c r="C36" s="444"/>
      <c r="D36" s="44"/>
      <c r="E36" s="44"/>
      <c r="G36" s="44"/>
      <c r="H36" s="44"/>
      <c r="I36" s="44"/>
      <c r="J36" s="59">
        <f>SUM(J13:J35)</f>
        <v>0</v>
      </c>
      <c r="K36" s="60">
        <f>SUM(K13:K35)</f>
        <v>0.97199999999999998</v>
      </c>
      <c r="L36" s="61" t="s">
        <v>145</v>
      </c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x14ac:dyDescent="0.25">
      <c r="A37" s="44"/>
      <c r="B37" s="47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x14ac:dyDescent="0.25">
      <c r="A38" s="62" t="s">
        <v>143</v>
      </c>
      <c r="B38" s="63"/>
      <c r="C38" s="62"/>
      <c r="D38" s="62"/>
      <c r="E38" s="62"/>
      <c r="F38" s="62"/>
      <c r="G38" s="62"/>
      <c r="H38" s="62"/>
      <c r="I38" s="62"/>
      <c r="J38" s="445" t="s">
        <v>144</v>
      </c>
      <c r="K38" s="445"/>
      <c r="L38" s="445"/>
      <c r="M38" s="445"/>
      <c r="N38" s="445"/>
      <c r="O38" s="445"/>
      <c r="P38" s="445"/>
      <c r="Q38" s="445"/>
      <c r="R38" s="445"/>
      <c r="S38" s="445"/>
      <c r="T38" s="445"/>
      <c r="U38" s="445"/>
      <c r="V38" s="445"/>
    </row>
    <row r="39" spans="1:22" x14ac:dyDescent="0.25">
      <c r="A39" s="64" t="s">
        <v>89</v>
      </c>
      <c r="B39" s="445"/>
      <c r="C39" s="445"/>
      <c r="D39" s="445"/>
      <c r="E39" s="445"/>
      <c r="F39" s="445"/>
      <c r="G39" s="445"/>
      <c r="H39" s="445"/>
      <c r="I39" s="445"/>
      <c r="J39" s="445"/>
      <c r="K39" s="445"/>
      <c r="L39" s="445"/>
      <c r="M39" s="445"/>
      <c r="N39" s="445"/>
      <c r="O39" s="445"/>
      <c r="P39" s="445"/>
      <c r="Q39" s="445"/>
      <c r="R39" s="445"/>
      <c r="S39" s="445"/>
      <c r="T39" s="445"/>
      <c r="U39" s="445"/>
      <c r="V39" s="445"/>
    </row>
  </sheetData>
  <mergeCells count="28">
    <mergeCell ref="A1:A3"/>
    <mergeCell ref="B1:R3"/>
    <mergeCell ref="S1:V3"/>
    <mergeCell ref="B5:I5"/>
    <mergeCell ref="K5:L5"/>
    <mergeCell ref="M5:V5"/>
    <mergeCell ref="B6:I6"/>
    <mergeCell ref="K6:L6"/>
    <mergeCell ref="M6:V6"/>
    <mergeCell ref="B7:I7"/>
    <mergeCell ref="B9:I9"/>
    <mergeCell ref="K9:L9"/>
    <mergeCell ref="M9:V9"/>
    <mergeCell ref="A13:A34"/>
    <mergeCell ref="M13:V24"/>
    <mergeCell ref="M25:V34"/>
    <mergeCell ref="A11:A12"/>
    <mergeCell ref="B11:B12"/>
    <mergeCell ref="C11:E11"/>
    <mergeCell ref="F11:F12"/>
    <mergeCell ref="G11:I11"/>
    <mergeCell ref="J11:J12"/>
    <mergeCell ref="B36:C36"/>
    <mergeCell ref="J38:V39"/>
    <mergeCell ref="B39:I39"/>
    <mergeCell ref="K11:K12"/>
    <mergeCell ref="L11:L12"/>
    <mergeCell ref="M11:V12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V39"/>
  <sheetViews>
    <sheetView topLeftCell="A4" zoomScaleNormal="100" workbookViewId="0">
      <selection activeCell="M25" sqref="M25:V34"/>
    </sheetView>
  </sheetViews>
  <sheetFormatPr baseColWidth="10" defaultRowHeight="15" x14ac:dyDescent="0.25"/>
  <cols>
    <col min="1" max="1" width="91.7109375" customWidth="1"/>
    <col min="2" max="2" width="27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13.140625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53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424</v>
      </c>
      <c r="L9" s="445"/>
      <c r="M9" s="473" t="str">
        <f>+PRESUPUESTO!B49</f>
        <v>ACERO DE REFUERZO VARILLA DE 1/2 Y VARILLA DE  3/8" DE 60.000 PSI Y ALAMBRE NEGRO No 18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426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425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 t="s">
        <v>419</v>
      </c>
      <c r="B13" s="65"/>
      <c r="C13" s="80"/>
      <c r="D13" s="80"/>
      <c r="E13" s="80"/>
      <c r="F13" s="80"/>
      <c r="G13" s="80"/>
      <c r="H13" s="80"/>
      <c r="I13" s="80"/>
      <c r="J13" s="80"/>
      <c r="K13" s="80"/>
      <c r="L13" s="57" t="s">
        <v>315</v>
      </c>
      <c r="M13" s="453"/>
      <c r="N13" s="454"/>
      <c r="O13" s="454"/>
      <c r="P13" s="454"/>
      <c r="Q13" s="454"/>
      <c r="R13" s="454"/>
      <c r="S13" s="454"/>
      <c r="T13" s="454"/>
      <c r="U13" s="454"/>
      <c r="V13" s="455"/>
    </row>
    <row r="14" spans="1:22" x14ac:dyDescent="0.25">
      <c r="A14" s="449"/>
      <c r="B14" s="65" t="s">
        <v>675</v>
      </c>
      <c r="C14" s="54"/>
      <c r="D14" s="54"/>
      <c r="E14" s="54"/>
      <c r="F14" s="55"/>
      <c r="G14" s="54"/>
      <c r="H14" s="54"/>
      <c r="I14" s="54"/>
      <c r="J14" s="55"/>
      <c r="K14" s="56">
        <v>2208.4832000000001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/>
      <c r="C15" s="54"/>
      <c r="D15" s="54"/>
      <c r="E15" s="54"/>
      <c r="F15" s="55"/>
      <c r="G15" s="54"/>
      <c r="H15" s="54"/>
      <c r="I15" s="54"/>
      <c r="J15" s="55"/>
      <c r="K15" s="56"/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/>
      <c r="C16" s="54"/>
      <c r="D16" s="80"/>
      <c r="E16" s="80"/>
      <c r="F16" s="80"/>
      <c r="G16" s="80"/>
      <c r="H16" s="80"/>
      <c r="I16" s="80"/>
      <c r="J16" s="55"/>
      <c r="K16" s="56"/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/>
      <c r="C17" s="54"/>
      <c r="D17" s="54"/>
      <c r="E17" s="54"/>
      <c r="F17" s="55"/>
      <c r="G17" s="54"/>
      <c r="H17" s="54"/>
      <c r="I17" s="54"/>
      <c r="J17" s="55"/>
      <c r="K17" s="56"/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/>
      <c r="C18" s="54"/>
      <c r="D18" s="54"/>
      <c r="E18" s="54"/>
      <c r="F18" s="55"/>
      <c r="G18" s="54"/>
      <c r="H18" s="54"/>
      <c r="I18" s="54"/>
      <c r="J18" s="55"/>
      <c r="K18" s="56"/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65"/>
      <c r="C19" s="54"/>
      <c r="D19" s="54"/>
      <c r="E19" s="54"/>
      <c r="F19" s="55"/>
      <c r="G19" s="54"/>
      <c r="H19" s="54"/>
      <c r="I19" s="54"/>
      <c r="J19" s="55"/>
      <c r="K19" s="56"/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x14ac:dyDescent="0.25">
      <c r="A20" s="449"/>
      <c r="B20" s="65"/>
      <c r="C20" s="54"/>
      <c r="D20" s="54"/>
      <c r="E20" s="54"/>
      <c r="F20" s="55"/>
      <c r="G20" s="54"/>
      <c r="H20" s="54"/>
      <c r="I20" s="54"/>
      <c r="J20" s="55"/>
      <c r="K20" s="56">
        <f t="shared" ref="K20:K22" si="0">+F20</f>
        <v>0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/>
      <c r="C21" s="54"/>
      <c r="D21" s="54"/>
      <c r="E21" s="54"/>
      <c r="F21" s="55"/>
      <c r="G21" s="54"/>
      <c r="H21" s="54"/>
      <c r="I21" s="54"/>
      <c r="J21" s="55"/>
      <c r="K21" s="56">
        <f t="shared" si="0"/>
        <v>0</v>
      </c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/>
      <c r="C22" s="54"/>
      <c r="D22" s="54"/>
      <c r="E22" s="54"/>
      <c r="F22" s="55"/>
      <c r="G22" s="54"/>
      <c r="H22" s="54"/>
      <c r="I22" s="54"/>
      <c r="J22" s="55"/>
      <c r="K22" s="56">
        <f t="shared" si="0"/>
        <v>0</v>
      </c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/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6"/>
      <c r="N24" s="457"/>
      <c r="O24" s="457"/>
      <c r="P24" s="457"/>
      <c r="Q24" s="457"/>
      <c r="R24" s="457"/>
      <c r="S24" s="457"/>
      <c r="T24" s="457"/>
      <c r="U24" s="457"/>
      <c r="V24" s="458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9" t="s">
        <v>676</v>
      </c>
      <c r="N25" s="460"/>
      <c r="O25" s="460"/>
      <c r="P25" s="460"/>
      <c r="Q25" s="460"/>
      <c r="R25" s="460"/>
      <c r="S25" s="460"/>
      <c r="T25" s="460"/>
      <c r="U25" s="460"/>
      <c r="V25" s="461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62"/>
      <c r="N26" s="463"/>
      <c r="O26" s="463"/>
      <c r="P26" s="463"/>
      <c r="Q26" s="463"/>
      <c r="R26" s="463"/>
      <c r="S26" s="463"/>
      <c r="T26" s="463"/>
      <c r="U26" s="463"/>
      <c r="V26" s="464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62"/>
      <c r="N27" s="463"/>
      <c r="O27" s="463"/>
      <c r="P27" s="463"/>
      <c r="Q27" s="463"/>
      <c r="R27" s="463"/>
      <c r="S27" s="463"/>
      <c r="T27" s="463"/>
      <c r="U27" s="463"/>
      <c r="V27" s="464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53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5"/>
      <c r="N34" s="466"/>
      <c r="O34" s="466"/>
      <c r="P34" s="466"/>
      <c r="Q34" s="466"/>
      <c r="R34" s="466"/>
      <c r="S34" s="466"/>
      <c r="T34" s="466"/>
      <c r="U34" s="466"/>
      <c r="V34" s="467"/>
    </row>
    <row r="35" spans="1:22" x14ac:dyDescent="0.25">
      <c r="A35" s="44"/>
      <c r="B35" s="47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</row>
    <row r="36" spans="1:22" ht="18" x14ac:dyDescent="0.35">
      <c r="A36" s="58" t="s">
        <v>105</v>
      </c>
      <c r="B36" s="444"/>
      <c r="C36" s="444"/>
      <c r="D36" s="44"/>
      <c r="E36" s="44"/>
      <c r="G36" s="44"/>
      <c r="H36" s="44"/>
      <c r="I36" s="44"/>
      <c r="J36" s="59">
        <f>SUM(J14:J35)</f>
        <v>0</v>
      </c>
      <c r="K36" s="60">
        <f>SUM(K14:K35)</f>
        <v>2208.4832000000001</v>
      </c>
      <c r="L36" s="61" t="s">
        <v>315</v>
      </c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x14ac:dyDescent="0.25">
      <c r="A37" s="44"/>
      <c r="B37" s="47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x14ac:dyDescent="0.25">
      <c r="A38" s="62" t="s">
        <v>143</v>
      </c>
      <c r="B38" s="63"/>
      <c r="C38" s="62"/>
      <c r="D38" s="62"/>
      <c r="E38" s="62"/>
      <c r="F38" s="62"/>
      <c r="G38" s="62"/>
      <c r="H38" s="62"/>
      <c r="I38" s="62"/>
      <c r="J38" s="445" t="s">
        <v>144</v>
      </c>
      <c r="K38" s="445"/>
      <c r="L38" s="445"/>
      <c r="M38" s="445"/>
      <c r="N38" s="445"/>
      <c r="O38" s="445"/>
      <c r="P38" s="445"/>
      <c r="Q38" s="445"/>
      <c r="R38" s="445"/>
      <c r="S38" s="445"/>
      <c r="T38" s="445"/>
      <c r="U38" s="445"/>
      <c r="V38" s="445"/>
    </row>
    <row r="39" spans="1:22" x14ac:dyDescent="0.25">
      <c r="A39" s="64" t="s">
        <v>89</v>
      </c>
      <c r="B39" s="445"/>
      <c r="C39" s="445"/>
      <c r="D39" s="445"/>
      <c r="E39" s="445"/>
      <c r="F39" s="445"/>
      <c r="G39" s="445"/>
      <c r="H39" s="445"/>
      <c r="I39" s="445"/>
      <c r="J39" s="445"/>
      <c r="K39" s="445"/>
      <c r="L39" s="445"/>
      <c r="M39" s="445"/>
      <c r="N39" s="445"/>
      <c r="O39" s="445"/>
      <c r="P39" s="445"/>
      <c r="Q39" s="445"/>
      <c r="R39" s="445"/>
      <c r="S39" s="445"/>
      <c r="T39" s="445"/>
      <c r="U39" s="445"/>
      <c r="V39" s="445"/>
    </row>
  </sheetData>
  <mergeCells count="28">
    <mergeCell ref="A1:A3"/>
    <mergeCell ref="B1:R3"/>
    <mergeCell ref="S1:V3"/>
    <mergeCell ref="B5:I5"/>
    <mergeCell ref="K5:L5"/>
    <mergeCell ref="M5:V5"/>
    <mergeCell ref="B6:I6"/>
    <mergeCell ref="K6:L6"/>
    <mergeCell ref="M6:V6"/>
    <mergeCell ref="B7:I7"/>
    <mergeCell ref="B9:I9"/>
    <mergeCell ref="K9:L9"/>
    <mergeCell ref="M9:V9"/>
    <mergeCell ref="A13:A34"/>
    <mergeCell ref="M13:V24"/>
    <mergeCell ref="M25:V34"/>
    <mergeCell ref="A11:A12"/>
    <mergeCell ref="B11:B12"/>
    <mergeCell ref="C11:E11"/>
    <mergeCell ref="F11:F12"/>
    <mergeCell ref="G11:I11"/>
    <mergeCell ref="J11:J12"/>
    <mergeCell ref="B36:C36"/>
    <mergeCell ref="J38:V39"/>
    <mergeCell ref="B39:I39"/>
    <mergeCell ref="K11:K12"/>
    <mergeCell ref="L11:L12"/>
    <mergeCell ref="M11:V12"/>
  </mergeCells>
  <pageMargins left="0.7" right="0.7" top="0.75" bottom="0.75" header="0.3" footer="0.3"/>
  <pageSetup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V39"/>
  <sheetViews>
    <sheetView topLeftCell="B2" zoomScaleNormal="100" workbookViewId="0">
      <selection activeCell="M25" sqref="M25:V34"/>
    </sheetView>
  </sheetViews>
  <sheetFormatPr baseColWidth="10" defaultRowHeight="15" x14ac:dyDescent="0.25"/>
  <cols>
    <col min="1" max="1" width="91.7109375" customWidth="1"/>
    <col min="2" max="2" width="27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53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468</v>
      </c>
      <c r="L9" s="445"/>
      <c r="M9" s="473" t="str">
        <f>+PRESUPUESTO!B50</f>
        <v>SUMINISITRO E INSTALACION DE FRONTON  EN ESTRUCTURA  METALICA CONSTRUIDA EN PERFIL VIGA  IP 200 ESTRUCTURA PRINCIPAL   Y HORIZONTALES EN TUBERIA RECTANGULAR  50 MM X 25 MM SEGÚN DISSEÑO PINTADA EN ANTICORROSIVO Y PINTURA ESMALTE ACABADO FINAL COLOR NEGRO.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426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425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 t="s">
        <v>419</v>
      </c>
      <c r="B13" s="65"/>
      <c r="C13" s="80"/>
      <c r="D13" s="80"/>
      <c r="E13" s="80"/>
      <c r="F13" s="80"/>
      <c r="G13" s="80"/>
      <c r="H13" s="80"/>
      <c r="I13" s="80"/>
      <c r="J13" s="80"/>
      <c r="K13" s="80"/>
      <c r="L13" s="57" t="s">
        <v>98</v>
      </c>
      <c r="M13" s="453"/>
      <c r="N13" s="454"/>
      <c r="O13" s="454"/>
      <c r="P13" s="454"/>
      <c r="Q13" s="454"/>
      <c r="R13" s="454"/>
      <c r="S13" s="454"/>
      <c r="T13" s="454"/>
      <c r="U13" s="454"/>
      <c r="V13" s="455"/>
    </row>
    <row r="14" spans="1:22" x14ac:dyDescent="0.25">
      <c r="A14" s="449"/>
      <c r="B14" s="65" t="s">
        <v>204</v>
      </c>
      <c r="C14" s="54">
        <f>1+1.95+1.4+1.95+0.72+0.89+1.73+2+1.68+2</f>
        <v>15.319999999999999</v>
      </c>
      <c r="D14" s="54">
        <v>1</v>
      </c>
      <c r="E14" s="54"/>
      <c r="F14" s="55"/>
      <c r="G14" s="54"/>
      <c r="H14" s="54"/>
      <c r="I14" s="54"/>
      <c r="J14" s="55"/>
      <c r="K14" s="56">
        <f>+C14*D14</f>
        <v>15.319999999999999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/>
      <c r="C15" s="54"/>
      <c r="D15" s="54"/>
      <c r="E15" s="54"/>
      <c r="F15" s="55"/>
      <c r="G15" s="54"/>
      <c r="H15" s="54"/>
      <c r="I15" s="54"/>
      <c r="J15" s="55"/>
      <c r="K15" s="56"/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/>
      <c r="C16" s="54"/>
      <c r="D16" s="80"/>
      <c r="E16" s="80"/>
      <c r="F16" s="80"/>
      <c r="G16" s="80"/>
      <c r="H16" s="80"/>
      <c r="I16" s="80"/>
      <c r="J16" s="55"/>
      <c r="K16" s="56"/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/>
      <c r="C17" s="54"/>
      <c r="D17" s="54"/>
      <c r="E17" s="54"/>
      <c r="F17" s="55"/>
      <c r="G17" s="54"/>
      <c r="H17" s="54"/>
      <c r="I17" s="54"/>
      <c r="J17" s="55"/>
      <c r="K17" s="56"/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/>
      <c r="C18" s="54"/>
      <c r="D18" s="54"/>
      <c r="E18" s="54"/>
      <c r="F18" s="55"/>
      <c r="G18" s="54"/>
      <c r="H18" s="54"/>
      <c r="I18" s="54"/>
      <c r="J18" s="55"/>
      <c r="K18" s="56"/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65"/>
      <c r="C19" s="54"/>
      <c r="D19" s="54"/>
      <c r="E19" s="54"/>
      <c r="F19" s="55"/>
      <c r="G19" s="54"/>
      <c r="H19" s="54"/>
      <c r="I19" s="54"/>
      <c r="J19" s="55"/>
      <c r="K19" s="56"/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x14ac:dyDescent="0.25">
      <c r="A20" s="449"/>
      <c r="B20" s="65"/>
      <c r="C20" s="54"/>
      <c r="D20" s="54"/>
      <c r="E20" s="54"/>
      <c r="F20" s="55"/>
      <c r="G20" s="54"/>
      <c r="H20" s="54"/>
      <c r="I20" s="54"/>
      <c r="J20" s="55"/>
      <c r="K20" s="56"/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/>
      <c r="C21" s="54"/>
      <c r="D21" s="54"/>
      <c r="E21" s="54"/>
      <c r="F21" s="55"/>
      <c r="G21" s="54"/>
      <c r="H21" s="54"/>
      <c r="I21" s="54"/>
      <c r="J21" s="55"/>
      <c r="K21" s="56"/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/>
      <c r="C22" s="54"/>
      <c r="D22" s="54"/>
      <c r="E22" s="54"/>
      <c r="F22" s="55"/>
      <c r="G22" s="54"/>
      <c r="H22" s="54"/>
      <c r="I22" s="54"/>
      <c r="J22" s="55"/>
      <c r="K22" s="56">
        <f t="shared" ref="K22" si="0">+F22</f>
        <v>0</v>
      </c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/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6"/>
      <c r="N24" s="457"/>
      <c r="O24" s="457"/>
      <c r="P24" s="457"/>
      <c r="Q24" s="457"/>
      <c r="R24" s="457"/>
      <c r="S24" s="457"/>
      <c r="T24" s="457"/>
      <c r="U24" s="457"/>
      <c r="V24" s="458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9" t="s">
        <v>142</v>
      </c>
      <c r="N25" s="460"/>
      <c r="O25" s="460"/>
      <c r="P25" s="460"/>
      <c r="Q25" s="460"/>
      <c r="R25" s="460"/>
      <c r="S25" s="460"/>
      <c r="T25" s="460"/>
      <c r="U25" s="460"/>
      <c r="V25" s="461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62"/>
      <c r="N26" s="463"/>
      <c r="O26" s="463"/>
      <c r="P26" s="463"/>
      <c r="Q26" s="463"/>
      <c r="R26" s="463"/>
      <c r="S26" s="463"/>
      <c r="T26" s="463"/>
      <c r="U26" s="463"/>
      <c r="V26" s="464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62"/>
      <c r="N27" s="463"/>
      <c r="O27" s="463"/>
      <c r="P27" s="463"/>
      <c r="Q27" s="463"/>
      <c r="R27" s="463"/>
      <c r="S27" s="463"/>
      <c r="T27" s="463"/>
      <c r="U27" s="463"/>
      <c r="V27" s="464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53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5"/>
      <c r="N34" s="466"/>
      <c r="O34" s="466"/>
      <c r="P34" s="466"/>
      <c r="Q34" s="466"/>
      <c r="R34" s="466"/>
      <c r="S34" s="466"/>
      <c r="T34" s="466"/>
      <c r="U34" s="466"/>
      <c r="V34" s="467"/>
    </row>
    <row r="35" spans="1:22" x14ac:dyDescent="0.25">
      <c r="A35" s="44"/>
      <c r="B35" s="47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</row>
    <row r="36" spans="1:22" ht="18" x14ac:dyDescent="0.35">
      <c r="A36" s="58" t="s">
        <v>105</v>
      </c>
      <c r="B36" s="444"/>
      <c r="C36" s="444"/>
      <c r="D36" s="44"/>
      <c r="E36" s="44"/>
      <c r="G36" s="44"/>
      <c r="H36" s="44"/>
      <c r="I36" s="44"/>
      <c r="J36" s="59">
        <f>SUM(J14:J35)</f>
        <v>0</v>
      </c>
      <c r="K36" s="60">
        <f>SUM(K14:K35)</f>
        <v>15.319999999999999</v>
      </c>
      <c r="L36" s="61" t="s">
        <v>98</v>
      </c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x14ac:dyDescent="0.25">
      <c r="A37" s="44"/>
      <c r="B37" s="47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x14ac:dyDescent="0.25">
      <c r="A38" s="62" t="s">
        <v>143</v>
      </c>
      <c r="B38" s="63"/>
      <c r="C38" s="62"/>
      <c r="D38" s="62"/>
      <c r="E38" s="62"/>
      <c r="F38" s="62"/>
      <c r="G38" s="62"/>
      <c r="H38" s="62"/>
      <c r="I38" s="62"/>
      <c r="J38" s="445" t="s">
        <v>144</v>
      </c>
      <c r="K38" s="445"/>
      <c r="L38" s="445"/>
      <c r="M38" s="445"/>
      <c r="N38" s="445"/>
      <c r="O38" s="445"/>
      <c r="P38" s="445"/>
      <c r="Q38" s="445"/>
      <c r="R38" s="445"/>
      <c r="S38" s="445"/>
      <c r="T38" s="445"/>
      <c r="U38" s="445"/>
      <c r="V38" s="445"/>
    </row>
    <row r="39" spans="1:22" x14ac:dyDescent="0.25">
      <c r="A39" s="64" t="s">
        <v>89</v>
      </c>
      <c r="B39" s="445"/>
      <c r="C39" s="445"/>
      <c r="D39" s="445"/>
      <c r="E39" s="445"/>
      <c r="F39" s="445"/>
      <c r="G39" s="445"/>
      <c r="H39" s="445"/>
      <c r="I39" s="445"/>
      <c r="J39" s="445"/>
      <c r="K39" s="445"/>
      <c r="L39" s="445"/>
      <c r="M39" s="445"/>
      <c r="N39" s="445"/>
      <c r="O39" s="445"/>
      <c r="P39" s="445"/>
      <c r="Q39" s="445"/>
      <c r="R39" s="445"/>
      <c r="S39" s="445"/>
      <c r="T39" s="445"/>
      <c r="U39" s="445"/>
      <c r="V39" s="445"/>
    </row>
  </sheetData>
  <mergeCells count="28">
    <mergeCell ref="A1:A3"/>
    <mergeCell ref="B1:R3"/>
    <mergeCell ref="S1:V3"/>
    <mergeCell ref="B5:I5"/>
    <mergeCell ref="K5:L5"/>
    <mergeCell ref="M5:V5"/>
    <mergeCell ref="B6:I6"/>
    <mergeCell ref="K6:L6"/>
    <mergeCell ref="M6:V6"/>
    <mergeCell ref="B7:I7"/>
    <mergeCell ref="B9:I9"/>
    <mergeCell ref="K9:L9"/>
    <mergeCell ref="M9:V9"/>
    <mergeCell ref="A13:A34"/>
    <mergeCell ref="M13:V24"/>
    <mergeCell ref="M25:V34"/>
    <mergeCell ref="A11:A12"/>
    <mergeCell ref="B11:B12"/>
    <mergeCell ref="C11:E11"/>
    <mergeCell ref="F11:F12"/>
    <mergeCell ref="G11:I11"/>
    <mergeCell ref="J11:J12"/>
    <mergeCell ref="B36:C36"/>
    <mergeCell ref="J38:V39"/>
    <mergeCell ref="B39:I39"/>
    <mergeCell ref="K11:K12"/>
    <mergeCell ref="L11:L12"/>
    <mergeCell ref="M11:V12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V39"/>
  <sheetViews>
    <sheetView topLeftCell="A9" zoomScaleNormal="100" workbookViewId="0">
      <selection activeCell="K37" sqref="K37"/>
    </sheetView>
  </sheetViews>
  <sheetFormatPr baseColWidth="10" defaultRowHeight="15" x14ac:dyDescent="0.25"/>
  <cols>
    <col min="1" max="1" width="91.7109375" customWidth="1"/>
    <col min="2" max="2" width="29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53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427</v>
      </c>
      <c r="L9" s="445"/>
      <c r="M9" s="473" t="str">
        <f>+PRESUPUESTO!B52</f>
        <v xml:space="preserve">LOCALIZACION Y REPLANTEO MANUAL 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426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425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 t="s">
        <v>419</v>
      </c>
      <c r="B13" s="65" t="s">
        <v>428</v>
      </c>
      <c r="C13" s="54">
        <v>29.2</v>
      </c>
      <c r="D13" s="54"/>
      <c r="E13" s="54"/>
      <c r="F13" s="55"/>
      <c r="G13" s="54"/>
      <c r="H13" s="54"/>
      <c r="I13" s="54"/>
      <c r="J13" s="55"/>
      <c r="K13" s="56">
        <f>+C13</f>
        <v>29.2</v>
      </c>
      <c r="L13" s="57" t="s">
        <v>117</v>
      </c>
      <c r="M13" s="453"/>
      <c r="N13" s="454"/>
      <c r="O13" s="454"/>
      <c r="P13" s="454"/>
      <c r="Q13" s="454"/>
      <c r="R13" s="454"/>
      <c r="S13" s="454"/>
      <c r="T13" s="454"/>
      <c r="U13" s="454"/>
      <c r="V13" s="455"/>
    </row>
    <row r="14" spans="1:22" x14ac:dyDescent="0.25">
      <c r="A14" s="449"/>
      <c r="B14" s="65" t="s">
        <v>434</v>
      </c>
      <c r="C14" s="54">
        <f>29.2-I14</f>
        <v>29.2</v>
      </c>
      <c r="D14" s="54"/>
      <c r="E14" s="54"/>
      <c r="F14" s="55"/>
      <c r="G14" s="54"/>
      <c r="H14" s="54"/>
      <c r="I14" s="54"/>
      <c r="J14" s="55"/>
      <c r="K14" s="56">
        <f t="shared" ref="K14:K16" si="0">+C14</f>
        <v>29.2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 t="s">
        <v>429</v>
      </c>
      <c r="C15" s="54">
        <v>35</v>
      </c>
      <c r="D15" s="54"/>
      <c r="E15" s="54"/>
      <c r="F15" s="55"/>
      <c r="G15" s="54"/>
      <c r="H15" s="54"/>
      <c r="I15" s="54"/>
      <c r="J15" s="55"/>
      <c r="K15" s="56">
        <f t="shared" si="0"/>
        <v>35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 t="s">
        <v>430</v>
      </c>
      <c r="C16" s="54">
        <v>35</v>
      </c>
      <c r="D16" s="54"/>
      <c r="E16" s="54"/>
      <c r="F16" s="55"/>
      <c r="G16" s="54"/>
      <c r="H16" s="54"/>
      <c r="I16" s="54"/>
      <c r="J16" s="55"/>
      <c r="K16" s="56">
        <f t="shared" si="0"/>
        <v>35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 t="s">
        <v>462</v>
      </c>
      <c r="C17" s="54"/>
      <c r="D17" s="54"/>
      <c r="E17" s="54"/>
      <c r="F17" s="55"/>
      <c r="G17" s="54"/>
      <c r="H17" s="54"/>
      <c r="I17" s="54"/>
      <c r="J17" s="55"/>
      <c r="K17" s="56"/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 t="s">
        <v>463</v>
      </c>
      <c r="C18" s="54"/>
      <c r="D18" s="54"/>
      <c r="E18" s="54"/>
      <c r="F18" s="55"/>
      <c r="G18" s="54"/>
      <c r="H18" s="54"/>
      <c r="I18" s="54"/>
      <c r="J18" s="55"/>
      <c r="K18" s="56"/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65" t="s">
        <v>464</v>
      </c>
      <c r="C19" s="54"/>
      <c r="D19" s="54"/>
      <c r="E19" s="54"/>
      <c r="F19" s="55"/>
      <c r="G19" s="54"/>
      <c r="H19" s="54"/>
      <c r="I19" s="54"/>
      <c r="J19" s="55"/>
      <c r="K19" s="56"/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x14ac:dyDescent="0.25">
      <c r="A20" s="449"/>
      <c r="B20" s="65"/>
      <c r="C20" s="54"/>
      <c r="D20" s="54"/>
      <c r="E20" s="54"/>
      <c r="F20" s="55"/>
      <c r="G20" s="54"/>
      <c r="H20" s="54"/>
      <c r="I20" s="54"/>
      <c r="J20" s="55"/>
      <c r="K20" s="56">
        <f t="shared" ref="K20:K22" si="1">+F20</f>
        <v>0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/>
      <c r="C21" s="54"/>
      <c r="D21" s="54"/>
      <c r="E21" s="54"/>
      <c r="F21" s="55"/>
      <c r="G21" s="54"/>
      <c r="H21" s="54"/>
      <c r="I21" s="54"/>
      <c r="J21" s="55"/>
      <c r="K21" s="56">
        <f t="shared" si="1"/>
        <v>0</v>
      </c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/>
      <c r="C22" s="54"/>
      <c r="D22" s="54"/>
      <c r="E22" s="54"/>
      <c r="F22" s="55"/>
      <c r="G22" s="54"/>
      <c r="H22" s="54"/>
      <c r="I22" s="54"/>
      <c r="J22" s="55"/>
      <c r="K22" s="56">
        <f t="shared" si="1"/>
        <v>0</v>
      </c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/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6"/>
      <c r="N24" s="457"/>
      <c r="O24" s="457"/>
      <c r="P24" s="457"/>
      <c r="Q24" s="457"/>
      <c r="R24" s="457"/>
      <c r="S24" s="457"/>
      <c r="T24" s="457"/>
      <c r="U24" s="457"/>
      <c r="V24" s="458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9" t="s">
        <v>142</v>
      </c>
      <c r="N25" s="460"/>
      <c r="O25" s="460"/>
      <c r="P25" s="460"/>
      <c r="Q25" s="460"/>
      <c r="R25" s="460"/>
      <c r="S25" s="460"/>
      <c r="T25" s="460"/>
      <c r="U25" s="460"/>
      <c r="V25" s="461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62"/>
      <c r="N26" s="463"/>
      <c r="O26" s="463"/>
      <c r="P26" s="463"/>
      <c r="Q26" s="463"/>
      <c r="R26" s="463"/>
      <c r="S26" s="463"/>
      <c r="T26" s="463"/>
      <c r="U26" s="463"/>
      <c r="V26" s="464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62"/>
      <c r="N27" s="463"/>
      <c r="O27" s="463"/>
      <c r="P27" s="463"/>
      <c r="Q27" s="463"/>
      <c r="R27" s="463"/>
      <c r="S27" s="463"/>
      <c r="T27" s="463"/>
      <c r="U27" s="463"/>
      <c r="V27" s="464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53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5"/>
      <c r="N34" s="466"/>
      <c r="O34" s="466"/>
      <c r="P34" s="466"/>
      <c r="Q34" s="466"/>
      <c r="R34" s="466"/>
      <c r="S34" s="466"/>
      <c r="T34" s="466"/>
      <c r="U34" s="466"/>
      <c r="V34" s="467"/>
    </row>
    <row r="35" spans="1:22" x14ac:dyDescent="0.25">
      <c r="A35" s="44"/>
      <c r="B35" s="47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</row>
    <row r="36" spans="1:22" ht="18" x14ac:dyDescent="0.35">
      <c r="A36" s="58" t="s">
        <v>105</v>
      </c>
      <c r="B36" s="444"/>
      <c r="C36" s="444"/>
      <c r="D36" s="44"/>
      <c r="E36" s="44"/>
      <c r="G36" s="44"/>
      <c r="H36" s="44"/>
      <c r="I36" s="44"/>
      <c r="J36" s="59">
        <f>SUM(J13:J35)</f>
        <v>0</v>
      </c>
      <c r="K36" s="60">
        <f>SUM(K13:K35)</f>
        <v>128.4</v>
      </c>
      <c r="L36" s="61" t="s">
        <v>117</v>
      </c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x14ac:dyDescent="0.25">
      <c r="A37" s="44"/>
      <c r="B37" s="47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x14ac:dyDescent="0.25">
      <c r="A38" s="62" t="s">
        <v>143</v>
      </c>
      <c r="B38" s="63"/>
      <c r="C38" s="62"/>
      <c r="D38" s="62"/>
      <c r="E38" s="62"/>
      <c r="F38" s="62"/>
      <c r="G38" s="62"/>
      <c r="H38" s="62"/>
      <c r="I38" s="62"/>
      <c r="J38" s="445" t="s">
        <v>144</v>
      </c>
      <c r="K38" s="445"/>
      <c r="L38" s="445"/>
      <c r="M38" s="445"/>
      <c r="N38" s="445"/>
      <c r="O38" s="445"/>
      <c r="P38" s="445"/>
      <c r="Q38" s="445"/>
      <c r="R38" s="445"/>
      <c r="S38" s="445"/>
      <c r="T38" s="445"/>
      <c r="U38" s="445"/>
      <c r="V38" s="445"/>
    </row>
    <row r="39" spans="1:22" x14ac:dyDescent="0.25">
      <c r="A39" s="64" t="s">
        <v>89</v>
      </c>
      <c r="B39" s="445"/>
      <c r="C39" s="445"/>
      <c r="D39" s="445"/>
      <c r="E39" s="445"/>
      <c r="F39" s="445"/>
      <c r="G39" s="445"/>
      <c r="H39" s="445"/>
      <c r="I39" s="445"/>
      <c r="J39" s="445"/>
      <c r="K39" s="445"/>
      <c r="L39" s="445"/>
      <c r="M39" s="445"/>
      <c r="N39" s="445"/>
      <c r="O39" s="445"/>
      <c r="P39" s="445"/>
      <c r="Q39" s="445"/>
      <c r="R39" s="445"/>
      <c r="S39" s="445"/>
      <c r="T39" s="445"/>
      <c r="U39" s="445"/>
      <c r="V39" s="445"/>
    </row>
  </sheetData>
  <mergeCells count="28">
    <mergeCell ref="A1:A3"/>
    <mergeCell ref="B1:R3"/>
    <mergeCell ref="S1:V3"/>
    <mergeCell ref="B5:I5"/>
    <mergeCell ref="K5:L5"/>
    <mergeCell ref="M5:V5"/>
    <mergeCell ref="B6:I6"/>
    <mergeCell ref="K6:L6"/>
    <mergeCell ref="M6:V6"/>
    <mergeCell ref="B7:I7"/>
    <mergeCell ref="B9:I9"/>
    <mergeCell ref="K9:L9"/>
    <mergeCell ref="M9:V9"/>
    <mergeCell ref="A13:A34"/>
    <mergeCell ref="M13:V24"/>
    <mergeCell ref="M25:V34"/>
    <mergeCell ref="A11:A12"/>
    <mergeCell ref="B11:B12"/>
    <mergeCell ref="C11:E11"/>
    <mergeCell ref="F11:F12"/>
    <mergeCell ref="G11:I11"/>
    <mergeCell ref="J11:J12"/>
    <mergeCell ref="B36:C36"/>
    <mergeCell ref="J38:V39"/>
    <mergeCell ref="B39:I39"/>
    <mergeCell ref="K11:K12"/>
    <mergeCell ref="L11:L12"/>
    <mergeCell ref="M11:V12"/>
  </mergeCells>
  <pageMargins left="0.7" right="0.7" top="0.75" bottom="0.75" header="0.3" footer="0.3"/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V39"/>
  <sheetViews>
    <sheetView topLeftCell="A7" zoomScaleNormal="100" workbookViewId="0">
      <selection activeCell="K37" sqref="K37"/>
    </sheetView>
  </sheetViews>
  <sheetFormatPr baseColWidth="10" defaultRowHeight="15" x14ac:dyDescent="0.25"/>
  <cols>
    <col min="1" max="1" width="91.7109375" customWidth="1"/>
    <col min="2" max="2" width="35.710937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53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431</v>
      </c>
      <c r="L9" s="445"/>
      <c r="M9" s="473" t="str">
        <f>+PRESUPUESTO!B53</f>
        <v>EXCAVACION DE ZAPATAS  PARA CERRAMIENTO  ENTRE 0,0 Y 1,00  MTS INCLUYE Y RETIRO DE MATERIAL Y DISPOSICION FINAL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426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668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 t="s">
        <v>419</v>
      </c>
      <c r="B13" s="65" t="s">
        <v>667</v>
      </c>
      <c r="C13" s="54">
        <v>0.8</v>
      </c>
      <c r="D13" s="54">
        <v>1</v>
      </c>
      <c r="E13" s="54">
        <v>0.8</v>
      </c>
      <c r="F13" s="55">
        <v>8</v>
      </c>
      <c r="G13" s="54"/>
      <c r="H13" s="54"/>
      <c r="I13" s="54"/>
      <c r="J13" s="55"/>
      <c r="K13" s="56">
        <f>+C13*D13*E13*F13</f>
        <v>5.120000000000001</v>
      </c>
      <c r="L13" s="57" t="s">
        <v>145</v>
      </c>
      <c r="M13" s="453"/>
      <c r="N13" s="454"/>
      <c r="O13" s="454"/>
      <c r="P13" s="454"/>
      <c r="Q13" s="454"/>
      <c r="R13" s="454"/>
      <c r="S13" s="454"/>
      <c r="T13" s="454"/>
      <c r="U13" s="454"/>
      <c r="V13" s="455"/>
    </row>
    <row r="14" spans="1:22" x14ac:dyDescent="0.25">
      <c r="A14" s="449"/>
      <c r="B14" s="65" t="s">
        <v>669</v>
      </c>
      <c r="C14" s="54">
        <v>0.8</v>
      </c>
      <c r="D14" s="54">
        <v>1</v>
      </c>
      <c r="E14" s="54">
        <v>0.8</v>
      </c>
      <c r="F14" s="55">
        <v>5</v>
      </c>
      <c r="G14" s="54"/>
      <c r="H14" s="54"/>
      <c r="I14" s="54"/>
      <c r="J14" s="55"/>
      <c r="K14" s="56">
        <f t="shared" ref="K14:K19" si="0">+C14*D14*E14*F14</f>
        <v>3.2000000000000006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 t="s">
        <v>670</v>
      </c>
      <c r="C15" s="54">
        <v>0.8</v>
      </c>
      <c r="D15" s="54">
        <v>1</v>
      </c>
      <c r="E15" s="54">
        <v>0.8</v>
      </c>
      <c r="F15" s="55">
        <v>5</v>
      </c>
      <c r="G15" s="54"/>
      <c r="H15" s="54"/>
      <c r="I15" s="54"/>
      <c r="J15" s="55"/>
      <c r="K15" s="56">
        <f t="shared" si="0"/>
        <v>3.2000000000000006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 t="s">
        <v>671</v>
      </c>
      <c r="C16" s="54">
        <v>0.8</v>
      </c>
      <c r="D16" s="54">
        <v>1</v>
      </c>
      <c r="E16" s="54">
        <v>0.8</v>
      </c>
      <c r="F16" s="55">
        <v>11</v>
      </c>
      <c r="G16" s="54"/>
      <c r="H16" s="54"/>
      <c r="I16" s="54"/>
      <c r="J16" s="55"/>
      <c r="K16" s="56">
        <f t="shared" si="0"/>
        <v>7.0400000000000009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 t="s">
        <v>672</v>
      </c>
      <c r="C17" s="54">
        <v>0.8</v>
      </c>
      <c r="D17" s="54">
        <v>1</v>
      </c>
      <c r="E17" s="54">
        <v>0.8</v>
      </c>
      <c r="F17" s="55">
        <v>11</v>
      </c>
      <c r="G17" s="54"/>
      <c r="H17" s="54"/>
      <c r="I17" s="54"/>
      <c r="J17" s="55"/>
      <c r="K17" s="56">
        <f t="shared" si="0"/>
        <v>7.0400000000000009</v>
      </c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 t="s">
        <v>673</v>
      </c>
      <c r="C18" s="54">
        <v>0.8</v>
      </c>
      <c r="D18" s="54">
        <v>1</v>
      </c>
      <c r="E18" s="54">
        <v>0.8</v>
      </c>
      <c r="F18" s="55">
        <v>7</v>
      </c>
      <c r="G18" s="54"/>
      <c r="H18" s="54"/>
      <c r="I18" s="54"/>
      <c r="J18" s="55"/>
      <c r="K18" s="56">
        <f t="shared" si="0"/>
        <v>4.4800000000000004</v>
      </c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65" t="s">
        <v>674</v>
      </c>
      <c r="C19" s="54">
        <v>0.8</v>
      </c>
      <c r="D19" s="54">
        <v>1</v>
      </c>
      <c r="E19" s="54">
        <v>0.8</v>
      </c>
      <c r="F19" s="55">
        <v>7</v>
      </c>
      <c r="G19" s="54"/>
      <c r="H19" s="54"/>
      <c r="I19" s="54"/>
      <c r="J19" s="55"/>
      <c r="K19" s="56">
        <f t="shared" si="0"/>
        <v>4.4800000000000004</v>
      </c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x14ac:dyDescent="0.25">
      <c r="A20" s="449"/>
      <c r="B20" s="65"/>
      <c r="C20" s="54"/>
      <c r="D20" s="54"/>
      <c r="E20" s="54"/>
      <c r="F20" s="55"/>
      <c r="G20" s="54"/>
      <c r="H20" s="54"/>
      <c r="I20" s="54"/>
      <c r="J20" s="55"/>
      <c r="K20" s="56">
        <f t="shared" ref="K20:K22" si="1">+F20</f>
        <v>0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/>
      <c r="C21" s="54"/>
      <c r="D21" s="54"/>
      <c r="E21" s="54"/>
      <c r="F21" s="55"/>
      <c r="G21" s="54"/>
      <c r="H21" s="54"/>
      <c r="I21" s="54"/>
      <c r="J21" s="55"/>
      <c r="K21" s="56">
        <f t="shared" si="1"/>
        <v>0</v>
      </c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/>
      <c r="C22" s="54"/>
      <c r="D22" s="54"/>
      <c r="E22" s="54"/>
      <c r="F22" s="55"/>
      <c r="G22" s="54"/>
      <c r="H22" s="54"/>
      <c r="I22" s="54"/>
      <c r="J22" s="55"/>
      <c r="K22" s="56">
        <f t="shared" si="1"/>
        <v>0</v>
      </c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/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6"/>
      <c r="N24" s="457"/>
      <c r="O24" s="457"/>
      <c r="P24" s="457"/>
      <c r="Q24" s="457"/>
      <c r="R24" s="457"/>
      <c r="S24" s="457"/>
      <c r="T24" s="457"/>
      <c r="U24" s="457"/>
      <c r="V24" s="458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9" t="s">
        <v>142</v>
      </c>
      <c r="N25" s="460"/>
      <c r="O25" s="460"/>
      <c r="P25" s="460"/>
      <c r="Q25" s="460"/>
      <c r="R25" s="460"/>
      <c r="S25" s="460"/>
      <c r="T25" s="460"/>
      <c r="U25" s="460"/>
      <c r="V25" s="461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62"/>
      <c r="N26" s="463"/>
      <c r="O26" s="463"/>
      <c r="P26" s="463"/>
      <c r="Q26" s="463"/>
      <c r="R26" s="463"/>
      <c r="S26" s="463"/>
      <c r="T26" s="463"/>
      <c r="U26" s="463"/>
      <c r="V26" s="464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62"/>
      <c r="N27" s="463"/>
      <c r="O27" s="463"/>
      <c r="P27" s="463"/>
      <c r="Q27" s="463"/>
      <c r="R27" s="463"/>
      <c r="S27" s="463"/>
      <c r="T27" s="463"/>
      <c r="U27" s="463"/>
      <c r="V27" s="464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53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5"/>
      <c r="N34" s="466"/>
      <c r="O34" s="466"/>
      <c r="P34" s="466"/>
      <c r="Q34" s="466"/>
      <c r="R34" s="466"/>
      <c r="S34" s="466"/>
      <c r="T34" s="466"/>
      <c r="U34" s="466"/>
      <c r="V34" s="467"/>
    </row>
    <row r="35" spans="1:22" x14ac:dyDescent="0.25">
      <c r="A35" s="44"/>
      <c r="B35" s="47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</row>
    <row r="36" spans="1:22" ht="18" x14ac:dyDescent="0.35">
      <c r="A36" s="58" t="s">
        <v>105</v>
      </c>
      <c r="B36" s="444"/>
      <c r="C36" s="444"/>
      <c r="D36" s="44"/>
      <c r="E36" s="44"/>
      <c r="G36" s="44"/>
      <c r="H36" s="44"/>
      <c r="I36" s="44"/>
      <c r="J36" s="59">
        <f>SUM(J13:J35)</f>
        <v>0</v>
      </c>
      <c r="K36" s="60">
        <f>SUM(K13:K35)</f>
        <v>34.56</v>
      </c>
      <c r="L36" s="61" t="s">
        <v>145</v>
      </c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x14ac:dyDescent="0.25">
      <c r="A37" s="44"/>
      <c r="B37" s="47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x14ac:dyDescent="0.25">
      <c r="A38" s="62" t="s">
        <v>143</v>
      </c>
      <c r="B38" s="63"/>
      <c r="C38" s="62"/>
      <c r="D38" s="62"/>
      <c r="E38" s="62"/>
      <c r="F38" s="62"/>
      <c r="G38" s="62"/>
      <c r="H38" s="62"/>
      <c r="I38" s="62"/>
      <c r="J38" s="445" t="s">
        <v>144</v>
      </c>
      <c r="K38" s="445"/>
      <c r="L38" s="445"/>
      <c r="M38" s="445"/>
      <c r="N38" s="445"/>
      <c r="O38" s="445"/>
      <c r="P38" s="445"/>
      <c r="Q38" s="445"/>
      <c r="R38" s="445"/>
      <c r="S38" s="445"/>
      <c r="T38" s="445"/>
      <c r="U38" s="445"/>
      <c r="V38" s="445"/>
    </row>
    <row r="39" spans="1:22" x14ac:dyDescent="0.25">
      <c r="A39" s="64" t="s">
        <v>89</v>
      </c>
      <c r="B39" s="445"/>
      <c r="C39" s="445"/>
      <c r="D39" s="445"/>
      <c r="E39" s="445"/>
      <c r="F39" s="445"/>
      <c r="G39" s="445"/>
      <c r="H39" s="445"/>
      <c r="I39" s="445"/>
      <c r="J39" s="445"/>
      <c r="K39" s="445"/>
      <c r="L39" s="445"/>
      <c r="M39" s="445"/>
      <c r="N39" s="445"/>
      <c r="O39" s="445"/>
      <c r="P39" s="445"/>
      <c r="Q39" s="445"/>
      <c r="R39" s="445"/>
      <c r="S39" s="445"/>
      <c r="T39" s="445"/>
      <c r="U39" s="445"/>
      <c r="V39" s="445"/>
    </row>
  </sheetData>
  <mergeCells count="28">
    <mergeCell ref="A1:A3"/>
    <mergeCell ref="B1:R3"/>
    <mergeCell ref="S1:V3"/>
    <mergeCell ref="B5:I5"/>
    <mergeCell ref="K5:L5"/>
    <mergeCell ref="M5:V5"/>
    <mergeCell ref="B6:I6"/>
    <mergeCell ref="K6:L6"/>
    <mergeCell ref="M6:V6"/>
    <mergeCell ref="B7:I7"/>
    <mergeCell ref="B9:I9"/>
    <mergeCell ref="K9:L9"/>
    <mergeCell ref="M9:V9"/>
    <mergeCell ref="A13:A34"/>
    <mergeCell ref="M13:V24"/>
    <mergeCell ref="M25:V34"/>
    <mergeCell ref="A11:A12"/>
    <mergeCell ref="B11:B12"/>
    <mergeCell ref="C11:E11"/>
    <mergeCell ref="F11:F12"/>
    <mergeCell ref="G11:I11"/>
    <mergeCell ref="J11:J12"/>
    <mergeCell ref="B36:C36"/>
    <mergeCell ref="J38:V39"/>
    <mergeCell ref="B39:I39"/>
    <mergeCell ref="K11:K12"/>
    <mergeCell ref="L11:L12"/>
    <mergeCell ref="M11:V12"/>
  </mergeCells>
  <pageMargins left="0.7" right="0.7" top="0.75" bottom="0.75" header="0.3" footer="0.3"/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tabColor rgb="FFFFFF00"/>
  </sheetPr>
  <dimension ref="A1:V39"/>
  <sheetViews>
    <sheetView topLeftCell="A7" zoomScaleNormal="100" workbookViewId="0">
      <selection activeCell="G14" sqref="G14"/>
    </sheetView>
  </sheetViews>
  <sheetFormatPr baseColWidth="10" defaultRowHeight="15" x14ac:dyDescent="0.25"/>
  <cols>
    <col min="1" max="1" width="91.7109375" customWidth="1"/>
    <col min="2" max="2" width="29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53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432</v>
      </c>
      <c r="L9" s="445"/>
      <c r="M9" s="473" t="str">
        <f>+PRESUPUESTO!B54</f>
        <v>DESMONTE DE CERRAMIENTO EXISTENTE Y DEMOLICION DE VIGA EN PISO EXISTENTE  ENTRE 0 Y 25  CM DE ANCHO Y 0 A 0.80 MTS DE ALTO APROX. RETIRO Y DISPOSICION FINAL DE ESCOMBRO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426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425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 t="s">
        <v>419</v>
      </c>
      <c r="B13" s="65" t="s">
        <v>428</v>
      </c>
      <c r="C13" s="54">
        <v>29.2</v>
      </c>
      <c r="D13" s="54"/>
      <c r="E13" s="54"/>
      <c r="F13" s="55"/>
      <c r="G13" s="54"/>
      <c r="H13" s="54"/>
      <c r="I13" s="54"/>
      <c r="J13" s="55"/>
      <c r="K13" s="56">
        <f>+C13</f>
        <v>29.2</v>
      </c>
      <c r="L13" s="57" t="s">
        <v>145</v>
      </c>
      <c r="M13" s="453"/>
      <c r="N13" s="454"/>
      <c r="O13" s="454"/>
      <c r="P13" s="454"/>
      <c r="Q13" s="454"/>
      <c r="R13" s="454"/>
      <c r="S13" s="454"/>
      <c r="T13" s="454"/>
      <c r="U13" s="454"/>
      <c r="V13" s="455"/>
    </row>
    <row r="14" spans="1:22" x14ac:dyDescent="0.25">
      <c r="A14" s="449"/>
      <c r="B14" s="65" t="s">
        <v>434</v>
      </c>
      <c r="C14" s="54">
        <f>29.2-I14</f>
        <v>29.2</v>
      </c>
      <c r="D14" s="54"/>
      <c r="E14" s="54"/>
      <c r="F14" s="55"/>
      <c r="G14" s="54"/>
      <c r="H14" s="54"/>
      <c r="I14" s="54"/>
      <c r="J14" s="55"/>
      <c r="K14" s="56">
        <f>+C14-H14</f>
        <v>29.2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 t="s">
        <v>429</v>
      </c>
      <c r="C15" s="54">
        <v>35</v>
      </c>
      <c r="D15" s="54"/>
      <c r="E15" s="54"/>
      <c r="F15" s="55"/>
      <c r="G15" s="54"/>
      <c r="H15" s="54"/>
      <c r="I15" s="54"/>
      <c r="J15" s="55"/>
      <c r="K15" s="56">
        <f t="shared" ref="K15:K16" si="0">+C15</f>
        <v>35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 t="s">
        <v>430</v>
      </c>
      <c r="C16" s="54">
        <v>35</v>
      </c>
      <c r="D16" s="54"/>
      <c r="E16" s="54"/>
      <c r="F16" s="55"/>
      <c r="G16" s="54"/>
      <c r="H16" s="54"/>
      <c r="I16" s="54"/>
      <c r="J16" s="55"/>
      <c r="K16" s="56">
        <f t="shared" si="0"/>
        <v>35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/>
      <c r="C17" s="54"/>
      <c r="D17" s="54"/>
      <c r="E17" s="54"/>
      <c r="F17" s="55"/>
      <c r="G17" s="54"/>
      <c r="H17" s="54"/>
      <c r="I17" s="54"/>
      <c r="J17" s="55"/>
      <c r="K17" s="56"/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/>
      <c r="C18" s="54"/>
      <c r="D18" s="54"/>
      <c r="E18" s="54"/>
      <c r="F18" s="55"/>
      <c r="G18" s="54"/>
      <c r="H18" s="54"/>
      <c r="I18" s="54"/>
      <c r="J18" s="55"/>
      <c r="K18" s="56"/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65"/>
      <c r="C19" s="54"/>
      <c r="D19" s="54"/>
      <c r="E19" s="54"/>
      <c r="F19" s="55"/>
      <c r="G19" s="54"/>
      <c r="H19" s="54"/>
      <c r="I19" s="54"/>
      <c r="J19" s="55"/>
      <c r="K19" s="56"/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x14ac:dyDescent="0.25">
      <c r="A20" s="449"/>
      <c r="B20" s="65"/>
      <c r="C20" s="54"/>
      <c r="D20" s="54"/>
      <c r="E20" s="54"/>
      <c r="F20" s="55"/>
      <c r="G20" s="54"/>
      <c r="H20" s="54"/>
      <c r="I20" s="54"/>
      <c r="J20" s="55"/>
      <c r="K20" s="56">
        <f t="shared" ref="K20:K22" si="1">+F20</f>
        <v>0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/>
      <c r="C21" s="54"/>
      <c r="D21" s="54"/>
      <c r="E21" s="54"/>
      <c r="F21" s="55"/>
      <c r="G21" s="54"/>
      <c r="H21" s="54"/>
      <c r="I21" s="54"/>
      <c r="J21" s="55"/>
      <c r="K21" s="56">
        <f t="shared" si="1"/>
        <v>0</v>
      </c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/>
      <c r="C22" s="54"/>
      <c r="D22" s="54"/>
      <c r="E22" s="54"/>
      <c r="F22" s="55"/>
      <c r="G22" s="54"/>
      <c r="H22" s="54"/>
      <c r="I22" s="54"/>
      <c r="J22" s="55"/>
      <c r="K22" s="56">
        <f t="shared" si="1"/>
        <v>0</v>
      </c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/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6"/>
      <c r="N24" s="457"/>
      <c r="O24" s="457"/>
      <c r="P24" s="457"/>
      <c r="Q24" s="457"/>
      <c r="R24" s="457"/>
      <c r="S24" s="457"/>
      <c r="T24" s="457"/>
      <c r="U24" s="457"/>
      <c r="V24" s="458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9" t="s">
        <v>142</v>
      </c>
      <c r="N25" s="460"/>
      <c r="O25" s="460"/>
      <c r="P25" s="460"/>
      <c r="Q25" s="460"/>
      <c r="R25" s="460"/>
      <c r="S25" s="460"/>
      <c r="T25" s="460"/>
      <c r="U25" s="460"/>
      <c r="V25" s="461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62"/>
      <c r="N26" s="463"/>
      <c r="O26" s="463"/>
      <c r="P26" s="463"/>
      <c r="Q26" s="463"/>
      <c r="R26" s="463"/>
      <c r="S26" s="463"/>
      <c r="T26" s="463"/>
      <c r="U26" s="463"/>
      <c r="V26" s="464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62"/>
      <c r="N27" s="463"/>
      <c r="O27" s="463"/>
      <c r="P27" s="463"/>
      <c r="Q27" s="463"/>
      <c r="R27" s="463"/>
      <c r="S27" s="463"/>
      <c r="T27" s="463"/>
      <c r="U27" s="463"/>
      <c r="V27" s="464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53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5"/>
      <c r="N34" s="466"/>
      <c r="O34" s="466"/>
      <c r="P34" s="466"/>
      <c r="Q34" s="466"/>
      <c r="R34" s="466"/>
      <c r="S34" s="466"/>
      <c r="T34" s="466"/>
      <c r="U34" s="466"/>
      <c r="V34" s="467"/>
    </row>
    <row r="35" spans="1:22" x14ac:dyDescent="0.25">
      <c r="A35" s="44"/>
      <c r="B35" s="47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</row>
    <row r="36" spans="1:22" ht="18" x14ac:dyDescent="0.35">
      <c r="A36" s="58" t="s">
        <v>105</v>
      </c>
      <c r="B36" s="444"/>
      <c r="C36" s="444"/>
      <c r="D36" s="44"/>
      <c r="E36" s="44"/>
      <c r="G36" s="44"/>
      <c r="H36" s="44"/>
      <c r="I36" s="44"/>
      <c r="J36" s="59">
        <f>SUM(J13:J35)</f>
        <v>0</v>
      </c>
      <c r="K36" s="60">
        <f>SUM(K13:K35)</f>
        <v>128.4</v>
      </c>
      <c r="L36" s="61" t="s">
        <v>145</v>
      </c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x14ac:dyDescent="0.25">
      <c r="A37" s="44"/>
      <c r="B37" s="47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x14ac:dyDescent="0.25">
      <c r="A38" s="62" t="s">
        <v>143</v>
      </c>
      <c r="B38" s="63"/>
      <c r="C38" s="62"/>
      <c r="D38" s="62"/>
      <c r="E38" s="62"/>
      <c r="F38" s="62"/>
      <c r="G38" s="62"/>
      <c r="H38" s="62"/>
      <c r="I38" s="62"/>
      <c r="J38" s="445" t="s">
        <v>144</v>
      </c>
      <c r="K38" s="445"/>
      <c r="L38" s="445"/>
      <c r="M38" s="445"/>
      <c r="N38" s="445"/>
      <c r="O38" s="445"/>
      <c r="P38" s="445"/>
      <c r="Q38" s="445"/>
      <c r="R38" s="445"/>
      <c r="S38" s="445"/>
      <c r="T38" s="445"/>
      <c r="U38" s="445"/>
      <c r="V38" s="445"/>
    </row>
    <row r="39" spans="1:22" x14ac:dyDescent="0.25">
      <c r="A39" s="64" t="s">
        <v>89</v>
      </c>
      <c r="B39" s="445"/>
      <c r="C39" s="445"/>
      <c r="D39" s="445"/>
      <c r="E39" s="445"/>
      <c r="F39" s="445"/>
      <c r="G39" s="445"/>
      <c r="H39" s="445"/>
      <c r="I39" s="445"/>
      <c r="J39" s="445"/>
      <c r="K39" s="445"/>
      <c r="L39" s="445"/>
      <c r="M39" s="445"/>
      <c r="N39" s="445"/>
      <c r="O39" s="445"/>
      <c r="P39" s="445"/>
      <c r="Q39" s="445"/>
      <c r="R39" s="445"/>
      <c r="S39" s="445"/>
      <c r="T39" s="445"/>
      <c r="U39" s="445"/>
      <c r="V39" s="445"/>
    </row>
  </sheetData>
  <mergeCells count="28">
    <mergeCell ref="B36:C36"/>
    <mergeCell ref="J38:V39"/>
    <mergeCell ref="B39:I39"/>
    <mergeCell ref="K11:K12"/>
    <mergeCell ref="L11:L12"/>
    <mergeCell ref="M11:V12"/>
    <mergeCell ref="A13:A34"/>
    <mergeCell ref="M13:V24"/>
    <mergeCell ref="M25:V34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V39"/>
  <sheetViews>
    <sheetView topLeftCell="A7" zoomScaleNormal="100" workbookViewId="0">
      <selection activeCell="F27" sqref="F27"/>
    </sheetView>
  </sheetViews>
  <sheetFormatPr baseColWidth="10" defaultRowHeight="15" x14ac:dyDescent="0.25"/>
  <cols>
    <col min="1" max="1" width="91.7109375" customWidth="1"/>
    <col min="2" max="2" width="29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53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433</v>
      </c>
      <c r="L9" s="445"/>
      <c r="M9" s="473" t="str">
        <f>+PRESUPUESTO!B55</f>
        <v xml:space="preserve">BASE EN RECEBO COMPACTADO  DE ESPSOR DE 10 CMS PARA VIGA DE CIEMENTACION 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133</v>
      </c>
      <c r="G11" s="447" t="s">
        <v>134</v>
      </c>
      <c r="H11" s="447"/>
      <c r="I11" s="447"/>
      <c r="J11" s="446" t="s">
        <v>426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425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 t="s">
        <v>419</v>
      </c>
      <c r="B13" s="65" t="s">
        <v>428</v>
      </c>
      <c r="C13" s="54">
        <v>29.2</v>
      </c>
      <c r="D13" s="54">
        <v>0.1</v>
      </c>
      <c r="E13" s="54"/>
      <c r="F13" s="55"/>
      <c r="G13" s="54"/>
      <c r="H13" s="54"/>
      <c r="I13" s="54"/>
      <c r="J13" s="55"/>
      <c r="K13" s="56">
        <f>+C13*D13</f>
        <v>2.92</v>
      </c>
      <c r="L13" s="57" t="s">
        <v>145</v>
      </c>
      <c r="M13" s="453"/>
      <c r="N13" s="454"/>
      <c r="O13" s="454"/>
      <c r="P13" s="454"/>
      <c r="Q13" s="454"/>
      <c r="R13" s="454"/>
      <c r="S13" s="454"/>
      <c r="T13" s="454"/>
      <c r="U13" s="454"/>
      <c r="V13" s="455"/>
    </row>
    <row r="14" spans="1:22" x14ac:dyDescent="0.25">
      <c r="A14" s="449"/>
      <c r="B14" s="65" t="s">
        <v>434</v>
      </c>
      <c r="C14" s="54">
        <f>29.2-I14</f>
        <v>26.2</v>
      </c>
      <c r="D14" s="54">
        <v>0.1</v>
      </c>
      <c r="E14" s="54"/>
      <c r="F14" s="55"/>
      <c r="G14" s="54"/>
      <c r="H14" s="54" t="s">
        <v>447</v>
      </c>
      <c r="I14" s="54">
        <v>3</v>
      </c>
      <c r="J14" s="55"/>
      <c r="K14" s="56">
        <f t="shared" ref="K14:K16" si="0">+C14*D14</f>
        <v>2.62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 t="s">
        <v>429</v>
      </c>
      <c r="C15" s="54">
        <v>35</v>
      </c>
      <c r="D15" s="54">
        <v>0.1</v>
      </c>
      <c r="E15" s="54"/>
      <c r="F15" s="55"/>
      <c r="G15" s="54"/>
      <c r="H15" s="54"/>
      <c r="I15" s="54"/>
      <c r="J15" s="55"/>
      <c r="K15" s="56">
        <f t="shared" si="0"/>
        <v>3.5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 t="s">
        <v>430</v>
      </c>
      <c r="C16" s="54">
        <v>35</v>
      </c>
      <c r="D16" s="54">
        <v>0.1</v>
      </c>
      <c r="E16" s="54"/>
      <c r="F16" s="55"/>
      <c r="G16" s="54"/>
      <c r="H16" s="54"/>
      <c r="I16" s="54"/>
      <c r="J16" s="55"/>
      <c r="K16" s="56">
        <f t="shared" si="0"/>
        <v>3.5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/>
      <c r="C17" s="54"/>
      <c r="D17" s="54"/>
      <c r="E17" s="54"/>
      <c r="F17" s="55"/>
      <c r="G17" s="54"/>
      <c r="H17" s="54"/>
      <c r="I17" s="54"/>
      <c r="J17" s="55"/>
      <c r="K17" s="56"/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/>
      <c r="C18" s="54"/>
      <c r="D18" s="54"/>
      <c r="E18" s="54"/>
      <c r="F18" s="55"/>
      <c r="G18" s="54"/>
      <c r="H18" s="54"/>
      <c r="I18" s="54"/>
      <c r="J18" s="55"/>
      <c r="K18" s="56"/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65"/>
      <c r="C19" s="54"/>
      <c r="D19" s="54"/>
      <c r="E19" s="54"/>
      <c r="F19" s="55"/>
      <c r="G19" s="54"/>
      <c r="H19" s="54"/>
      <c r="I19" s="54"/>
      <c r="J19" s="55"/>
      <c r="K19" s="56"/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x14ac:dyDescent="0.25">
      <c r="A20" s="449"/>
      <c r="B20" s="65"/>
      <c r="C20" s="54"/>
      <c r="D20" s="54"/>
      <c r="E20" s="54"/>
      <c r="F20" s="55"/>
      <c r="G20" s="54"/>
      <c r="H20" s="54"/>
      <c r="I20" s="54"/>
      <c r="J20" s="55"/>
      <c r="K20" s="56">
        <f t="shared" ref="K20:K22" si="1">+F20</f>
        <v>0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/>
      <c r="C21" s="54"/>
      <c r="D21" s="54"/>
      <c r="E21" s="54"/>
      <c r="F21" s="55"/>
      <c r="G21" s="54"/>
      <c r="H21" s="54"/>
      <c r="I21" s="54"/>
      <c r="J21" s="55"/>
      <c r="K21" s="56">
        <f t="shared" si="1"/>
        <v>0</v>
      </c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/>
      <c r="C22" s="54"/>
      <c r="D22" s="54"/>
      <c r="E22" s="54"/>
      <c r="F22" s="55"/>
      <c r="G22" s="54"/>
      <c r="H22" s="54"/>
      <c r="I22" s="54"/>
      <c r="J22" s="55"/>
      <c r="K22" s="56">
        <f t="shared" si="1"/>
        <v>0</v>
      </c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/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6"/>
      <c r="N24" s="457"/>
      <c r="O24" s="457"/>
      <c r="P24" s="457"/>
      <c r="Q24" s="457"/>
      <c r="R24" s="457"/>
      <c r="S24" s="457"/>
      <c r="T24" s="457"/>
      <c r="U24" s="457"/>
      <c r="V24" s="458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9" t="s">
        <v>142</v>
      </c>
      <c r="N25" s="460"/>
      <c r="O25" s="460"/>
      <c r="P25" s="460"/>
      <c r="Q25" s="460"/>
      <c r="R25" s="460"/>
      <c r="S25" s="460"/>
      <c r="T25" s="460"/>
      <c r="U25" s="460"/>
      <c r="V25" s="461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62"/>
      <c r="N26" s="463"/>
      <c r="O26" s="463"/>
      <c r="P26" s="463"/>
      <c r="Q26" s="463"/>
      <c r="R26" s="463"/>
      <c r="S26" s="463"/>
      <c r="T26" s="463"/>
      <c r="U26" s="463"/>
      <c r="V26" s="464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62"/>
      <c r="N27" s="463"/>
      <c r="O27" s="463"/>
      <c r="P27" s="463"/>
      <c r="Q27" s="463"/>
      <c r="R27" s="463"/>
      <c r="S27" s="463"/>
      <c r="T27" s="463"/>
      <c r="U27" s="463"/>
      <c r="V27" s="464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53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5"/>
      <c r="N34" s="466"/>
      <c r="O34" s="466"/>
      <c r="P34" s="466"/>
      <c r="Q34" s="466"/>
      <c r="R34" s="466"/>
      <c r="S34" s="466"/>
      <c r="T34" s="466"/>
      <c r="U34" s="466"/>
      <c r="V34" s="467"/>
    </row>
    <row r="35" spans="1:22" x14ac:dyDescent="0.25">
      <c r="A35" s="44"/>
      <c r="B35" s="47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</row>
    <row r="36" spans="1:22" ht="18" x14ac:dyDescent="0.35">
      <c r="A36" s="58" t="s">
        <v>105</v>
      </c>
      <c r="B36" s="444"/>
      <c r="C36" s="444"/>
      <c r="D36" s="44"/>
      <c r="E36" s="44"/>
      <c r="G36" s="44"/>
      <c r="H36" s="44"/>
      <c r="I36" s="44"/>
      <c r="J36" s="59">
        <f>SUM(J13:J35)</f>
        <v>0</v>
      </c>
      <c r="K36" s="60">
        <f>SUM(K13:K35)</f>
        <v>12.54</v>
      </c>
      <c r="L36" s="61" t="s">
        <v>145</v>
      </c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x14ac:dyDescent="0.25">
      <c r="A37" s="44"/>
      <c r="B37" s="47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x14ac:dyDescent="0.25">
      <c r="A38" s="62" t="s">
        <v>143</v>
      </c>
      <c r="B38" s="63"/>
      <c r="C38" s="62"/>
      <c r="D38" s="62"/>
      <c r="E38" s="62"/>
      <c r="F38" s="62"/>
      <c r="G38" s="62"/>
      <c r="H38" s="62"/>
      <c r="I38" s="62"/>
      <c r="J38" s="445" t="s">
        <v>144</v>
      </c>
      <c r="K38" s="445"/>
      <c r="L38" s="445"/>
      <c r="M38" s="445"/>
      <c r="N38" s="445"/>
      <c r="O38" s="445"/>
      <c r="P38" s="445"/>
      <c r="Q38" s="445"/>
      <c r="R38" s="445"/>
      <c r="S38" s="445"/>
      <c r="T38" s="445"/>
      <c r="U38" s="445"/>
      <c r="V38" s="445"/>
    </row>
    <row r="39" spans="1:22" x14ac:dyDescent="0.25">
      <c r="A39" s="64" t="s">
        <v>89</v>
      </c>
      <c r="B39" s="445"/>
      <c r="C39" s="445"/>
      <c r="D39" s="445"/>
      <c r="E39" s="445"/>
      <c r="F39" s="445"/>
      <c r="G39" s="445"/>
      <c r="H39" s="445"/>
      <c r="I39" s="445"/>
      <c r="J39" s="445"/>
      <c r="K39" s="445"/>
      <c r="L39" s="445"/>
      <c r="M39" s="445"/>
      <c r="N39" s="445"/>
      <c r="O39" s="445"/>
      <c r="P39" s="445"/>
      <c r="Q39" s="445"/>
      <c r="R39" s="445"/>
      <c r="S39" s="445"/>
      <c r="T39" s="445"/>
      <c r="U39" s="445"/>
      <c r="V39" s="445"/>
    </row>
  </sheetData>
  <mergeCells count="28">
    <mergeCell ref="A1:A3"/>
    <mergeCell ref="B1:R3"/>
    <mergeCell ref="S1:V3"/>
    <mergeCell ref="B5:I5"/>
    <mergeCell ref="K5:L5"/>
    <mergeCell ref="M5:V5"/>
    <mergeCell ref="B6:I6"/>
    <mergeCell ref="K6:L6"/>
    <mergeCell ref="M6:V6"/>
    <mergeCell ref="B7:I7"/>
    <mergeCell ref="B9:I9"/>
    <mergeCell ref="K9:L9"/>
    <mergeCell ref="M9:V9"/>
    <mergeCell ref="A13:A34"/>
    <mergeCell ref="M13:V24"/>
    <mergeCell ref="M25:V34"/>
    <mergeCell ref="A11:A12"/>
    <mergeCell ref="B11:B12"/>
    <mergeCell ref="C11:E11"/>
    <mergeCell ref="F11:F12"/>
    <mergeCell ref="G11:I11"/>
    <mergeCell ref="J11:J12"/>
    <mergeCell ref="B36:C36"/>
    <mergeCell ref="J38:V39"/>
    <mergeCell ref="B39:I39"/>
    <mergeCell ref="K11:K12"/>
    <mergeCell ref="L11:L12"/>
    <mergeCell ref="M11:V12"/>
  </mergeCells>
  <pageMargins left="0.7" right="0.7" top="0.75" bottom="0.75" header="0.3" footer="0.3"/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X39"/>
  <sheetViews>
    <sheetView topLeftCell="B9" zoomScaleNormal="100" workbookViewId="0">
      <selection activeCell="W17" sqref="W17:X24"/>
    </sheetView>
  </sheetViews>
  <sheetFormatPr baseColWidth="10" defaultRowHeight="15" x14ac:dyDescent="0.25"/>
  <cols>
    <col min="1" max="1" width="91.7109375" customWidth="1"/>
    <col min="2" max="2" width="31.4257812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10.42578125" bestFit="1" customWidth="1"/>
    <col min="12" max="12" width="6" bestFit="1" customWidth="1"/>
    <col min="13" max="22" width="5.7109375" customWidth="1"/>
    <col min="23" max="23" width="12.5703125" style="161" bestFit="1" customWidth="1"/>
    <col min="24" max="24" width="14.140625" bestFit="1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53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472</v>
      </c>
      <c r="L9" s="445"/>
      <c r="M9" s="473" t="str">
        <f>+PRESUPUESTO!B56</f>
        <v>SUMINISTRO E INSTALACION DE CONCRETO   DE 3.000 PSI PARA ZAPATAS PEDESTAL Y VIGA INCLUYE ALFAJIA EN CONCRETO SEGÚN DISEÑO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443</v>
      </c>
      <c r="G11" s="447" t="s">
        <v>134</v>
      </c>
      <c r="H11" s="447"/>
      <c r="I11" s="447"/>
      <c r="J11" s="446" t="s">
        <v>426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438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 t="s">
        <v>419</v>
      </c>
      <c r="B13" s="65" t="s">
        <v>667</v>
      </c>
      <c r="C13" s="54">
        <v>0.8</v>
      </c>
      <c r="D13" s="54">
        <v>0.3</v>
      </c>
      <c r="E13" s="54">
        <v>0.8</v>
      </c>
      <c r="F13" s="55">
        <v>8</v>
      </c>
      <c r="G13" s="54"/>
      <c r="H13" s="54"/>
      <c r="I13" s="54"/>
      <c r="J13" s="55"/>
      <c r="K13" s="56">
        <f>+C13*D13*E13*F13</f>
        <v>1.536</v>
      </c>
      <c r="L13" s="57" t="s">
        <v>294</v>
      </c>
      <c r="M13" s="453"/>
      <c r="N13" s="454"/>
      <c r="O13" s="454"/>
      <c r="P13" s="454"/>
      <c r="Q13" s="454"/>
      <c r="R13" s="454"/>
      <c r="S13" s="454"/>
      <c r="T13" s="454"/>
      <c r="U13" s="454"/>
      <c r="V13" s="455"/>
    </row>
    <row r="14" spans="1:22" x14ac:dyDescent="0.25">
      <c r="A14" s="449"/>
      <c r="B14" s="65" t="s">
        <v>669</v>
      </c>
      <c r="C14" s="54">
        <v>0.8</v>
      </c>
      <c r="D14" s="54">
        <v>1</v>
      </c>
      <c r="E14" s="54">
        <v>0.8</v>
      </c>
      <c r="F14" s="55">
        <v>5</v>
      </c>
      <c r="G14" s="54"/>
      <c r="H14" s="54"/>
      <c r="I14" s="54"/>
      <c r="J14" s="55"/>
      <c r="K14" s="56">
        <f t="shared" ref="K14:K21" si="0">+C14*D14*E14*F14</f>
        <v>3.2000000000000006</v>
      </c>
      <c r="L14" s="163">
        <f>SUM(K13:K19)</f>
        <v>30.976000000000006</v>
      </c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 t="s">
        <v>670</v>
      </c>
      <c r="C15" s="54">
        <v>0.8</v>
      </c>
      <c r="D15" s="54">
        <v>1</v>
      </c>
      <c r="E15" s="54">
        <v>0.8</v>
      </c>
      <c r="F15" s="55">
        <v>5</v>
      </c>
      <c r="G15" s="54"/>
      <c r="H15" s="54"/>
      <c r="I15" s="54"/>
      <c r="J15" s="55"/>
      <c r="K15" s="56">
        <f t="shared" si="0"/>
        <v>3.2000000000000006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 t="s">
        <v>671</v>
      </c>
      <c r="C16" s="54">
        <v>0.8</v>
      </c>
      <c r="D16" s="54">
        <v>1</v>
      </c>
      <c r="E16" s="54">
        <v>0.8</v>
      </c>
      <c r="F16" s="55">
        <v>11</v>
      </c>
      <c r="G16" s="54"/>
      <c r="H16" s="54"/>
      <c r="I16" s="54"/>
      <c r="J16" s="55"/>
      <c r="K16" s="56">
        <f t="shared" si="0"/>
        <v>7.0400000000000009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4" x14ac:dyDescent="0.25">
      <c r="A17" s="449"/>
      <c r="B17" s="65" t="s">
        <v>672</v>
      </c>
      <c r="C17" s="54">
        <v>0.8</v>
      </c>
      <c r="D17" s="54">
        <v>1</v>
      </c>
      <c r="E17" s="54">
        <v>0.8</v>
      </c>
      <c r="F17" s="55">
        <v>11</v>
      </c>
      <c r="G17" s="54"/>
      <c r="H17" s="54"/>
      <c r="I17" s="54"/>
      <c r="J17" s="55"/>
      <c r="K17" s="56">
        <f t="shared" si="0"/>
        <v>7.0400000000000009</v>
      </c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  <c r="W17" s="161">
        <v>755012</v>
      </c>
      <c r="X17" s="162">
        <f>+W17*L14</f>
        <v>23387251.712000005</v>
      </c>
    </row>
    <row r="18" spans="1:24" x14ac:dyDescent="0.25">
      <c r="A18" s="449"/>
      <c r="B18" s="65" t="s">
        <v>673</v>
      </c>
      <c r="C18" s="54">
        <v>0.8</v>
      </c>
      <c r="D18" s="54">
        <v>1</v>
      </c>
      <c r="E18" s="54">
        <v>0.8</v>
      </c>
      <c r="F18" s="55">
        <v>7</v>
      </c>
      <c r="G18" s="54"/>
      <c r="H18" s="54"/>
      <c r="I18" s="54"/>
      <c r="J18" s="55"/>
      <c r="K18" s="56">
        <f t="shared" si="0"/>
        <v>4.4800000000000004</v>
      </c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4" x14ac:dyDescent="0.25">
      <c r="A19" s="449"/>
      <c r="B19" s="65" t="s">
        <v>674</v>
      </c>
      <c r="C19" s="54">
        <v>0.8</v>
      </c>
      <c r="D19" s="54">
        <v>1</v>
      </c>
      <c r="E19" s="54">
        <v>0.8</v>
      </c>
      <c r="F19" s="55">
        <v>7</v>
      </c>
      <c r="G19" s="54"/>
      <c r="H19" s="54"/>
      <c r="I19" s="54"/>
      <c r="J19" s="55"/>
      <c r="K19" s="56">
        <f t="shared" si="0"/>
        <v>4.4800000000000004</v>
      </c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4" x14ac:dyDescent="0.25">
      <c r="A20" s="449"/>
      <c r="B20" s="80" t="s">
        <v>679</v>
      </c>
      <c r="C20" s="54">
        <v>0.3</v>
      </c>
      <c r="D20" s="54">
        <v>1.2</v>
      </c>
      <c r="E20" s="54">
        <v>0.3</v>
      </c>
      <c r="F20" s="55">
        <v>54</v>
      </c>
      <c r="G20" s="54"/>
      <c r="H20" s="54"/>
      <c r="I20" s="54"/>
      <c r="J20" s="55"/>
      <c r="K20" s="56">
        <f t="shared" si="0"/>
        <v>5.8319999999999999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  <c r="W20" s="161">
        <v>182046</v>
      </c>
      <c r="X20" s="162">
        <f>+W20*K20</f>
        <v>1061692.2719999999</v>
      </c>
    </row>
    <row r="21" spans="1:24" x14ac:dyDescent="0.25">
      <c r="A21" s="449"/>
      <c r="B21" s="80" t="s">
        <v>680</v>
      </c>
      <c r="C21" s="54">
        <f>29.2+29.2+35+35</f>
        <v>128.4</v>
      </c>
      <c r="D21" s="54">
        <v>0.5</v>
      </c>
      <c r="E21" s="54">
        <v>0.2</v>
      </c>
      <c r="F21" s="54">
        <v>1</v>
      </c>
      <c r="G21" s="80"/>
      <c r="H21" s="80"/>
      <c r="I21" s="80"/>
      <c r="J21" s="55"/>
      <c r="K21" s="56">
        <f t="shared" si="0"/>
        <v>12.840000000000002</v>
      </c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  <c r="W21" s="161">
        <v>815996</v>
      </c>
      <c r="X21" s="162">
        <f>+W21*K21</f>
        <v>10477388.640000001</v>
      </c>
    </row>
    <row r="22" spans="1:24" x14ac:dyDescent="0.25">
      <c r="A22" s="449"/>
      <c r="B22" s="54"/>
      <c r="C22" s="54"/>
      <c r="D22" s="54"/>
      <c r="E22" s="54"/>
      <c r="F22" s="55"/>
      <c r="G22" s="54"/>
      <c r="H22" s="54"/>
      <c r="I22" s="54"/>
      <c r="J22" s="55"/>
      <c r="K22" s="56"/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4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/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4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6"/>
      <c r="N24" s="457"/>
      <c r="O24" s="457"/>
      <c r="P24" s="457"/>
      <c r="Q24" s="457"/>
      <c r="R24" s="457"/>
      <c r="S24" s="457"/>
      <c r="T24" s="457"/>
      <c r="U24" s="457"/>
      <c r="V24" s="458"/>
    </row>
    <row r="25" spans="1:24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9" t="s">
        <v>142</v>
      </c>
      <c r="N25" s="460"/>
      <c r="O25" s="460"/>
      <c r="P25" s="460"/>
      <c r="Q25" s="460"/>
      <c r="R25" s="460"/>
      <c r="S25" s="460"/>
      <c r="T25" s="460"/>
      <c r="U25" s="460"/>
      <c r="V25" s="461"/>
    </row>
    <row r="26" spans="1:24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62"/>
      <c r="N26" s="463"/>
      <c r="O26" s="463"/>
      <c r="P26" s="463"/>
      <c r="Q26" s="463"/>
      <c r="R26" s="463"/>
      <c r="S26" s="463"/>
      <c r="T26" s="463"/>
      <c r="U26" s="463"/>
      <c r="V26" s="464"/>
    </row>
    <row r="27" spans="1:24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62"/>
      <c r="N27" s="463"/>
      <c r="O27" s="463"/>
      <c r="P27" s="463"/>
      <c r="Q27" s="463"/>
      <c r="R27" s="463"/>
      <c r="S27" s="463"/>
      <c r="T27" s="463"/>
      <c r="U27" s="463"/>
      <c r="V27" s="464"/>
    </row>
    <row r="28" spans="1:24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4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4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4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4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53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5"/>
      <c r="N34" s="466"/>
      <c r="O34" s="466"/>
      <c r="P34" s="466"/>
      <c r="Q34" s="466"/>
      <c r="R34" s="466"/>
      <c r="S34" s="466"/>
      <c r="T34" s="466"/>
      <c r="U34" s="466"/>
      <c r="V34" s="467"/>
    </row>
    <row r="35" spans="1:22" x14ac:dyDescent="0.25">
      <c r="A35" s="44"/>
      <c r="B35" s="47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</row>
    <row r="36" spans="1:22" ht="18" x14ac:dyDescent="0.35">
      <c r="A36" s="58" t="s">
        <v>105</v>
      </c>
      <c r="B36" s="444"/>
      <c r="C36" s="444"/>
      <c r="D36" s="44"/>
      <c r="E36" s="44"/>
      <c r="G36" s="44"/>
      <c r="H36" s="44"/>
      <c r="I36" s="44"/>
      <c r="J36" s="59"/>
      <c r="K36" s="60">
        <f>SUM(K13:K35)</f>
        <v>49.64800000000001</v>
      </c>
      <c r="L36" s="61" t="s">
        <v>145</v>
      </c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x14ac:dyDescent="0.25">
      <c r="A37" s="44"/>
      <c r="B37" s="47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x14ac:dyDescent="0.25">
      <c r="A38" s="62" t="s">
        <v>143</v>
      </c>
      <c r="B38" s="63"/>
      <c r="C38" s="62"/>
      <c r="D38" s="62"/>
      <c r="E38" s="62"/>
      <c r="F38" s="62"/>
      <c r="G38" s="62"/>
      <c r="H38" s="62"/>
      <c r="I38" s="62"/>
      <c r="J38" s="445" t="s">
        <v>144</v>
      </c>
      <c r="K38" s="445"/>
      <c r="L38" s="445"/>
      <c r="M38" s="445"/>
      <c r="N38" s="445"/>
      <c r="O38" s="445"/>
      <c r="P38" s="445"/>
      <c r="Q38" s="445"/>
      <c r="R38" s="445"/>
      <c r="S38" s="445"/>
      <c r="T38" s="445"/>
      <c r="U38" s="445"/>
      <c r="V38" s="445"/>
    </row>
    <row r="39" spans="1:22" x14ac:dyDescent="0.25">
      <c r="A39" s="64" t="s">
        <v>89</v>
      </c>
      <c r="B39" s="445"/>
      <c r="C39" s="445"/>
      <c r="D39" s="445"/>
      <c r="E39" s="445"/>
      <c r="F39" s="445"/>
      <c r="G39" s="445"/>
      <c r="H39" s="445"/>
      <c r="I39" s="445"/>
      <c r="J39" s="445"/>
      <c r="K39" s="445"/>
      <c r="L39" s="445"/>
      <c r="M39" s="445"/>
      <c r="N39" s="445"/>
      <c r="O39" s="445"/>
      <c r="P39" s="445"/>
      <c r="Q39" s="445"/>
      <c r="R39" s="445"/>
      <c r="S39" s="445"/>
      <c r="T39" s="445"/>
      <c r="U39" s="445"/>
      <c r="V39" s="445"/>
    </row>
  </sheetData>
  <mergeCells count="28">
    <mergeCell ref="B36:C36"/>
    <mergeCell ref="J38:V39"/>
    <mergeCell ref="B39:I39"/>
    <mergeCell ref="K11:K12"/>
    <mergeCell ref="L11:L12"/>
    <mergeCell ref="M11:V12"/>
    <mergeCell ref="A13:A34"/>
    <mergeCell ref="M13:V24"/>
    <mergeCell ref="M25:V34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tabColor rgb="FFFFFF00"/>
  </sheetPr>
  <dimension ref="A1:AH39"/>
  <sheetViews>
    <sheetView topLeftCell="A6" zoomScaleNormal="100" workbookViewId="0">
      <selection activeCell="F33" sqref="F33"/>
    </sheetView>
  </sheetViews>
  <sheetFormatPr baseColWidth="10" defaultRowHeight="15" x14ac:dyDescent="0.25"/>
  <cols>
    <col min="1" max="1" width="91.7109375" customWidth="1"/>
    <col min="2" max="2" width="43.4257812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11.5703125" bestFit="1" customWidth="1"/>
    <col min="12" max="12" width="5.7109375" bestFit="1" customWidth="1"/>
    <col min="13" max="22" width="5.7109375" customWidth="1"/>
    <col min="25" max="25" width="44" bestFit="1" customWidth="1"/>
  </cols>
  <sheetData>
    <row r="1" spans="1:34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34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34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34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34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34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34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34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34" ht="53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473</v>
      </c>
      <c r="L9" s="445"/>
      <c r="M9" s="473" t="str">
        <f>+PRESUPUESTO!B57</f>
        <v>VARILA DE 1/2 " Y VARILLA DE  3/8"  ACERO DE REFUERZO DE 60.000 Y ALAMBRE NEGRO No 18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34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34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443</v>
      </c>
      <c r="G11" s="447" t="s">
        <v>134</v>
      </c>
      <c r="H11" s="447"/>
      <c r="I11" s="447"/>
      <c r="J11" s="446" t="s">
        <v>426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34" ht="38.25" x14ac:dyDescent="0.25">
      <c r="A12" s="446"/>
      <c r="B12" s="446"/>
      <c r="C12" s="52" t="s">
        <v>138</v>
      </c>
      <c r="D12" s="52" t="s">
        <v>442</v>
      </c>
      <c r="E12" s="52" t="s">
        <v>438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34" x14ac:dyDescent="0.25">
      <c r="A13" s="449" t="s">
        <v>419</v>
      </c>
      <c r="B13" s="65"/>
      <c r="C13" s="54"/>
      <c r="D13" s="54"/>
      <c r="E13" s="54"/>
      <c r="F13" s="55"/>
      <c r="G13" s="54"/>
      <c r="H13" s="54"/>
      <c r="I13" s="54"/>
      <c r="J13" s="55"/>
      <c r="K13" s="56">
        <f>+C13*D13*E13</f>
        <v>0</v>
      </c>
      <c r="L13" s="57" t="s">
        <v>315</v>
      </c>
      <c r="M13" s="453"/>
      <c r="N13" s="454"/>
      <c r="O13" s="454"/>
      <c r="P13" s="454"/>
      <c r="Q13" s="454"/>
      <c r="R13" s="454"/>
      <c r="S13" s="454"/>
      <c r="T13" s="454"/>
      <c r="U13" s="454"/>
      <c r="V13" s="455"/>
    </row>
    <row r="14" spans="1:34" x14ac:dyDescent="0.25">
      <c r="A14" s="449"/>
      <c r="B14" s="65"/>
      <c r="C14" s="54"/>
      <c r="D14" s="54"/>
      <c r="E14" s="54"/>
      <c r="F14" s="55"/>
      <c r="G14" s="54"/>
      <c r="H14" s="54"/>
      <c r="I14" s="54"/>
      <c r="J14" s="55"/>
      <c r="K14" s="56">
        <f t="shared" ref="K14" si="0">+C14*D14*E14</f>
        <v>0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34" x14ac:dyDescent="0.25">
      <c r="A15" s="449"/>
      <c r="B15" s="65" t="s">
        <v>601</v>
      </c>
      <c r="C15" s="54">
        <v>29.2</v>
      </c>
      <c r="D15" s="54">
        <v>1</v>
      </c>
      <c r="E15" s="54">
        <v>0.9</v>
      </c>
      <c r="F15" s="55">
        <f>+C15/0.25</f>
        <v>116.8</v>
      </c>
      <c r="G15" s="54"/>
      <c r="H15" s="54"/>
      <c r="I15" s="54"/>
      <c r="J15" s="55"/>
      <c r="K15" s="56">
        <f>+D15*E15*F15</f>
        <v>105.12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  <c r="Y15" s="65" t="s">
        <v>601</v>
      </c>
      <c r="Z15" s="54">
        <v>29.2</v>
      </c>
      <c r="AA15" s="54">
        <v>1</v>
      </c>
      <c r="AB15" s="54">
        <v>0.9</v>
      </c>
      <c r="AC15" s="55">
        <f>+Z15/0.2</f>
        <v>146</v>
      </c>
      <c r="AD15" s="54"/>
      <c r="AE15" s="54"/>
      <c r="AF15" s="54"/>
      <c r="AG15" s="55"/>
      <c r="AH15" s="56">
        <f>+AA15*AB15*AC15</f>
        <v>131.4</v>
      </c>
    </row>
    <row r="16" spans="1:34" x14ac:dyDescent="0.25">
      <c r="A16" s="449"/>
      <c r="B16" s="54" t="s">
        <v>602</v>
      </c>
      <c r="C16" s="54">
        <v>26.2</v>
      </c>
      <c r="D16" s="54">
        <v>1</v>
      </c>
      <c r="E16" s="54">
        <v>0.9</v>
      </c>
      <c r="F16" s="55">
        <f>+C16/0.25</f>
        <v>104.8</v>
      </c>
      <c r="G16" s="54"/>
      <c r="H16" s="54"/>
      <c r="I16" s="54"/>
      <c r="J16" s="55"/>
      <c r="K16" s="56">
        <f t="shared" ref="K16:K18" si="1">+D16*E16*F16</f>
        <v>94.32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  <c r="Y16" s="54" t="s">
        <v>602</v>
      </c>
      <c r="Z16" s="54">
        <v>26.2</v>
      </c>
      <c r="AA16" s="54">
        <v>1</v>
      </c>
      <c r="AB16" s="54">
        <v>0.9</v>
      </c>
      <c r="AC16" s="55">
        <f t="shared" ref="AC16:AC18" si="2">+Z16/0.2</f>
        <v>131</v>
      </c>
      <c r="AD16" s="54"/>
      <c r="AE16" s="54"/>
      <c r="AF16" s="54"/>
      <c r="AG16" s="55"/>
      <c r="AH16" s="56">
        <f t="shared" ref="AH16:AH23" si="3">+AA16*AB16*AC16</f>
        <v>117.9</v>
      </c>
    </row>
    <row r="17" spans="1:34" x14ac:dyDescent="0.25">
      <c r="A17" s="449"/>
      <c r="B17" s="54" t="s">
        <v>603</v>
      </c>
      <c r="C17" s="54">
        <v>35</v>
      </c>
      <c r="D17" s="54">
        <v>1</v>
      </c>
      <c r="E17" s="54">
        <v>0.9</v>
      </c>
      <c r="F17" s="55">
        <f>+C17/0.25</f>
        <v>140</v>
      </c>
      <c r="G17" s="54"/>
      <c r="H17" s="54"/>
      <c r="I17" s="54"/>
      <c r="J17" s="55"/>
      <c r="K17" s="56">
        <f t="shared" si="1"/>
        <v>126</v>
      </c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  <c r="Y17" s="54" t="s">
        <v>603</v>
      </c>
      <c r="Z17" s="54">
        <v>35</v>
      </c>
      <c r="AA17" s="54">
        <v>1</v>
      </c>
      <c r="AB17" s="54">
        <v>0.9</v>
      </c>
      <c r="AC17" s="55">
        <f t="shared" si="2"/>
        <v>175</v>
      </c>
      <c r="AD17" s="54"/>
      <c r="AE17" s="54"/>
      <c r="AF17" s="54"/>
      <c r="AG17" s="55"/>
      <c r="AH17" s="56">
        <f t="shared" si="3"/>
        <v>157.5</v>
      </c>
    </row>
    <row r="18" spans="1:34" x14ac:dyDescent="0.25">
      <c r="A18" s="449"/>
      <c r="B18" s="65" t="s">
        <v>604</v>
      </c>
      <c r="C18" s="54">
        <v>35</v>
      </c>
      <c r="D18" s="54">
        <v>1</v>
      </c>
      <c r="E18" s="54">
        <v>0.9</v>
      </c>
      <c r="F18" s="55">
        <f>+C18/0.25</f>
        <v>140</v>
      </c>
      <c r="G18" s="54"/>
      <c r="H18" s="54"/>
      <c r="I18" s="54"/>
      <c r="J18" s="55"/>
      <c r="K18" s="56">
        <f t="shared" si="1"/>
        <v>126</v>
      </c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  <c r="Y18" s="65" t="s">
        <v>604</v>
      </c>
      <c r="Z18" s="54">
        <v>35</v>
      </c>
      <c r="AA18" s="54">
        <v>1</v>
      </c>
      <c r="AB18" s="54">
        <v>0.9</v>
      </c>
      <c r="AC18" s="55">
        <f t="shared" si="2"/>
        <v>175</v>
      </c>
      <c r="AD18" s="54"/>
      <c r="AE18" s="54"/>
      <c r="AF18" s="54"/>
      <c r="AG18" s="55"/>
      <c r="AH18" s="56">
        <f t="shared" si="3"/>
        <v>157.5</v>
      </c>
    </row>
    <row r="19" spans="1:34" x14ac:dyDescent="0.25">
      <c r="A19" s="449"/>
      <c r="B19" s="65"/>
      <c r="C19" s="54"/>
      <c r="D19" s="54"/>
      <c r="E19" s="54"/>
      <c r="F19" s="55"/>
      <c r="G19" s="54"/>
      <c r="H19" s="54"/>
      <c r="I19" s="54"/>
      <c r="J19" s="55"/>
      <c r="K19" s="56"/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  <c r="Y19" s="65"/>
      <c r="Z19" s="54"/>
      <c r="AA19" s="54"/>
      <c r="AB19" s="54"/>
      <c r="AC19" s="55"/>
      <c r="AD19" s="54"/>
      <c r="AE19" s="54"/>
      <c r="AF19" s="54"/>
      <c r="AG19" s="55"/>
      <c r="AH19" s="56"/>
    </row>
    <row r="20" spans="1:34" x14ac:dyDescent="0.25">
      <c r="A20" s="449"/>
      <c r="B20" s="65" t="s">
        <v>616</v>
      </c>
      <c r="C20" s="54">
        <v>29.2</v>
      </c>
      <c r="D20" s="54">
        <v>0.56000000000000005</v>
      </c>
      <c r="E20" s="54">
        <v>0.85</v>
      </c>
      <c r="F20" s="55">
        <f>+C20/0.25</f>
        <v>116.8</v>
      </c>
      <c r="G20" s="54"/>
      <c r="H20" s="54"/>
      <c r="I20" s="54"/>
      <c r="J20" s="55"/>
      <c r="K20" s="56">
        <f t="shared" ref="K20:K23" si="4">+D20*E20*F20</f>
        <v>55.596800000000002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  <c r="Y20" s="65" t="s">
        <v>616</v>
      </c>
      <c r="Z20" s="54">
        <v>29.2</v>
      </c>
      <c r="AA20" s="54">
        <v>0.56000000000000005</v>
      </c>
      <c r="AB20" s="54">
        <v>0.85</v>
      </c>
      <c r="AC20" s="55">
        <f>+Z20/0.25</f>
        <v>116.8</v>
      </c>
      <c r="AD20" s="54"/>
      <c r="AE20" s="54"/>
      <c r="AF20" s="54"/>
      <c r="AG20" s="55"/>
      <c r="AH20" s="56">
        <f t="shared" si="3"/>
        <v>55.596800000000002</v>
      </c>
    </row>
    <row r="21" spans="1:34" x14ac:dyDescent="0.25">
      <c r="A21" s="449"/>
      <c r="B21" s="65" t="s">
        <v>615</v>
      </c>
      <c r="C21" s="54">
        <v>26.2</v>
      </c>
      <c r="D21" s="54">
        <v>0.56000000000000005</v>
      </c>
      <c r="E21" s="54">
        <v>0.85</v>
      </c>
      <c r="F21" s="55">
        <f>+C21/0.25</f>
        <v>104.8</v>
      </c>
      <c r="G21" s="80"/>
      <c r="H21" s="80"/>
      <c r="I21" s="80"/>
      <c r="J21" s="55"/>
      <c r="K21" s="56">
        <f t="shared" si="4"/>
        <v>49.884800000000006</v>
      </c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  <c r="Y21" s="65" t="s">
        <v>615</v>
      </c>
      <c r="Z21" s="54">
        <v>26.2</v>
      </c>
      <c r="AA21" s="54">
        <v>0.56000000000000005</v>
      </c>
      <c r="AB21" s="54">
        <v>0.85</v>
      </c>
      <c r="AC21" s="55">
        <f>+Z21/0.25</f>
        <v>104.8</v>
      </c>
      <c r="AD21" s="80"/>
      <c r="AE21" s="80"/>
      <c r="AF21" s="80"/>
      <c r="AG21" s="55"/>
      <c r="AH21" s="56">
        <f t="shared" si="3"/>
        <v>49.884800000000006</v>
      </c>
    </row>
    <row r="22" spans="1:34" x14ac:dyDescent="0.25">
      <c r="A22" s="449"/>
      <c r="B22" s="65" t="s">
        <v>615</v>
      </c>
      <c r="C22" s="54">
        <v>35</v>
      </c>
      <c r="D22" s="54">
        <v>0.56000000000000005</v>
      </c>
      <c r="E22" s="54">
        <v>0.85</v>
      </c>
      <c r="F22" s="55">
        <f>+C22/0.25</f>
        <v>140</v>
      </c>
      <c r="G22" s="54"/>
      <c r="H22" s="54"/>
      <c r="I22" s="54"/>
      <c r="J22" s="55"/>
      <c r="K22" s="56">
        <f t="shared" si="4"/>
        <v>66.64</v>
      </c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  <c r="Y22" s="65" t="s">
        <v>615</v>
      </c>
      <c r="Z22" s="54">
        <v>35</v>
      </c>
      <c r="AA22" s="54">
        <v>0.56000000000000005</v>
      </c>
      <c r="AB22" s="54">
        <v>0.85</v>
      </c>
      <c r="AC22" s="55">
        <f>+Z22/0.25</f>
        <v>140</v>
      </c>
      <c r="AD22" s="54"/>
      <c r="AE22" s="54"/>
      <c r="AF22" s="54"/>
      <c r="AG22" s="55"/>
      <c r="AH22" s="56">
        <f t="shared" si="3"/>
        <v>66.64</v>
      </c>
    </row>
    <row r="23" spans="1:34" x14ac:dyDescent="0.25">
      <c r="A23" s="449"/>
      <c r="B23" s="65" t="s">
        <v>615</v>
      </c>
      <c r="C23" s="54">
        <v>35</v>
      </c>
      <c r="D23" s="54">
        <v>0.56000000000000005</v>
      </c>
      <c r="E23" s="54">
        <v>0.85</v>
      </c>
      <c r="F23" s="55">
        <f>+C23/0.25</f>
        <v>140</v>
      </c>
      <c r="G23" s="54"/>
      <c r="H23" s="54"/>
      <c r="I23" s="54"/>
      <c r="J23" s="55"/>
      <c r="K23" s="56">
        <f t="shared" si="4"/>
        <v>66.64</v>
      </c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  <c r="Y23" s="65" t="s">
        <v>615</v>
      </c>
      <c r="Z23" s="54">
        <v>35</v>
      </c>
      <c r="AA23" s="54">
        <v>0.56000000000000005</v>
      </c>
      <c r="AB23" s="54">
        <v>0.85</v>
      </c>
      <c r="AC23" s="55">
        <f>+Z23/0.25</f>
        <v>140</v>
      </c>
      <c r="AD23" s="54"/>
      <c r="AE23" s="54"/>
      <c r="AF23" s="54"/>
      <c r="AG23" s="55"/>
      <c r="AH23" s="56">
        <f t="shared" si="3"/>
        <v>66.64</v>
      </c>
    </row>
    <row r="24" spans="1:34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6"/>
      <c r="N24" s="457"/>
      <c r="O24" s="457"/>
      <c r="P24" s="457"/>
      <c r="Q24" s="457"/>
      <c r="R24" s="457"/>
      <c r="S24" s="457"/>
      <c r="T24" s="457"/>
      <c r="U24" s="457"/>
      <c r="V24" s="458"/>
      <c r="Y24" s="65"/>
      <c r="Z24" s="54"/>
      <c r="AA24" s="54"/>
      <c r="AB24" s="54"/>
      <c r="AC24" s="55"/>
      <c r="AD24" s="54"/>
      <c r="AE24" s="54"/>
      <c r="AF24" s="54"/>
      <c r="AG24" s="55"/>
      <c r="AH24" s="56"/>
    </row>
    <row r="25" spans="1:34" x14ac:dyDescent="0.25">
      <c r="A25" s="449"/>
      <c r="B25" s="65" t="s">
        <v>617</v>
      </c>
      <c r="C25" s="54">
        <v>29.2</v>
      </c>
      <c r="D25" s="54">
        <v>1</v>
      </c>
      <c r="E25" s="54"/>
      <c r="F25" s="55">
        <v>4</v>
      </c>
      <c r="G25" s="54"/>
      <c r="H25" s="54"/>
      <c r="I25" s="54"/>
      <c r="J25" s="55"/>
      <c r="K25" s="56">
        <f>+C25*D25*F25</f>
        <v>116.8</v>
      </c>
      <c r="L25" s="57"/>
      <c r="M25" s="459" t="s">
        <v>142</v>
      </c>
      <c r="N25" s="460"/>
      <c r="O25" s="460"/>
      <c r="P25" s="460"/>
      <c r="Q25" s="460"/>
      <c r="R25" s="460"/>
      <c r="S25" s="460"/>
      <c r="T25" s="460"/>
      <c r="U25" s="460"/>
      <c r="V25" s="461"/>
      <c r="Y25" s="65" t="s">
        <v>617</v>
      </c>
      <c r="Z25" s="54">
        <v>29.2</v>
      </c>
      <c r="AA25" s="54">
        <v>1</v>
      </c>
      <c r="AB25" s="54"/>
      <c r="AC25" s="55">
        <v>4</v>
      </c>
      <c r="AD25" s="54"/>
      <c r="AE25" s="54"/>
      <c r="AF25" s="54"/>
      <c r="AG25" s="55"/>
      <c r="AH25" s="56">
        <f>+Z25*AA25*AC25</f>
        <v>116.8</v>
      </c>
    </row>
    <row r="26" spans="1:34" x14ac:dyDescent="0.25">
      <c r="A26" s="449"/>
      <c r="B26" s="65" t="s">
        <v>617</v>
      </c>
      <c r="C26" s="54">
        <v>26.2</v>
      </c>
      <c r="D26" s="54">
        <v>1</v>
      </c>
      <c r="E26" s="54"/>
      <c r="F26" s="55">
        <v>4</v>
      </c>
      <c r="G26" s="54"/>
      <c r="H26" s="54"/>
      <c r="I26" s="54"/>
      <c r="J26" s="55"/>
      <c r="K26" s="56">
        <f t="shared" ref="K26:K28" si="5">+C26*D26*F26</f>
        <v>104.8</v>
      </c>
      <c r="L26" s="57"/>
      <c r="M26" s="462"/>
      <c r="N26" s="463"/>
      <c r="O26" s="463"/>
      <c r="P26" s="463"/>
      <c r="Q26" s="463"/>
      <c r="R26" s="463"/>
      <c r="S26" s="463"/>
      <c r="T26" s="463"/>
      <c r="U26" s="463"/>
      <c r="V26" s="464"/>
      <c r="Y26" s="65" t="s">
        <v>617</v>
      </c>
      <c r="Z26" s="54">
        <v>26.2</v>
      </c>
      <c r="AA26" s="54">
        <v>1</v>
      </c>
      <c r="AB26" s="54"/>
      <c r="AC26" s="55">
        <v>4</v>
      </c>
      <c r="AD26" s="54"/>
      <c r="AE26" s="54"/>
      <c r="AF26" s="54"/>
      <c r="AG26" s="55"/>
      <c r="AH26" s="56">
        <f t="shared" ref="AH26:AH33" si="6">+Z26*AA26*AC26</f>
        <v>104.8</v>
      </c>
    </row>
    <row r="27" spans="1:34" x14ac:dyDescent="0.25">
      <c r="A27" s="449"/>
      <c r="B27" s="65" t="s">
        <v>617</v>
      </c>
      <c r="C27" s="54">
        <v>35</v>
      </c>
      <c r="D27" s="54">
        <v>1</v>
      </c>
      <c r="E27" s="54"/>
      <c r="F27" s="55">
        <v>4</v>
      </c>
      <c r="G27" s="54"/>
      <c r="H27" s="54"/>
      <c r="I27" s="54"/>
      <c r="J27" s="55"/>
      <c r="K27" s="56">
        <f t="shared" si="5"/>
        <v>140</v>
      </c>
      <c r="L27" s="57"/>
      <c r="M27" s="462"/>
      <c r="N27" s="463"/>
      <c r="O27" s="463"/>
      <c r="P27" s="463"/>
      <c r="Q27" s="463"/>
      <c r="R27" s="463"/>
      <c r="S27" s="463"/>
      <c r="T27" s="463"/>
      <c r="U27" s="463"/>
      <c r="V27" s="464"/>
      <c r="Y27" s="65" t="s">
        <v>617</v>
      </c>
      <c r="Z27" s="54">
        <v>35</v>
      </c>
      <c r="AA27" s="54">
        <v>1</v>
      </c>
      <c r="AB27" s="54"/>
      <c r="AC27" s="55">
        <v>4</v>
      </c>
      <c r="AD27" s="54"/>
      <c r="AE27" s="54"/>
      <c r="AF27" s="54"/>
      <c r="AG27" s="55"/>
      <c r="AH27" s="56">
        <f t="shared" si="6"/>
        <v>140</v>
      </c>
    </row>
    <row r="28" spans="1:34" x14ac:dyDescent="0.25">
      <c r="A28" s="449"/>
      <c r="B28" s="65" t="s">
        <v>618</v>
      </c>
      <c r="C28" s="54">
        <v>35</v>
      </c>
      <c r="D28" s="54">
        <v>1</v>
      </c>
      <c r="E28" s="54"/>
      <c r="F28" s="55">
        <v>4</v>
      </c>
      <c r="G28" s="54"/>
      <c r="H28" s="54"/>
      <c r="I28" s="54"/>
      <c r="J28" s="55"/>
      <c r="K28" s="56">
        <f t="shared" si="5"/>
        <v>140</v>
      </c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  <c r="Y28" s="65" t="s">
        <v>618</v>
      </c>
      <c r="Z28" s="54">
        <v>35</v>
      </c>
      <c r="AA28" s="54">
        <v>1</v>
      </c>
      <c r="AB28" s="54"/>
      <c r="AC28" s="55">
        <v>4</v>
      </c>
      <c r="AD28" s="54"/>
      <c r="AE28" s="54"/>
      <c r="AF28" s="54"/>
      <c r="AG28" s="55"/>
      <c r="AH28" s="56">
        <f t="shared" si="6"/>
        <v>140</v>
      </c>
    </row>
    <row r="29" spans="1:34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  <c r="Y29" s="65"/>
      <c r="Z29" s="54"/>
      <c r="AA29" s="54"/>
      <c r="AB29" s="54"/>
      <c r="AC29" s="55"/>
      <c r="AD29" s="54"/>
      <c r="AE29" s="54"/>
      <c r="AF29" s="54"/>
      <c r="AG29" s="55"/>
      <c r="AH29" s="56"/>
    </row>
    <row r="30" spans="1:34" x14ac:dyDescent="0.25">
      <c r="A30" s="449"/>
      <c r="B30" s="65" t="s">
        <v>619</v>
      </c>
      <c r="C30" s="54">
        <v>29.2</v>
      </c>
      <c r="D30" s="54">
        <v>1</v>
      </c>
      <c r="E30" s="54"/>
      <c r="F30" s="55">
        <v>4</v>
      </c>
      <c r="G30" s="54"/>
      <c r="H30" s="54"/>
      <c r="I30" s="54"/>
      <c r="J30" s="55"/>
      <c r="K30" s="56">
        <f t="shared" ref="K30:K33" si="7">+C30*D30*F30</f>
        <v>116.8</v>
      </c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  <c r="Y30" s="65" t="s">
        <v>619</v>
      </c>
      <c r="Z30" s="54">
        <v>29.2</v>
      </c>
      <c r="AA30" s="54">
        <v>1</v>
      </c>
      <c r="AB30" s="54"/>
      <c r="AC30" s="55">
        <v>4</v>
      </c>
      <c r="AD30" s="54"/>
      <c r="AE30" s="54"/>
      <c r="AF30" s="54"/>
      <c r="AG30" s="55"/>
      <c r="AH30" s="56">
        <f t="shared" si="6"/>
        <v>116.8</v>
      </c>
    </row>
    <row r="31" spans="1:34" x14ac:dyDescent="0.25">
      <c r="A31" s="449"/>
      <c r="B31" s="65" t="s">
        <v>619</v>
      </c>
      <c r="C31" s="54">
        <v>26.2</v>
      </c>
      <c r="D31" s="54">
        <v>1</v>
      </c>
      <c r="E31" s="54"/>
      <c r="F31" s="55">
        <v>4</v>
      </c>
      <c r="G31" s="54"/>
      <c r="H31" s="54"/>
      <c r="I31" s="54"/>
      <c r="J31" s="55"/>
      <c r="K31" s="56">
        <f t="shared" si="7"/>
        <v>104.8</v>
      </c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  <c r="Y31" s="65" t="s">
        <v>619</v>
      </c>
      <c r="Z31" s="54">
        <v>26.2</v>
      </c>
      <c r="AA31" s="54">
        <v>1</v>
      </c>
      <c r="AB31" s="54"/>
      <c r="AC31" s="55">
        <v>4</v>
      </c>
      <c r="AD31" s="54"/>
      <c r="AE31" s="54"/>
      <c r="AF31" s="54"/>
      <c r="AG31" s="55"/>
      <c r="AH31" s="56">
        <f t="shared" si="6"/>
        <v>104.8</v>
      </c>
    </row>
    <row r="32" spans="1:34" x14ac:dyDescent="0.25">
      <c r="A32" s="449"/>
      <c r="B32" s="65" t="s">
        <v>619</v>
      </c>
      <c r="C32" s="54">
        <v>35</v>
      </c>
      <c r="D32" s="54">
        <v>1</v>
      </c>
      <c r="E32" s="54"/>
      <c r="F32" s="55">
        <v>4</v>
      </c>
      <c r="G32" s="54"/>
      <c r="H32" s="54"/>
      <c r="I32" s="54"/>
      <c r="J32" s="55"/>
      <c r="K32" s="56">
        <f t="shared" si="7"/>
        <v>140</v>
      </c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  <c r="Y32" s="65" t="s">
        <v>619</v>
      </c>
      <c r="Z32" s="54">
        <v>35</v>
      </c>
      <c r="AA32" s="54">
        <v>1</v>
      </c>
      <c r="AB32" s="54"/>
      <c r="AC32" s="55">
        <v>4</v>
      </c>
      <c r="AD32" s="54"/>
      <c r="AE32" s="54"/>
      <c r="AF32" s="54"/>
      <c r="AG32" s="55"/>
      <c r="AH32" s="56">
        <f t="shared" si="6"/>
        <v>140</v>
      </c>
    </row>
    <row r="33" spans="1:34" x14ac:dyDescent="0.25">
      <c r="A33" s="449"/>
      <c r="B33" s="65" t="s">
        <v>620</v>
      </c>
      <c r="C33" s="54">
        <v>35</v>
      </c>
      <c r="D33" s="54">
        <v>1</v>
      </c>
      <c r="E33" s="54"/>
      <c r="F33" s="55">
        <v>4</v>
      </c>
      <c r="G33" s="54"/>
      <c r="H33" s="54"/>
      <c r="I33" s="54"/>
      <c r="J33" s="55"/>
      <c r="K33" s="56">
        <f t="shared" si="7"/>
        <v>140</v>
      </c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  <c r="Y33" s="65" t="s">
        <v>620</v>
      </c>
      <c r="Z33" s="54">
        <v>35</v>
      </c>
      <c r="AA33" s="54">
        <v>1</v>
      </c>
      <c r="AB33" s="54"/>
      <c r="AC33" s="55">
        <v>4</v>
      </c>
      <c r="AD33" s="54"/>
      <c r="AE33" s="54"/>
      <c r="AF33" s="54"/>
      <c r="AG33" s="55"/>
      <c r="AH33" s="56">
        <f t="shared" si="6"/>
        <v>140</v>
      </c>
    </row>
    <row r="34" spans="1:34" x14ac:dyDescent="0.25">
      <c r="A34" s="449"/>
      <c r="B34" s="53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5"/>
      <c r="N34" s="466"/>
      <c r="O34" s="466"/>
      <c r="P34" s="466"/>
      <c r="Q34" s="466"/>
      <c r="R34" s="466"/>
      <c r="S34" s="466"/>
      <c r="T34" s="466"/>
      <c r="U34" s="466"/>
      <c r="V34" s="467"/>
      <c r="Y34" s="53"/>
      <c r="Z34" s="54"/>
      <c r="AA34" s="54"/>
      <c r="AB34" s="54"/>
      <c r="AC34" s="55"/>
      <c r="AD34" s="54"/>
      <c r="AE34" s="54"/>
      <c r="AF34" s="54"/>
      <c r="AG34" s="55"/>
      <c r="AH34" s="56"/>
    </row>
    <row r="35" spans="1:34" x14ac:dyDescent="0.25">
      <c r="A35" s="44"/>
      <c r="B35" s="47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Y35" s="47"/>
      <c r="Z35" s="44"/>
      <c r="AA35" s="44"/>
      <c r="AB35" s="44"/>
      <c r="AC35" s="44"/>
      <c r="AD35" s="44"/>
      <c r="AE35" s="44"/>
      <c r="AF35" s="44"/>
      <c r="AG35" s="44"/>
      <c r="AH35" s="44"/>
    </row>
    <row r="36" spans="1:34" ht="18" x14ac:dyDescent="0.35">
      <c r="A36" s="58" t="s">
        <v>105</v>
      </c>
      <c r="B36" s="444"/>
      <c r="C36" s="444"/>
      <c r="D36" s="44"/>
      <c r="E36" s="44"/>
      <c r="G36" s="44"/>
      <c r="H36" s="44"/>
      <c r="I36" s="44"/>
      <c r="J36" s="59"/>
      <c r="K36" s="60">
        <f>SUM(K13:K35)</f>
        <v>1693.4015999999997</v>
      </c>
      <c r="L36" s="61" t="s">
        <v>315</v>
      </c>
      <c r="M36" s="44"/>
      <c r="N36" s="44"/>
      <c r="O36" s="44"/>
      <c r="P36" s="44"/>
      <c r="Q36" s="44"/>
      <c r="R36" s="44"/>
      <c r="S36" s="44"/>
      <c r="T36" s="44"/>
      <c r="U36" s="44"/>
      <c r="V36" s="44"/>
      <c r="Y36" s="444"/>
      <c r="Z36" s="444"/>
      <c r="AA36" s="44"/>
      <c r="AB36" s="44"/>
      <c r="AD36" s="44"/>
      <c r="AE36" s="44"/>
      <c r="AF36" s="44"/>
      <c r="AG36" s="59"/>
      <c r="AH36" s="60">
        <f>SUM(AH13:AH35)</f>
        <v>1806.2615999999998</v>
      </c>
    </row>
    <row r="37" spans="1:34" x14ac:dyDescent="0.25">
      <c r="A37" s="44"/>
      <c r="B37" s="47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34" x14ac:dyDescent="0.25">
      <c r="A38" s="62" t="s">
        <v>143</v>
      </c>
      <c r="B38" s="63"/>
      <c r="C38" s="62"/>
      <c r="D38" s="62"/>
      <c r="E38" s="62"/>
      <c r="F38" s="62"/>
      <c r="G38" s="62"/>
      <c r="H38" s="62"/>
      <c r="I38" s="62"/>
      <c r="J38" s="445" t="s">
        <v>144</v>
      </c>
      <c r="K38" s="445"/>
      <c r="L38" s="445"/>
      <c r="M38" s="445"/>
      <c r="N38" s="445"/>
      <c r="O38" s="445"/>
      <c r="P38" s="445"/>
      <c r="Q38" s="445"/>
      <c r="R38" s="445"/>
      <c r="S38" s="445"/>
      <c r="T38" s="445"/>
      <c r="U38" s="445"/>
      <c r="V38" s="445"/>
    </row>
    <row r="39" spans="1:34" x14ac:dyDescent="0.25">
      <c r="A39" s="64" t="s">
        <v>89</v>
      </c>
      <c r="B39" s="445"/>
      <c r="C39" s="445"/>
      <c r="D39" s="445"/>
      <c r="E39" s="445"/>
      <c r="F39" s="445"/>
      <c r="G39" s="445"/>
      <c r="H39" s="445"/>
      <c r="I39" s="445"/>
      <c r="J39" s="445"/>
      <c r="K39" s="445"/>
      <c r="L39" s="445"/>
      <c r="M39" s="445"/>
      <c r="N39" s="445"/>
      <c r="O39" s="445"/>
      <c r="P39" s="445"/>
      <c r="Q39" s="445"/>
      <c r="R39" s="445"/>
      <c r="S39" s="445"/>
      <c r="T39" s="445"/>
      <c r="U39" s="445"/>
      <c r="V39" s="445"/>
    </row>
  </sheetData>
  <mergeCells count="29">
    <mergeCell ref="B36:C36"/>
    <mergeCell ref="J38:V39"/>
    <mergeCell ref="B39:I39"/>
    <mergeCell ref="K11:K12"/>
    <mergeCell ref="L11:L12"/>
    <mergeCell ref="M11:V12"/>
    <mergeCell ref="M25:V34"/>
    <mergeCell ref="J11:J12"/>
    <mergeCell ref="A11:A12"/>
    <mergeCell ref="B11:B12"/>
    <mergeCell ref="C11:E11"/>
    <mergeCell ref="F11:F12"/>
    <mergeCell ref="G11:I11"/>
    <mergeCell ref="Y36:Z36"/>
    <mergeCell ref="A1:A3"/>
    <mergeCell ref="B1:R3"/>
    <mergeCell ref="S1:V3"/>
    <mergeCell ref="B5:I5"/>
    <mergeCell ref="K5:L5"/>
    <mergeCell ref="M5:V5"/>
    <mergeCell ref="B6:I6"/>
    <mergeCell ref="K6:L6"/>
    <mergeCell ref="M6:V6"/>
    <mergeCell ref="B7:I7"/>
    <mergeCell ref="B9:I9"/>
    <mergeCell ref="K9:L9"/>
    <mergeCell ref="M9:V9"/>
    <mergeCell ref="A13:A34"/>
    <mergeCell ref="M13:V24"/>
  </mergeCells>
  <pageMargins left="0.7" right="0.7" top="0.75" bottom="0.75" header="0.3" footer="0.3"/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V39"/>
  <sheetViews>
    <sheetView topLeftCell="A6" zoomScaleNormal="100" workbookViewId="0">
      <selection activeCell="G18" sqref="G18"/>
    </sheetView>
  </sheetViews>
  <sheetFormatPr baseColWidth="10" defaultRowHeight="15" x14ac:dyDescent="0.25"/>
  <cols>
    <col min="1" max="1" width="91.7109375" customWidth="1"/>
    <col min="2" max="2" width="31.4257812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10.4257812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53.2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474</v>
      </c>
      <c r="L9" s="445"/>
      <c r="M9" s="473" t="str">
        <f>+PRESUPUESTO!B58</f>
        <v>SUMINISTRO E INSTALACION DE CERRAMIENTO EN TUBERIA REDONDA  3"  GALVANIZADA DE 2,20 MTS DE ALTO , TUBO CAD 15 CMS CON TAPA PUNTA CHAFLAN PINTADA EN WASH PRIMER  Y TERMINACION EN ESMALTE  EN COLOR DESEADO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446</v>
      </c>
      <c r="G11" s="447" t="s">
        <v>134</v>
      </c>
      <c r="H11" s="447"/>
      <c r="I11" s="447"/>
      <c r="J11" s="446" t="s">
        <v>426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438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 t="s">
        <v>419</v>
      </c>
      <c r="B13" s="65"/>
      <c r="C13" s="54"/>
      <c r="D13" s="54"/>
      <c r="E13" s="54"/>
      <c r="F13" s="55"/>
      <c r="G13" s="54"/>
      <c r="H13" s="54"/>
      <c r="I13" s="54"/>
      <c r="J13" s="55"/>
      <c r="K13" s="56">
        <f>+C13*D13*E13</f>
        <v>0</v>
      </c>
      <c r="L13" s="57" t="s">
        <v>117</v>
      </c>
      <c r="M13" s="453"/>
      <c r="N13" s="454"/>
      <c r="O13" s="454"/>
      <c r="P13" s="454"/>
      <c r="Q13" s="454"/>
      <c r="R13" s="454"/>
      <c r="S13" s="454"/>
      <c r="T13" s="454"/>
      <c r="U13" s="454"/>
      <c r="V13" s="455"/>
    </row>
    <row r="14" spans="1:22" x14ac:dyDescent="0.25">
      <c r="A14" s="449"/>
      <c r="B14" s="65"/>
      <c r="C14" s="54"/>
      <c r="D14" s="54"/>
      <c r="E14" s="54"/>
      <c r="F14" s="55"/>
      <c r="G14" s="54"/>
      <c r="H14" s="54"/>
      <c r="I14" s="54"/>
      <c r="J14" s="55"/>
      <c r="K14" s="56">
        <f t="shared" ref="K14" si="0">+C14*D14*E14</f>
        <v>0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 t="s">
        <v>444</v>
      </c>
      <c r="C15" s="54">
        <v>29.2</v>
      </c>
      <c r="D15" s="54"/>
      <c r="E15" s="54"/>
      <c r="F15" s="55">
        <f>+C15/0.15</f>
        <v>194.66666666666666</v>
      </c>
      <c r="G15" s="54"/>
      <c r="H15" s="54"/>
      <c r="I15" s="54"/>
      <c r="J15" s="55"/>
      <c r="K15" s="56">
        <f>+C15</f>
        <v>29.2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 t="s">
        <v>434</v>
      </c>
      <c r="C16" s="54">
        <v>29.2</v>
      </c>
      <c r="D16" s="54"/>
      <c r="E16" s="54"/>
      <c r="F16" s="55">
        <f t="shared" ref="F16:F18" si="1">+C16/0.15</f>
        <v>194.66666666666666</v>
      </c>
      <c r="G16" s="54"/>
      <c r="H16" s="54"/>
      <c r="I16" s="54" t="s">
        <v>447</v>
      </c>
      <c r="J16" s="55">
        <v>3</v>
      </c>
      <c r="K16" s="56">
        <f>+C16-J16</f>
        <v>26.2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54" t="s">
        <v>429</v>
      </c>
      <c r="C17" s="54">
        <v>35</v>
      </c>
      <c r="D17" s="54"/>
      <c r="E17" s="54"/>
      <c r="F17" s="55">
        <f t="shared" si="1"/>
        <v>233.33333333333334</v>
      </c>
      <c r="G17" s="54"/>
      <c r="H17" s="54"/>
      <c r="I17" s="54"/>
      <c r="J17" s="55"/>
      <c r="K17" s="56">
        <f t="shared" ref="K17:K18" si="2">+C17</f>
        <v>35</v>
      </c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 t="s">
        <v>445</v>
      </c>
      <c r="C18" s="54">
        <v>35</v>
      </c>
      <c r="D18" s="54"/>
      <c r="E18" s="54"/>
      <c r="F18" s="55">
        <f t="shared" si="1"/>
        <v>233.33333333333334</v>
      </c>
      <c r="G18" s="54"/>
      <c r="H18" s="54"/>
      <c r="I18" s="54"/>
      <c r="J18" s="55"/>
      <c r="K18" s="56">
        <f t="shared" si="2"/>
        <v>35</v>
      </c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65"/>
      <c r="C19" s="54"/>
      <c r="D19" s="54"/>
      <c r="E19" s="54"/>
      <c r="F19" s="55"/>
      <c r="G19" s="54"/>
      <c r="H19" s="54"/>
      <c r="I19" s="54"/>
      <c r="J19" s="55"/>
      <c r="K19" s="56"/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x14ac:dyDescent="0.25">
      <c r="A20" s="449"/>
      <c r="B20" s="65"/>
      <c r="C20" s="54"/>
      <c r="D20" s="54"/>
      <c r="E20" s="54"/>
      <c r="F20" s="55"/>
      <c r="G20" s="54"/>
      <c r="H20" s="54"/>
      <c r="I20" s="54"/>
      <c r="J20" s="55"/>
      <c r="K20" s="56">
        <f t="shared" ref="K20:K23" si="3">+F20</f>
        <v>0</v>
      </c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/>
      <c r="C21" s="54"/>
      <c r="D21" s="54"/>
      <c r="E21" s="80"/>
      <c r="F21" s="55"/>
      <c r="G21" s="80"/>
      <c r="H21" s="80"/>
      <c r="I21" s="80"/>
      <c r="J21" s="55"/>
      <c r="K21" s="56">
        <f t="shared" si="3"/>
        <v>0</v>
      </c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/>
      <c r="C22" s="54"/>
      <c r="D22" s="54"/>
      <c r="E22" s="54"/>
      <c r="F22" s="55"/>
      <c r="G22" s="54"/>
      <c r="H22" s="54"/>
      <c r="I22" s="54"/>
      <c r="J22" s="55"/>
      <c r="K22" s="56">
        <f t="shared" si="3"/>
        <v>0</v>
      </c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>
        <f t="shared" si="3"/>
        <v>0</v>
      </c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6"/>
      <c r="N24" s="457"/>
      <c r="O24" s="457"/>
      <c r="P24" s="457"/>
      <c r="Q24" s="457"/>
      <c r="R24" s="457"/>
      <c r="S24" s="457"/>
      <c r="T24" s="457"/>
      <c r="U24" s="457"/>
      <c r="V24" s="458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9" t="s">
        <v>142</v>
      </c>
      <c r="N25" s="460"/>
      <c r="O25" s="460"/>
      <c r="P25" s="460"/>
      <c r="Q25" s="460"/>
      <c r="R25" s="460"/>
      <c r="S25" s="460"/>
      <c r="T25" s="460"/>
      <c r="U25" s="460"/>
      <c r="V25" s="461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62"/>
      <c r="N26" s="463"/>
      <c r="O26" s="463"/>
      <c r="P26" s="463"/>
      <c r="Q26" s="463"/>
      <c r="R26" s="463"/>
      <c r="S26" s="463"/>
      <c r="T26" s="463"/>
      <c r="U26" s="463"/>
      <c r="V26" s="464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62"/>
      <c r="N27" s="463"/>
      <c r="O27" s="463"/>
      <c r="P27" s="463"/>
      <c r="Q27" s="463"/>
      <c r="R27" s="463"/>
      <c r="S27" s="463"/>
      <c r="T27" s="463"/>
      <c r="U27" s="463"/>
      <c r="V27" s="464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53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5"/>
      <c r="N34" s="466"/>
      <c r="O34" s="466"/>
      <c r="P34" s="466"/>
      <c r="Q34" s="466"/>
      <c r="R34" s="466"/>
      <c r="S34" s="466"/>
      <c r="T34" s="466"/>
      <c r="U34" s="466"/>
      <c r="V34" s="467"/>
    </row>
    <row r="35" spans="1:22" x14ac:dyDescent="0.25">
      <c r="A35" s="44"/>
      <c r="B35" s="47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</row>
    <row r="36" spans="1:22" ht="18" x14ac:dyDescent="0.35">
      <c r="A36" s="58" t="s">
        <v>105</v>
      </c>
      <c r="B36" s="444"/>
      <c r="C36" s="444"/>
      <c r="D36" s="44"/>
      <c r="E36" s="44"/>
      <c r="G36" s="44"/>
      <c r="H36" s="44"/>
      <c r="I36" s="44"/>
      <c r="J36" s="59"/>
      <c r="K36" s="60">
        <f>SUM(K13:K35)</f>
        <v>125.4</v>
      </c>
      <c r="L36" s="61" t="s">
        <v>117</v>
      </c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x14ac:dyDescent="0.25">
      <c r="A37" s="44"/>
      <c r="B37" s="47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x14ac:dyDescent="0.25">
      <c r="A38" s="62" t="s">
        <v>143</v>
      </c>
      <c r="B38" s="63"/>
      <c r="C38" s="62"/>
      <c r="D38" s="62"/>
      <c r="E38" s="62"/>
      <c r="F38" s="62"/>
      <c r="G38" s="62"/>
      <c r="H38" s="62"/>
      <c r="I38" s="62"/>
      <c r="J38" s="445" t="s">
        <v>144</v>
      </c>
      <c r="K38" s="445"/>
      <c r="L38" s="445"/>
      <c r="M38" s="445"/>
      <c r="N38" s="445"/>
      <c r="O38" s="445"/>
      <c r="P38" s="445"/>
      <c r="Q38" s="445"/>
      <c r="R38" s="445"/>
      <c r="S38" s="445"/>
      <c r="T38" s="445"/>
      <c r="U38" s="445"/>
      <c r="V38" s="445"/>
    </row>
    <row r="39" spans="1:22" x14ac:dyDescent="0.25">
      <c r="A39" s="64" t="s">
        <v>89</v>
      </c>
      <c r="B39" s="445"/>
      <c r="C39" s="445"/>
      <c r="D39" s="445"/>
      <c r="E39" s="445"/>
      <c r="F39" s="445"/>
      <c r="G39" s="445"/>
      <c r="H39" s="445"/>
      <c r="I39" s="445"/>
      <c r="J39" s="445"/>
      <c r="K39" s="445"/>
      <c r="L39" s="445"/>
      <c r="M39" s="445"/>
      <c r="N39" s="445"/>
      <c r="O39" s="445"/>
      <c r="P39" s="445"/>
      <c r="Q39" s="445"/>
      <c r="R39" s="445"/>
      <c r="S39" s="445"/>
      <c r="T39" s="445"/>
      <c r="U39" s="445"/>
      <c r="V39" s="445"/>
    </row>
  </sheetData>
  <mergeCells count="28">
    <mergeCell ref="B36:C36"/>
    <mergeCell ref="J38:V39"/>
    <mergeCell ref="B39:I39"/>
    <mergeCell ref="K11:K12"/>
    <mergeCell ref="L11:L12"/>
    <mergeCell ref="M11:V12"/>
    <mergeCell ref="A13:A34"/>
    <mergeCell ref="M13:V24"/>
    <mergeCell ref="M25:V34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tabColor rgb="FF00B0F0"/>
  </sheetPr>
  <dimension ref="A1:V39"/>
  <sheetViews>
    <sheetView topLeftCell="A7" zoomScaleNormal="100" workbookViewId="0">
      <selection activeCell="D17" sqref="D17"/>
    </sheetView>
  </sheetViews>
  <sheetFormatPr baseColWidth="10" defaultRowHeight="15" x14ac:dyDescent="0.25"/>
  <cols>
    <col min="1" max="1" width="91.7109375" customWidth="1"/>
    <col min="2" max="2" width="35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10.4257812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79.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475</v>
      </c>
      <c r="L9" s="445"/>
      <c r="M9" s="473" t="str">
        <f>+PRESUPUESTO!B59</f>
        <v>SUMINISTRO E INSTALACION DE PUERTA  EN TUBERIA REDONDA  3"  GALVANIZADA DE 2,20 MTS DE ALTO , TUBO CAD 15 CMS CON TAPA PUNTA CHAFLAN PINTADA EN WASH SEGÚN DISEÑO.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446</v>
      </c>
      <c r="G11" s="447" t="s">
        <v>134</v>
      </c>
      <c r="H11" s="447"/>
      <c r="I11" s="447"/>
      <c r="J11" s="446" t="s">
        <v>426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438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 t="s">
        <v>419</v>
      </c>
      <c r="B13" s="65"/>
      <c r="C13" s="54"/>
      <c r="D13" s="54"/>
      <c r="E13" s="54"/>
      <c r="F13" s="55"/>
      <c r="G13" s="54"/>
      <c r="H13" s="54"/>
      <c r="I13" s="54"/>
      <c r="J13" s="55"/>
      <c r="K13" s="56">
        <f>+C13*D13*E13</f>
        <v>0</v>
      </c>
      <c r="L13" s="57" t="s">
        <v>98</v>
      </c>
      <c r="M13" s="453"/>
      <c r="N13" s="454"/>
      <c r="O13" s="454"/>
      <c r="P13" s="454"/>
      <c r="Q13" s="454"/>
      <c r="R13" s="454"/>
      <c r="S13" s="454"/>
      <c r="T13" s="454"/>
      <c r="U13" s="454"/>
      <c r="V13" s="455"/>
    </row>
    <row r="14" spans="1:22" x14ac:dyDescent="0.25">
      <c r="A14" s="449"/>
      <c r="B14" s="65"/>
      <c r="C14" s="54"/>
      <c r="D14" s="54"/>
      <c r="E14" s="54"/>
      <c r="F14" s="55"/>
      <c r="G14" s="54"/>
      <c r="H14" s="54"/>
      <c r="I14" s="54"/>
      <c r="J14" s="55"/>
      <c r="K14" s="56">
        <f t="shared" ref="K14" si="0">+C14*D14*E14</f>
        <v>0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/>
      <c r="C15" s="54"/>
      <c r="D15" s="54"/>
      <c r="E15" s="54"/>
      <c r="F15" s="55"/>
      <c r="G15" s="54"/>
      <c r="H15" s="54"/>
      <c r="I15" s="54"/>
      <c r="J15" s="55"/>
      <c r="K15" s="56"/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 t="s">
        <v>469</v>
      </c>
      <c r="C16" s="54">
        <v>2.7</v>
      </c>
      <c r="D16" s="54">
        <v>1</v>
      </c>
      <c r="E16" s="54"/>
      <c r="F16" s="55"/>
      <c r="G16" s="54"/>
      <c r="H16" s="54"/>
      <c r="I16" s="54"/>
      <c r="J16" s="55"/>
      <c r="K16" s="56">
        <f>+C16*D16</f>
        <v>2.7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 t="s">
        <v>470</v>
      </c>
      <c r="C17" s="54">
        <v>2.7</v>
      </c>
      <c r="D17" s="54">
        <v>3</v>
      </c>
      <c r="E17" s="54"/>
      <c r="F17" s="55"/>
      <c r="G17" s="54"/>
      <c r="H17" s="54"/>
      <c r="I17" s="54"/>
      <c r="J17" s="55"/>
      <c r="K17" s="56">
        <f>+C17*D17</f>
        <v>8.1000000000000014</v>
      </c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/>
      <c r="C18" s="54"/>
      <c r="D18" s="54"/>
      <c r="E18" s="54"/>
      <c r="F18" s="55"/>
      <c r="G18" s="54"/>
      <c r="H18" s="54"/>
      <c r="I18" s="54"/>
      <c r="J18" s="55"/>
      <c r="K18" s="56"/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65"/>
      <c r="C19" s="54"/>
      <c r="D19" s="54"/>
      <c r="E19" s="54"/>
      <c r="F19" s="55"/>
      <c r="G19" s="54"/>
      <c r="H19" s="54"/>
      <c r="I19" s="54"/>
      <c r="J19" s="55"/>
      <c r="K19" s="56"/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x14ac:dyDescent="0.25">
      <c r="A20" s="449"/>
      <c r="B20" s="65"/>
      <c r="C20" s="54"/>
      <c r="D20" s="54"/>
      <c r="E20" s="54"/>
      <c r="F20" s="55"/>
      <c r="G20" s="54"/>
      <c r="H20" s="54"/>
      <c r="I20" s="54"/>
      <c r="J20" s="55"/>
      <c r="K20" s="56"/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/>
      <c r="C21" s="54"/>
      <c r="D21" s="54"/>
      <c r="E21" s="80"/>
      <c r="F21" s="55"/>
      <c r="G21" s="80"/>
      <c r="H21" s="80"/>
      <c r="I21" s="80"/>
      <c r="J21" s="55"/>
      <c r="K21" s="56"/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/>
      <c r="C22" s="54"/>
      <c r="D22" s="54"/>
      <c r="E22" s="54"/>
      <c r="F22" s="55"/>
      <c r="G22" s="54"/>
      <c r="H22" s="54"/>
      <c r="I22" s="54"/>
      <c r="J22" s="55"/>
      <c r="K22" s="56">
        <f t="shared" ref="K22:K23" si="1">+F22</f>
        <v>0</v>
      </c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>
        <f t="shared" si="1"/>
        <v>0</v>
      </c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6"/>
      <c r="N24" s="457"/>
      <c r="O24" s="457"/>
      <c r="P24" s="457"/>
      <c r="Q24" s="457"/>
      <c r="R24" s="457"/>
      <c r="S24" s="457"/>
      <c r="T24" s="457"/>
      <c r="U24" s="457"/>
      <c r="V24" s="458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9" t="s">
        <v>142</v>
      </c>
      <c r="N25" s="460"/>
      <c r="O25" s="460"/>
      <c r="P25" s="460"/>
      <c r="Q25" s="460"/>
      <c r="R25" s="460"/>
      <c r="S25" s="460"/>
      <c r="T25" s="460"/>
      <c r="U25" s="460"/>
      <c r="V25" s="461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62"/>
      <c r="N26" s="463"/>
      <c r="O26" s="463"/>
      <c r="P26" s="463"/>
      <c r="Q26" s="463"/>
      <c r="R26" s="463"/>
      <c r="S26" s="463"/>
      <c r="T26" s="463"/>
      <c r="U26" s="463"/>
      <c r="V26" s="464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62"/>
      <c r="N27" s="463"/>
      <c r="O27" s="463"/>
      <c r="P27" s="463"/>
      <c r="Q27" s="463"/>
      <c r="R27" s="463"/>
      <c r="S27" s="463"/>
      <c r="T27" s="463"/>
      <c r="U27" s="463"/>
      <c r="V27" s="464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53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5"/>
      <c r="N34" s="466"/>
      <c r="O34" s="466"/>
      <c r="P34" s="466"/>
      <c r="Q34" s="466"/>
      <c r="R34" s="466"/>
      <c r="S34" s="466"/>
      <c r="T34" s="466"/>
      <c r="U34" s="466"/>
      <c r="V34" s="467"/>
    </row>
    <row r="35" spans="1:22" x14ac:dyDescent="0.25">
      <c r="A35" s="44"/>
      <c r="B35" s="47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</row>
    <row r="36" spans="1:22" ht="18" x14ac:dyDescent="0.35">
      <c r="A36" s="58" t="s">
        <v>105</v>
      </c>
      <c r="B36" s="444"/>
      <c r="C36" s="444"/>
      <c r="D36" s="44"/>
      <c r="E36" s="44"/>
      <c r="G36" s="44"/>
      <c r="H36" s="44"/>
      <c r="I36" s="44"/>
      <c r="J36" s="59"/>
      <c r="K36" s="60">
        <f>SUM(K13:K35)</f>
        <v>10.8</v>
      </c>
      <c r="L36" s="61" t="s">
        <v>98</v>
      </c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x14ac:dyDescent="0.25">
      <c r="A37" s="44"/>
      <c r="B37" s="47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x14ac:dyDescent="0.25">
      <c r="A38" s="62" t="s">
        <v>143</v>
      </c>
      <c r="B38" s="63"/>
      <c r="C38" s="62"/>
      <c r="D38" s="62"/>
      <c r="E38" s="62"/>
      <c r="F38" s="62"/>
      <c r="G38" s="62"/>
      <c r="H38" s="62"/>
      <c r="I38" s="62"/>
      <c r="J38" s="445" t="s">
        <v>144</v>
      </c>
      <c r="K38" s="445"/>
      <c r="L38" s="445"/>
      <c r="M38" s="445"/>
      <c r="N38" s="445"/>
      <c r="O38" s="445"/>
      <c r="P38" s="445"/>
      <c r="Q38" s="445"/>
      <c r="R38" s="445"/>
      <c r="S38" s="445"/>
      <c r="T38" s="445"/>
      <c r="U38" s="445"/>
      <c r="V38" s="445"/>
    </row>
    <row r="39" spans="1:22" x14ac:dyDescent="0.25">
      <c r="A39" s="64" t="s">
        <v>89</v>
      </c>
      <c r="B39" s="445"/>
      <c r="C39" s="445"/>
      <c r="D39" s="445"/>
      <c r="E39" s="445"/>
      <c r="F39" s="445"/>
      <c r="G39" s="445"/>
      <c r="H39" s="445"/>
      <c r="I39" s="445"/>
      <c r="J39" s="445"/>
      <c r="K39" s="445"/>
      <c r="L39" s="445"/>
      <c r="M39" s="445"/>
      <c r="N39" s="445"/>
      <c r="O39" s="445"/>
      <c r="P39" s="445"/>
      <c r="Q39" s="445"/>
      <c r="R39" s="445"/>
      <c r="S39" s="445"/>
      <c r="T39" s="445"/>
      <c r="U39" s="445"/>
      <c r="V39" s="445"/>
    </row>
  </sheetData>
  <mergeCells count="28">
    <mergeCell ref="A1:A3"/>
    <mergeCell ref="B1:R3"/>
    <mergeCell ref="S1:V3"/>
    <mergeCell ref="B5:I5"/>
    <mergeCell ref="K5:L5"/>
    <mergeCell ref="M5:V5"/>
    <mergeCell ref="B6:I6"/>
    <mergeCell ref="K6:L6"/>
    <mergeCell ref="M6:V6"/>
    <mergeCell ref="B7:I7"/>
    <mergeCell ref="B9:I9"/>
    <mergeCell ref="K9:L9"/>
    <mergeCell ref="M9:V9"/>
    <mergeCell ref="A13:A34"/>
    <mergeCell ref="M13:V24"/>
    <mergeCell ref="M25:V34"/>
    <mergeCell ref="A11:A12"/>
    <mergeCell ref="B11:B12"/>
    <mergeCell ref="C11:E11"/>
    <mergeCell ref="F11:F12"/>
    <mergeCell ref="G11:I11"/>
    <mergeCell ref="J11:J12"/>
    <mergeCell ref="B36:C36"/>
    <mergeCell ref="J38:V39"/>
    <mergeCell ref="B39:I39"/>
    <mergeCell ref="K11:K12"/>
    <mergeCell ref="L11:L12"/>
    <mergeCell ref="M11:V12"/>
  </mergeCells>
  <pageMargins left="0.7" right="0.7" top="0.75" bottom="0.75" header="0.3" footer="0.3"/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>
    <tabColor rgb="FF00B0F0"/>
  </sheetPr>
  <dimension ref="A1:V39"/>
  <sheetViews>
    <sheetView topLeftCell="A7" zoomScaleNormal="100" workbookViewId="0">
      <selection activeCell="K15" sqref="K15:K16"/>
    </sheetView>
  </sheetViews>
  <sheetFormatPr baseColWidth="10" defaultColWidth="11.42578125" defaultRowHeight="15" x14ac:dyDescent="0.25"/>
  <cols>
    <col min="1" max="1" width="91.7109375" customWidth="1"/>
    <col min="2" max="2" width="35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10.42578125" bestFit="1" customWidth="1"/>
    <col min="12" max="12" width="5.7109375" bestFit="1" customWidth="1"/>
    <col min="13" max="22" width="5.7109375" customWidth="1"/>
  </cols>
  <sheetData>
    <row r="1" spans="1:22" x14ac:dyDescent="0.25">
      <c r="A1" s="476" t="s">
        <v>159</v>
      </c>
      <c r="B1" s="477" t="s">
        <v>122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8"/>
      <c r="T1" s="479"/>
      <c r="U1" s="479"/>
      <c r="V1" s="480"/>
    </row>
    <row r="2" spans="1:22" x14ac:dyDescent="0.25">
      <c r="A2" s="476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81"/>
      <c r="T2" s="482"/>
      <c r="U2" s="482"/>
      <c r="V2" s="483"/>
    </row>
    <row r="3" spans="1:22" x14ac:dyDescent="0.25">
      <c r="A3" s="476"/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84"/>
      <c r="T3" s="485"/>
      <c r="U3" s="485"/>
      <c r="V3" s="486"/>
    </row>
    <row r="4" spans="1:22" x14ac:dyDescent="0.25">
      <c r="A4" s="39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</row>
    <row r="5" spans="1:22" x14ac:dyDescent="0.25">
      <c r="A5" s="43" t="s">
        <v>123</v>
      </c>
      <c r="B5" s="468" t="str">
        <f>[1]Datos!B3</f>
        <v>INSTITUTO COLOMBIANO AGROPECUARIO</v>
      </c>
      <c r="C5" s="468"/>
      <c r="D5" s="468"/>
      <c r="E5" s="468"/>
      <c r="F5" s="468"/>
      <c r="G5" s="468"/>
      <c r="H5" s="468"/>
      <c r="I5" s="468"/>
      <c r="J5" s="44"/>
      <c r="K5" s="445" t="s">
        <v>124</v>
      </c>
      <c r="L5" s="445"/>
      <c r="M5" s="445" t="s">
        <v>125</v>
      </c>
      <c r="N5" s="445"/>
      <c r="O5" s="445"/>
      <c r="P5" s="445"/>
      <c r="Q5" s="445"/>
      <c r="R5" s="445"/>
      <c r="S5" s="445"/>
      <c r="T5" s="445"/>
      <c r="U5" s="445"/>
      <c r="V5" s="487"/>
    </row>
    <row r="6" spans="1:22" x14ac:dyDescent="0.25">
      <c r="A6" s="43" t="s">
        <v>126</v>
      </c>
      <c r="B6" s="468"/>
      <c r="C6" s="468"/>
      <c r="D6" s="468"/>
      <c r="E6" s="468"/>
      <c r="F6" s="468"/>
      <c r="G6" s="468"/>
      <c r="H6" s="468"/>
      <c r="I6" s="468"/>
      <c r="J6" s="44"/>
      <c r="K6" s="445" t="s">
        <v>127</v>
      </c>
      <c r="L6" s="445"/>
      <c r="M6" s="469">
        <v>45439</v>
      </c>
      <c r="N6" s="470"/>
      <c r="O6" s="470"/>
      <c r="P6" s="470"/>
      <c r="Q6" s="470"/>
      <c r="R6" s="470"/>
      <c r="S6" s="470"/>
      <c r="T6" s="470"/>
      <c r="U6" s="470"/>
      <c r="V6" s="471"/>
    </row>
    <row r="7" spans="1:22" x14ac:dyDescent="0.25">
      <c r="A7" s="43" t="s">
        <v>128</v>
      </c>
      <c r="B7" s="468" t="s">
        <v>129</v>
      </c>
      <c r="C7" s="468"/>
      <c r="D7" s="468"/>
      <c r="E7" s="468"/>
      <c r="F7" s="468"/>
      <c r="G7" s="468"/>
      <c r="H7" s="468"/>
      <c r="I7" s="468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</row>
    <row r="8" spans="1:22" x14ac:dyDescent="0.25">
      <c r="A8" s="46"/>
      <c r="B8" s="4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5"/>
    </row>
    <row r="9" spans="1:22" ht="79.5" customHeight="1" x14ac:dyDescent="0.25">
      <c r="A9" s="43" t="s">
        <v>130</v>
      </c>
      <c r="B9" s="472" t="s">
        <v>159</v>
      </c>
      <c r="C9" s="472"/>
      <c r="D9" s="472"/>
      <c r="E9" s="472"/>
      <c r="F9" s="472"/>
      <c r="G9" s="472"/>
      <c r="H9" s="472"/>
      <c r="I9" s="472"/>
      <c r="J9" s="44"/>
      <c r="K9" s="445" t="s">
        <v>475</v>
      </c>
      <c r="L9" s="445"/>
      <c r="M9" s="473" t="str">
        <f>+PRESUPUESTO!B59</f>
        <v>SUMINISTRO E INSTALACION DE PUERTA  EN TUBERIA REDONDA  3"  GALVANIZADA DE 2,20 MTS DE ALTO , TUBO CAD 15 CMS CON TAPA PUNTA CHAFLAN PINTADA EN WASH SEGÚN DISEÑO.</v>
      </c>
      <c r="N9" s="474"/>
      <c r="O9" s="474"/>
      <c r="P9" s="474"/>
      <c r="Q9" s="474"/>
      <c r="R9" s="474"/>
      <c r="S9" s="474"/>
      <c r="T9" s="474"/>
      <c r="U9" s="474"/>
      <c r="V9" s="475"/>
    </row>
    <row r="10" spans="1:22" x14ac:dyDescent="0.25">
      <c r="A10" s="48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x14ac:dyDescent="0.25">
      <c r="A11" s="446" t="s">
        <v>131</v>
      </c>
      <c r="B11" s="446" t="s">
        <v>148</v>
      </c>
      <c r="C11" s="447" t="s">
        <v>132</v>
      </c>
      <c r="D11" s="447"/>
      <c r="E11" s="447"/>
      <c r="F11" s="446" t="s">
        <v>94</v>
      </c>
      <c r="G11" s="447" t="s">
        <v>134</v>
      </c>
      <c r="H11" s="447"/>
      <c r="I11" s="447"/>
      <c r="J11" s="446" t="s">
        <v>426</v>
      </c>
      <c r="K11" s="446" t="s">
        <v>135</v>
      </c>
      <c r="L11" s="447" t="s">
        <v>136</v>
      </c>
      <c r="M11" s="448" t="s">
        <v>137</v>
      </c>
      <c r="N11" s="448"/>
      <c r="O11" s="448"/>
      <c r="P11" s="448"/>
      <c r="Q11" s="448"/>
      <c r="R11" s="448"/>
      <c r="S11" s="448"/>
      <c r="T11" s="448"/>
      <c r="U11" s="448"/>
      <c r="V11" s="448"/>
    </row>
    <row r="12" spans="1:22" ht="38.25" x14ac:dyDescent="0.25">
      <c r="A12" s="446"/>
      <c r="B12" s="446"/>
      <c r="C12" s="52" t="s">
        <v>138</v>
      </c>
      <c r="D12" s="52" t="s">
        <v>139</v>
      </c>
      <c r="E12" s="52" t="s">
        <v>438</v>
      </c>
      <c r="F12" s="446"/>
      <c r="G12" s="52" t="s">
        <v>138</v>
      </c>
      <c r="H12" s="52" t="s">
        <v>139</v>
      </c>
      <c r="I12" s="52" t="s">
        <v>140</v>
      </c>
      <c r="J12" s="446"/>
      <c r="K12" s="446"/>
      <c r="L12" s="447"/>
      <c r="M12" s="448"/>
      <c r="N12" s="448"/>
      <c r="O12" s="448"/>
      <c r="P12" s="448"/>
      <c r="Q12" s="448"/>
      <c r="R12" s="448"/>
      <c r="S12" s="448"/>
      <c r="T12" s="448"/>
      <c r="U12" s="448"/>
      <c r="V12" s="448"/>
    </row>
    <row r="13" spans="1:22" x14ac:dyDescent="0.25">
      <c r="A13" s="449" t="s">
        <v>419</v>
      </c>
      <c r="B13" s="65" t="s">
        <v>699</v>
      </c>
      <c r="C13" s="54"/>
      <c r="D13" s="54"/>
      <c r="E13" s="54"/>
      <c r="F13" s="55">
        <v>1</v>
      </c>
      <c r="G13" s="54"/>
      <c r="H13" s="54"/>
      <c r="I13" s="54"/>
      <c r="J13" s="55"/>
      <c r="K13" s="56">
        <f>+F13</f>
        <v>1</v>
      </c>
      <c r="L13" s="57" t="s">
        <v>98</v>
      </c>
      <c r="M13" s="453"/>
      <c r="N13" s="454"/>
      <c r="O13" s="454"/>
      <c r="P13" s="454"/>
      <c r="Q13" s="454"/>
      <c r="R13" s="454"/>
      <c r="S13" s="454"/>
      <c r="T13" s="454"/>
      <c r="U13" s="454"/>
      <c r="V13" s="455"/>
    </row>
    <row r="14" spans="1:22" x14ac:dyDescent="0.25">
      <c r="A14" s="449"/>
      <c r="B14" s="65" t="s">
        <v>700</v>
      </c>
      <c r="C14" s="54"/>
      <c r="D14" s="54"/>
      <c r="E14" s="54"/>
      <c r="F14" s="55">
        <v>1</v>
      </c>
      <c r="G14" s="54"/>
      <c r="H14" s="54"/>
      <c r="I14" s="54"/>
      <c r="J14" s="55"/>
      <c r="K14" s="56">
        <f t="shared" ref="K14:K16" si="0">+F14</f>
        <v>1</v>
      </c>
      <c r="L14" s="57"/>
      <c r="M14" s="453"/>
      <c r="N14" s="454"/>
      <c r="O14" s="454"/>
      <c r="P14" s="454"/>
      <c r="Q14" s="454"/>
      <c r="R14" s="454"/>
      <c r="S14" s="454"/>
      <c r="T14" s="454"/>
      <c r="U14" s="454"/>
      <c r="V14" s="455"/>
    </row>
    <row r="15" spans="1:22" x14ac:dyDescent="0.25">
      <c r="A15" s="449"/>
      <c r="B15" s="65" t="s">
        <v>701</v>
      </c>
      <c r="C15" s="54"/>
      <c r="D15" s="54"/>
      <c r="E15" s="54"/>
      <c r="F15" s="55">
        <v>1</v>
      </c>
      <c r="G15" s="54"/>
      <c r="H15" s="54"/>
      <c r="I15" s="54"/>
      <c r="J15" s="55"/>
      <c r="K15" s="56">
        <f t="shared" si="0"/>
        <v>1</v>
      </c>
      <c r="L15" s="57"/>
      <c r="M15" s="453"/>
      <c r="N15" s="454"/>
      <c r="O15" s="454"/>
      <c r="P15" s="454"/>
      <c r="Q15" s="454"/>
      <c r="R15" s="454"/>
      <c r="S15" s="454"/>
      <c r="T15" s="454"/>
      <c r="U15" s="454"/>
      <c r="V15" s="455"/>
    </row>
    <row r="16" spans="1:22" x14ac:dyDescent="0.25">
      <c r="A16" s="449"/>
      <c r="B16" s="65" t="s">
        <v>711</v>
      </c>
      <c r="C16" s="54"/>
      <c r="D16" s="54"/>
      <c r="E16" s="54"/>
      <c r="F16" s="55">
        <v>1</v>
      </c>
      <c r="G16" s="54"/>
      <c r="H16" s="54"/>
      <c r="I16" s="54"/>
      <c r="J16" s="55"/>
      <c r="K16" s="56">
        <f t="shared" si="0"/>
        <v>1</v>
      </c>
      <c r="L16" s="57"/>
      <c r="M16" s="453"/>
      <c r="N16" s="454"/>
      <c r="O16" s="454"/>
      <c r="P16" s="454"/>
      <c r="Q16" s="454"/>
      <c r="R16" s="454"/>
      <c r="S16" s="454"/>
      <c r="T16" s="454"/>
      <c r="U16" s="454"/>
      <c r="V16" s="455"/>
    </row>
    <row r="17" spans="1:22" x14ac:dyDescent="0.25">
      <c r="A17" s="449"/>
      <c r="B17" s="65"/>
      <c r="C17" s="54"/>
      <c r="D17" s="54"/>
      <c r="E17" s="54"/>
      <c r="F17" s="55"/>
      <c r="G17" s="54"/>
      <c r="H17" s="54"/>
      <c r="I17" s="54"/>
      <c r="J17" s="55"/>
      <c r="K17" s="56"/>
      <c r="L17" s="57"/>
      <c r="M17" s="453"/>
      <c r="N17" s="454"/>
      <c r="O17" s="454"/>
      <c r="P17" s="454"/>
      <c r="Q17" s="454"/>
      <c r="R17" s="454"/>
      <c r="S17" s="454"/>
      <c r="T17" s="454"/>
      <c r="U17" s="454"/>
      <c r="V17" s="455"/>
    </row>
    <row r="18" spans="1:22" x14ac:dyDescent="0.25">
      <c r="A18" s="449"/>
      <c r="B18" s="65"/>
      <c r="C18" s="54"/>
      <c r="D18" s="54"/>
      <c r="E18" s="54"/>
      <c r="F18" s="55"/>
      <c r="G18" s="54"/>
      <c r="H18" s="54"/>
      <c r="I18" s="54"/>
      <c r="J18" s="55"/>
      <c r="K18" s="56"/>
      <c r="L18" s="57"/>
      <c r="M18" s="453"/>
      <c r="N18" s="454"/>
      <c r="O18" s="454"/>
      <c r="P18" s="454"/>
      <c r="Q18" s="454"/>
      <c r="R18" s="454"/>
      <c r="S18" s="454"/>
      <c r="T18" s="454"/>
      <c r="U18" s="454"/>
      <c r="V18" s="455"/>
    </row>
    <row r="19" spans="1:22" x14ac:dyDescent="0.25">
      <c r="A19" s="449"/>
      <c r="B19" s="65"/>
      <c r="C19" s="54"/>
      <c r="D19" s="54"/>
      <c r="E19" s="54"/>
      <c r="F19" s="55"/>
      <c r="G19" s="54"/>
      <c r="H19" s="54"/>
      <c r="I19" s="54"/>
      <c r="J19" s="55"/>
      <c r="K19" s="56"/>
      <c r="L19" s="57"/>
      <c r="M19" s="453"/>
      <c r="N19" s="454"/>
      <c r="O19" s="454"/>
      <c r="P19" s="454"/>
      <c r="Q19" s="454"/>
      <c r="R19" s="454"/>
      <c r="S19" s="454"/>
      <c r="T19" s="454"/>
      <c r="U19" s="454"/>
      <c r="V19" s="455"/>
    </row>
    <row r="20" spans="1:22" x14ac:dyDescent="0.25">
      <c r="A20" s="449"/>
      <c r="B20" s="65"/>
      <c r="C20" s="54"/>
      <c r="D20" s="54"/>
      <c r="E20" s="54"/>
      <c r="F20" s="55"/>
      <c r="G20" s="54"/>
      <c r="H20" s="54"/>
      <c r="I20" s="54"/>
      <c r="J20" s="55"/>
      <c r="K20" s="56"/>
      <c r="L20" s="57"/>
      <c r="M20" s="453"/>
      <c r="N20" s="454"/>
      <c r="O20" s="454"/>
      <c r="P20" s="454"/>
      <c r="Q20" s="454"/>
      <c r="R20" s="454"/>
      <c r="S20" s="454"/>
      <c r="T20" s="454"/>
      <c r="U20" s="454"/>
      <c r="V20" s="455"/>
    </row>
    <row r="21" spans="1:22" x14ac:dyDescent="0.25">
      <c r="A21" s="449"/>
      <c r="B21" s="65"/>
      <c r="C21" s="54"/>
      <c r="D21" s="54"/>
      <c r="E21" s="80"/>
      <c r="F21" s="55"/>
      <c r="G21" s="80"/>
      <c r="H21" s="80"/>
      <c r="I21" s="80"/>
      <c r="J21" s="55"/>
      <c r="K21" s="56"/>
      <c r="L21" s="57"/>
      <c r="M21" s="453"/>
      <c r="N21" s="454"/>
      <c r="O21" s="454"/>
      <c r="P21" s="454"/>
      <c r="Q21" s="454"/>
      <c r="R21" s="454"/>
      <c r="S21" s="454"/>
      <c r="T21" s="454"/>
      <c r="U21" s="454"/>
      <c r="V21" s="455"/>
    </row>
    <row r="22" spans="1:22" x14ac:dyDescent="0.25">
      <c r="A22" s="449"/>
      <c r="B22" s="65"/>
      <c r="C22" s="54"/>
      <c r="D22" s="54"/>
      <c r="E22" s="54"/>
      <c r="F22" s="55"/>
      <c r="G22" s="54"/>
      <c r="H22" s="54"/>
      <c r="I22" s="54"/>
      <c r="J22" s="55"/>
      <c r="K22" s="56">
        <f t="shared" ref="K22:K23" si="1">+F22</f>
        <v>0</v>
      </c>
      <c r="L22" s="57"/>
      <c r="M22" s="453"/>
      <c r="N22" s="454"/>
      <c r="O22" s="454"/>
      <c r="P22" s="454"/>
      <c r="Q22" s="454"/>
      <c r="R22" s="454"/>
      <c r="S22" s="454"/>
      <c r="T22" s="454"/>
      <c r="U22" s="454"/>
      <c r="V22" s="455"/>
    </row>
    <row r="23" spans="1:22" x14ac:dyDescent="0.25">
      <c r="A23" s="449"/>
      <c r="B23" s="65"/>
      <c r="C23" s="54"/>
      <c r="D23" s="54"/>
      <c r="E23" s="54"/>
      <c r="F23" s="55"/>
      <c r="G23" s="54"/>
      <c r="H23" s="54"/>
      <c r="I23" s="54"/>
      <c r="J23" s="55"/>
      <c r="K23" s="56">
        <f t="shared" si="1"/>
        <v>0</v>
      </c>
      <c r="L23" s="57"/>
      <c r="M23" s="453"/>
      <c r="N23" s="454"/>
      <c r="O23" s="454"/>
      <c r="P23" s="454"/>
      <c r="Q23" s="454"/>
      <c r="R23" s="454"/>
      <c r="S23" s="454"/>
      <c r="T23" s="454"/>
      <c r="U23" s="454"/>
      <c r="V23" s="455"/>
    </row>
    <row r="24" spans="1:22" x14ac:dyDescent="0.25">
      <c r="A24" s="449"/>
      <c r="B24" s="65"/>
      <c r="C24" s="54"/>
      <c r="D24" s="54"/>
      <c r="E24" s="54"/>
      <c r="F24" s="55"/>
      <c r="G24" s="54"/>
      <c r="H24" s="54"/>
      <c r="I24" s="54"/>
      <c r="J24" s="55"/>
      <c r="K24" s="56"/>
      <c r="L24" s="57"/>
      <c r="M24" s="456"/>
      <c r="N24" s="457"/>
      <c r="O24" s="457"/>
      <c r="P24" s="457"/>
      <c r="Q24" s="457"/>
      <c r="R24" s="457"/>
      <c r="S24" s="457"/>
      <c r="T24" s="457"/>
      <c r="U24" s="457"/>
      <c r="V24" s="458"/>
    </row>
    <row r="25" spans="1:22" x14ac:dyDescent="0.25">
      <c r="A25" s="449"/>
      <c r="B25" s="65"/>
      <c r="C25" s="54"/>
      <c r="D25" s="54"/>
      <c r="E25" s="54"/>
      <c r="F25" s="55"/>
      <c r="G25" s="54"/>
      <c r="H25" s="54"/>
      <c r="I25" s="54"/>
      <c r="J25" s="55"/>
      <c r="K25" s="56"/>
      <c r="L25" s="57"/>
      <c r="M25" s="459" t="s">
        <v>142</v>
      </c>
      <c r="N25" s="460"/>
      <c r="O25" s="460"/>
      <c r="P25" s="460"/>
      <c r="Q25" s="460"/>
      <c r="R25" s="460"/>
      <c r="S25" s="460"/>
      <c r="T25" s="460"/>
      <c r="U25" s="460"/>
      <c r="V25" s="461"/>
    </row>
    <row r="26" spans="1:22" x14ac:dyDescent="0.25">
      <c r="A26" s="449"/>
      <c r="B26" s="65"/>
      <c r="C26" s="54"/>
      <c r="D26" s="54"/>
      <c r="E26" s="54"/>
      <c r="F26" s="55"/>
      <c r="G26" s="54"/>
      <c r="H26" s="54"/>
      <c r="I26" s="54"/>
      <c r="J26" s="55"/>
      <c r="K26" s="56"/>
      <c r="L26" s="57"/>
      <c r="M26" s="462"/>
      <c r="N26" s="463"/>
      <c r="O26" s="463"/>
      <c r="P26" s="463"/>
      <c r="Q26" s="463"/>
      <c r="R26" s="463"/>
      <c r="S26" s="463"/>
      <c r="T26" s="463"/>
      <c r="U26" s="463"/>
      <c r="V26" s="464"/>
    </row>
    <row r="27" spans="1:22" x14ac:dyDescent="0.25">
      <c r="A27" s="449"/>
      <c r="B27" s="65"/>
      <c r="C27" s="54"/>
      <c r="D27" s="54"/>
      <c r="E27" s="54"/>
      <c r="F27" s="55"/>
      <c r="G27" s="54"/>
      <c r="H27" s="54"/>
      <c r="I27" s="54"/>
      <c r="J27" s="55"/>
      <c r="K27" s="56"/>
      <c r="L27" s="57"/>
      <c r="M27" s="462"/>
      <c r="N27" s="463"/>
      <c r="O27" s="463"/>
      <c r="P27" s="463"/>
      <c r="Q27" s="463"/>
      <c r="R27" s="463"/>
      <c r="S27" s="463"/>
      <c r="T27" s="463"/>
      <c r="U27" s="463"/>
      <c r="V27" s="464"/>
    </row>
    <row r="28" spans="1:22" x14ac:dyDescent="0.25">
      <c r="A28" s="449"/>
      <c r="B28" s="65"/>
      <c r="C28" s="54"/>
      <c r="D28" s="54"/>
      <c r="E28" s="54"/>
      <c r="F28" s="55"/>
      <c r="G28" s="54"/>
      <c r="H28" s="54"/>
      <c r="I28" s="54"/>
      <c r="J28" s="55"/>
      <c r="K28" s="56"/>
      <c r="L28" s="57"/>
      <c r="M28" s="462"/>
      <c r="N28" s="463"/>
      <c r="O28" s="463"/>
      <c r="P28" s="463"/>
      <c r="Q28" s="463"/>
      <c r="R28" s="463"/>
      <c r="S28" s="463"/>
      <c r="T28" s="463"/>
      <c r="U28" s="463"/>
      <c r="V28" s="464"/>
    </row>
    <row r="29" spans="1:22" x14ac:dyDescent="0.25">
      <c r="A29" s="449"/>
      <c r="B29" s="65"/>
      <c r="C29" s="54"/>
      <c r="D29" s="54"/>
      <c r="E29" s="54"/>
      <c r="F29" s="55"/>
      <c r="G29" s="54"/>
      <c r="H29" s="54"/>
      <c r="I29" s="54"/>
      <c r="J29" s="55"/>
      <c r="K29" s="56"/>
      <c r="L29" s="57"/>
      <c r="M29" s="462"/>
      <c r="N29" s="463"/>
      <c r="O29" s="463"/>
      <c r="P29" s="463"/>
      <c r="Q29" s="463"/>
      <c r="R29" s="463"/>
      <c r="S29" s="463"/>
      <c r="T29" s="463"/>
      <c r="U29" s="463"/>
      <c r="V29" s="464"/>
    </row>
    <row r="30" spans="1:22" x14ac:dyDescent="0.25">
      <c r="A30" s="449"/>
      <c r="B30" s="65"/>
      <c r="C30" s="54"/>
      <c r="D30" s="54"/>
      <c r="E30" s="54"/>
      <c r="F30" s="55"/>
      <c r="G30" s="54"/>
      <c r="H30" s="54"/>
      <c r="I30" s="54"/>
      <c r="J30" s="55"/>
      <c r="K30" s="56"/>
      <c r="L30" s="57"/>
      <c r="M30" s="462"/>
      <c r="N30" s="463"/>
      <c r="O30" s="463"/>
      <c r="P30" s="463"/>
      <c r="Q30" s="463"/>
      <c r="R30" s="463"/>
      <c r="S30" s="463"/>
      <c r="T30" s="463"/>
      <c r="U30" s="463"/>
      <c r="V30" s="464"/>
    </row>
    <row r="31" spans="1:22" x14ac:dyDescent="0.25">
      <c r="A31" s="449"/>
      <c r="B31" s="65"/>
      <c r="C31" s="54"/>
      <c r="D31" s="54"/>
      <c r="E31" s="54"/>
      <c r="F31" s="55"/>
      <c r="G31" s="54"/>
      <c r="H31" s="54"/>
      <c r="I31" s="54"/>
      <c r="J31" s="55"/>
      <c r="K31" s="56"/>
      <c r="L31" s="57"/>
      <c r="M31" s="462"/>
      <c r="N31" s="463"/>
      <c r="O31" s="463"/>
      <c r="P31" s="463"/>
      <c r="Q31" s="463"/>
      <c r="R31" s="463"/>
      <c r="S31" s="463"/>
      <c r="T31" s="463"/>
      <c r="U31" s="463"/>
      <c r="V31" s="464"/>
    </row>
    <row r="32" spans="1:22" x14ac:dyDescent="0.25">
      <c r="A32" s="449"/>
      <c r="B32" s="65"/>
      <c r="C32" s="54"/>
      <c r="D32" s="54"/>
      <c r="E32" s="54"/>
      <c r="F32" s="55"/>
      <c r="G32" s="54"/>
      <c r="H32" s="54"/>
      <c r="I32" s="54"/>
      <c r="J32" s="55"/>
      <c r="K32" s="56"/>
      <c r="L32" s="57"/>
      <c r="M32" s="462"/>
      <c r="N32" s="463"/>
      <c r="O32" s="463"/>
      <c r="P32" s="463"/>
      <c r="Q32" s="463"/>
      <c r="R32" s="463"/>
      <c r="S32" s="463"/>
      <c r="T32" s="463"/>
      <c r="U32" s="463"/>
      <c r="V32" s="464"/>
    </row>
    <row r="33" spans="1:22" x14ac:dyDescent="0.25">
      <c r="A33" s="449"/>
      <c r="B33" s="65"/>
      <c r="C33" s="54"/>
      <c r="D33" s="54"/>
      <c r="E33" s="54"/>
      <c r="F33" s="55"/>
      <c r="G33" s="54"/>
      <c r="H33" s="54"/>
      <c r="I33" s="54"/>
      <c r="J33" s="55"/>
      <c r="K33" s="56"/>
      <c r="L33" s="57"/>
      <c r="M33" s="462"/>
      <c r="N33" s="463"/>
      <c r="O33" s="463"/>
      <c r="P33" s="463"/>
      <c r="Q33" s="463"/>
      <c r="R33" s="463"/>
      <c r="S33" s="463"/>
      <c r="T33" s="463"/>
      <c r="U33" s="463"/>
      <c r="V33" s="464"/>
    </row>
    <row r="34" spans="1:22" x14ac:dyDescent="0.25">
      <c r="A34" s="449"/>
      <c r="B34" s="53"/>
      <c r="C34" s="54"/>
      <c r="D34" s="54"/>
      <c r="E34" s="54"/>
      <c r="F34" s="55"/>
      <c r="G34" s="54"/>
      <c r="H34" s="54"/>
      <c r="I34" s="54"/>
      <c r="J34" s="55"/>
      <c r="K34" s="56"/>
      <c r="L34" s="57"/>
      <c r="M34" s="465"/>
      <c r="N34" s="466"/>
      <c r="O34" s="466"/>
      <c r="P34" s="466"/>
      <c r="Q34" s="466"/>
      <c r="R34" s="466"/>
      <c r="S34" s="466"/>
      <c r="T34" s="466"/>
      <c r="U34" s="466"/>
      <c r="V34" s="467"/>
    </row>
    <row r="35" spans="1:22" x14ac:dyDescent="0.25">
      <c r="A35" s="44"/>
      <c r="B35" s="47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</row>
    <row r="36" spans="1:22" ht="18" x14ac:dyDescent="0.35">
      <c r="A36" s="58" t="s">
        <v>105</v>
      </c>
      <c r="B36" s="444"/>
      <c r="C36" s="444"/>
      <c r="D36" s="44"/>
      <c r="E36" s="44"/>
      <c r="G36" s="44"/>
      <c r="H36" s="44"/>
      <c r="I36" s="44"/>
      <c r="J36" s="59"/>
      <c r="K36" s="60">
        <f>SUM(K13:K35)</f>
        <v>4</v>
      </c>
      <c r="L36" s="61" t="s">
        <v>98</v>
      </c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x14ac:dyDescent="0.25">
      <c r="A37" s="44"/>
      <c r="B37" s="47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x14ac:dyDescent="0.25">
      <c r="A38" s="62" t="s">
        <v>143</v>
      </c>
      <c r="B38" s="63"/>
      <c r="C38" s="62"/>
      <c r="D38" s="62"/>
      <c r="E38" s="62"/>
      <c r="F38" s="62"/>
      <c r="G38" s="62"/>
      <c r="H38" s="62"/>
      <c r="I38" s="62"/>
      <c r="J38" s="445" t="s">
        <v>144</v>
      </c>
      <c r="K38" s="445"/>
      <c r="L38" s="445"/>
      <c r="M38" s="445"/>
      <c r="N38" s="445"/>
      <c r="O38" s="445"/>
      <c r="P38" s="445"/>
      <c r="Q38" s="445"/>
      <c r="R38" s="445"/>
      <c r="S38" s="445"/>
      <c r="T38" s="445"/>
      <c r="U38" s="445"/>
      <c r="V38" s="445"/>
    </row>
    <row r="39" spans="1:22" x14ac:dyDescent="0.25">
      <c r="A39" s="64" t="s">
        <v>89</v>
      </c>
      <c r="B39" s="445"/>
      <c r="C39" s="445"/>
      <c r="D39" s="445"/>
      <c r="E39" s="445"/>
      <c r="F39" s="445"/>
      <c r="G39" s="445"/>
      <c r="H39" s="445"/>
      <c r="I39" s="445"/>
      <c r="J39" s="445"/>
      <c r="K39" s="445"/>
      <c r="L39" s="445"/>
      <c r="M39" s="445"/>
      <c r="N39" s="445"/>
      <c r="O39" s="445"/>
      <c r="P39" s="445"/>
      <c r="Q39" s="445"/>
      <c r="R39" s="445"/>
      <c r="S39" s="445"/>
      <c r="T39" s="445"/>
      <c r="U39" s="445"/>
      <c r="V39" s="445"/>
    </row>
  </sheetData>
  <mergeCells count="28">
    <mergeCell ref="A1:A3"/>
    <mergeCell ref="B1:R3"/>
    <mergeCell ref="S1:V3"/>
    <mergeCell ref="B5:I5"/>
    <mergeCell ref="K5:L5"/>
    <mergeCell ref="M5:V5"/>
    <mergeCell ref="B6:I6"/>
    <mergeCell ref="K6:L6"/>
    <mergeCell ref="M6:V6"/>
    <mergeCell ref="B7:I7"/>
    <mergeCell ref="B9:I9"/>
    <mergeCell ref="K9:L9"/>
    <mergeCell ref="M9:V9"/>
    <mergeCell ref="A13:A34"/>
    <mergeCell ref="M13:V24"/>
    <mergeCell ref="M25:V34"/>
    <mergeCell ref="A11:A12"/>
    <mergeCell ref="B11:B12"/>
    <mergeCell ref="C11:E11"/>
    <mergeCell ref="F11:F12"/>
    <mergeCell ref="G11:I11"/>
    <mergeCell ref="J11:J12"/>
    <mergeCell ref="B36:C36"/>
    <mergeCell ref="J38:V39"/>
    <mergeCell ref="B39:I39"/>
    <mergeCell ref="K11:K12"/>
    <mergeCell ref="L11:L12"/>
    <mergeCell ref="M11:V12"/>
  </mergeCells>
  <pageMargins left="0.7" right="0.7" top="0.75" bottom="0.75" header="0.3" footer="0.3"/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I4:I5"/>
  <sheetViews>
    <sheetView workbookViewId="0">
      <selection activeCell="I6" sqref="I6"/>
    </sheetView>
  </sheetViews>
  <sheetFormatPr baseColWidth="10" defaultRowHeight="15" x14ac:dyDescent="0.25"/>
  <sheetData>
    <row r="4" spans="9:9" x14ac:dyDescent="0.25">
      <c r="I4" t="s">
        <v>612</v>
      </c>
    </row>
    <row r="5" spans="9:9" x14ac:dyDescent="0.25">
      <c r="I5" t="s">
        <v>613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52</vt:i4>
      </vt:variant>
      <vt:variant>
        <vt:lpstr>Rangos con nombre</vt:lpstr>
      </vt:variant>
      <vt:variant>
        <vt:i4>2</vt:i4>
      </vt:variant>
    </vt:vector>
  </HeadingPairs>
  <TitlesOfParts>
    <vt:vector size="54" baseType="lpstr">
      <vt:lpstr>OF LOCAL CRAVO NORTE</vt:lpstr>
      <vt:lpstr>PRESUPUESTO</vt:lpstr>
      <vt:lpstr>APU´s</vt:lpstr>
      <vt:lpstr>AIU</vt:lpstr>
      <vt:lpstr>BIENES RELEVANTES</vt:lpstr>
      <vt:lpstr>1,1</vt:lpstr>
      <vt:lpstr>1,2</vt:lpstr>
      <vt:lpstr>1,3</vt:lpstr>
      <vt:lpstr>1,4</vt:lpstr>
      <vt:lpstr>1,5</vt:lpstr>
      <vt:lpstr>1,5 A</vt:lpstr>
      <vt:lpstr>1,5 B</vt:lpstr>
      <vt:lpstr>1,6</vt:lpstr>
      <vt:lpstr>1,7</vt:lpstr>
      <vt:lpstr>1,8</vt:lpstr>
      <vt:lpstr>1,9</vt:lpstr>
      <vt:lpstr>1,10</vt:lpstr>
      <vt:lpstr>1,11</vt:lpstr>
      <vt:lpstr>1,12</vt:lpstr>
      <vt:lpstr>1,13</vt:lpstr>
      <vt:lpstr>1,14</vt:lpstr>
      <vt:lpstr>1,15</vt:lpstr>
      <vt:lpstr>1,16</vt:lpstr>
      <vt:lpstr>1,17</vt:lpstr>
      <vt:lpstr>1,18</vt:lpstr>
      <vt:lpstr>1,19</vt:lpstr>
      <vt:lpstr>1,20</vt:lpstr>
      <vt:lpstr>1,21</vt:lpstr>
      <vt:lpstr>1,22</vt:lpstr>
      <vt:lpstr>1,23</vt:lpstr>
      <vt:lpstr>1,24</vt:lpstr>
      <vt:lpstr>1,25</vt:lpstr>
      <vt:lpstr>1,26</vt:lpstr>
      <vt:lpstr>1,27</vt:lpstr>
      <vt:lpstr>1,27 A</vt:lpstr>
      <vt:lpstr>1,28</vt:lpstr>
      <vt:lpstr>1,29</vt:lpstr>
      <vt:lpstr>2,1</vt:lpstr>
      <vt:lpstr>2,2</vt:lpstr>
      <vt:lpstr>2,3</vt:lpstr>
      <vt:lpstr>2,4</vt:lpstr>
      <vt:lpstr>2,5</vt:lpstr>
      <vt:lpstr>3,1 </vt:lpstr>
      <vt:lpstr>3,2</vt:lpstr>
      <vt:lpstr>3,3</vt:lpstr>
      <vt:lpstr>3,4</vt:lpstr>
      <vt:lpstr>3,5</vt:lpstr>
      <vt:lpstr>3,6</vt:lpstr>
      <vt:lpstr>3,7</vt:lpstr>
      <vt:lpstr>3,8</vt:lpstr>
      <vt:lpstr>6,1</vt:lpstr>
      <vt:lpstr>EST METAL</vt:lpstr>
      <vt:lpstr>'OF LOCAL CRAVO NORTE'!Área_de_impresión</vt:lpstr>
      <vt:lpstr>'OF LOCAL CRAVO NORTE'!Títulos_a_imprimir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Oscar Andres Rodriguez Miranda</dc:creator>
  <cp:keywords/>
  <dc:description/>
  <cp:lastModifiedBy>Mariluz Patiño Ríos</cp:lastModifiedBy>
  <cp:revision/>
  <cp:lastPrinted>2023-12-04T15:09:50Z</cp:lastPrinted>
  <dcterms:created xsi:type="dcterms:W3CDTF">2018-01-25T20:46:55Z</dcterms:created>
  <dcterms:modified xsi:type="dcterms:W3CDTF">2025-06-24T21:29:55Z</dcterms:modified>
  <cp:category/>
  <cp:contentStatus/>
</cp:coreProperties>
</file>