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Servicio Nacional de Aprendizaje\GRUPO MIXTO - CONTRATACION\SUPERVISION CONTRATOS 2025\TIQUETES\"/>
    </mc:Choice>
  </mc:AlternateContent>
  <xr:revisionPtr revIDLastSave="0" documentId="13_ncr:1_{8A94ADDB-904F-42A5-AEEF-B1D4416F41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ADO DE CUENTA SENA CAUCA" sheetId="1" r:id="rId1"/>
    <sheet name="ESTADOS" sheetId="2" r:id="rId2"/>
    <sheet name="PAGOS" sheetId="3" r:id="rId3"/>
  </sheets>
  <definedNames>
    <definedName name="_xlnm._FilterDatabase" localSheetId="0" hidden="1">'ESTADO DE CUENTA SENA CAUCA'!$A$4:$W$4</definedName>
    <definedName name="_xlnm._FilterDatabase" localSheetId="1" hidden="1">ESTADOS!$A$1:$R$63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4" i="1" l="1"/>
  <c r="L94" i="1"/>
  <c r="O94" i="1" s="1"/>
  <c r="R94" i="1" s="1"/>
  <c r="P94" i="1"/>
  <c r="N95" i="1"/>
  <c r="M95" i="1"/>
  <c r="K95" i="1"/>
  <c r="J95" i="1"/>
  <c r="L95" i="1" l="1"/>
  <c r="P95" i="1"/>
  <c r="O95" i="1" l="1"/>
  <c r="N28" i="1" l="1"/>
  <c r="M28" i="1"/>
  <c r="L28" i="1"/>
  <c r="K28" i="1"/>
  <c r="J28" i="1"/>
  <c r="I28" i="1"/>
  <c r="H28" i="1"/>
  <c r="G28" i="1"/>
  <c r="N12" i="1"/>
  <c r="M12" i="1"/>
  <c r="L12" i="1"/>
  <c r="K12" i="1"/>
  <c r="J12" i="1"/>
  <c r="I12" i="1"/>
  <c r="H12" i="1"/>
  <c r="G79" i="1" s="1"/>
  <c r="G12" i="1"/>
  <c r="N78" i="1"/>
  <c r="M78" i="1"/>
  <c r="L78" i="1"/>
  <c r="K78" i="1"/>
  <c r="J78" i="1"/>
  <c r="I78" i="1"/>
  <c r="H78" i="1"/>
  <c r="G78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O20" i="2"/>
  <c r="V32" i="1"/>
  <c r="U32" i="1"/>
  <c r="O19" i="2"/>
  <c r="V31" i="1"/>
  <c r="U31" i="1"/>
  <c r="V16" i="1"/>
  <c r="V17" i="1"/>
  <c r="V18" i="1"/>
  <c r="V19" i="1"/>
  <c r="V20" i="1"/>
  <c r="V21" i="1"/>
  <c r="V22" i="1"/>
  <c r="V23" i="1"/>
  <c r="V24" i="1"/>
  <c r="V25" i="1"/>
  <c r="V26" i="1"/>
  <c r="V10" i="1"/>
  <c r="V9" i="1"/>
  <c r="V6" i="1"/>
  <c r="V8" i="1"/>
  <c r="V7" i="1"/>
  <c r="V5" i="1"/>
  <c r="U26" i="1"/>
  <c r="U25" i="1"/>
  <c r="U24" i="1"/>
  <c r="U23" i="1"/>
  <c r="U22" i="1"/>
  <c r="U21" i="1"/>
  <c r="U20" i="1"/>
  <c r="U19" i="1"/>
  <c r="U18" i="1"/>
  <c r="U17" i="1"/>
  <c r="U16" i="1"/>
  <c r="U10" i="1"/>
  <c r="U9" i="1"/>
  <c r="U8" i="1"/>
  <c r="U7" i="1"/>
  <c r="U6" i="1"/>
  <c r="U5" i="1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O26" i="1"/>
  <c r="O25" i="1"/>
  <c r="O24" i="1"/>
  <c r="O23" i="1"/>
  <c r="O22" i="1"/>
  <c r="O21" i="1"/>
  <c r="O20" i="1"/>
  <c r="O19" i="1"/>
  <c r="O18" i="1"/>
  <c r="O17" i="1"/>
  <c r="O16" i="1"/>
  <c r="O10" i="1"/>
  <c r="O9" i="1"/>
  <c r="O8" i="1"/>
  <c r="O7" i="1"/>
  <c r="O6" i="1"/>
  <c r="O5" i="1"/>
  <c r="G14" i="1" l="1"/>
  <c r="G80" i="1" s="1"/>
  <c r="P28" i="1"/>
  <c r="P12" i="1"/>
  <c r="P78" i="1"/>
  <c r="O8" i="3"/>
  <c r="O9" i="3"/>
  <c r="O7" i="3" l="1"/>
  <c r="P10" i="3"/>
  <c r="O10" i="3" s="1"/>
  <c r="O11" i="3" l="1"/>
  <c r="O15" i="3" l="1"/>
  <c r="C84" i="1" l="1"/>
  <c r="C85" i="1" l="1"/>
  <c r="C86" i="1"/>
</calcChain>
</file>

<file path=xl/sharedStrings.xml><?xml version="1.0" encoding="utf-8"?>
<sst xmlns="http://schemas.openxmlformats.org/spreadsheetml/2006/main" count="579" uniqueCount="186">
  <si>
    <t>Factura Global</t>
  </si>
  <si>
    <t>TOTAL</t>
  </si>
  <si>
    <t>REMISION</t>
  </si>
  <si>
    <t>FECHA</t>
  </si>
  <si>
    <t>PASAJERO</t>
  </si>
  <si>
    <t>RUTA</t>
  </si>
  <si>
    <t>AER</t>
  </si>
  <si>
    <t>TIQUETE</t>
  </si>
  <si>
    <t>TARIFA</t>
  </si>
  <si>
    <t>IVA</t>
  </si>
  <si>
    <t>TASA</t>
  </si>
  <si>
    <t>COMB</t>
  </si>
  <si>
    <t>OTROS</t>
  </si>
  <si>
    <t>PENALIDAD</t>
  </si>
  <si>
    <t>T.A.</t>
  </si>
  <si>
    <t>IVA T.A.</t>
  </si>
  <si>
    <t>DESCUENTO 3%</t>
  </si>
  <si>
    <t>FECHA 1</t>
  </si>
  <si>
    <t>FECHA 2</t>
  </si>
  <si>
    <t>TKT ORIGINAL</t>
  </si>
  <si>
    <t>ESTADO DEL TKT</t>
  </si>
  <si>
    <t>ESTADO DE PAGO</t>
  </si>
  <si>
    <t>PRESUPUESTO:</t>
  </si>
  <si>
    <t>EJECUTADO:</t>
  </si>
  <si>
    <t>SALDO:</t>
  </si>
  <si>
    <t>PORCENTAJE EJECUTADO</t>
  </si>
  <si>
    <t>NIT KARING:</t>
  </si>
  <si>
    <t>Fecha de inicio:</t>
  </si>
  <si>
    <t>Fecha de finalización:</t>
  </si>
  <si>
    <t>Retenciones</t>
  </si>
  <si>
    <t>Rte Fuente</t>
  </si>
  <si>
    <t>Rte ICA</t>
  </si>
  <si>
    <t>Rte IVA</t>
  </si>
  <si>
    <t>Pago</t>
  </si>
  <si>
    <t xml:space="preserve">Diferencia </t>
  </si>
  <si>
    <t>Pro-unv de la amazonia</t>
  </si>
  <si>
    <t>CLIENTE: SENA REGIONAL CAUCA
NÚMERO DE CONTRATO: CO1.PCCNTR.8006159 DE 2025</t>
  </si>
  <si>
    <t>MORALES FERNANDEZ  HENRY</t>
  </si>
  <si>
    <t>BOG/PPN</t>
  </si>
  <si>
    <t>9585-299625</t>
  </si>
  <si>
    <t>MUNOZ WILSON  LEONARDO FABIO</t>
  </si>
  <si>
    <t>9585-299626</t>
  </si>
  <si>
    <t>NARVAEZ RODRIGUEZ  YEISY</t>
  </si>
  <si>
    <t>9585-299627</t>
  </si>
  <si>
    <t>RIVERA FIERRO  DAVID GUILLERMO</t>
  </si>
  <si>
    <t>9585-299628</t>
  </si>
  <si>
    <t>ROSERO TORRES  ARIADNA</t>
  </si>
  <si>
    <t>9585-299629</t>
  </si>
  <si>
    <t>VARGAS VIVAS  EDWARD</t>
  </si>
  <si>
    <t>9585-299630</t>
  </si>
  <si>
    <t>VARGAS  EDWARD MR</t>
  </si>
  <si>
    <t>PPN/BOG</t>
  </si>
  <si>
    <t>0332-745361</t>
  </si>
  <si>
    <t>NARVAEZ  YEISY MRS</t>
  </si>
  <si>
    <t>0332-745362</t>
  </si>
  <si>
    <t>RIVERA  DAVID MR</t>
  </si>
  <si>
    <t>0332-745363</t>
  </si>
  <si>
    <t>TORRES  ARIADNA MRS</t>
  </si>
  <si>
    <t>0332-745364</t>
  </si>
  <si>
    <t>MUNOZ  LEONARDO MR</t>
  </si>
  <si>
    <t>0332-745365</t>
  </si>
  <si>
    <t>MORALES  HENRY MR</t>
  </si>
  <si>
    <t>0332-745366</t>
  </si>
  <si>
    <t>9585-311921</t>
  </si>
  <si>
    <t>9585-311922</t>
  </si>
  <si>
    <t>9585-311923</t>
  </si>
  <si>
    <t>9585-311924</t>
  </si>
  <si>
    <t>9585-311925</t>
  </si>
  <si>
    <t>ESTADO</t>
  </si>
  <si>
    <t>RUBRO</t>
  </si>
  <si>
    <t>ABIERTO</t>
  </si>
  <si>
    <t>REVISADO</t>
  </si>
  <si>
    <t>VOLADO</t>
  </si>
  <si>
    <t>PAME PAZ  LUIS MR</t>
  </si>
  <si>
    <t>2767-520349</t>
  </si>
  <si>
    <t>X CONSULTAR</t>
  </si>
  <si>
    <t>0332-765861</t>
  </si>
  <si>
    <t>TULANDE AURA ELENA</t>
  </si>
  <si>
    <t>PPN/BOG/CTG/BOG/PPN</t>
  </si>
  <si>
    <t>2754-792698</t>
  </si>
  <si>
    <t>PABON ARIEL EDMUNDO</t>
  </si>
  <si>
    <t>2754-792699</t>
  </si>
  <si>
    <t>MEDINA VILLANI ILEANA</t>
  </si>
  <si>
    <t>2754-794400</t>
  </si>
  <si>
    <t>TORRES MARTINEZ YADDY ALEXANDRA</t>
  </si>
  <si>
    <t>2754-794401</t>
  </si>
  <si>
    <t>ANAYA FLOREZ MARIA SOCORRO</t>
  </si>
  <si>
    <t>2754-794402</t>
  </si>
  <si>
    <t>SANCHEZ NAILEN KARINA</t>
  </si>
  <si>
    <t>2754-794403</t>
  </si>
  <si>
    <t>URREA CAMPO MARICEL</t>
  </si>
  <si>
    <t>2754-794404</t>
  </si>
  <si>
    <t>CONCHA PALTA LILIANA</t>
  </si>
  <si>
    <t>2754-794405</t>
  </si>
  <si>
    <t>GOMEZ ESCOBAR LALI MARIEN</t>
  </si>
  <si>
    <t>2754-794406</t>
  </si>
  <si>
    <t>CASTRO GARZON VICTORIA ELENA</t>
  </si>
  <si>
    <t>2754-794425</t>
  </si>
  <si>
    <t>TOBAR FERNANDEZ MAYCOL ESTIBEN</t>
  </si>
  <si>
    <t>2754-794426</t>
  </si>
  <si>
    <t>MUNOZ DAMARIS</t>
  </si>
  <si>
    <t>2754-794427</t>
  </si>
  <si>
    <t>REYES HERNAN ALONSO</t>
  </si>
  <si>
    <t>2754-794428</t>
  </si>
  <si>
    <t>FIGUEROA ERNESTO</t>
  </si>
  <si>
    <t>2754-794429</t>
  </si>
  <si>
    <t>CUASAPUD BOLANOS NELSON DAVID</t>
  </si>
  <si>
    <t>2754-794430</t>
  </si>
  <si>
    <t>CAMAYO SILVIO EDUARDO</t>
  </si>
  <si>
    <t>2754-794431</t>
  </si>
  <si>
    <t>DIAZ MILTON FABIAN</t>
  </si>
  <si>
    <t>2754-794432</t>
  </si>
  <si>
    <t>ACOSTA GUZMAN YENSI</t>
  </si>
  <si>
    <t>2754-794433</t>
  </si>
  <si>
    <t>YEPES CADENAS JESUS ALEJANDRO</t>
  </si>
  <si>
    <t>2754-796320</t>
  </si>
  <si>
    <t>CABEZAS ORDONEZ CARLOS IVAN</t>
  </si>
  <si>
    <t>2754-796321</t>
  </si>
  <si>
    <t>RIVERA GOMEZ VLADIMIR FABIAN</t>
  </si>
  <si>
    <t>2754-796322</t>
  </si>
  <si>
    <t>MAGE IMBACHI FELIX AFRANIO</t>
  </si>
  <si>
    <t>2754-796323</t>
  </si>
  <si>
    <t>FERNANDEZ QUILINDO CESAR AUGUSTO</t>
  </si>
  <si>
    <t>2754-796324</t>
  </si>
  <si>
    <t>BENAVIDES BARCENAS RIDER GEOVANNY</t>
  </si>
  <si>
    <t>2754-796325</t>
  </si>
  <si>
    <t>LASSO ORDONEZ FABIAN JAVIER</t>
  </si>
  <si>
    <t>2754-796326</t>
  </si>
  <si>
    <t>YACELGA SALAZAR DIOGENES ARMANDO</t>
  </si>
  <si>
    <t>2754-796327</t>
  </si>
  <si>
    <t>ASTAIZA MUNOZ ELKIN YESID</t>
  </si>
  <si>
    <t>2754-796328</t>
  </si>
  <si>
    <t>VELASCO PENAGOS ADRIAN</t>
  </si>
  <si>
    <t>2754-796351</t>
  </si>
  <si>
    <t>REYES CARVAJAL INGRID YESENIA</t>
  </si>
  <si>
    <t>PPN/BOG/PPN</t>
  </si>
  <si>
    <t>2754-801564</t>
  </si>
  <si>
    <t>VALENCIA FELANTANA  JOSE ROBINSON</t>
  </si>
  <si>
    <t>PPN/GPI/PPN</t>
  </si>
  <si>
    <t>2463-017465</t>
  </si>
  <si>
    <t>VARGAS VIVAS EDWARD ENRIQUE</t>
  </si>
  <si>
    <t>PPN/BOG/NVA/BOG/PPN</t>
  </si>
  <si>
    <t>2754-803860</t>
  </si>
  <si>
    <t>MONTILLA PERAFAN ERIKA MARCELA</t>
  </si>
  <si>
    <t>CLO/BOG/PPN</t>
  </si>
  <si>
    <t>2754-803892</t>
  </si>
  <si>
    <t>SANCHEZ GARCIA  MARIBEL</t>
  </si>
  <si>
    <t>2463-017466</t>
  </si>
  <si>
    <t>TAFURT CARDONA  MAKENLY</t>
  </si>
  <si>
    <t>2463-017467</t>
  </si>
  <si>
    <t>BASTIDAS ROSERO  JULIETH</t>
  </si>
  <si>
    <t>2463-017468</t>
  </si>
  <si>
    <t>SALAMANCA LOPEZ  LILIANA</t>
  </si>
  <si>
    <t>PPN/GPI</t>
  </si>
  <si>
    <t>2463-017469</t>
  </si>
  <si>
    <t>SANCHEZ  VELASCO  NINI</t>
  </si>
  <si>
    <t>2463-017470</t>
  </si>
  <si>
    <t>GPI/CLO</t>
  </si>
  <si>
    <t>0332-773970</t>
  </si>
  <si>
    <t>0332-773971</t>
  </si>
  <si>
    <t>2463-020216</t>
  </si>
  <si>
    <t>2463-020217</t>
  </si>
  <si>
    <t>2463-020218</t>
  </si>
  <si>
    <t>2463-020219</t>
  </si>
  <si>
    <t>GARCES YULI SIDNEY</t>
  </si>
  <si>
    <t>NVA/BOG/CTG/BOG/NVA</t>
  </si>
  <si>
    <t>2754-817556</t>
  </si>
  <si>
    <t>FACTURAR TIQUETES VIGENCIA DIANA</t>
  </si>
  <si>
    <t>Dependencia</t>
  </si>
  <si>
    <t>Dependencia descripción</t>
  </si>
  <si>
    <t>Rubro</t>
  </si>
  <si>
    <t xml:space="preserve">Recursos </t>
  </si>
  <si>
    <t>Saldo antes del pago</t>
  </si>
  <si>
    <t>Valor bruto por pagar</t>
  </si>
  <si>
    <t>Vr estampilla 0,5%</t>
  </si>
  <si>
    <t>Imp. Ventas</t>
  </si>
  <si>
    <t>IVA CARGO ADMON.</t>
  </si>
  <si>
    <t>Valor Neto</t>
  </si>
  <si>
    <t>Saldo después del pago</t>
  </si>
  <si>
    <t>GASTO</t>
  </si>
  <si>
    <t>101000</t>
  </si>
  <si>
    <t>DESPACHO DIRECCION</t>
  </si>
  <si>
    <t>Nación</t>
  </si>
  <si>
    <t xml:space="preserve">Despacho de direccion </t>
  </si>
  <si>
    <t>C-3603-1300-16-53105B-3603029-02</t>
  </si>
  <si>
    <t>Vr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</si>
</sst>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_(* #,##0_);_(* \(#,##0\);_(* &quot;-&quot;??_);_(@_)"/>
    <numFmt numFmtId="167" formatCode="#,##0.00;\(#,##0.00\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</font>
    <font>
      <sz val="10"/>
      <color indexed="8"/>
      <name val="Arial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8"/>
      <color rgb="FF006100"/>
      <name val="Calibri"/>
      <family val="2"/>
    </font>
    <font>
      <sz val="11"/>
      <color rgb="FF9C0006"/>
      <name val="Calibri"/>
      <family val="2"/>
      <scheme val="minor"/>
    </font>
    <font>
      <sz val="11"/>
      <color rgb="FF000080"/>
      <name val="Courier New"/>
      <family val="3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43" fontId="1" fillId="0" borderId="0" applyFont="0" applyFill="0" applyBorder="0" applyAlignment="0" applyProtection="0"/>
    <xf numFmtId="0" fontId="10" fillId="6" borderId="0" applyNumberFormat="0" applyBorder="0" applyAlignment="0" applyProtection="0"/>
    <xf numFmtId="0" fontId="12" fillId="0" borderId="0">
      <alignment vertical="top"/>
    </xf>
    <xf numFmtId="0" fontId="12" fillId="7" borderId="6" applyNumberFormat="0" applyFont="0" applyAlignment="0" applyProtection="0"/>
    <xf numFmtId="0" fontId="16" fillId="9" borderId="0" applyNumberFormat="0" applyBorder="0" applyAlignment="0" applyProtection="0"/>
  </cellStyleXfs>
  <cellXfs count="78">
    <xf numFmtId="0" fontId="0" fillId="0" borderId="0" xfId="0"/>
    <xf numFmtId="0" fontId="4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horizontal="centerContinuous" vertical="center"/>
    </xf>
    <xf numFmtId="49" fontId="5" fillId="2" borderId="0" xfId="0" applyNumberFormat="1" applyFont="1" applyFill="1" applyAlignment="1">
      <alignment horizontal="centerContinuous" vertical="center"/>
    </xf>
    <xf numFmtId="0" fontId="5" fillId="0" borderId="0" xfId="0" applyFont="1" applyAlignment="1">
      <alignment vertical="top"/>
    </xf>
    <xf numFmtId="0" fontId="4" fillId="3" borderId="1" xfId="3" applyFont="1" applyFill="1" applyAlignment="1">
      <alignment horizontal="center"/>
    </xf>
    <xf numFmtId="0" fontId="4" fillId="3" borderId="1" xfId="3" applyFont="1" applyFill="1"/>
    <xf numFmtId="164" fontId="4" fillId="3" borderId="1" xfId="1" applyFont="1" applyFill="1" applyBorder="1"/>
    <xf numFmtId="164" fontId="4" fillId="3" borderId="1" xfId="1" applyFont="1" applyFill="1" applyBorder="1" applyAlignment="1">
      <alignment horizontal="center"/>
    </xf>
    <xf numFmtId="164" fontId="7" fillId="2" borderId="3" xfId="1" applyFont="1" applyFill="1" applyBorder="1" applyAlignment="1">
      <alignment horizontal="center" vertical="center" wrapText="1"/>
    </xf>
    <xf numFmtId="43" fontId="4" fillId="2" borderId="3" xfId="5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0" fillId="0" borderId="0" xfId="0" applyNumberFormat="1"/>
    <xf numFmtId="164" fontId="0" fillId="0" borderId="0" xfId="1" applyFont="1" applyFill="1" applyAlignment="1" applyProtection="1"/>
    <xf numFmtId="49" fontId="8" fillId="4" borderId="2" xfId="4" applyNumberFormat="1" applyFont="1" applyFill="1"/>
    <xf numFmtId="14" fontId="8" fillId="4" borderId="2" xfId="4" applyNumberFormat="1" applyFont="1" applyFill="1" applyAlignment="1">
      <alignment horizontal="center" vertical="center"/>
    </xf>
    <xf numFmtId="3" fontId="8" fillId="4" borderId="2" xfId="4" applyNumberFormat="1" applyFont="1" applyFill="1"/>
    <xf numFmtId="49" fontId="9" fillId="4" borderId="0" xfId="0" applyNumberFormat="1" applyFont="1" applyFill="1"/>
    <xf numFmtId="14" fontId="9" fillId="4" borderId="0" xfId="0" applyNumberFormat="1" applyFont="1" applyFill="1" applyAlignment="1">
      <alignment horizontal="center" vertical="center"/>
    </xf>
    <xf numFmtId="3" fontId="9" fillId="4" borderId="0" xfId="0" applyNumberFormat="1" applyFont="1" applyFill="1"/>
    <xf numFmtId="9" fontId="8" fillId="4" borderId="2" xfId="2" applyFont="1" applyFill="1" applyBorder="1"/>
    <xf numFmtId="49" fontId="8" fillId="5" borderId="4" xfId="0" applyNumberFormat="1" applyFont="1" applyFill="1" applyBorder="1"/>
    <xf numFmtId="14" fontId="9" fillId="5" borderId="4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right"/>
    </xf>
    <xf numFmtId="49" fontId="8" fillId="5" borderId="5" xfId="0" applyNumberFormat="1" applyFont="1" applyFill="1" applyBorder="1"/>
    <xf numFmtId="14" fontId="9" fillId="5" borderId="5" xfId="0" applyNumberFormat="1" applyFont="1" applyFill="1" applyBorder="1" applyAlignment="1">
      <alignment horizontal="center" vertical="center"/>
    </xf>
    <xf numFmtId="14" fontId="9" fillId="5" borderId="5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11" fillId="0" borderId="0" xfId="0" applyFont="1"/>
    <xf numFmtId="0" fontId="13" fillId="4" borderId="7" xfId="7" applyFont="1" applyFill="1" applyBorder="1" applyAlignment="1">
      <alignment horizontal="centerContinuous" vertical="center"/>
    </xf>
    <xf numFmtId="0" fontId="14" fillId="4" borderId="8" xfId="7" applyFont="1" applyFill="1" applyBorder="1" applyAlignment="1">
      <alignment horizontal="centerContinuous" vertical="center"/>
    </xf>
    <xf numFmtId="3" fontId="14" fillId="4" borderId="9" xfId="7" applyNumberFormat="1" applyFont="1" applyFill="1" applyBorder="1" applyAlignment="1">
      <alignment horizontal="centerContinuous" vertical="center"/>
    </xf>
    <xf numFmtId="0" fontId="14" fillId="4" borderId="10" xfId="7" applyFont="1" applyFill="1" applyBorder="1">
      <alignment vertical="top"/>
    </xf>
    <xf numFmtId="9" fontId="14" fillId="4" borderId="0" xfId="7" applyNumberFormat="1" applyFont="1" applyFill="1">
      <alignment vertical="top"/>
    </xf>
    <xf numFmtId="3" fontId="14" fillId="4" borderId="11" xfId="7" applyNumberFormat="1" applyFont="1" applyFill="1" applyBorder="1">
      <alignment vertical="top"/>
    </xf>
    <xf numFmtId="165" fontId="14" fillId="4" borderId="0" xfId="7" applyNumberFormat="1" applyFont="1" applyFill="1">
      <alignment vertical="top"/>
    </xf>
    <xf numFmtId="0" fontId="13" fillId="4" borderId="12" xfId="7" applyFont="1" applyFill="1" applyBorder="1">
      <alignment vertical="top"/>
    </xf>
    <xf numFmtId="0" fontId="13" fillId="4" borderId="13" xfId="7" applyFont="1" applyFill="1" applyBorder="1">
      <alignment vertical="top"/>
    </xf>
    <xf numFmtId="3" fontId="13" fillId="4" borderId="14" xfId="7" applyNumberFormat="1" applyFont="1" applyFill="1" applyBorder="1">
      <alignment vertical="top"/>
    </xf>
    <xf numFmtId="0" fontId="13" fillId="4" borderId="10" xfId="8" applyFont="1" applyFill="1" applyBorder="1" applyAlignment="1">
      <alignment vertical="top"/>
    </xf>
    <xf numFmtId="0" fontId="14" fillId="4" borderId="0" xfId="7" applyFont="1" applyFill="1">
      <alignment vertical="top"/>
    </xf>
    <xf numFmtId="0" fontId="15" fillId="6" borderId="10" xfId="6" applyFont="1" applyBorder="1" applyAlignment="1">
      <alignment vertical="top" wrapText="1"/>
    </xf>
    <xf numFmtId="14" fontId="15" fillId="6" borderId="0" xfId="6" applyNumberFormat="1" applyFont="1" applyBorder="1" applyAlignment="1">
      <alignment horizontal="center" vertical="top"/>
    </xf>
    <xf numFmtId="3" fontId="15" fillId="6" borderId="11" xfId="6" applyNumberFormat="1" applyFont="1" applyBorder="1" applyAlignment="1">
      <alignment vertical="top"/>
    </xf>
    <xf numFmtId="0" fontId="14" fillId="4" borderId="12" xfId="7" applyFont="1" applyFill="1" applyBorder="1">
      <alignment vertical="top"/>
    </xf>
    <xf numFmtId="0" fontId="14" fillId="4" borderId="13" xfId="7" applyFont="1" applyFill="1" applyBorder="1">
      <alignment vertical="top"/>
    </xf>
    <xf numFmtId="3" fontId="14" fillId="4" borderId="14" xfId="7" applyNumberFormat="1" applyFont="1" applyFill="1" applyBorder="1">
      <alignment vertical="top"/>
    </xf>
    <xf numFmtId="3" fontId="14" fillId="8" borderId="11" xfId="7" applyNumberFormat="1" applyFont="1" applyFill="1" applyBorder="1">
      <alignment vertical="top"/>
    </xf>
    <xf numFmtId="10" fontId="14" fillId="4" borderId="0" xfId="7" applyNumberFormat="1" applyFont="1" applyFill="1">
      <alignment vertical="top"/>
    </xf>
    <xf numFmtId="43" fontId="11" fillId="0" borderId="0" xfId="0" applyNumberFormat="1" applyFont="1"/>
    <xf numFmtId="166" fontId="0" fillId="8" borderId="0" xfId="0" applyNumberFormat="1" applyFill="1"/>
    <xf numFmtId="0" fontId="16" fillId="9" borderId="0" xfId="9" applyAlignment="1">
      <alignment horizontal="center"/>
    </xf>
    <xf numFmtId="0" fontId="17" fillId="0" borderId="0" xfId="0" applyFont="1" applyAlignment="1">
      <alignment horizontal="left" vertical="center" inden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0" fillId="8" borderId="0" xfId="0" applyFill="1"/>
    <xf numFmtId="0" fontId="18" fillId="0" borderId="0" xfId="0" applyFont="1" applyAlignment="1">
      <alignment horizontal="right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167" fontId="18" fillId="0" borderId="16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right" vertical="center" wrapText="1"/>
    </xf>
    <xf numFmtId="43" fontId="11" fillId="0" borderId="19" xfId="0" applyNumberFormat="1" applyFont="1" applyBorder="1" applyAlignment="1">
      <alignment horizontal="left" vertical="center"/>
    </xf>
    <xf numFmtId="43" fontId="11" fillId="0" borderId="12" xfId="0" applyNumberFormat="1" applyFont="1" applyBorder="1" applyAlignment="1">
      <alignment horizontal="right" vertical="center"/>
    </xf>
    <xf numFmtId="43" fontId="11" fillId="0" borderId="18" xfId="0" applyNumberFormat="1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 wrapText="1"/>
    </xf>
    <xf numFmtId="167" fontId="11" fillId="0" borderId="18" xfId="0" applyNumberFormat="1" applyFont="1" applyBorder="1" applyAlignment="1">
      <alignment horizontal="center" vertical="center" wrapText="1"/>
    </xf>
    <xf numFmtId="167" fontId="11" fillId="0" borderId="18" xfId="0" applyNumberFormat="1" applyFont="1" applyBorder="1" applyAlignment="1">
      <alignment horizontal="center" vertical="center"/>
    </xf>
    <xf numFmtId="43" fontId="11" fillId="0" borderId="18" xfId="0" applyNumberFormat="1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44" fontId="11" fillId="0" borderId="18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3" fontId="0" fillId="0" borderId="0" xfId="0" applyNumberFormat="1"/>
    <xf numFmtId="44" fontId="0" fillId="0" borderId="0" xfId="0" applyNumberFormat="1"/>
    <xf numFmtId="0" fontId="0" fillId="10" borderId="4" xfId="0" applyFill="1" applyBorder="1" applyAlignment="1">
      <alignment horizontal="center"/>
    </xf>
  </cellXfs>
  <cellStyles count="10">
    <cellStyle name="Bueno" xfId="6" builtinId="26"/>
    <cellStyle name="Encabezado 1" xfId="3" builtinId="16"/>
    <cellStyle name="Incorrecto" xfId="9" builtinId="27"/>
    <cellStyle name="Millares" xfId="1" builtinId="3"/>
    <cellStyle name="Millares 10" xfId="5" xr:uid="{00000000-0005-0000-0000-000004000000}"/>
    <cellStyle name="Normal" xfId="0" builtinId="0"/>
    <cellStyle name="Normal 2" xfId="7" xr:uid="{00000000-0005-0000-0000-000006000000}"/>
    <cellStyle name="Notas 2" xfId="8" xr:uid="{00000000-0005-0000-0000-000007000000}"/>
    <cellStyle name="Porcentaje" xfId="2" builtinId="5"/>
    <cellStyle name="Total" xfId="4" builtinId="25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FFA50846-305D-75AE-5F1E-7274FE6EBEF9}"/>
            </a:ext>
          </a:extLst>
        </xdr:cNvPr>
        <xdr:cNvSpPr>
          <a:spLocks noChangeAspect="1" noChangeArrowheads="1"/>
        </xdr:cNvSpPr>
      </xdr:nvSpPr>
      <xdr:spPr bwMode="auto">
        <a:xfrm>
          <a:off x="762000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314325</xdr:colOff>
      <xdr:row>6</xdr:row>
      <xdr:rowOff>0</xdr:rowOff>
    </xdr:from>
    <xdr:to>
      <xdr:col>1</xdr:col>
      <xdr:colOff>619125</xdr:colOff>
      <xdr:row>7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DBA7FEB0-AC52-A569-C672-1D63FBA1C961}"/>
            </a:ext>
          </a:extLst>
        </xdr:cNvPr>
        <xdr:cNvSpPr>
          <a:spLocks noChangeAspect="1" noChangeArrowheads="1"/>
        </xdr:cNvSpPr>
      </xdr:nvSpPr>
      <xdr:spPr bwMode="auto">
        <a:xfrm>
          <a:off x="1076325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628650</xdr:colOff>
      <xdr:row>6</xdr:row>
      <xdr:rowOff>0</xdr:rowOff>
    </xdr:from>
    <xdr:to>
      <xdr:col>2</xdr:col>
      <xdr:colOff>171450</xdr:colOff>
      <xdr:row>7</xdr:row>
      <xdr:rowOff>114300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94410C78-FCA2-6362-8A0F-60EB7AEA5DB8}"/>
            </a:ext>
          </a:extLst>
        </xdr:cNvPr>
        <xdr:cNvSpPr>
          <a:spLocks noChangeAspect="1" noChangeArrowheads="1"/>
        </xdr:cNvSpPr>
      </xdr:nvSpPr>
      <xdr:spPr bwMode="auto">
        <a:xfrm>
          <a:off x="1390650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180975</xdr:colOff>
      <xdr:row>6</xdr:row>
      <xdr:rowOff>0</xdr:rowOff>
    </xdr:from>
    <xdr:to>
      <xdr:col>2</xdr:col>
      <xdr:colOff>485775</xdr:colOff>
      <xdr:row>7</xdr:row>
      <xdr:rowOff>114300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F48000D0-2DA1-606F-3DAA-36E61203DD9A}"/>
            </a:ext>
          </a:extLst>
        </xdr:cNvPr>
        <xdr:cNvSpPr>
          <a:spLocks noChangeAspect="1" noChangeArrowheads="1"/>
        </xdr:cNvSpPr>
      </xdr:nvSpPr>
      <xdr:spPr bwMode="auto">
        <a:xfrm>
          <a:off x="1704975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495300</xdr:colOff>
      <xdr:row>6</xdr:row>
      <xdr:rowOff>0</xdr:rowOff>
    </xdr:from>
    <xdr:to>
      <xdr:col>3</xdr:col>
      <xdr:colOff>38100</xdr:colOff>
      <xdr:row>7</xdr:row>
      <xdr:rowOff>114300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BBCE198F-0AF4-0F37-1B6E-793AEB589F1E}"/>
            </a:ext>
          </a:extLst>
        </xdr:cNvPr>
        <xdr:cNvSpPr>
          <a:spLocks noChangeAspect="1" noChangeArrowheads="1"/>
        </xdr:cNvSpPr>
      </xdr:nvSpPr>
      <xdr:spPr bwMode="auto">
        <a:xfrm>
          <a:off x="2019300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</xdr:colOff>
      <xdr:row>6</xdr:row>
      <xdr:rowOff>0</xdr:rowOff>
    </xdr:from>
    <xdr:to>
      <xdr:col>3</xdr:col>
      <xdr:colOff>352425</xdr:colOff>
      <xdr:row>7</xdr:row>
      <xdr:rowOff>114300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4B95C8B8-03D4-0BC8-215F-7885D12B351C}"/>
            </a:ext>
          </a:extLst>
        </xdr:cNvPr>
        <xdr:cNvSpPr>
          <a:spLocks noChangeAspect="1" noChangeArrowheads="1"/>
        </xdr:cNvSpPr>
      </xdr:nvSpPr>
      <xdr:spPr bwMode="auto">
        <a:xfrm>
          <a:off x="2333625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361950</xdr:colOff>
      <xdr:row>6</xdr:row>
      <xdr:rowOff>0</xdr:rowOff>
    </xdr:from>
    <xdr:to>
      <xdr:col>3</xdr:col>
      <xdr:colOff>666750</xdr:colOff>
      <xdr:row>7</xdr:row>
      <xdr:rowOff>114300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77282097-3FD3-E073-AB26-7173B786253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22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2"/>
  <sheetViews>
    <sheetView tabSelected="1" topLeftCell="A79" workbookViewId="0">
      <selection activeCell="J102" sqref="J102"/>
    </sheetView>
  </sheetViews>
  <sheetFormatPr baseColWidth="10" defaultRowHeight="15" x14ac:dyDescent="0.25"/>
  <cols>
    <col min="3" max="3" width="37.7109375" bestFit="1" customWidth="1"/>
    <col min="4" max="4" width="23.28515625" bestFit="1" customWidth="1"/>
    <col min="5" max="5" width="11.7109375" bestFit="1" customWidth="1"/>
    <col min="7" max="7" width="13.42578125" bestFit="1" customWidth="1"/>
    <col min="8" max="8" width="12.42578125" bestFit="1" customWidth="1"/>
    <col min="9" max="9" width="12.42578125" customWidth="1"/>
    <col min="10" max="10" width="16.140625" customWidth="1"/>
    <col min="11" max="11" width="13" customWidth="1"/>
    <col min="13" max="13" width="12.42578125" bestFit="1" customWidth="1"/>
    <col min="15" max="15" width="14.42578125" customWidth="1"/>
    <col min="16" max="17" width="13.42578125" bestFit="1" customWidth="1"/>
    <col min="21" max="21" width="14.85546875" bestFit="1" customWidth="1"/>
    <col min="22" max="22" width="20.28515625" bestFit="1" customWidth="1"/>
    <col min="23" max="23" width="19.28515625" bestFit="1" customWidth="1"/>
  </cols>
  <sheetData>
    <row r="1" spans="1:23" s="4" customFormat="1" ht="63.75" customHeight="1" x14ac:dyDescent="0.25">
      <c r="A1" s="1" t="s">
        <v>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2"/>
      <c r="V1" s="2"/>
      <c r="W1" s="2"/>
    </row>
    <row r="3" spans="1:23" ht="15.75" thickBot="1" x14ac:dyDescent="0.3">
      <c r="A3" s="77" t="s">
        <v>167</v>
      </c>
      <c r="B3" s="77"/>
      <c r="C3" s="77"/>
    </row>
    <row r="4" spans="1:23" s="11" customFormat="1" ht="13.5" thickBot="1" x14ac:dyDescent="0.3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</v>
      </c>
      <c r="P4" s="10" t="s">
        <v>17</v>
      </c>
      <c r="Q4" s="10" t="s">
        <v>18</v>
      </c>
      <c r="R4" s="10" t="s">
        <v>69</v>
      </c>
      <c r="S4" s="10" t="s">
        <v>19</v>
      </c>
      <c r="T4" s="10" t="s">
        <v>19</v>
      </c>
      <c r="U4" s="10" t="s">
        <v>20</v>
      </c>
      <c r="V4" s="10" t="s">
        <v>21</v>
      </c>
    </row>
    <row r="5" spans="1:23" x14ac:dyDescent="0.25">
      <c r="A5">
        <v>276699</v>
      </c>
      <c r="B5" s="12">
        <v>45848</v>
      </c>
      <c r="C5" t="s">
        <v>37</v>
      </c>
      <c r="D5" t="s">
        <v>38</v>
      </c>
      <c r="E5">
        <v>134</v>
      </c>
      <c r="F5" s="56" t="s">
        <v>39</v>
      </c>
      <c r="G5" s="13">
        <v>321200</v>
      </c>
      <c r="H5" s="13">
        <v>61030</v>
      </c>
      <c r="I5" s="13">
        <v>22600</v>
      </c>
      <c r="J5" s="13">
        <v>0</v>
      </c>
      <c r="K5" s="13">
        <v>0</v>
      </c>
      <c r="L5" s="13">
        <v>0</v>
      </c>
      <c r="M5" s="13">
        <v>43800</v>
      </c>
      <c r="N5" s="13">
        <v>8322</v>
      </c>
      <c r="O5" s="13">
        <f t="shared" ref="O5:O26" si="0">SUM(G5:N5)</f>
        <v>456952</v>
      </c>
      <c r="P5" s="12">
        <v>45848.662499999999</v>
      </c>
      <c r="Q5" s="12">
        <v>45848.662499999999</v>
      </c>
      <c r="U5" s="27" t="str">
        <f>VLOOKUP(F5,ESTADOS!F:R,13,0)</f>
        <v>ABIERTO</v>
      </c>
      <c r="V5" s="51" t="str">
        <f>IF(ISERROR(VLOOKUP(F395,PAGOS!F:F,1,0)),"PENDIENTE DE PAGO", "FACTURA PAGA")</f>
        <v>PENDIENTE DE PAGO</v>
      </c>
    </row>
    <row r="6" spans="1:23" x14ac:dyDescent="0.25">
      <c r="A6">
        <v>276700</v>
      </c>
      <c r="B6" s="12">
        <v>45848</v>
      </c>
      <c r="C6" t="s">
        <v>40</v>
      </c>
      <c r="D6" t="s">
        <v>38</v>
      </c>
      <c r="E6">
        <v>134</v>
      </c>
      <c r="F6" s="56" t="s">
        <v>41</v>
      </c>
      <c r="G6" s="13">
        <v>321200</v>
      </c>
      <c r="H6" s="13">
        <v>61030</v>
      </c>
      <c r="I6" s="13">
        <v>22600</v>
      </c>
      <c r="J6" s="13">
        <v>0</v>
      </c>
      <c r="K6" s="13">
        <v>0</v>
      </c>
      <c r="L6" s="13">
        <v>0</v>
      </c>
      <c r="M6" s="13">
        <v>43800</v>
      </c>
      <c r="N6" s="13">
        <v>8322</v>
      </c>
      <c r="O6" s="13">
        <f t="shared" si="0"/>
        <v>456952</v>
      </c>
      <c r="P6" s="12">
        <v>45848.662499999999</v>
      </c>
      <c r="Q6" s="12">
        <v>45848.662499999999</v>
      </c>
      <c r="U6" s="27" t="str">
        <f>VLOOKUP(F6,ESTADOS!F:R,13,0)</f>
        <v>REVISADO</v>
      </c>
      <c r="V6" s="51" t="str">
        <f>IF(ISERROR(VLOOKUP(F396,PAGOS!F:F,1,0)),"PENDIENTE DE PAGO", "FACTURA PAGA")</f>
        <v>PENDIENTE DE PAGO</v>
      </c>
    </row>
    <row r="7" spans="1:23" x14ac:dyDescent="0.25">
      <c r="A7">
        <v>276701</v>
      </c>
      <c r="B7" s="12">
        <v>45848</v>
      </c>
      <c r="C7" t="s">
        <v>42</v>
      </c>
      <c r="D7" t="s">
        <v>38</v>
      </c>
      <c r="E7">
        <v>134</v>
      </c>
      <c r="F7" s="56" t="s">
        <v>43</v>
      </c>
      <c r="G7" s="13">
        <v>321200</v>
      </c>
      <c r="H7" s="13">
        <v>61030</v>
      </c>
      <c r="I7" s="13">
        <v>22600</v>
      </c>
      <c r="J7" s="13">
        <v>0</v>
      </c>
      <c r="K7" s="13">
        <v>0</v>
      </c>
      <c r="L7" s="13">
        <v>0</v>
      </c>
      <c r="M7" s="13">
        <v>43800</v>
      </c>
      <c r="N7" s="13">
        <v>8322</v>
      </c>
      <c r="O7" s="13">
        <f t="shared" si="0"/>
        <v>456952</v>
      </c>
      <c r="P7" s="12">
        <v>45848.662499999999</v>
      </c>
      <c r="Q7" s="12">
        <v>45848.662499999999</v>
      </c>
      <c r="U7" s="27" t="str">
        <f>VLOOKUP(F7,ESTADOS!F:R,13,0)</f>
        <v>REVISADO</v>
      </c>
      <c r="V7" s="51" t="str">
        <f>IF(ISERROR(VLOOKUP(F397,PAGOS!F:F,1,0)),"PENDIENTE DE PAGO", "FACTURA PAGA")</f>
        <v>PENDIENTE DE PAGO</v>
      </c>
    </row>
    <row r="8" spans="1:23" x14ac:dyDescent="0.25">
      <c r="A8">
        <v>276702</v>
      </c>
      <c r="B8" s="12">
        <v>45848</v>
      </c>
      <c r="C8" t="s">
        <v>44</v>
      </c>
      <c r="D8" t="s">
        <v>38</v>
      </c>
      <c r="E8">
        <v>134</v>
      </c>
      <c r="F8" s="56" t="s">
        <v>45</v>
      </c>
      <c r="G8" s="13">
        <v>321200</v>
      </c>
      <c r="H8" s="13">
        <v>61030</v>
      </c>
      <c r="I8" s="13">
        <v>22600</v>
      </c>
      <c r="J8" s="13">
        <v>0</v>
      </c>
      <c r="K8" s="13">
        <v>0</v>
      </c>
      <c r="L8" s="13">
        <v>0</v>
      </c>
      <c r="M8" s="13">
        <v>43800</v>
      </c>
      <c r="N8" s="13">
        <v>8322</v>
      </c>
      <c r="O8" s="13">
        <f t="shared" si="0"/>
        <v>456952</v>
      </c>
      <c r="P8" s="12">
        <v>45848.662499999999</v>
      </c>
      <c r="Q8" s="12">
        <v>45848.662499999999</v>
      </c>
      <c r="U8" s="27" t="str">
        <f>VLOOKUP(F8,ESTADOS!F:R,13,0)</f>
        <v>REVISADO</v>
      </c>
      <c r="V8" s="51" t="str">
        <f>IF(ISERROR(VLOOKUP(F398,PAGOS!F:F,1,0)),"PENDIENTE DE PAGO", "FACTURA PAGA")</f>
        <v>PENDIENTE DE PAGO</v>
      </c>
    </row>
    <row r="9" spans="1:23" x14ac:dyDescent="0.25">
      <c r="A9">
        <v>276703</v>
      </c>
      <c r="B9" s="12">
        <v>45848</v>
      </c>
      <c r="C9" t="s">
        <v>46</v>
      </c>
      <c r="D9" t="s">
        <v>38</v>
      </c>
      <c r="E9">
        <v>134</v>
      </c>
      <c r="F9" s="56" t="s">
        <v>47</v>
      </c>
      <c r="G9" s="13">
        <v>321200</v>
      </c>
      <c r="H9" s="13">
        <v>61030</v>
      </c>
      <c r="I9" s="13">
        <v>22600</v>
      </c>
      <c r="J9" s="13">
        <v>0</v>
      </c>
      <c r="K9" s="13">
        <v>0</v>
      </c>
      <c r="L9" s="13">
        <v>0</v>
      </c>
      <c r="M9" s="13">
        <v>43800</v>
      </c>
      <c r="N9" s="13">
        <v>8322</v>
      </c>
      <c r="O9" s="13">
        <f t="shared" si="0"/>
        <v>456952</v>
      </c>
      <c r="P9" s="12">
        <v>45848.662499999999</v>
      </c>
      <c r="Q9" s="12">
        <v>45848.662499999999</v>
      </c>
      <c r="U9" s="27" t="str">
        <f>VLOOKUP(F9,ESTADOS!F:R,13,0)</f>
        <v>REVISADO</v>
      </c>
      <c r="V9" s="51" t="str">
        <f>IF(ISERROR(VLOOKUP(F399,PAGOS!F:F,1,0)),"PENDIENTE DE PAGO", "FACTURA PAGA")</f>
        <v>PENDIENTE DE PAGO</v>
      </c>
    </row>
    <row r="10" spans="1:23" x14ac:dyDescent="0.25">
      <c r="A10">
        <v>276704</v>
      </c>
      <c r="B10" s="12">
        <v>45848</v>
      </c>
      <c r="C10" t="s">
        <v>48</v>
      </c>
      <c r="D10" t="s">
        <v>38</v>
      </c>
      <c r="E10">
        <v>134</v>
      </c>
      <c r="F10" s="56" t="s">
        <v>49</v>
      </c>
      <c r="G10" s="13">
        <v>321200</v>
      </c>
      <c r="H10" s="13">
        <v>61030</v>
      </c>
      <c r="I10" s="13">
        <v>22600</v>
      </c>
      <c r="J10" s="13">
        <v>0</v>
      </c>
      <c r="K10" s="13">
        <v>0</v>
      </c>
      <c r="L10" s="13">
        <v>0</v>
      </c>
      <c r="M10" s="13">
        <v>43800</v>
      </c>
      <c r="N10" s="13">
        <v>8322</v>
      </c>
      <c r="O10" s="13">
        <f t="shared" si="0"/>
        <v>456952</v>
      </c>
      <c r="P10" s="12">
        <v>45848.662499999999</v>
      </c>
      <c r="Q10" s="12">
        <v>45848.662499999999</v>
      </c>
      <c r="U10" s="27" t="str">
        <f>VLOOKUP(F10,ESTADOS!F:R,13,0)</f>
        <v>REVISADO</v>
      </c>
      <c r="V10" s="51" t="str">
        <f>IF(ISERROR(VLOOKUP(F400,PAGOS!F:F,1,0)),"PENDIENTE DE PAGO", "FACTURA PAGA")</f>
        <v>PENDIENTE DE PAGO</v>
      </c>
    </row>
    <row r="11" spans="1:23" x14ac:dyDescent="0.25">
      <c r="B11" s="12"/>
      <c r="G11" s="13"/>
      <c r="H11" s="13"/>
      <c r="I11" s="13"/>
      <c r="J11" s="13"/>
      <c r="K11" s="13"/>
      <c r="L11" s="13"/>
      <c r="M11" s="13"/>
      <c r="N11" s="13"/>
      <c r="O11" s="13"/>
      <c r="P11" s="12"/>
      <c r="Q11" s="12"/>
    </row>
    <row r="12" spans="1:23" ht="15.75" thickBot="1" x14ac:dyDescent="0.3">
      <c r="A12" s="5"/>
      <c r="B12" s="6" t="s">
        <v>0</v>
      </c>
      <c r="C12" s="6"/>
      <c r="D12" s="6"/>
      <c r="E12" s="6"/>
      <c r="F12" s="6"/>
      <c r="G12" s="7">
        <f t="shared" ref="G12:N12" si="1">SUM(G5:G10)</f>
        <v>1927200</v>
      </c>
      <c r="H12" s="7">
        <f t="shared" si="1"/>
        <v>366180</v>
      </c>
      <c r="I12" s="7">
        <f t="shared" si="1"/>
        <v>135600</v>
      </c>
      <c r="J12" s="7">
        <f t="shared" si="1"/>
        <v>0</v>
      </c>
      <c r="K12" s="7">
        <f t="shared" si="1"/>
        <v>0</v>
      </c>
      <c r="L12" s="7">
        <f t="shared" si="1"/>
        <v>0</v>
      </c>
      <c r="M12" s="7">
        <f t="shared" si="1"/>
        <v>262800</v>
      </c>
      <c r="N12" s="7">
        <f t="shared" si="1"/>
        <v>49932</v>
      </c>
      <c r="O12" s="8" t="s">
        <v>1</v>
      </c>
      <c r="P12" s="7">
        <f>SUM(O5:O10)</f>
        <v>2741712</v>
      </c>
      <c r="Q12" s="7"/>
      <c r="R12" s="6"/>
      <c r="S12" s="6"/>
      <c r="T12" s="6"/>
      <c r="U12" s="6"/>
      <c r="V12" s="6"/>
    </row>
    <row r="13" spans="1:23" ht="15.75" thickTop="1" x14ac:dyDescent="0.25">
      <c r="B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2"/>
      <c r="Q13" s="12"/>
      <c r="U13" s="27"/>
    </row>
    <row r="14" spans="1:23" x14ac:dyDescent="0.25">
      <c r="B14" s="12"/>
      <c r="F14" s="13"/>
      <c r="G14" s="13">
        <f>+G12+I12+M12</f>
        <v>2325600</v>
      </c>
      <c r="H14" s="13"/>
      <c r="I14" s="13"/>
      <c r="J14" s="13"/>
      <c r="K14" s="13"/>
      <c r="L14" s="13"/>
      <c r="M14" s="13"/>
      <c r="N14" s="13"/>
      <c r="O14" s="13"/>
      <c r="P14" s="12"/>
      <c r="Q14" s="12"/>
      <c r="U14" s="27"/>
    </row>
    <row r="15" spans="1:23" s="11" customFormat="1" ht="13.5" hidden="1" thickBot="1" x14ac:dyDescent="0.3">
      <c r="A15" s="9" t="s">
        <v>2</v>
      </c>
      <c r="B15" s="9" t="s">
        <v>3</v>
      </c>
      <c r="C15" s="9" t="s">
        <v>4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9" t="s">
        <v>10</v>
      </c>
      <c r="J15" s="9" t="s">
        <v>11</v>
      </c>
      <c r="K15" s="9" t="s">
        <v>12</v>
      </c>
      <c r="L15" s="9" t="s">
        <v>13</v>
      </c>
      <c r="M15" s="9" t="s">
        <v>14</v>
      </c>
      <c r="N15" s="9" t="s">
        <v>15</v>
      </c>
      <c r="O15" s="9" t="s">
        <v>1</v>
      </c>
      <c r="P15" s="10" t="s">
        <v>17</v>
      </c>
      <c r="Q15" s="10" t="s">
        <v>18</v>
      </c>
      <c r="R15" s="10" t="s">
        <v>69</v>
      </c>
      <c r="S15" s="10" t="s">
        <v>19</v>
      </c>
      <c r="T15" s="10" t="s">
        <v>19</v>
      </c>
      <c r="U15" s="10" t="s">
        <v>20</v>
      </c>
      <c r="V15" s="10" t="s">
        <v>21</v>
      </c>
    </row>
    <row r="16" spans="1:23" hidden="1" x14ac:dyDescent="0.25">
      <c r="A16">
        <v>276706</v>
      </c>
      <c r="B16" s="12">
        <v>45848</v>
      </c>
      <c r="C16" t="s">
        <v>50</v>
      </c>
      <c r="D16" t="s">
        <v>51</v>
      </c>
      <c r="E16">
        <v>246</v>
      </c>
      <c r="F16" t="s">
        <v>52</v>
      </c>
      <c r="G16" s="13">
        <v>350000</v>
      </c>
      <c r="H16" s="13">
        <v>66500</v>
      </c>
      <c r="I16" s="13">
        <v>24000</v>
      </c>
      <c r="J16" s="13">
        <v>0</v>
      </c>
      <c r="K16" s="13">
        <v>0</v>
      </c>
      <c r="L16" s="13">
        <v>0</v>
      </c>
      <c r="M16" s="13">
        <v>43800</v>
      </c>
      <c r="N16" s="13">
        <v>8322</v>
      </c>
      <c r="O16" s="13">
        <f t="shared" si="0"/>
        <v>492622</v>
      </c>
      <c r="P16" s="12">
        <v>45847.479166666701</v>
      </c>
      <c r="Q16" s="12">
        <v>45847.479166666701</v>
      </c>
      <c r="U16" s="27" t="str">
        <f>VLOOKUP(F16,ESTADOS!F:R,13,0)</f>
        <v>VOLADO</v>
      </c>
      <c r="V16" s="51" t="str">
        <f>IF(ISERROR(VLOOKUP(F401,PAGOS!F:F,1,0)),"PENDIENTE DE PAGO", "FACTURA PAGA")</f>
        <v>PENDIENTE DE PAGO</v>
      </c>
    </row>
    <row r="17" spans="1:22" hidden="1" x14ac:dyDescent="0.25">
      <c r="A17">
        <v>276707</v>
      </c>
      <c r="B17" s="12">
        <v>45848</v>
      </c>
      <c r="C17" t="s">
        <v>53</v>
      </c>
      <c r="D17" t="s">
        <v>51</v>
      </c>
      <c r="E17">
        <v>246</v>
      </c>
      <c r="F17" t="s">
        <v>54</v>
      </c>
      <c r="G17" s="13">
        <v>350000</v>
      </c>
      <c r="H17" s="13">
        <v>66500</v>
      </c>
      <c r="I17" s="13">
        <v>24000</v>
      </c>
      <c r="J17" s="13">
        <v>0</v>
      </c>
      <c r="K17" s="13">
        <v>0</v>
      </c>
      <c r="L17" s="13">
        <v>0</v>
      </c>
      <c r="M17" s="13">
        <v>43800</v>
      </c>
      <c r="N17" s="13">
        <v>8322</v>
      </c>
      <c r="O17" s="13">
        <f t="shared" si="0"/>
        <v>492622</v>
      </c>
      <c r="P17" s="12">
        <v>45847.479166666701</v>
      </c>
      <c r="Q17" s="12">
        <v>45847.479166666701</v>
      </c>
      <c r="U17" s="27" t="str">
        <f>VLOOKUP(F17,ESTADOS!F:R,13,0)</f>
        <v>VOLADO</v>
      </c>
      <c r="V17" s="51" t="str">
        <f>IF(ISERROR(VLOOKUP(F402,PAGOS!F:F,1,0)),"PENDIENTE DE PAGO", "FACTURA PAGA")</f>
        <v>PENDIENTE DE PAGO</v>
      </c>
    </row>
    <row r="18" spans="1:22" hidden="1" x14ac:dyDescent="0.25">
      <c r="A18">
        <v>276708</v>
      </c>
      <c r="B18" s="12">
        <v>45848</v>
      </c>
      <c r="C18" t="s">
        <v>55</v>
      </c>
      <c r="D18" t="s">
        <v>51</v>
      </c>
      <c r="E18">
        <v>246</v>
      </c>
      <c r="F18" t="s">
        <v>56</v>
      </c>
      <c r="G18" s="13">
        <v>350000</v>
      </c>
      <c r="H18" s="13">
        <v>66500</v>
      </c>
      <c r="I18" s="13">
        <v>24000</v>
      </c>
      <c r="J18" s="13">
        <v>0</v>
      </c>
      <c r="K18" s="13">
        <v>0</v>
      </c>
      <c r="L18" s="13">
        <v>0</v>
      </c>
      <c r="M18" s="13">
        <v>43800</v>
      </c>
      <c r="N18" s="13">
        <v>8322</v>
      </c>
      <c r="O18" s="13">
        <f t="shared" si="0"/>
        <v>492622</v>
      </c>
      <c r="P18" s="12">
        <v>45847.479166666701</v>
      </c>
      <c r="Q18" s="12">
        <v>45847.479166666701</v>
      </c>
      <c r="U18" s="27" t="str">
        <f>VLOOKUP(F18,ESTADOS!F:R,13,0)</f>
        <v>VOLADO</v>
      </c>
      <c r="V18" s="51" t="str">
        <f>IF(ISERROR(VLOOKUP(F403,PAGOS!F:F,1,0)),"PENDIENTE DE PAGO", "FACTURA PAGA")</f>
        <v>PENDIENTE DE PAGO</v>
      </c>
    </row>
    <row r="19" spans="1:22" hidden="1" x14ac:dyDescent="0.25">
      <c r="A19">
        <v>276709</v>
      </c>
      <c r="B19" s="12">
        <v>45848</v>
      </c>
      <c r="C19" t="s">
        <v>57</v>
      </c>
      <c r="D19" t="s">
        <v>51</v>
      </c>
      <c r="E19">
        <v>246</v>
      </c>
      <c r="F19" t="s">
        <v>58</v>
      </c>
      <c r="G19" s="13">
        <v>350000</v>
      </c>
      <c r="H19" s="13">
        <v>66500</v>
      </c>
      <c r="I19" s="13">
        <v>24000</v>
      </c>
      <c r="J19" s="13">
        <v>0</v>
      </c>
      <c r="K19" s="13">
        <v>0</v>
      </c>
      <c r="L19" s="13">
        <v>0</v>
      </c>
      <c r="M19" s="13">
        <v>43800</v>
      </c>
      <c r="N19" s="13">
        <v>8322</v>
      </c>
      <c r="O19" s="13">
        <f t="shared" si="0"/>
        <v>492622</v>
      </c>
      <c r="P19" s="12">
        <v>45847.479166666701</v>
      </c>
      <c r="Q19" s="12">
        <v>45847.479166666701</v>
      </c>
      <c r="U19" s="27" t="str">
        <f>VLOOKUP(F19,ESTADOS!F:R,13,0)</f>
        <v>VOLADO</v>
      </c>
      <c r="V19" s="51" t="str">
        <f>IF(ISERROR(VLOOKUP(F404,PAGOS!F:F,1,0)),"PENDIENTE DE PAGO", "FACTURA PAGA")</f>
        <v>PENDIENTE DE PAGO</v>
      </c>
    </row>
    <row r="20" spans="1:22" hidden="1" x14ac:dyDescent="0.25">
      <c r="A20">
        <v>276710</v>
      </c>
      <c r="B20" s="12">
        <v>45848</v>
      </c>
      <c r="C20" t="s">
        <v>59</v>
      </c>
      <c r="D20" t="s">
        <v>51</v>
      </c>
      <c r="E20">
        <v>246</v>
      </c>
      <c r="F20" t="s">
        <v>60</v>
      </c>
      <c r="G20" s="13">
        <v>350000</v>
      </c>
      <c r="H20" s="13">
        <v>66500</v>
      </c>
      <c r="I20" s="13">
        <v>24000</v>
      </c>
      <c r="J20" s="13">
        <v>0</v>
      </c>
      <c r="K20" s="13">
        <v>0</v>
      </c>
      <c r="L20" s="13">
        <v>0</v>
      </c>
      <c r="M20" s="13">
        <v>43800</v>
      </c>
      <c r="N20" s="13">
        <v>8322</v>
      </c>
      <c r="O20" s="13">
        <f t="shared" si="0"/>
        <v>492622</v>
      </c>
      <c r="P20" s="12">
        <v>45847.479166666701</v>
      </c>
      <c r="Q20" s="12">
        <v>45847.479166666701</v>
      </c>
      <c r="U20" s="27" t="str">
        <f>VLOOKUP(F20,ESTADOS!F:R,13,0)</f>
        <v>VOLADO</v>
      </c>
      <c r="V20" s="51" t="str">
        <f>IF(ISERROR(VLOOKUP(F405,PAGOS!F:F,1,0)),"PENDIENTE DE PAGO", "FACTURA PAGA")</f>
        <v>PENDIENTE DE PAGO</v>
      </c>
    </row>
    <row r="21" spans="1:22" hidden="1" x14ac:dyDescent="0.25">
      <c r="A21">
        <v>276711</v>
      </c>
      <c r="B21" s="12">
        <v>45848</v>
      </c>
      <c r="C21" t="s">
        <v>61</v>
      </c>
      <c r="D21" t="s">
        <v>51</v>
      </c>
      <c r="E21">
        <v>246</v>
      </c>
      <c r="F21" t="s">
        <v>62</v>
      </c>
      <c r="G21" s="13">
        <v>350000</v>
      </c>
      <c r="H21" s="13">
        <v>66500</v>
      </c>
      <c r="I21" s="13">
        <v>24000</v>
      </c>
      <c r="J21" s="13">
        <v>0</v>
      </c>
      <c r="K21" s="13">
        <v>0</v>
      </c>
      <c r="L21" s="13">
        <v>0</v>
      </c>
      <c r="M21" s="13">
        <v>43800</v>
      </c>
      <c r="N21" s="13">
        <v>8322</v>
      </c>
      <c r="O21" s="13">
        <f t="shared" si="0"/>
        <v>492622</v>
      </c>
      <c r="P21" s="12">
        <v>45847.479166666701</v>
      </c>
      <c r="Q21" s="12">
        <v>45847.479166666701</v>
      </c>
      <c r="U21" s="27" t="str">
        <f>VLOOKUP(F21,ESTADOS!F:R,13,0)</f>
        <v>VOLADO</v>
      </c>
      <c r="V21" s="51" t="str">
        <f>IF(ISERROR(VLOOKUP(F406,PAGOS!F:F,1,0)),"PENDIENTE DE PAGO", "FACTURA PAGA")</f>
        <v>PENDIENTE DE PAGO</v>
      </c>
    </row>
    <row r="22" spans="1:22" hidden="1" x14ac:dyDescent="0.25">
      <c r="A22">
        <v>277016</v>
      </c>
      <c r="B22" s="12">
        <v>45849</v>
      </c>
      <c r="C22" t="s">
        <v>40</v>
      </c>
      <c r="D22" t="s">
        <v>38</v>
      </c>
      <c r="E22">
        <v>134</v>
      </c>
      <c r="F22" t="s">
        <v>63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43800</v>
      </c>
      <c r="N22" s="13">
        <v>8322</v>
      </c>
      <c r="O22" s="13">
        <f t="shared" si="0"/>
        <v>52122</v>
      </c>
      <c r="P22" s="12">
        <v>45849.662499999999</v>
      </c>
      <c r="Q22" s="12">
        <v>45849.662499999999</v>
      </c>
      <c r="U22" s="27" t="str">
        <f>VLOOKUP(F22,ESTADOS!F:R,13,0)</f>
        <v>VOLADO</v>
      </c>
      <c r="V22" s="51" t="str">
        <f>IF(ISERROR(VLOOKUP(F407,PAGOS!F:F,1,0)),"PENDIENTE DE PAGO", "FACTURA PAGA")</f>
        <v>PENDIENTE DE PAGO</v>
      </c>
    </row>
    <row r="23" spans="1:22" hidden="1" x14ac:dyDescent="0.25">
      <c r="A23">
        <v>277018</v>
      </c>
      <c r="B23" s="12">
        <v>45849</v>
      </c>
      <c r="C23" t="s">
        <v>42</v>
      </c>
      <c r="D23" t="s">
        <v>38</v>
      </c>
      <c r="E23">
        <v>134</v>
      </c>
      <c r="F23" t="s">
        <v>64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43800</v>
      </c>
      <c r="N23" s="13">
        <v>8322</v>
      </c>
      <c r="O23" s="13">
        <f t="shared" si="0"/>
        <v>52122</v>
      </c>
      <c r="P23" s="12">
        <v>45849.662499999999</v>
      </c>
      <c r="Q23" s="12">
        <v>45849.662499999999</v>
      </c>
      <c r="U23" s="27" t="str">
        <f>VLOOKUP(F23,ESTADOS!F:R,13,0)</f>
        <v>VOLADO</v>
      </c>
      <c r="V23" s="51" t="str">
        <f>IF(ISERROR(VLOOKUP(F408,PAGOS!F:F,1,0)),"PENDIENTE DE PAGO", "FACTURA PAGA")</f>
        <v>PENDIENTE DE PAGO</v>
      </c>
    </row>
    <row r="24" spans="1:22" hidden="1" x14ac:dyDescent="0.25">
      <c r="A24">
        <v>277020</v>
      </c>
      <c r="B24" s="12">
        <v>45849</v>
      </c>
      <c r="C24" t="s">
        <v>44</v>
      </c>
      <c r="D24" t="s">
        <v>38</v>
      </c>
      <c r="E24">
        <v>134</v>
      </c>
      <c r="F24" t="s">
        <v>65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43800</v>
      </c>
      <c r="N24" s="13">
        <v>8322</v>
      </c>
      <c r="O24" s="13">
        <f t="shared" si="0"/>
        <v>52122</v>
      </c>
      <c r="P24" s="12">
        <v>45849.662499999999</v>
      </c>
      <c r="Q24" s="12">
        <v>45849.662499999999</v>
      </c>
      <c r="U24" s="27" t="str">
        <f>VLOOKUP(F24,ESTADOS!F:R,13,0)</f>
        <v>VOLADO</v>
      </c>
      <c r="V24" s="51" t="str">
        <f>IF(ISERROR(VLOOKUP(F409,PAGOS!F:F,1,0)),"PENDIENTE DE PAGO", "FACTURA PAGA")</f>
        <v>PENDIENTE DE PAGO</v>
      </c>
    </row>
    <row r="25" spans="1:22" hidden="1" x14ac:dyDescent="0.25">
      <c r="A25">
        <v>277023</v>
      </c>
      <c r="B25" s="12">
        <v>45849</v>
      </c>
      <c r="C25" t="s">
        <v>46</v>
      </c>
      <c r="D25" t="s">
        <v>38</v>
      </c>
      <c r="E25">
        <v>134</v>
      </c>
      <c r="F25" t="s">
        <v>66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43800</v>
      </c>
      <c r="N25" s="13">
        <v>8322</v>
      </c>
      <c r="O25" s="13">
        <f t="shared" si="0"/>
        <v>52122</v>
      </c>
      <c r="P25" s="12">
        <v>45849.662499999999</v>
      </c>
      <c r="Q25" s="12">
        <v>45849.662499999999</v>
      </c>
      <c r="U25" s="27" t="str">
        <f>VLOOKUP(F25,ESTADOS!F:R,13,0)</f>
        <v>VOLADO</v>
      </c>
      <c r="V25" s="51" t="str">
        <f>IF(ISERROR(VLOOKUP(F410,PAGOS!F:F,1,0)),"PENDIENTE DE PAGO", "FACTURA PAGA")</f>
        <v>PENDIENTE DE PAGO</v>
      </c>
    </row>
    <row r="26" spans="1:22" hidden="1" x14ac:dyDescent="0.25">
      <c r="A26">
        <v>277026</v>
      </c>
      <c r="B26" s="12">
        <v>45849</v>
      </c>
      <c r="C26" t="s">
        <v>48</v>
      </c>
      <c r="D26" t="s">
        <v>38</v>
      </c>
      <c r="E26">
        <v>134</v>
      </c>
      <c r="F26" t="s">
        <v>67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43800</v>
      </c>
      <c r="N26" s="13">
        <v>8322</v>
      </c>
      <c r="O26" s="13">
        <f t="shared" si="0"/>
        <v>52122</v>
      </c>
      <c r="P26" s="12">
        <v>45849.662499999999</v>
      </c>
      <c r="Q26" s="12">
        <v>45849.662499999999</v>
      </c>
      <c r="U26" s="27" t="str">
        <f>VLOOKUP(F26,ESTADOS!F:R,13,0)</f>
        <v>VOLADO</v>
      </c>
      <c r="V26" s="51" t="str">
        <f>IF(ISERROR(VLOOKUP(F411,PAGOS!F:F,1,0)),"PENDIENTE DE PAGO", "FACTURA PAGA")</f>
        <v>PENDIENTE DE PAGO</v>
      </c>
    </row>
    <row r="27" spans="1:22" hidden="1" x14ac:dyDescent="0.25"/>
    <row r="28" spans="1:22" ht="15.75" hidden="1" thickBot="1" x14ac:dyDescent="0.3">
      <c r="A28" s="5"/>
      <c r="B28" s="6" t="s">
        <v>0</v>
      </c>
      <c r="C28" s="6"/>
      <c r="D28" s="6"/>
      <c r="E28" s="6"/>
      <c r="F28" s="6"/>
      <c r="G28" s="7">
        <f t="shared" ref="G28:N28" si="2">SUM(G16:G26)</f>
        <v>2100000</v>
      </c>
      <c r="H28" s="7">
        <f t="shared" si="2"/>
        <v>399000</v>
      </c>
      <c r="I28" s="7">
        <f t="shared" si="2"/>
        <v>144000</v>
      </c>
      <c r="J28" s="7">
        <f t="shared" si="2"/>
        <v>0</v>
      </c>
      <c r="K28" s="7">
        <f t="shared" si="2"/>
        <v>0</v>
      </c>
      <c r="L28" s="7">
        <f t="shared" si="2"/>
        <v>0</v>
      </c>
      <c r="M28" s="7">
        <f t="shared" si="2"/>
        <v>481800</v>
      </c>
      <c r="N28" s="7">
        <f t="shared" si="2"/>
        <v>91542</v>
      </c>
      <c r="O28" s="8" t="s">
        <v>1</v>
      </c>
      <c r="P28" s="7">
        <f>SUM(O16:O26)</f>
        <v>3216342</v>
      </c>
      <c r="Q28" s="7"/>
      <c r="R28" s="6"/>
      <c r="S28" s="6"/>
      <c r="T28" s="6"/>
      <c r="U28" s="6"/>
      <c r="V28" s="6"/>
    </row>
    <row r="29" spans="1:22" ht="16.5" hidden="1" thickTop="1" thickBot="1" x14ac:dyDescent="0.3"/>
    <row r="30" spans="1:22" s="11" customFormat="1" ht="13.5" hidden="1" thickBot="1" x14ac:dyDescent="0.3">
      <c r="A30" s="9" t="s">
        <v>2</v>
      </c>
      <c r="B30" s="9" t="s">
        <v>3</v>
      </c>
      <c r="C30" s="9" t="s">
        <v>4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9" t="s">
        <v>10</v>
      </c>
      <c r="J30" s="9" t="s">
        <v>11</v>
      </c>
      <c r="K30" s="9" t="s">
        <v>12</v>
      </c>
      <c r="L30" s="9" t="s">
        <v>13</v>
      </c>
      <c r="M30" s="9" t="s">
        <v>14</v>
      </c>
      <c r="N30" s="9" t="s">
        <v>15</v>
      </c>
      <c r="O30" s="9" t="s">
        <v>1</v>
      </c>
      <c r="P30" s="10" t="s">
        <v>17</v>
      </c>
      <c r="Q30" s="10" t="s">
        <v>18</v>
      </c>
      <c r="R30" s="10" t="s">
        <v>69</v>
      </c>
      <c r="S30" s="10" t="s">
        <v>19</v>
      </c>
      <c r="T30" s="10" t="s">
        <v>19</v>
      </c>
      <c r="U30" s="10" t="s">
        <v>20</v>
      </c>
      <c r="V30" s="10" t="s">
        <v>21</v>
      </c>
    </row>
    <row r="31" spans="1:22" hidden="1" x14ac:dyDescent="0.25">
      <c r="A31">
        <v>280667</v>
      </c>
      <c r="B31" s="12">
        <v>45859</v>
      </c>
      <c r="C31" t="s">
        <v>73</v>
      </c>
      <c r="D31" t="s">
        <v>38</v>
      </c>
      <c r="E31">
        <v>134</v>
      </c>
      <c r="F31" t="s">
        <v>74</v>
      </c>
      <c r="G31" s="13">
        <v>287100</v>
      </c>
      <c r="H31" s="13">
        <v>54550</v>
      </c>
      <c r="I31" s="13">
        <v>22600</v>
      </c>
      <c r="J31" s="13">
        <v>0</v>
      </c>
      <c r="K31" s="13">
        <v>0</v>
      </c>
      <c r="L31" s="13">
        <v>0</v>
      </c>
      <c r="M31" s="13">
        <v>43800</v>
      </c>
      <c r="N31" s="13">
        <v>8322</v>
      </c>
      <c r="O31" s="13">
        <f>SUM(G31:N31)</f>
        <v>416372</v>
      </c>
      <c r="P31" s="12">
        <v>45863.662499999999</v>
      </c>
      <c r="Q31" s="12">
        <v>45863.662499999999</v>
      </c>
      <c r="U31" s="27" t="str">
        <f>VLOOKUP(F31,ESTADOS!F:R,13,0)</f>
        <v>REVISADO</v>
      </c>
      <c r="V31" s="51" t="str">
        <f>IF(ISERROR(VLOOKUP(F412,PAGOS!F:F,1,0)),"PENDIENTE DE PAGO", "FACTURA PAGA")</f>
        <v>PENDIENTE DE PAGO</v>
      </c>
    </row>
    <row r="32" spans="1:22" hidden="1" x14ac:dyDescent="0.25">
      <c r="A32">
        <v>280683</v>
      </c>
      <c r="B32" s="12">
        <v>45859</v>
      </c>
      <c r="C32" t="s">
        <v>73</v>
      </c>
      <c r="D32" t="s">
        <v>51</v>
      </c>
      <c r="E32">
        <v>246</v>
      </c>
      <c r="F32" t="s">
        <v>76</v>
      </c>
      <c r="G32" s="13">
        <v>380000</v>
      </c>
      <c r="H32" s="13">
        <v>72200</v>
      </c>
      <c r="I32" s="13">
        <v>24000</v>
      </c>
      <c r="J32" s="13">
        <v>0</v>
      </c>
      <c r="K32" s="13">
        <v>0</v>
      </c>
      <c r="L32" s="13">
        <v>0</v>
      </c>
      <c r="M32" s="13">
        <v>43800</v>
      </c>
      <c r="N32" s="13">
        <v>8322</v>
      </c>
      <c r="O32" s="13">
        <f t="shared" ref="O32:O75" si="3">SUM(G32:N32)</f>
        <v>528322</v>
      </c>
      <c r="P32" s="12">
        <v>45858.746527777803</v>
      </c>
      <c r="Q32" s="12">
        <v>45858.746527777803</v>
      </c>
      <c r="U32" s="27" t="str">
        <f>VLOOKUP(F32,ESTADOS!F:R,13,0)</f>
        <v>VOLADO</v>
      </c>
      <c r="V32" s="51" t="str">
        <f>IF(ISERROR(VLOOKUP(F413,PAGOS!F:F,1,0)),"PENDIENTE DE PAGO", "FACTURA PAGA")</f>
        <v>PENDIENTE DE PAGO</v>
      </c>
    </row>
    <row r="33" spans="1:22" hidden="1" x14ac:dyDescent="0.25">
      <c r="A33">
        <v>281169</v>
      </c>
      <c r="B33" s="12">
        <v>45860</v>
      </c>
      <c r="C33" t="s">
        <v>77</v>
      </c>
      <c r="D33" t="s">
        <v>78</v>
      </c>
      <c r="E33">
        <v>134</v>
      </c>
      <c r="F33" t="s">
        <v>79</v>
      </c>
      <c r="G33" s="13">
        <v>615400</v>
      </c>
      <c r="H33" s="13">
        <v>116930</v>
      </c>
      <c r="I33" s="13">
        <v>47500</v>
      </c>
      <c r="J33" s="13">
        <v>0</v>
      </c>
      <c r="K33" s="13">
        <v>0</v>
      </c>
      <c r="L33" s="13">
        <v>0</v>
      </c>
      <c r="M33" s="13">
        <v>45000</v>
      </c>
      <c r="N33" s="13">
        <v>8550</v>
      </c>
      <c r="O33" s="13">
        <f t="shared" si="3"/>
        <v>833380</v>
      </c>
      <c r="P33" s="12">
        <v>45868.452083333301</v>
      </c>
      <c r="Q33" s="12">
        <v>45874.377083333296</v>
      </c>
      <c r="U33" s="27" t="str">
        <f>VLOOKUP(F33,ESTADOS!F:R,13,0)</f>
        <v>X CONSULTAR</v>
      </c>
      <c r="V33" s="51" t="str">
        <f>IF(ISERROR(VLOOKUP(F414,PAGOS!F:F,1,0)),"PENDIENTE DE PAGO", "FACTURA PAGA")</f>
        <v>PENDIENTE DE PAGO</v>
      </c>
    </row>
    <row r="34" spans="1:22" hidden="1" x14ac:dyDescent="0.25">
      <c r="A34">
        <v>281170</v>
      </c>
      <c r="B34" s="12">
        <v>45860</v>
      </c>
      <c r="C34" t="s">
        <v>80</v>
      </c>
      <c r="D34" t="s">
        <v>78</v>
      </c>
      <c r="E34">
        <v>134</v>
      </c>
      <c r="F34" t="s">
        <v>81</v>
      </c>
      <c r="G34" s="13">
        <v>615400</v>
      </c>
      <c r="H34" s="13">
        <v>116930</v>
      </c>
      <c r="I34" s="13">
        <v>47500</v>
      </c>
      <c r="J34" s="13">
        <v>0</v>
      </c>
      <c r="K34" s="13">
        <v>0</v>
      </c>
      <c r="L34" s="13">
        <v>0</v>
      </c>
      <c r="M34" s="13">
        <v>45000</v>
      </c>
      <c r="N34" s="13">
        <v>8550</v>
      </c>
      <c r="O34" s="13">
        <f t="shared" si="3"/>
        <v>833380</v>
      </c>
      <c r="P34" s="12">
        <v>45868.452083333301</v>
      </c>
      <c r="Q34" s="12">
        <v>45874.377083333296</v>
      </c>
      <c r="U34" s="27" t="str">
        <f>VLOOKUP(F34,ESTADOS!F:R,13,0)</f>
        <v>X CONSULTAR</v>
      </c>
      <c r="V34" s="51" t="str">
        <f>IF(ISERROR(VLOOKUP(F415,PAGOS!F:F,1,0)),"PENDIENTE DE PAGO", "FACTURA PAGA")</f>
        <v>PENDIENTE DE PAGO</v>
      </c>
    </row>
    <row r="35" spans="1:22" hidden="1" x14ac:dyDescent="0.25">
      <c r="A35">
        <v>281172</v>
      </c>
      <c r="B35" s="12">
        <v>45860</v>
      </c>
      <c r="C35" t="s">
        <v>82</v>
      </c>
      <c r="D35" t="s">
        <v>78</v>
      </c>
      <c r="E35">
        <v>134</v>
      </c>
      <c r="F35" t="s">
        <v>83</v>
      </c>
      <c r="G35" s="13">
        <v>615400</v>
      </c>
      <c r="H35" s="13">
        <v>116930</v>
      </c>
      <c r="I35" s="13">
        <v>47500</v>
      </c>
      <c r="J35" s="13">
        <v>0</v>
      </c>
      <c r="K35" s="13">
        <v>0</v>
      </c>
      <c r="L35" s="13">
        <v>0</v>
      </c>
      <c r="M35" s="13">
        <v>45000</v>
      </c>
      <c r="N35" s="13">
        <v>8550</v>
      </c>
      <c r="O35" s="13">
        <f t="shared" si="3"/>
        <v>833380</v>
      </c>
      <c r="P35" s="12">
        <v>45868.452083333301</v>
      </c>
      <c r="Q35" s="12">
        <v>45874.377083333296</v>
      </c>
      <c r="U35" s="27" t="str">
        <f>VLOOKUP(F35,ESTADOS!F:R,13,0)</f>
        <v>X CONSULTAR</v>
      </c>
      <c r="V35" s="51" t="str">
        <f>IF(ISERROR(VLOOKUP(F416,PAGOS!F:F,1,0)),"PENDIENTE DE PAGO", "FACTURA PAGA")</f>
        <v>PENDIENTE DE PAGO</v>
      </c>
    </row>
    <row r="36" spans="1:22" hidden="1" x14ac:dyDescent="0.25">
      <c r="A36">
        <v>281180</v>
      </c>
      <c r="B36" s="12">
        <v>45860</v>
      </c>
      <c r="C36" t="s">
        <v>84</v>
      </c>
      <c r="D36" t="s">
        <v>78</v>
      </c>
      <c r="E36">
        <v>134</v>
      </c>
      <c r="F36" t="s">
        <v>85</v>
      </c>
      <c r="G36" s="13">
        <v>615400</v>
      </c>
      <c r="H36" s="13">
        <v>116930</v>
      </c>
      <c r="I36" s="13">
        <v>47500</v>
      </c>
      <c r="J36" s="13">
        <v>0</v>
      </c>
      <c r="K36" s="13">
        <v>0</v>
      </c>
      <c r="L36" s="13">
        <v>0</v>
      </c>
      <c r="M36" s="13">
        <v>45000</v>
      </c>
      <c r="N36" s="13">
        <v>8550</v>
      </c>
      <c r="O36" s="13">
        <f t="shared" si="3"/>
        <v>833380</v>
      </c>
      <c r="P36" s="12">
        <v>45868.452083333301</v>
      </c>
      <c r="Q36" s="12">
        <v>45874.377083333296</v>
      </c>
      <c r="U36" s="27" t="str">
        <f>VLOOKUP(F36,ESTADOS!F:R,13,0)</f>
        <v>X CONSULTAR</v>
      </c>
      <c r="V36" s="51" t="str">
        <f>IF(ISERROR(VLOOKUP(F417,PAGOS!F:F,1,0)),"PENDIENTE DE PAGO", "FACTURA PAGA")</f>
        <v>PENDIENTE DE PAGO</v>
      </c>
    </row>
    <row r="37" spans="1:22" hidden="1" x14ac:dyDescent="0.25">
      <c r="A37">
        <v>281183</v>
      </c>
      <c r="B37" s="12">
        <v>45860</v>
      </c>
      <c r="C37" t="s">
        <v>86</v>
      </c>
      <c r="D37" t="s">
        <v>78</v>
      </c>
      <c r="E37">
        <v>134</v>
      </c>
      <c r="F37" t="s">
        <v>87</v>
      </c>
      <c r="G37" s="13">
        <v>615400</v>
      </c>
      <c r="H37" s="13">
        <v>116930</v>
      </c>
      <c r="I37" s="13">
        <v>47500</v>
      </c>
      <c r="J37" s="13">
        <v>0</v>
      </c>
      <c r="K37" s="13">
        <v>0</v>
      </c>
      <c r="L37" s="13">
        <v>0</v>
      </c>
      <c r="M37" s="13">
        <v>45000</v>
      </c>
      <c r="N37" s="13">
        <v>8550</v>
      </c>
      <c r="O37" s="13">
        <f t="shared" si="3"/>
        <v>833380</v>
      </c>
      <c r="P37" s="12">
        <v>45868.452083333301</v>
      </c>
      <c r="Q37" s="12">
        <v>45874.377083333296</v>
      </c>
      <c r="U37" s="27" t="str">
        <f>VLOOKUP(F37,ESTADOS!F:R,13,0)</f>
        <v>X CONSULTAR</v>
      </c>
      <c r="V37" s="51" t="str">
        <f>IF(ISERROR(VLOOKUP(F418,PAGOS!F:F,1,0)),"PENDIENTE DE PAGO", "FACTURA PAGA")</f>
        <v>PENDIENTE DE PAGO</v>
      </c>
    </row>
    <row r="38" spans="1:22" hidden="1" x14ac:dyDescent="0.25">
      <c r="A38">
        <v>281193</v>
      </c>
      <c r="B38" s="12">
        <v>45860</v>
      </c>
      <c r="C38" t="s">
        <v>88</v>
      </c>
      <c r="D38" t="s">
        <v>78</v>
      </c>
      <c r="E38">
        <v>134</v>
      </c>
      <c r="F38" t="s">
        <v>89</v>
      </c>
      <c r="G38" s="13">
        <v>615400</v>
      </c>
      <c r="H38" s="13">
        <v>116930</v>
      </c>
      <c r="I38" s="13">
        <v>47500</v>
      </c>
      <c r="J38" s="13">
        <v>0</v>
      </c>
      <c r="K38" s="13">
        <v>0</v>
      </c>
      <c r="L38" s="13">
        <v>0</v>
      </c>
      <c r="M38" s="13">
        <v>45000</v>
      </c>
      <c r="N38" s="13">
        <v>8550</v>
      </c>
      <c r="O38" s="13">
        <f t="shared" si="3"/>
        <v>833380</v>
      </c>
      <c r="P38" s="12">
        <v>45868.452083333301</v>
      </c>
      <c r="Q38" s="12">
        <v>45874.377083333296</v>
      </c>
      <c r="U38" s="27" t="str">
        <f>VLOOKUP(F38,ESTADOS!F:R,13,0)</f>
        <v>X CONSULTAR</v>
      </c>
      <c r="V38" s="51" t="str">
        <f>IF(ISERROR(VLOOKUP(F419,PAGOS!F:F,1,0)),"PENDIENTE DE PAGO", "FACTURA PAGA")</f>
        <v>PENDIENTE DE PAGO</v>
      </c>
    </row>
    <row r="39" spans="1:22" hidden="1" x14ac:dyDescent="0.25">
      <c r="A39">
        <v>281196</v>
      </c>
      <c r="B39" s="12">
        <v>45860</v>
      </c>
      <c r="C39" t="s">
        <v>90</v>
      </c>
      <c r="D39" t="s">
        <v>78</v>
      </c>
      <c r="E39">
        <v>134</v>
      </c>
      <c r="F39" t="s">
        <v>91</v>
      </c>
      <c r="G39" s="13">
        <v>615400</v>
      </c>
      <c r="H39" s="13">
        <v>116930</v>
      </c>
      <c r="I39" s="13">
        <v>47500</v>
      </c>
      <c r="J39" s="13">
        <v>0</v>
      </c>
      <c r="K39" s="13">
        <v>0</v>
      </c>
      <c r="L39" s="13">
        <v>0</v>
      </c>
      <c r="M39" s="13">
        <v>45000</v>
      </c>
      <c r="N39" s="13">
        <v>8550</v>
      </c>
      <c r="O39" s="13">
        <f t="shared" si="3"/>
        <v>833380</v>
      </c>
      <c r="P39" s="12">
        <v>45868.452083333301</v>
      </c>
      <c r="Q39" s="12">
        <v>45874.377083333296</v>
      </c>
      <c r="U39" s="27" t="str">
        <f>VLOOKUP(F39,ESTADOS!F:R,13,0)</f>
        <v>X CONSULTAR</v>
      </c>
      <c r="V39" s="51" t="str">
        <f>IF(ISERROR(VLOOKUP(F420,PAGOS!F:F,1,0)),"PENDIENTE DE PAGO", "FACTURA PAGA")</f>
        <v>PENDIENTE DE PAGO</v>
      </c>
    </row>
    <row r="40" spans="1:22" hidden="1" x14ac:dyDescent="0.25">
      <c r="A40">
        <v>281202</v>
      </c>
      <c r="B40" s="12">
        <v>45860</v>
      </c>
      <c r="C40" t="s">
        <v>92</v>
      </c>
      <c r="D40" t="s">
        <v>78</v>
      </c>
      <c r="E40">
        <v>134</v>
      </c>
      <c r="F40" t="s">
        <v>93</v>
      </c>
      <c r="G40" s="13">
        <v>615400</v>
      </c>
      <c r="H40" s="13">
        <v>116930</v>
      </c>
      <c r="I40" s="13">
        <v>47500</v>
      </c>
      <c r="J40" s="13">
        <v>0</v>
      </c>
      <c r="K40" s="13">
        <v>0</v>
      </c>
      <c r="L40" s="13">
        <v>0</v>
      </c>
      <c r="M40" s="13">
        <v>45000</v>
      </c>
      <c r="N40" s="13">
        <v>8550</v>
      </c>
      <c r="O40" s="13">
        <f t="shared" si="3"/>
        <v>833380</v>
      </c>
      <c r="P40" s="12">
        <v>45868.452083333301</v>
      </c>
      <c r="Q40" s="12">
        <v>45874.377083333296</v>
      </c>
      <c r="U40" s="27" t="str">
        <f>VLOOKUP(F40,ESTADOS!F:R,13,0)</f>
        <v>X CONSULTAR</v>
      </c>
      <c r="V40" s="51" t="str">
        <f>IF(ISERROR(VLOOKUP(F421,PAGOS!F:F,1,0)),"PENDIENTE DE PAGO", "FACTURA PAGA")</f>
        <v>PENDIENTE DE PAGO</v>
      </c>
    </row>
    <row r="41" spans="1:22" hidden="1" x14ac:dyDescent="0.25">
      <c r="A41">
        <v>281208</v>
      </c>
      <c r="B41" s="12">
        <v>45860</v>
      </c>
      <c r="C41" t="s">
        <v>94</v>
      </c>
      <c r="D41" t="s">
        <v>78</v>
      </c>
      <c r="E41">
        <v>134</v>
      </c>
      <c r="F41" t="s">
        <v>95</v>
      </c>
      <c r="G41" s="13">
        <v>615400</v>
      </c>
      <c r="H41" s="13">
        <v>116930</v>
      </c>
      <c r="I41" s="13">
        <v>47500</v>
      </c>
      <c r="J41" s="13">
        <v>0</v>
      </c>
      <c r="K41" s="13">
        <v>0</v>
      </c>
      <c r="L41" s="13">
        <v>0</v>
      </c>
      <c r="M41" s="13">
        <v>45000</v>
      </c>
      <c r="N41" s="13">
        <v>8550</v>
      </c>
      <c r="O41" s="13">
        <f t="shared" si="3"/>
        <v>833380</v>
      </c>
      <c r="P41" s="12">
        <v>45868.452083333301</v>
      </c>
      <c r="Q41" s="12">
        <v>45874.377083333296</v>
      </c>
      <c r="U41" s="27" t="str">
        <f>VLOOKUP(F41,ESTADOS!F:R,13,0)</f>
        <v>X CONSULTAR</v>
      </c>
      <c r="V41" s="51" t="str">
        <f>IF(ISERROR(VLOOKUP(F422,PAGOS!F:F,1,0)),"PENDIENTE DE PAGO", "FACTURA PAGA")</f>
        <v>PENDIENTE DE PAGO</v>
      </c>
    </row>
    <row r="42" spans="1:22" hidden="1" x14ac:dyDescent="0.25">
      <c r="A42">
        <v>281214</v>
      </c>
      <c r="B42" s="12">
        <v>45860</v>
      </c>
      <c r="C42" t="s">
        <v>96</v>
      </c>
      <c r="D42" t="s">
        <v>78</v>
      </c>
      <c r="E42">
        <v>134</v>
      </c>
      <c r="F42" t="s">
        <v>97</v>
      </c>
      <c r="G42" s="13">
        <v>615400</v>
      </c>
      <c r="H42" s="13">
        <v>116930</v>
      </c>
      <c r="I42" s="13">
        <v>47500</v>
      </c>
      <c r="J42" s="13">
        <v>0</v>
      </c>
      <c r="K42" s="13">
        <v>0</v>
      </c>
      <c r="L42" s="13">
        <v>0</v>
      </c>
      <c r="M42" s="13">
        <v>45000</v>
      </c>
      <c r="N42" s="13">
        <v>8550</v>
      </c>
      <c r="O42" s="13">
        <f t="shared" si="3"/>
        <v>833380</v>
      </c>
      <c r="P42" s="12">
        <v>45868.452083333301</v>
      </c>
      <c r="Q42" s="12">
        <v>45874.377083333296</v>
      </c>
      <c r="U42" s="27" t="str">
        <f>VLOOKUP(F42,ESTADOS!F:R,13,0)</f>
        <v>X CONSULTAR</v>
      </c>
      <c r="V42" s="51" t="str">
        <f>IF(ISERROR(VLOOKUP(F423,PAGOS!F:F,1,0)),"PENDIENTE DE PAGO", "FACTURA PAGA")</f>
        <v>PENDIENTE DE PAGO</v>
      </c>
    </row>
    <row r="43" spans="1:22" hidden="1" x14ac:dyDescent="0.25">
      <c r="A43">
        <v>281215</v>
      </c>
      <c r="B43" s="12">
        <v>45860</v>
      </c>
      <c r="C43" t="s">
        <v>98</v>
      </c>
      <c r="D43" t="s">
        <v>78</v>
      </c>
      <c r="E43">
        <v>134</v>
      </c>
      <c r="F43" t="s">
        <v>99</v>
      </c>
      <c r="G43" s="13">
        <v>615400</v>
      </c>
      <c r="H43" s="13">
        <v>116930</v>
      </c>
      <c r="I43" s="13">
        <v>47500</v>
      </c>
      <c r="J43" s="13">
        <v>0</v>
      </c>
      <c r="K43" s="13">
        <v>0</v>
      </c>
      <c r="L43" s="13">
        <v>0</v>
      </c>
      <c r="M43" s="13">
        <v>45000</v>
      </c>
      <c r="N43" s="13">
        <v>8550</v>
      </c>
      <c r="O43" s="13">
        <f t="shared" si="3"/>
        <v>833380</v>
      </c>
      <c r="P43" s="12">
        <v>45868.452083333301</v>
      </c>
      <c r="Q43" s="12">
        <v>45874.377083333296</v>
      </c>
      <c r="U43" s="27" t="str">
        <f>VLOOKUP(F43,ESTADOS!F:R,13,0)</f>
        <v>X CONSULTAR</v>
      </c>
      <c r="V43" s="51" t="str">
        <f>IF(ISERROR(VLOOKUP(F424,PAGOS!F:F,1,0)),"PENDIENTE DE PAGO", "FACTURA PAGA")</f>
        <v>PENDIENTE DE PAGO</v>
      </c>
    </row>
    <row r="44" spans="1:22" hidden="1" x14ac:dyDescent="0.25">
      <c r="A44">
        <v>281216</v>
      </c>
      <c r="B44" s="12">
        <v>45860</v>
      </c>
      <c r="C44" t="s">
        <v>100</v>
      </c>
      <c r="D44" t="s">
        <v>78</v>
      </c>
      <c r="E44">
        <v>134</v>
      </c>
      <c r="F44" t="s">
        <v>101</v>
      </c>
      <c r="G44" s="13">
        <v>615400</v>
      </c>
      <c r="H44" s="13">
        <v>116930</v>
      </c>
      <c r="I44" s="13">
        <v>47500</v>
      </c>
      <c r="J44" s="13">
        <v>0</v>
      </c>
      <c r="K44" s="13">
        <v>0</v>
      </c>
      <c r="L44" s="13">
        <v>0</v>
      </c>
      <c r="M44" s="13">
        <v>45000</v>
      </c>
      <c r="N44" s="13">
        <v>8550</v>
      </c>
      <c r="O44" s="13">
        <f t="shared" si="3"/>
        <v>833380</v>
      </c>
      <c r="P44" s="12">
        <v>45868.452083333301</v>
      </c>
      <c r="Q44" s="12">
        <v>45874.377083333296</v>
      </c>
      <c r="U44" s="27" t="str">
        <f>VLOOKUP(F44,ESTADOS!F:R,13,0)</f>
        <v>X CONSULTAR</v>
      </c>
      <c r="V44" s="51" t="str">
        <f>IF(ISERROR(VLOOKUP(F425,PAGOS!F:F,1,0)),"PENDIENTE DE PAGO", "FACTURA PAGA")</f>
        <v>PENDIENTE DE PAGO</v>
      </c>
    </row>
    <row r="45" spans="1:22" hidden="1" x14ac:dyDescent="0.25">
      <c r="A45">
        <v>281217</v>
      </c>
      <c r="B45" s="12">
        <v>45860</v>
      </c>
      <c r="C45" t="s">
        <v>102</v>
      </c>
      <c r="D45" t="s">
        <v>78</v>
      </c>
      <c r="E45">
        <v>134</v>
      </c>
      <c r="F45" t="s">
        <v>103</v>
      </c>
      <c r="G45" s="13">
        <v>615400</v>
      </c>
      <c r="H45" s="13">
        <v>116930</v>
      </c>
      <c r="I45" s="13">
        <v>47500</v>
      </c>
      <c r="J45" s="13">
        <v>0</v>
      </c>
      <c r="K45" s="13">
        <v>0</v>
      </c>
      <c r="L45" s="13">
        <v>0</v>
      </c>
      <c r="M45" s="13">
        <v>45000</v>
      </c>
      <c r="N45" s="13">
        <v>8550</v>
      </c>
      <c r="O45" s="13">
        <f t="shared" si="3"/>
        <v>833380</v>
      </c>
      <c r="P45" s="12">
        <v>45868.452083333301</v>
      </c>
      <c r="Q45" s="12">
        <v>45874.377083333296</v>
      </c>
      <c r="U45" s="27" t="str">
        <f>VLOOKUP(F45,ESTADOS!F:R,13,0)</f>
        <v>X CONSULTAR</v>
      </c>
      <c r="V45" s="51" t="str">
        <f>IF(ISERROR(VLOOKUP(F426,PAGOS!F:F,1,0)),"PENDIENTE DE PAGO", "FACTURA PAGA")</f>
        <v>PENDIENTE DE PAGO</v>
      </c>
    </row>
    <row r="46" spans="1:22" hidden="1" x14ac:dyDescent="0.25">
      <c r="A46">
        <v>281220</v>
      </c>
      <c r="B46" s="12">
        <v>45860</v>
      </c>
      <c r="C46" t="s">
        <v>104</v>
      </c>
      <c r="D46" t="s">
        <v>78</v>
      </c>
      <c r="E46">
        <v>134</v>
      </c>
      <c r="F46" t="s">
        <v>105</v>
      </c>
      <c r="G46" s="13">
        <v>615400</v>
      </c>
      <c r="H46" s="13">
        <v>116930</v>
      </c>
      <c r="I46" s="13">
        <v>47500</v>
      </c>
      <c r="J46" s="13">
        <v>0</v>
      </c>
      <c r="K46" s="13">
        <v>0</v>
      </c>
      <c r="L46" s="13">
        <v>0</v>
      </c>
      <c r="M46" s="13">
        <v>45000</v>
      </c>
      <c r="N46" s="13">
        <v>8550</v>
      </c>
      <c r="O46" s="13">
        <f t="shared" si="3"/>
        <v>833380</v>
      </c>
      <c r="P46" s="12">
        <v>45868.452083333301</v>
      </c>
      <c r="Q46" s="12">
        <v>45874.377083333296</v>
      </c>
      <c r="U46" s="27" t="str">
        <f>VLOOKUP(F46,ESTADOS!F:R,13,0)</f>
        <v>X CONSULTAR</v>
      </c>
      <c r="V46" s="51" t="str">
        <f>IF(ISERROR(VLOOKUP(F427,PAGOS!F:F,1,0)),"PENDIENTE DE PAGO", "FACTURA PAGA")</f>
        <v>PENDIENTE DE PAGO</v>
      </c>
    </row>
    <row r="47" spans="1:22" hidden="1" x14ac:dyDescent="0.25">
      <c r="A47">
        <v>281225</v>
      </c>
      <c r="B47" s="12">
        <v>45860</v>
      </c>
      <c r="C47" t="s">
        <v>106</v>
      </c>
      <c r="D47" t="s">
        <v>78</v>
      </c>
      <c r="E47">
        <v>134</v>
      </c>
      <c r="F47" t="s">
        <v>107</v>
      </c>
      <c r="G47" s="13">
        <v>615400</v>
      </c>
      <c r="H47" s="13">
        <v>116930</v>
      </c>
      <c r="I47" s="13">
        <v>47500</v>
      </c>
      <c r="J47" s="13">
        <v>0</v>
      </c>
      <c r="K47" s="13">
        <v>0</v>
      </c>
      <c r="L47" s="13">
        <v>0</v>
      </c>
      <c r="M47" s="13">
        <v>45000</v>
      </c>
      <c r="N47" s="13">
        <v>8550</v>
      </c>
      <c r="O47" s="13">
        <f t="shared" si="3"/>
        <v>833380</v>
      </c>
      <c r="P47" s="12">
        <v>45868.452083333301</v>
      </c>
      <c r="Q47" s="12">
        <v>45874.377083333296</v>
      </c>
      <c r="U47" s="27" t="str">
        <f>VLOOKUP(F47,ESTADOS!F:R,13,0)</f>
        <v>X CONSULTAR</v>
      </c>
      <c r="V47" s="51" t="str">
        <f>IF(ISERROR(VLOOKUP(F428,PAGOS!F:F,1,0)),"PENDIENTE DE PAGO", "FACTURA PAGA")</f>
        <v>PENDIENTE DE PAGO</v>
      </c>
    </row>
    <row r="48" spans="1:22" hidden="1" x14ac:dyDescent="0.25">
      <c r="A48">
        <v>281227</v>
      </c>
      <c r="B48" s="12">
        <v>45860</v>
      </c>
      <c r="C48" t="s">
        <v>108</v>
      </c>
      <c r="D48" t="s">
        <v>78</v>
      </c>
      <c r="E48">
        <v>134</v>
      </c>
      <c r="F48" t="s">
        <v>109</v>
      </c>
      <c r="G48" s="13">
        <v>615400</v>
      </c>
      <c r="H48" s="13">
        <v>116930</v>
      </c>
      <c r="I48" s="13">
        <v>47500</v>
      </c>
      <c r="J48" s="13">
        <v>0</v>
      </c>
      <c r="K48" s="13">
        <v>0</v>
      </c>
      <c r="L48" s="13">
        <v>0</v>
      </c>
      <c r="M48" s="13">
        <v>45000</v>
      </c>
      <c r="N48" s="13">
        <v>8550</v>
      </c>
      <c r="O48" s="13">
        <f t="shared" si="3"/>
        <v>833380</v>
      </c>
      <c r="P48" s="12">
        <v>45868.452083333301</v>
      </c>
      <c r="Q48" s="12">
        <v>45874.377083333296</v>
      </c>
      <c r="U48" s="27" t="str">
        <f>VLOOKUP(F48,ESTADOS!F:R,13,0)</f>
        <v>X CONSULTAR</v>
      </c>
      <c r="V48" s="51" t="str">
        <f>IF(ISERROR(VLOOKUP(F429,PAGOS!F:F,1,0)),"PENDIENTE DE PAGO", "FACTURA PAGA")</f>
        <v>PENDIENTE DE PAGO</v>
      </c>
    </row>
    <row r="49" spans="1:22" hidden="1" x14ac:dyDescent="0.25">
      <c r="A49">
        <v>281230</v>
      </c>
      <c r="B49" s="12">
        <v>45860</v>
      </c>
      <c r="C49" t="s">
        <v>110</v>
      </c>
      <c r="D49" t="s">
        <v>78</v>
      </c>
      <c r="E49">
        <v>134</v>
      </c>
      <c r="F49" t="s">
        <v>111</v>
      </c>
      <c r="G49" s="13">
        <v>615400</v>
      </c>
      <c r="H49" s="13">
        <v>116930</v>
      </c>
      <c r="I49" s="13">
        <v>47500</v>
      </c>
      <c r="J49" s="13">
        <v>0</v>
      </c>
      <c r="K49" s="13">
        <v>0</v>
      </c>
      <c r="L49" s="13">
        <v>0</v>
      </c>
      <c r="M49" s="13">
        <v>45000</v>
      </c>
      <c r="N49" s="13">
        <v>8550</v>
      </c>
      <c r="O49" s="13">
        <f t="shared" si="3"/>
        <v>833380</v>
      </c>
      <c r="P49" s="12">
        <v>45868.452083333301</v>
      </c>
      <c r="Q49" s="12">
        <v>45874.377083333296</v>
      </c>
      <c r="U49" s="27" t="str">
        <f>VLOOKUP(F49,ESTADOS!F:R,13,0)</f>
        <v>X CONSULTAR</v>
      </c>
      <c r="V49" s="51" t="str">
        <f>IF(ISERROR(VLOOKUP(F430,PAGOS!F:F,1,0)),"PENDIENTE DE PAGO", "FACTURA PAGA")</f>
        <v>PENDIENTE DE PAGO</v>
      </c>
    </row>
    <row r="50" spans="1:22" hidden="1" x14ac:dyDescent="0.25">
      <c r="A50">
        <v>281232</v>
      </c>
      <c r="B50" s="12">
        <v>45860</v>
      </c>
      <c r="C50" t="s">
        <v>112</v>
      </c>
      <c r="D50" t="s">
        <v>78</v>
      </c>
      <c r="E50">
        <v>134</v>
      </c>
      <c r="F50" t="s">
        <v>113</v>
      </c>
      <c r="G50" s="13">
        <v>615400</v>
      </c>
      <c r="H50" s="13">
        <v>116930</v>
      </c>
      <c r="I50" s="13">
        <v>47500</v>
      </c>
      <c r="J50" s="13">
        <v>0</v>
      </c>
      <c r="K50" s="13">
        <v>0</v>
      </c>
      <c r="L50" s="13">
        <v>0</v>
      </c>
      <c r="M50" s="13">
        <v>45000</v>
      </c>
      <c r="N50" s="13">
        <v>8550</v>
      </c>
      <c r="O50" s="13">
        <f t="shared" si="3"/>
        <v>833380</v>
      </c>
      <c r="P50" s="12">
        <v>45868.452083333301</v>
      </c>
      <c r="Q50" s="12">
        <v>45874.377083333296</v>
      </c>
      <c r="U50" s="27" t="str">
        <f>VLOOKUP(F50,ESTADOS!F:R,13,0)</f>
        <v>X CONSULTAR</v>
      </c>
      <c r="V50" s="51" t="str">
        <f>IF(ISERROR(VLOOKUP(F431,PAGOS!F:F,1,0)),"PENDIENTE DE PAGO", "FACTURA PAGA")</f>
        <v>PENDIENTE DE PAGO</v>
      </c>
    </row>
    <row r="51" spans="1:22" hidden="1" x14ac:dyDescent="0.25">
      <c r="A51">
        <v>281878</v>
      </c>
      <c r="B51" s="12">
        <v>45861</v>
      </c>
      <c r="C51" t="s">
        <v>114</v>
      </c>
      <c r="D51" t="s">
        <v>78</v>
      </c>
      <c r="E51">
        <v>134</v>
      </c>
      <c r="F51" t="s">
        <v>115</v>
      </c>
      <c r="G51" s="13">
        <v>696200</v>
      </c>
      <c r="H51" s="13">
        <v>132280</v>
      </c>
      <c r="I51" s="13">
        <v>47500</v>
      </c>
      <c r="J51" s="13">
        <v>0</v>
      </c>
      <c r="K51" s="13">
        <v>0</v>
      </c>
      <c r="L51" s="13">
        <v>0</v>
      </c>
      <c r="M51" s="13">
        <v>45000</v>
      </c>
      <c r="N51" s="13">
        <v>8550</v>
      </c>
      <c r="O51" s="13">
        <f t="shared" si="3"/>
        <v>929530</v>
      </c>
      <c r="P51" s="12">
        <v>45868.452083333301</v>
      </c>
      <c r="Q51" s="12">
        <v>45874.377083333296</v>
      </c>
      <c r="U51" s="27" t="str">
        <f>VLOOKUP(F51,ESTADOS!F:R,13,0)</f>
        <v>X CONSULTAR</v>
      </c>
      <c r="V51" s="51" t="str">
        <f>IF(ISERROR(VLOOKUP(F432,PAGOS!F:F,1,0)),"PENDIENTE DE PAGO", "FACTURA PAGA")</f>
        <v>PENDIENTE DE PAGO</v>
      </c>
    </row>
    <row r="52" spans="1:22" hidden="1" x14ac:dyDescent="0.25">
      <c r="A52">
        <v>281880</v>
      </c>
      <c r="B52" s="12">
        <v>45861</v>
      </c>
      <c r="C52" t="s">
        <v>116</v>
      </c>
      <c r="D52" t="s">
        <v>78</v>
      </c>
      <c r="E52">
        <v>134</v>
      </c>
      <c r="F52" t="s">
        <v>117</v>
      </c>
      <c r="G52" s="13">
        <v>696200</v>
      </c>
      <c r="H52" s="13">
        <v>132280</v>
      </c>
      <c r="I52" s="13">
        <v>47500</v>
      </c>
      <c r="J52" s="13">
        <v>0</v>
      </c>
      <c r="K52" s="13">
        <v>0</v>
      </c>
      <c r="L52" s="13">
        <v>0</v>
      </c>
      <c r="M52" s="13">
        <v>45000</v>
      </c>
      <c r="N52" s="13">
        <v>8550</v>
      </c>
      <c r="O52" s="13">
        <f t="shared" si="3"/>
        <v>929530</v>
      </c>
      <c r="P52" s="12">
        <v>45868.452083333301</v>
      </c>
      <c r="Q52" s="12">
        <v>45874.377083333296</v>
      </c>
      <c r="U52" s="27" t="str">
        <f>VLOOKUP(F52,ESTADOS!F:R,13,0)</f>
        <v>X CONSULTAR</v>
      </c>
      <c r="V52" s="51" t="str">
        <f>IF(ISERROR(VLOOKUP(F433,PAGOS!F:F,1,0)),"PENDIENTE DE PAGO", "FACTURA PAGA")</f>
        <v>PENDIENTE DE PAGO</v>
      </c>
    </row>
    <row r="53" spans="1:22" hidden="1" x14ac:dyDescent="0.25">
      <c r="A53">
        <v>281882</v>
      </c>
      <c r="B53" s="12">
        <v>45861</v>
      </c>
      <c r="C53" t="s">
        <v>118</v>
      </c>
      <c r="D53" t="s">
        <v>78</v>
      </c>
      <c r="E53">
        <v>134</v>
      </c>
      <c r="F53" t="s">
        <v>119</v>
      </c>
      <c r="G53" s="13">
        <v>696200</v>
      </c>
      <c r="H53" s="13">
        <v>132280</v>
      </c>
      <c r="I53" s="13">
        <v>47500</v>
      </c>
      <c r="J53" s="13">
        <v>0</v>
      </c>
      <c r="K53" s="13">
        <v>0</v>
      </c>
      <c r="L53" s="13">
        <v>0</v>
      </c>
      <c r="M53" s="13">
        <v>45000</v>
      </c>
      <c r="N53" s="13">
        <v>8550</v>
      </c>
      <c r="O53" s="13">
        <f t="shared" si="3"/>
        <v>929530</v>
      </c>
      <c r="P53" s="12">
        <v>45868.452083333301</v>
      </c>
      <c r="Q53" s="12">
        <v>45874.377083333296</v>
      </c>
      <c r="U53" s="27" t="str">
        <f>VLOOKUP(F53,ESTADOS!F:R,13,0)</f>
        <v>X CONSULTAR</v>
      </c>
      <c r="V53" s="51" t="str">
        <f>IF(ISERROR(VLOOKUP(F434,PAGOS!F:F,1,0)),"PENDIENTE DE PAGO", "FACTURA PAGA")</f>
        <v>PENDIENTE DE PAGO</v>
      </c>
    </row>
    <row r="54" spans="1:22" hidden="1" x14ac:dyDescent="0.25">
      <c r="A54">
        <v>281885</v>
      </c>
      <c r="B54" s="12">
        <v>45861</v>
      </c>
      <c r="C54" t="s">
        <v>120</v>
      </c>
      <c r="D54" t="s">
        <v>78</v>
      </c>
      <c r="E54">
        <v>134</v>
      </c>
      <c r="F54" t="s">
        <v>121</v>
      </c>
      <c r="G54" s="13">
        <v>696200</v>
      </c>
      <c r="H54" s="13">
        <v>132280</v>
      </c>
      <c r="I54" s="13">
        <v>47500</v>
      </c>
      <c r="J54" s="13">
        <v>0</v>
      </c>
      <c r="K54" s="13">
        <v>0</v>
      </c>
      <c r="L54" s="13">
        <v>0</v>
      </c>
      <c r="M54" s="13">
        <v>45000</v>
      </c>
      <c r="N54" s="13">
        <v>8550</v>
      </c>
      <c r="O54" s="13">
        <f t="shared" si="3"/>
        <v>929530</v>
      </c>
      <c r="P54" s="12">
        <v>45868.452083333301</v>
      </c>
      <c r="Q54" s="12">
        <v>45874.377083333296</v>
      </c>
      <c r="U54" s="27" t="str">
        <f>VLOOKUP(F54,ESTADOS!F:R,13,0)</f>
        <v>X CONSULTAR</v>
      </c>
      <c r="V54" s="51" t="str">
        <f>IF(ISERROR(VLOOKUP(F435,PAGOS!F:F,1,0)),"PENDIENTE DE PAGO", "FACTURA PAGA")</f>
        <v>PENDIENTE DE PAGO</v>
      </c>
    </row>
    <row r="55" spans="1:22" hidden="1" x14ac:dyDescent="0.25">
      <c r="A55">
        <v>281886</v>
      </c>
      <c r="B55" s="12">
        <v>45861</v>
      </c>
      <c r="C55" t="s">
        <v>122</v>
      </c>
      <c r="D55" t="s">
        <v>78</v>
      </c>
      <c r="E55">
        <v>134</v>
      </c>
      <c r="F55" t="s">
        <v>123</v>
      </c>
      <c r="G55" s="13">
        <v>696200</v>
      </c>
      <c r="H55" s="13">
        <v>132280</v>
      </c>
      <c r="I55" s="13">
        <v>47500</v>
      </c>
      <c r="J55" s="13">
        <v>0</v>
      </c>
      <c r="K55" s="13">
        <v>0</v>
      </c>
      <c r="L55" s="13">
        <v>0</v>
      </c>
      <c r="M55" s="13">
        <v>45000</v>
      </c>
      <c r="N55" s="13">
        <v>8550</v>
      </c>
      <c r="O55" s="13">
        <f t="shared" si="3"/>
        <v>929530</v>
      </c>
      <c r="P55" s="12">
        <v>45868.452083333301</v>
      </c>
      <c r="Q55" s="12">
        <v>45874.377083333296</v>
      </c>
      <c r="U55" s="27" t="str">
        <f>VLOOKUP(F55,ESTADOS!F:R,13,0)</f>
        <v>X CONSULTAR</v>
      </c>
      <c r="V55" s="51" t="str">
        <f>IF(ISERROR(VLOOKUP(F436,PAGOS!F:F,1,0)),"PENDIENTE DE PAGO", "FACTURA PAGA")</f>
        <v>PENDIENTE DE PAGO</v>
      </c>
    </row>
    <row r="56" spans="1:22" hidden="1" x14ac:dyDescent="0.25">
      <c r="A56">
        <v>281888</v>
      </c>
      <c r="B56" s="12">
        <v>45861</v>
      </c>
      <c r="C56" t="s">
        <v>124</v>
      </c>
      <c r="D56" t="s">
        <v>78</v>
      </c>
      <c r="E56">
        <v>134</v>
      </c>
      <c r="F56" t="s">
        <v>125</v>
      </c>
      <c r="G56" s="13">
        <v>696200</v>
      </c>
      <c r="H56" s="13">
        <v>132280</v>
      </c>
      <c r="I56" s="13">
        <v>47500</v>
      </c>
      <c r="J56" s="13">
        <v>0</v>
      </c>
      <c r="K56" s="13">
        <v>0</v>
      </c>
      <c r="L56" s="13">
        <v>0</v>
      </c>
      <c r="M56" s="13">
        <v>45000</v>
      </c>
      <c r="N56" s="13">
        <v>8550</v>
      </c>
      <c r="O56" s="13">
        <f t="shared" si="3"/>
        <v>929530</v>
      </c>
      <c r="P56" s="12">
        <v>45868.452083333301</v>
      </c>
      <c r="Q56" s="12">
        <v>45874.377083333296</v>
      </c>
      <c r="U56" s="27" t="str">
        <f>VLOOKUP(F56,ESTADOS!F:R,13,0)</f>
        <v>X CONSULTAR</v>
      </c>
      <c r="V56" s="51" t="str">
        <f>IF(ISERROR(VLOOKUP(F437,PAGOS!F:F,1,0)),"PENDIENTE DE PAGO", "FACTURA PAGA")</f>
        <v>PENDIENTE DE PAGO</v>
      </c>
    </row>
    <row r="57" spans="1:22" hidden="1" x14ac:dyDescent="0.25">
      <c r="A57">
        <v>281889</v>
      </c>
      <c r="B57" s="12">
        <v>45861</v>
      </c>
      <c r="C57" t="s">
        <v>126</v>
      </c>
      <c r="D57" t="s">
        <v>78</v>
      </c>
      <c r="E57">
        <v>134</v>
      </c>
      <c r="F57" t="s">
        <v>127</v>
      </c>
      <c r="G57" s="13">
        <v>696200</v>
      </c>
      <c r="H57" s="13">
        <v>132280</v>
      </c>
      <c r="I57" s="13">
        <v>47500</v>
      </c>
      <c r="J57" s="13">
        <v>0</v>
      </c>
      <c r="K57" s="13">
        <v>0</v>
      </c>
      <c r="L57" s="13">
        <v>0</v>
      </c>
      <c r="M57" s="13">
        <v>45000</v>
      </c>
      <c r="N57" s="13">
        <v>8550</v>
      </c>
      <c r="O57" s="13">
        <f t="shared" si="3"/>
        <v>929530</v>
      </c>
      <c r="P57" s="12">
        <v>45868.452083333301</v>
      </c>
      <c r="Q57" s="12">
        <v>45874.377083333296</v>
      </c>
      <c r="U57" s="27" t="str">
        <f>VLOOKUP(F57,ESTADOS!F:R,13,0)</f>
        <v>X CONSULTAR</v>
      </c>
      <c r="V57" s="51" t="str">
        <f>IF(ISERROR(VLOOKUP(F438,PAGOS!F:F,1,0)),"PENDIENTE DE PAGO", "FACTURA PAGA")</f>
        <v>PENDIENTE DE PAGO</v>
      </c>
    </row>
    <row r="58" spans="1:22" hidden="1" x14ac:dyDescent="0.25">
      <c r="A58">
        <v>281891</v>
      </c>
      <c r="B58" s="12">
        <v>45861</v>
      </c>
      <c r="C58" t="s">
        <v>128</v>
      </c>
      <c r="D58" t="s">
        <v>78</v>
      </c>
      <c r="E58">
        <v>134</v>
      </c>
      <c r="F58" t="s">
        <v>129</v>
      </c>
      <c r="G58" s="13">
        <v>696200</v>
      </c>
      <c r="H58" s="13">
        <v>132280</v>
      </c>
      <c r="I58" s="13">
        <v>47500</v>
      </c>
      <c r="J58" s="13">
        <v>0</v>
      </c>
      <c r="K58" s="13">
        <v>0</v>
      </c>
      <c r="L58" s="13">
        <v>0</v>
      </c>
      <c r="M58" s="13">
        <v>45000</v>
      </c>
      <c r="N58" s="13">
        <v>8550</v>
      </c>
      <c r="O58" s="13">
        <f t="shared" si="3"/>
        <v>929530</v>
      </c>
      <c r="P58" s="12">
        <v>45868.452083333301</v>
      </c>
      <c r="Q58" s="12">
        <v>45874.377083333296</v>
      </c>
      <c r="U58" s="27" t="str">
        <f>VLOOKUP(F58,ESTADOS!F:R,13,0)</f>
        <v>X CONSULTAR</v>
      </c>
      <c r="V58" s="51" t="str">
        <f>IF(ISERROR(VLOOKUP(F439,PAGOS!F:F,1,0)),"PENDIENTE DE PAGO", "FACTURA PAGA")</f>
        <v>PENDIENTE DE PAGO</v>
      </c>
    </row>
    <row r="59" spans="1:22" hidden="1" x14ac:dyDescent="0.25">
      <c r="A59">
        <v>281894</v>
      </c>
      <c r="B59" s="12">
        <v>45861</v>
      </c>
      <c r="C59" t="s">
        <v>130</v>
      </c>
      <c r="D59" t="s">
        <v>78</v>
      </c>
      <c r="E59">
        <v>134</v>
      </c>
      <c r="F59" t="s">
        <v>131</v>
      </c>
      <c r="G59" s="13">
        <v>696200</v>
      </c>
      <c r="H59" s="13">
        <v>132280</v>
      </c>
      <c r="I59" s="13">
        <v>47500</v>
      </c>
      <c r="J59" s="13">
        <v>0</v>
      </c>
      <c r="K59" s="13">
        <v>0</v>
      </c>
      <c r="L59" s="13">
        <v>0</v>
      </c>
      <c r="M59" s="13">
        <v>45000</v>
      </c>
      <c r="N59" s="13">
        <v>8550</v>
      </c>
      <c r="O59" s="13">
        <f t="shared" si="3"/>
        <v>929530</v>
      </c>
      <c r="P59" s="12">
        <v>45868.452083333301</v>
      </c>
      <c r="Q59" s="12">
        <v>45874.377083333296</v>
      </c>
      <c r="U59" s="27" t="str">
        <f>VLOOKUP(F59,ESTADOS!F:R,13,0)</f>
        <v>X CONSULTAR</v>
      </c>
      <c r="V59" s="51" t="str">
        <f>IF(ISERROR(VLOOKUP(F440,PAGOS!F:F,1,0)),"PENDIENTE DE PAGO", "FACTURA PAGA")</f>
        <v>PENDIENTE DE PAGO</v>
      </c>
    </row>
    <row r="60" spans="1:22" hidden="1" x14ac:dyDescent="0.25">
      <c r="A60">
        <v>281896</v>
      </c>
      <c r="B60" s="12">
        <v>45861</v>
      </c>
      <c r="C60" t="s">
        <v>132</v>
      </c>
      <c r="D60" t="s">
        <v>78</v>
      </c>
      <c r="E60">
        <v>134</v>
      </c>
      <c r="F60" t="s">
        <v>133</v>
      </c>
      <c r="G60" s="13">
        <v>696200</v>
      </c>
      <c r="H60" s="13">
        <v>132280</v>
      </c>
      <c r="I60" s="13">
        <v>47500</v>
      </c>
      <c r="J60" s="13">
        <v>0</v>
      </c>
      <c r="K60" s="13">
        <v>0</v>
      </c>
      <c r="L60" s="13">
        <v>0</v>
      </c>
      <c r="M60" s="13">
        <v>45000</v>
      </c>
      <c r="N60" s="13">
        <v>8550</v>
      </c>
      <c r="O60" s="13">
        <f t="shared" si="3"/>
        <v>929530</v>
      </c>
      <c r="P60" s="12">
        <v>45868.452083333301</v>
      </c>
      <c r="Q60" s="12">
        <v>45874.377083333296</v>
      </c>
      <c r="U60" s="27" t="str">
        <f>VLOOKUP(F60,ESTADOS!F:R,13,0)</f>
        <v>X CONSULTAR</v>
      </c>
      <c r="V60" s="51" t="str">
        <f>IF(ISERROR(VLOOKUP(F441,PAGOS!F:F,1,0)),"PENDIENTE DE PAGO", "FACTURA PAGA")</f>
        <v>PENDIENTE DE PAGO</v>
      </c>
    </row>
    <row r="61" spans="1:22" hidden="1" x14ac:dyDescent="0.25">
      <c r="A61">
        <v>282314</v>
      </c>
      <c r="B61" s="12">
        <v>45862</v>
      </c>
      <c r="C61" t="s">
        <v>134</v>
      </c>
      <c r="D61" t="s">
        <v>135</v>
      </c>
      <c r="E61">
        <v>134</v>
      </c>
      <c r="F61" t="s">
        <v>136</v>
      </c>
      <c r="G61" s="13">
        <v>750900</v>
      </c>
      <c r="H61" s="13">
        <v>142670</v>
      </c>
      <c r="I61" s="13">
        <v>46600</v>
      </c>
      <c r="J61" s="13">
        <v>0</v>
      </c>
      <c r="K61" s="13">
        <v>0</v>
      </c>
      <c r="L61" s="13">
        <v>0</v>
      </c>
      <c r="M61" s="13">
        <v>45000</v>
      </c>
      <c r="N61" s="13">
        <v>8550</v>
      </c>
      <c r="O61" s="13">
        <f t="shared" si="3"/>
        <v>993720</v>
      </c>
      <c r="P61" s="12">
        <v>45862.413194444402</v>
      </c>
      <c r="Q61" s="12">
        <v>45866.377083333296</v>
      </c>
      <c r="U61" s="27" t="str">
        <f>VLOOKUP(F61,ESTADOS!F:R,13,0)</f>
        <v>VOLADO</v>
      </c>
      <c r="V61" s="51" t="str">
        <f>IF(ISERROR(VLOOKUP(F442,PAGOS!F:F,1,0)),"PENDIENTE DE PAGO", "FACTURA PAGA")</f>
        <v>PENDIENTE DE PAGO</v>
      </c>
    </row>
    <row r="62" spans="1:22" hidden="1" x14ac:dyDescent="0.25">
      <c r="A62">
        <v>282727</v>
      </c>
      <c r="B62" s="12">
        <v>45863</v>
      </c>
      <c r="C62" t="s">
        <v>137</v>
      </c>
      <c r="D62" t="s">
        <v>138</v>
      </c>
      <c r="E62">
        <v>19</v>
      </c>
      <c r="F62" t="s">
        <v>139</v>
      </c>
      <c r="G62" s="13">
        <v>530000</v>
      </c>
      <c r="H62" s="13">
        <v>0</v>
      </c>
      <c r="I62" s="13">
        <v>36400</v>
      </c>
      <c r="J62" s="13">
        <v>0</v>
      </c>
      <c r="K62" s="13">
        <v>0</v>
      </c>
      <c r="L62" s="13">
        <v>0</v>
      </c>
      <c r="M62" s="13">
        <v>79600</v>
      </c>
      <c r="N62" s="13">
        <v>15124</v>
      </c>
      <c r="O62" s="13">
        <f t="shared" si="3"/>
        <v>661124</v>
      </c>
      <c r="P62" s="12">
        <v>45868.375</v>
      </c>
      <c r="Q62" s="12">
        <v>45873.416666666701</v>
      </c>
      <c r="U62" s="27" t="str">
        <f>VLOOKUP(F62,ESTADOS!F:R,13,0)</f>
        <v>X CONSULTAR</v>
      </c>
      <c r="V62" s="51" t="str">
        <f>IF(ISERROR(VLOOKUP(F443,PAGOS!F:F,1,0)),"PENDIENTE DE PAGO", "FACTURA PAGA")</f>
        <v>PENDIENTE DE PAGO</v>
      </c>
    </row>
    <row r="63" spans="1:22" hidden="1" x14ac:dyDescent="0.25">
      <c r="A63">
        <v>282825</v>
      </c>
      <c r="B63" s="12">
        <v>45863</v>
      </c>
      <c r="C63" t="s">
        <v>140</v>
      </c>
      <c r="D63" t="s">
        <v>141</v>
      </c>
      <c r="E63">
        <v>134</v>
      </c>
      <c r="F63" t="s">
        <v>142</v>
      </c>
      <c r="G63" s="13">
        <v>1276300</v>
      </c>
      <c r="H63" s="13">
        <v>242500</v>
      </c>
      <c r="I63" s="13">
        <v>70600</v>
      </c>
      <c r="J63" s="13">
        <v>0</v>
      </c>
      <c r="K63" s="13">
        <v>0</v>
      </c>
      <c r="L63" s="13">
        <v>0</v>
      </c>
      <c r="M63" s="13">
        <v>45000</v>
      </c>
      <c r="N63" s="13">
        <v>8550</v>
      </c>
      <c r="O63" s="13">
        <f t="shared" si="3"/>
        <v>1642950</v>
      </c>
      <c r="P63" s="12">
        <v>45868.452083333301</v>
      </c>
      <c r="Q63" s="12">
        <v>45870.377083333296</v>
      </c>
      <c r="U63" s="27" t="str">
        <f>VLOOKUP(F63,ESTADOS!F:R,13,0)</f>
        <v>X CONSULTAR</v>
      </c>
      <c r="V63" s="51" t="str">
        <f>IF(ISERROR(VLOOKUP(F444,PAGOS!F:F,1,0)),"PENDIENTE DE PAGO", "FACTURA PAGA")</f>
        <v>PENDIENTE DE PAGO</v>
      </c>
    </row>
    <row r="64" spans="1:22" hidden="1" x14ac:dyDescent="0.25">
      <c r="A64">
        <v>282827</v>
      </c>
      <c r="B64" s="12">
        <v>45863</v>
      </c>
      <c r="C64" t="s">
        <v>143</v>
      </c>
      <c r="D64" t="s">
        <v>144</v>
      </c>
      <c r="E64">
        <v>134</v>
      </c>
      <c r="F64" t="s">
        <v>145</v>
      </c>
      <c r="G64" s="13">
        <v>554600</v>
      </c>
      <c r="H64" s="13">
        <v>105370</v>
      </c>
      <c r="I64" s="13">
        <v>45500</v>
      </c>
      <c r="J64" s="13">
        <v>0</v>
      </c>
      <c r="K64" s="13">
        <v>0</v>
      </c>
      <c r="L64" s="13">
        <v>0</v>
      </c>
      <c r="M64" s="13">
        <v>45000</v>
      </c>
      <c r="N64" s="13">
        <v>8550</v>
      </c>
      <c r="O64" s="13">
        <f t="shared" si="3"/>
        <v>759020</v>
      </c>
      <c r="P64" s="12">
        <v>45864.762499999997</v>
      </c>
      <c r="Q64" s="12">
        <v>45866.377083333296</v>
      </c>
      <c r="U64" s="27" t="str">
        <f>VLOOKUP(F64,ESTADOS!F:R,13,0)</f>
        <v>VOLADO</v>
      </c>
      <c r="V64" s="51" t="str">
        <f>IF(ISERROR(VLOOKUP(F445,PAGOS!F:F,1,0)),"PENDIENTE DE PAGO", "FACTURA PAGA")</f>
        <v>PENDIENTE DE PAGO</v>
      </c>
    </row>
    <row r="65" spans="1:22" hidden="1" x14ac:dyDescent="0.25">
      <c r="A65">
        <v>282898</v>
      </c>
      <c r="B65" s="12">
        <v>45863</v>
      </c>
      <c r="C65" t="s">
        <v>146</v>
      </c>
      <c r="D65" t="s">
        <v>138</v>
      </c>
      <c r="E65">
        <v>19</v>
      </c>
      <c r="F65" t="s">
        <v>147</v>
      </c>
      <c r="G65" s="13">
        <v>530000</v>
      </c>
      <c r="H65" s="13">
        <v>0</v>
      </c>
      <c r="I65" s="13">
        <v>36400</v>
      </c>
      <c r="J65" s="13">
        <v>0</v>
      </c>
      <c r="K65" s="13">
        <v>0</v>
      </c>
      <c r="L65" s="13">
        <v>0</v>
      </c>
      <c r="M65" s="13">
        <v>79600</v>
      </c>
      <c r="N65" s="13">
        <v>15124</v>
      </c>
      <c r="O65" s="13">
        <f t="shared" si="3"/>
        <v>661124</v>
      </c>
      <c r="P65" s="12">
        <v>45868.375</v>
      </c>
      <c r="Q65" s="12">
        <v>45873.416666666701</v>
      </c>
      <c r="U65" s="27" t="str">
        <f>VLOOKUP(F65,ESTADOS!F:R,13,0)</f>
        <v>X CONSULTAR</v>
      </c>
      <c r="V65" s="51" t="str">
        <f>IF(ISERROR(VLOOKUP(F446,PAGOS!F:F,1,0)),"PENDIENTE DE PAGO", "FACTURA PAGA")</f>
        <v>PENDIENTE DE PAGO</v>
      </c>
    </row>
    <row r="66" spans="1:22" hidden="1" x14ac:dyDescent="0.25">
      <c r="A66">
        <v>282899</v>
      </c>
      <c r="B66" s="12">
        <v>45863</v>
      </c>
      <c r="C66" t="s">
        <v>148</v>
      </c>
      <c r="D66" t="s">
        <v>138</v>
      </c>
      <c r="E66">
        <v>19</v>
      </c>
      <c r="F66" t="s">
        <v>149</v>
      </c>
      <c r="G66" s="13">
        <v>530000</v>
      </c>
      <c r="H66" s="13">
        <v>0</v>
      </c>
      <c r="I66" s="13">
        <v>36400</v>
      </c>
      <c r="J66" s="13">
        <v>0</v>
      </c>
      <c r="K66" s="13">
        <v>0</v>
      </c>
      <c r="L66" s="13">
        <v>0</v>
      </c>
      <c r="M66" s="13">
        <v>79600</v>
      </c>
      <c r="N66" s="13">
        <v>15124</v>
      </c>
      <c r="O66" s="13">
        <f t="shared" si="3"/>
        <v>661124</v>
      </c>
      <c r="P66" s="12">
        <v>45868.375</v>
      </c>
      <c r="Q66" s="12">
        <v>45873.416666666701</v>
      </c>
      <c r="U66" s="27" t="str">
        <f>VLOOKUP(F66,ESTADOS!F:R,13,0)</f>
        <v>X CONSULTAR</v>
      </c>
      <c r="V66" s="51" t="str">
        <f>IF(ISERROR(VLOOKUP(F447,PAGOS!F:F,1,0)),"PENDIENTE DE PAGO", "FACTURA PAGA")</f>
        <v>PENDIENTE DE PAGO</v>
      </c>
    </row>
    <row r="67" spans="1:22" hidden="1" x14ac:dyDescent="0.25">
      <c r="A67">
        <v>282900</v>
      </c>
      <c r="B67" s="12">
        <v>45863</v>
      </c>
      <c r="C67" t="s">
        <v>150</v>
      </c>
      <c r="D67" t="s">
        <v>138</v>
      </c>
      <c r="E67">
        <v>19</v>
      </c>
      <c r="F67" t="s">
        <v>151</v>
      </c>
      <c r="G67" s="13">
        <v>530000</v>
      </c>
      <c r="H67" s="13">
        <v>0</v>
      </c>
      <c r="I67" s="13">
        <v>36400</v>
      </c>
      <c r="J67" s="13">
        <v>0</v>
      </c>
      <c r="K67" s="13">
        <v>0</v>
      </c>
      <c r="L67" s="13">
        <v>0</v>
      </c>
      <c r="M67" s="13">
        <v>79600</v>
      </c>
      <c r="N67" s="13">
        <v>15124</v>
      </c>
      <c r="O67" s="13">
        <f t="shared" si="3"/>
        <v>661124</v>
      </c>
      <c r="P67" s="12">
        <v>45868.375</v>
      </c>
      <c r="Q67" s="12">
        <v>45873.416666666701</v>
      </c>
      <c r="U67" s="27" t="str">
        <f>VLOOKUP(F67,ESTADOS!F:R,13,0)</f>
        <v>X CONSULTAR</v>
      </c>
      <c r="V67" s="51" t="str">
        <f>IF(ISERROR(VLOOKUP(F448,PAGOS!F:F,1,0)),"PENDIENTE DE PAGO", "FACTURA PAGA")</f>
        <v>PENDIENTE DE PAGO</v>
      </c>
    </row>
    <row r="68" spans="1:22" hidden="1" x14ac:dyDescent="0.25">
      <c r="A68">
        <v>282902</v>
      </c>
      <c r="B68" s="12">
        <v>45863</v>
      </c>
      <c r="C68" t="s">
        <v>152</v>
      </c>
      <c r="D68" t="s">
        <v>153</v>
      </c>
      <c r="E68">
        <v>19</v>
      </c>
      <c r="F68" t="s">
        <v>154</v>
      </c>
      <c r="G68" s="13">
        <v>265000</v>
      </c>
      <c r="H68" s="13">
        <v>0</v>
      </c>
      <c r="I68" s="13">
        <v>24000</v>
      </c>
      <c r="J68" s="13">
        <v>0</v>
      </c>
      <c r="K68" s="13">
        <v>0</v>
      </c>
      <c r="L68" s="13">
        <v>0</v>
      </c>
      <c r="M68" s="13">
        <v>43800</v>
      </c>
      <c r="N68" s="13">
        <v>8322</v>
      </c>
      <c r="O68" s="13">
        <f t="shared" si="3"/>
        <v>341122</v>
      </c>
      <c r="P68" s="12">
        <v>45870.375</v>
      </c>
      <c r="Q68" s="12">
        <v>45870.375</v>
      </c>
      <c r="U68" s="27" t="str">
        <f>VLOOKUP(F68,ESTADOS!F:R,13,0)</f>
        <v>X CONSULTAR</v>
      </c>
      <c r="V68" s="51" t="str">
        <f>IF(ISERROR(VLOOKUP(F449,PAGOS!F:F,1,0)),"PENDIENTE DE PAGO", "FACTURA PAGA")</f>
        <v>PENDIENTE DE PAGO</v>
      </c>
    </row>
    <row r="69" spans="1:22" hidden="1" x14ac:dyDescent="0.25">
      <c r="A69">
        <v>282904</v>
      </c>
      <c r="B69" s="12">
        <v>45863</v>
      </c>
      <c r="C69" t="s">
        <v>155</v>
      </c>
      <c r="D69" t="s">
        <v>153</v>
      </c>
      <c r="E69">
        <v>19</v>
      </c>
      <c r="F69" t="s">
        <v>156</v>
      </c>
      <c r="G69" s="13">
        <v>265000</v>
      </c>
      <c r="H69" s="13">
        <v>0</v>
      </c>
      <c r="I69" s="13">
        <v>24000</v>
      </c>
      <c r="J69" s="13">
        <v>0</v>
      </c>
      <c r="K69" s="13">
        <v>0</v>
      </c>
      <c r="L69" s="13">
        <v>0</v>
      </c>
      <c r="M69" s="13">
        <v>43800</v>
      </c>
      <c r="N69" s="13">
        <v>8322</v>
      </c>
      <c r="O69" s="13">
        <f t="shared" si="3"/>
        <v>341122</v>
      </c>
      <c r="P69" s="12">
        <v>45870.375</v>
      </c>
      <c r="Q69" s="12">
        <v>45870.375</v>
      </c>
      <c r="U69" s="27" t="str">
        <f>VLOOKUP(F69,ESTADOS!F:R,13,0)</f>
        <v>X CONSULTAR</v>
      </c>
      <c r="V69" s="51" t="str">
        <f>IF(ISERROR(VLOOKUP(F450,PAGOS!F:F,1,0)),"PENDIENTE DE PAGO", "FACTURA PAGA")</f>
        <v>PENDIENTE DE PAGO</v>
      </c>
    </row>
    <row r="70" spans="1:22" hidden="1" x14ac:dyDescent="0.25">
      <c r="A70">
        <v>282920</v>
      </c>
      <c r="B70" s="12">
        <v>45863</v>
      </c>
      <c r="C70" t="s">
        <v>152</v>
      </c>
      <c r="D70" t="s">
        <v>157</v>
      </c>
      <c r="E70">
        <v>246</v>
      </c>
      <c r="F70" t="s">
        <v>158</v>
      </c>
      <c r="G70" s="13">
        <v>350000</v>
      </c>
      <c r="H70" s="13">
        <v>0</v>
      </c>
      <c r="I70" s="13">
        <v>12400</v>
      </c>
      <c r="J70" s="13">
        <v>0</v>
      </c>
      <c r="K70" s="13">
        <v>0</v>
      </c>
      <c r="L70" s="13">
        <v>0</v>
      </c>
      <c r="M70" s="13">
        <v>43800</v>
      </c>
      <c r="N70" s="13">
        <v>8322</v>
      </c>
      <c r="O70" s="13">
        <f t="shared" si="3"/>
        <v>414522</v>
      </c>
      <c r="P70" s="12">
        <v>45874.621527777803</v>
      </c>
      <c r="Q70" s="12">
        <v>45874.621527777803</v>
      </c>
      <c r="U70" s="27" t="str">
        <f>VLOOKUP(F70,ESTADOS!F:R,13,0)</f>
        <v>X CONSULTAR</v>
      </c>
      <c r="V70" s="51" t="str">
        <f>IF(ISERROR(VLOOKUP(F451,PAGOS!F:F,1,0)),"PENDIENTE DE PAGO", "FACTURA PAGA")</f>
        <v>PENDIENTE DE PAGO</v>
      </c>
    </row>
    <row r="71" spans="1:22" hidden="1" x14ac:dyDescent="0.25">
      <c r="A71">
        <v>282922</v>
      </c>
      <c r="B71" s="12">
        <v>45863</v>
      </c>
      <c r="C71" t="s">
        <v>155</v>
      </c>
      <c r="D71" t="s">
        <v>157</v>
      </c>
      <c r="E71">
        <v>246</v>
      </c>
      <c r="F71" t="s">
        <v>159</v>
      </c>
      <c r="G71" s="13">
        <v>350000</v>
      </c>
      <c r="H71" s="13">
        <v>0</v>
      </c>
      <c r="I71" s="13">
        <v>12400</v>
      </c>
      <c r="J71" s="13">
        <v>0</v>
      </c>
      <c r="K71" s="13">
        <v>0</v>
      </c>
      <c r="L71" s="13">
        <v>0</v>
      </c>
      <c r="M71" s="13">
        <v>43800</v>
      </c>
      <c r="N71" s="13">
        <v>8322</v>
      </c>
      <c r="O71" s="13">
        <f t="shared" si="3"/>
        <v>414522</v>
      </c>
      <c r="P71" s="12">
        <v>45874.621527777803</v>
      </c>
      <c r="Q71" s="12">
        <v>45874.621527777803</v>
      </c>
      <c r="U71" s="27" t="str">
        <f>VLOOKUP(F71,ESTADOS!F:R,13,0)</f>
        <v>X CONSULTAR</v>
      </c>
      <c r="V71" s="51" t="str">
        <f>IF(ISERROR(VLOOKUP(F452,PAGOS!F:F,1,0)),"PENDIENTE DE PAGO", "FACTURA PAGA")</f>
        <v>PENDIENTE DE PAGO</v>
      </c>
    </row>
    <row r="72" spans="1:22" hidden="1" x14ac:dyDescent="0.25">
      <c r="A72">
        <v>283176</v>
      </c>
      <c r="B72" s="12">
        <v>45866</v>
      </c>
      <c r="C72" t="s">
        <v>137</v>
      </c>
      <c r="D72" t="s">
        <v>138</v>
      </c>
      <c r="E72">
        <v>19</v>
      </c>
      <c r="F72" t="s">
        <v>160</v>
      </c>
      <c r="G72" s="13">
        <v>75000</v>
      </c>
      <c r="H72" s="13">
        <v>0</v>
      </c>
      <c r="I72" s="13">
        <v>0</v>
      </c>
      <c r="J72" s="13">
        <v>0</v>
      </c>
      <c r="K72" s="13">
        <v>0</v>
      </c>
      <c r="L72" s="13">
        <v>60000</v>
      </c>
      <c r="M72" s="13">
        <v>0</v>
      </c>
      <c r="N72" s="13">
        <v>0</v>
      </c>
      <c r="O72" s="13">
        <f t="shared" si="3"/>
        <v>135000</v>
      </c>
      <c r="P72" s="12">
        <v>45868.375</v>
      </c>
      <c r="Q72" s="12">
        <v>45870.416666666701</v>
      </c>
      <c r="U72" s="27" t="str">
        <f>VLOOKUP(F72,ESTADOS!F:R,13,0)</f>
        <v>X CONSULTAR</v>
      </c>
      <c r="V72" s="51" t="str">
        <f>IF(ISERROR(VLOOKUP(F453,PAGOS!F:F,1,0)),"PENDIENTE DE PAGO", "FACTURA PAGA")</f>
        <v>PENDIENTE DE PAGO</v>
      </c>
    </row>
    <row r="73" spans="1:22" hidden="1" x14ac:dyDescent="0.25">
      <c r="A73">
        <v>283178</v>
      </c>
      <c r="B73" s="12">
        <v>45866</v>
      </c>
      <c r="C73" t="s">
        <v>146</v>
      </c>
      <c r="D73" t="s">
        <v>138</v>
      </c>
      <c r="E73">
        <v>19</v>
      </c>
      <c r="F73" t="s">
        <v>161</v>
      </c>
      <c r="G73" s="13">
        <v>75000</v>
      </c>
      <c r="H73" s="13">
        <v>0</v>
      </c>
      <c r="I73" s="13">
        <v>0</v>
      </c>
      <c r="J73" s="13">
        <v>0</v>
      </c>
      <c r="K73" s="13">
        <v>0</v>
      </c>
      <c r="L73" s="13">
        <v>60000</v>
      </c>
      <c r="M73" s="13">
        <v>0</v>
      </c>
      <c r="N73" s="13">
        <v>0</v>
      </c>
      <c r="O73" s="13">
        <f t="shared" si="3"/>
        <v>135000</v>
      </c>
      <c r="P73" s="12">
        <v>45868.375</v>
      </c>
      <c r="Q73" s="12">
        <v>45870.416666666701</v>
      </c>
      <c r="U73" s="27" t="str">
        <f>VLOOKUP(F73,ESTADOS!F:R,13,0)</f>
        <v>X CONSULTAR</v>
      </c>
      <c r="V73" s="51" t="str">
        <f>IF(ISERROR(VLOOKUP(F454,PAGOS!F:F,1,0)),"PENDIENTE DE PAGO", "FACTURA PAGA")</f>
        <v>PENDIENTE DE PAGO</v>
      </c>
    </row>
    <row r="74" spans="1:22" hidden="1" x14ac:dyDescent="0.25">
      <c r="A74">
        <v>283179</v>
      </c>
      <c r="B74" s="12">
        <v>45866</v>
      </c>
      <c r="C74" t="s">
        <v>148</v>
      </c>
      <c r="D74" t="s">
        <v>138</v>
      </c>
      <c r="E74">
        <v>19</v>
      </c>
      <c r="F74" t="s">
        <v>162</v>
      </c>
      <c r="G74" s="13">
        <v>75000</v>
      </c>
      <c r="H74" s="13">
        <v>0</v>
      </c>
      <c r="I74" s="13">
        <v>0</v>
      </c>
      <c r="J74" s="13">
        <v>0</v>
      </c>
      <c r="K74" s="13">
        <v>0</v>
      </c>
      <c r="L74" s="13">
        <v>60000</v>
      </c>
      <c r="M74" s="13">
        <v>0</v>
      </c>
      <c r="N74" s="13">
        <v>0</v>
      </c>
      <c r="O74" s="13">
        <f t="shared" si="3"/>
        <v>135000</v>
      </c>
      <c r="P74" s="12">
        <v>45868.375</v>
      </c>
      <c r="Q74" s="12">
        <v>45870.416666666701</v>
      </c>
      <c r="U74" s="27" t="str">
        <f>VLOOKUP(F74,ESTADOS!F:R,13,0)</f>
        <v>X CONSULTAR</v>
      </c>
      <c r="V74" s="51" t="str">
        <f>IF(ISERROR(VLOOKUP(F455,PAGOS!F:F,1,0)),"PENDIENTE DE PAGO", "FACTURA PAGA")</f>
        <v>PENDIENTE DE PAGO</v>
      </c>
    </row>
    <row r="75" spans="1:22" ht="14.25" hidden="1" customHeight="1" x14ac:dyDescent="0.25">
      <c r="A75">
        <v>283182</v>
      </c>
      <c r="B75" s="12">
        <v>45866</v>
      </c>
      <c r="C75" t="s">
        <v>150</v>
      </c>
      <c r="D75" t="s">
        <v>138</v>
      </c>
      <c r="E75">
        <v>19</v>
      </c>
      <c r="F75" t="s">
        <v>163</v>
      </c>
      <c r="G75" s="13">
        <v>75000</v>
      </c>
      <c r="H75" s="13">
        <v>0</v>
      </c>
      <c r="I75" s="13">
        <v>0</v>
      </c>
      <c r="J75" s="13">
        <v>0</v>
      </c>
      <c r="K75" s="13">
        <v>0</v>
      </c>
      <c r="L75" s="13">
        <v>60000</v>
      </c>
      <c r="M75" s="13">
        <v>0</v>
      </c>
      <c r="N75" s="13">
        <v>0</v>
      </c>
      <c r="O75" s="13">
        <f t="shared" si="3"/>
        <v>135000</v>
      </c>
      <c r="P75" s="12">
        <v>45868.375</v>
      </c>
      <c r="Q75" s="12">
        <v>45870.416666666701</v>
      </c>
      <c r="U75" s="27" t="str">
        <f>VLOOKUP(F75,ESTADOS!F:R,13,0)</f>
        <v>X CONSULTAR</v>
      </c>
      <c r="V75" s="51" t="str">
        <f>IF(ISERROR(VLOOKUP(F456,PAGOS!F:F,1,0)),"PENDIENTE DE PAGO", "FACTURA PAGA")</f>
        <v>PENDIENTE DE PAGO</v>
      </c>
    </row>
    <row r="76" spans="1:22" hidden="1" x14ac:dyDescent="0.25">
      <c r="A76">
        <v>284107</v>
      </c>
      <c r="B76" s="12">
        <v>45867</v>
      </c>
      <c r="C76" t="s">
        <v>164</v>
      </c>
      <c r="D76" t="s">
        <v>165</v>
      </c>
      <c r="E76">
        <v>134</v>
      </c>
      <c r="F76" t="s">
        <v>166</v>
      </c>
      <c r="G76" s="13">
        <v>1123300</v>
      </c>
      <c r="H76" s="13">
        <v>213430</v>
      </c>
      <c r="I76" s="13">
        <v>47500</v>
      </c>
      <c r="J76" s="13">
        <v>0</v>
      </c>
      <c r="K76" s="13">
        <v>0</v>
      </c>
      <c r="L76" s="13">
        <v>0</v>
      </c>
      <c r="M76" s="13">
        <v>45000</v>
      </c>
      <c r="N76" s="13">
        <v>8550</v>
      </c>
      <c r="O76" s="13">
        <f>SUM(G76:N76)</f>
        <v>1437780</v>
      </c>
      <c r="P76" s="12">
        <v>45868.379166666702</v>
      </c>
      <c r="Q76" s="12">
        <v>45874.548611111102</v>
      </c>
    </row>
    <row r="77" spans="1:22" hidden="1" x14ac:dyDescent="0.25">
      <c r="K77" s="52"/>
    </row>
    <row r="78" spans="1:22" ht="15.75" hidden="1" thickBot="1" x14ac:dyDescent="0.3">
      <c r="A78" s="5"/>
      <c r="B78" s="6" t="s">
        <v>0</v>
      </c>
      <c r="C78" s="6"/>
      <c r="D78" s="6"/>
      <c r="E78" s="6"/>
      <c r="F78" s="6"/>
      <c r="G78" s="7">
        <f t="shared" ref="G78:N78" si="4">SUM(G31:G76)</f>
        <v>26061400</v>
      </c>
      <c r="H78" s="7">
        <f t="shared" si="4"/>
        <v>4258260</v>
      </c>
      <c r="I78" s="7">
        <f t="shared" si="4"/>
        <v>1805200</v>
      </c>
      <c r="J78" s="7">
        <f t="shared" si="4"/>
        <v>0</v>
      </c>
      <c r="K78" s="7">
        <f t="shared" si="4"/>
        <v>0</v>
      </c>
      <c r="L78" s="7">
        <f t="shared" si="4"/>
        <v>240000</v>
      </c>
      <c r="M78" s="7">
        <f t="shared" si="4"/>
        <v>2021200</v>
      </c>
      <c r="N78" s="7">
        <f t="shared" si="4"/>
        <v>384028</v>
      </c>
      <c r="O78" s="8" t="s">
        <v>1</v>
      </c>
      <c r="P78" s="7">
        <f>SUM(O31:O76)</f>
        <v>34770088</v>
      </c>
      <c r="Q78" s="7"/>
      <c r="R78" s="6"/>
      <c r="S78" s="6"/>
      <c r="T78" s="6"/>
      <c r="U78" s="6"/>
      <c r="V78" s="6"/>
    </row>
    <row r="79" spans="1:22" x14ac:dyDescent="0.25">
      <c r="G79" s="75">
        <f>+H12+N12</f>
        <v>416112</v>
      </c>
      <c r="J79" s="75"/>
      <c r="K79" s="52"/>
    </row>
    <row r="80" spans="1:22" x14ac:dyDescent="0.25">
      <c r="G80" s="75">
        <f>+G14+G79</f>
        <v>2741712</v>
      </c>
      <c r="J80" s="76"/>
      <c r="K80" s="52"/>
    </row>
    <row r="81" spans="1:18" x14ac:dyDescent="0.25">
      <c r="K81" s="52"/>
    </row>
    <row r="82" spans="1:18" x14ac:dyDescent="0.25">
      <c r="K82" s="52"/>
    </row>
    <row r="83" spans="1:18" ht="15.75" thickBot="1" x14ac:dyDescent="0.3">
      <c r="A83" s="14" t="s">
        <v>22</v>
      </c>
      <c r="B83" s="15"/>
      <c r="C83" s="16">
        <v>141384000</v>
      </c>
      <c r="K83" s="53"/>
    </row>
    <row r="84" spans="1:18" ht="15.75" thickTop="1" x14ac:dyDescent="0.25">
      <c r="A84" s="17" t="s">
        <v>23</v>
      </c>
      <c r="B84" s="18"/>
      <c r="C84" s="19">
        <f>SUM(P:P)</f>
        <v>70134083.22986111</v>
      </c>
      <c r="K84" s="54"/>
    </row>
    <row r="85" spans="1:18" ht="15.75" thickBot="1" x14ac:dyDescent="0.3">
      <c r="A85" s="14" t="s">
        <v>24</v>
      </c>
      <c r="B85" s="15"/>
      <c r="C85" s="16">
        <f>C83-C84</f>
        <v>71249916.77013889</v>
      </c>
      <c r="K85" s="54"/>
    </row>
    <row r="86" spans="1:18" ht="16.5" thickTop="1" thickBot="1" x14ac:dyDescent="0.3">
      <c r="A86" s="14" t="s">
        <v>25</v>
      </c>
      <c r="B86" s="15"/>
      <c r="C86" s="20">
        <f>C84/C83</f>
        <v>0.49605389032607022</v>
      </c>
      <c r="K86" s="54"/>
    </row>
    <row r="87" spans="1:18" ht="16.5" thickTop="1" thickBot="1" x14ac:dyDescent="0.3">
      <c r="A87" s="21" t="s">
        <v>26</v>
      </c>
      <c r="B87" s="22"/>
      <c r="C87" s="23"/>
      <c r="K87" s="54"/>
    </row>
    <row r="88" spans="1:18" ht="15.75" thickBot="1" x14ac:dyDescent="0.3">
      <c r="A88" s="24" t="s">
        <v>27</v>
      </c>
      <c r="B88" s="25"/>
      <c r="C88" s="26">
        <v>45726</v>
      </c>
      <c r="K88" s="54"/>
    </row>
    <row r="89" spans="1:18" ht="16.5" thickTop="1" thickBot="1" x14ac:dyDescent="0.3">
      <c r="A89" s="24" t="s">
        <v>28</v>
      </c>
      <c r="B89" s="25"/>
      <c r="C89" s="26">
        <v>46022</v>
      </c>
      <c r="K89" s="54"/>
    </row>
    <row r="90" spans="1:18" ht="15.75" thickTop="1" x14ac:dyDescent="0.25">
      <c r="K90" s="54"/>
    </row>
    <row r="91" spans="1:18" x14ac:dyDescent="0.25">
      <c r="K91" s="54"/>
    </row>
    <row r="92" spans="1:18" ht="15.75" thickBot="1" x14ac:dyDescent="0.3">
      <c r="K92" s="54"/>
    </row>
    <row r="93" spans="1:18" ht="45.75" thickBot="1" x14ac:dyDescent="0.3">
      <c r="E93" s="57"/>
      <c r="F93" s="58" t="s">
        <v>168</v>
      </c>
      <c r="G93" s="59" t="s">
        <v>169</v>
      </c>
      <c r="H93" s="60" t="s">
        <v>170</v>
      </c>
      <c r="I93" s="60" t="s">
        <v>171</v>
      </c>
      <c r="J93" s="59" t="s">
        <v>172</v>
      </c>
      <c r="K93" s="60" t="s">
        <v>173</v>
      </c>
      <c r="L93" s="60" t="s">
        <v>174</v>
      </c>
      <c r="M93" s="59" t="s">
        <v>175</v>
      </c>
      <c r="N93" s="59" t="s">
        <v>176</v>
      </c>
      <c r="O93" s="59" t="s">
        <v>177</v>
      </c>
      <c r="P93" s="61" t="s">
        <v>178</v>
      </c>
      <c r="Q93" s="62" t="s">
        <v>9</v>
      </c>
      <c r="R93" s="62" t="s">
        <v>179</v>
      </c>
    </row>
    <row r="94" spans="1:18" ht="33.75" x14ac:dyDescent="0.25">
      <c r="E94" s="63" t="s">
        <v>183</v>
      </c>
      <c r="F94" s="67" t="s">
        <v>180</v>
      </c>
      <c r="G94" s="68" t="s">
        <v>181</v>
      </c>
      <c r="H94" s="69" t="s">
        <v>184</v>
      </c>
      <c r="I94" s="70" t="s">
        <v>182</v>
      </c>
      <c r="J94" s="71">
        <v>16000000</v>
      </c>
      <c r="K94" s="66">
        <v>2741712</v>
      </c>
      <c r="L94" s="64">
        <f t="shared" ref="L94" si="5">+(K94-(M94+N94))*0.005</f>
        <v>11628</v>
      </c>
      <c r="M94" s="66">
        <v>416112</v>
      </c>
      <c r="N94" s="66"/>
      <c r="O94" s="64">
        <f t="shared" ref="O94" si="6">+K94-(L94+M94+N94)</f>
        <v>2313972</v>
      </c>
      <c r="P94" s="65">
        <f t="shared" ref="P94" si="7">+J94-K94</f>
        <v>13258288</v>
      </c>
      <c r="Q94" s="66">
        <f t="shared" ref="Q94" si="8">N94+M94</f>
        <v>416112</v>
      </c>
      <c r="R94" s="66">
        <f t="shared" ref="R94" si="9">O94+L94</f>
        <v>2325600</v>
      </c>
    </row>
    <row r="95" spans="1:18" x14ac:dyDescent="0.25">
      <c r="E95" s="72"/>
      <c r="F95" s="67" t="s">
        <v>185</v>
      </c>
      <c r="G95" s="67"/>
      <c r="H95" s="69"/>
      <c r="I95" s="70"/>
      <c r="J95" s="73">
        <f t="shared" ref="J95:P95" si="10">SUM(J94:J94)</f>
        <v>16000000</v>
      </c>
      <c r="K95" s="73">
        <f t="shared" si="10"/>
        <v>2741712</v>
      </c>
      <c r="L95" s="73">
        <f t="shared" si="10"/>
        <v>11628</v>
      </c>
      <c r="M95" s="73">
        <f t="shared" si="10"/>
        <v>416112</v>
      </c>
      <c r="N95" s="73">
        <f t="shared" si="10"/>
        <v>0</v>
      </c>
      <c r="O95" s="73">
        <f t="shared" si="10"/>
        <v>2313972</v>
      </c>
      <c r="P95" s="73">
        <f t="shared" si="10"/>
        <v>13258288</v>
      </c>
      <c r="Q95" s="74"/>
      <c r="R95" s="74"/>
    </row>
    <row r="96" spans="1:18" x14ac:dyDescent="0.25">
      <c r="K96" s="53"/>
    </row>
    <row r="97" spans="11:11" x14ac:dyDescent="0.25">
      <c r="K97" s="55"/>
    </row>
    <row r="98" spans="11:11" x14ac:dyDescent="0.25">
      <c r="K98" s="52"/>
    </row>
    <row r="99" spans="11:11" x14ac:dyDescent="0.25">
      <c r="K99" s="53"/>
    </row>
    <row r="100" spans="11:11" x14ac:dyDescent="0.25">
      <c r="K100" s="54"/>
    </row>
    <row r="101" spans="11:11" x14ac:dyDescent="0.25">
      <c r="K101" s="54"/>
    </row>
    <row r="102" spans="11:11" x14ac:dyDescent="0.25">
      <c r="K102" s="54"/>
    </row>
  </sheetData>
  <autoFilter ref="A4:W4" xr:uid="{00000000-0001-0000-0000-000000000000}"/>
  <mergeCells count="1">
    <mergeCell ref="A3:C3"/>
  </mergeCells>
  <conditionalFormatting sqref="A1">
    <cfRule type="duplicateValues" dxfId="43" priority="77"/>
    <cfRule type="duplicateValues" dxfId="42" priority="78"/>
  </conditionalFormatting>
  <conditionalFormatting sqref="A12">
    <cfRule type="duplicateValues" dxfId="41" priority="3"/>
    <cfRule type="duplicateValues" dxfId="40" priority="4"/>
  </conditionalFormatting>
  <conditionalFormatting sqref="A28">
    <cfRule type="duplicateValues" dxfId="39" priority="13"/>
    <cfRule type="duplicateValues" dxfId="38" priority="14"/>
  </conditionalFormatting>
  <conditionalFormatting sqref="A30">
    <cfRule type="duplicateValues" dxfId="37" priority="11"/>
    <cfRule type="duplicateValues" dxfId="36" priority="12"/>
  </conditionalFormatting>
  <conditionalFormatting sqref="A31:A76 A4:A11 A13:A26">
    <cfRule type="duplicateValues" dxfId="35" priority="79"/>
    <cfRule type="duplicateValues" dxfId="34" priority="80"/>
  </conditionalFormatting>
  <conditionalFormatting sqref="A78">
    <cfRule type="duplicateValues" dxfId="33" priority="7"/>
    <cfRule type="duplicateValues" dxfId="32" priority="8"/>
  </conditionalFormatting>
  <conditionalFormatting sqref="F12">
    <cfRule type="duplicateValues" dxfId="31" priority="5"/>
  </conditionalFormatting>
  <conditionalFormatting sqref="F15">
    <cfRule type="duplicateValues" dxfId="30" priority="1"/>
    <cfRule type="duplicateValues" dxfId="29" priority="2"/>
  </conditionalFormatting>
  <conditionalFormatting sqref="F16:F1048576 F1:F10 F12">
    <cfRule type="duplicateValues" dxfId="28" priority="6"/>
  </conditionalFormatting>
  <conditionalFormatting sqref="F28">
    <cfRule type="duplicateValues" dxfId="27" priority="15"/>
  </conditionalFormatting>
  <conditionalFormatting sqref="F30">
    <cfRule type="duplicateValues" dxfId="26" priority="10"/>
  </conditionalFormatting>
  <conditionalFormatting sqref="F31:F76 F4:F10 F16:F26">
    <cfRule type="duplicateValues" dxfId="25" priority="83"/>
  </conditionalFormatting>
  <conditionalFormatting sqref="F78">
    <cfRule type="duplicateValues" dxfId="24" priority="9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3"/>
  <sheetViews>
    <sheetView topLeftCell="A13" workbookViewId="0">
      <selection activeCell="F24" sqref="F24"/>
    </sheetView>
  </sheetViews>
  <sheetFormatPr baseColWidth="10" defaultRowHeight="15" x14ac:dyDescent="0.25"/>
  <cols>
    <col min="1" max="1" width="13.7109375" bestFit="1" customWidth="1"/>
    <col min="2" max="2" width="11" bestFit="1" customWidth="1"/>
    <col min="3" max="3" width="32.5703125" bestFit="1" customWidth="1"/>
    <col min="4" max="4" width="38.85546875" bestFit="1" customWidth="1"/>
    <col min="5" max="5" width="9" bestFit="1" customWidth="1"/>
    <col min="6" max="6" width="12.28515625" bestFit="1" customWidth="1"/>
    <col min="7" max="7" width="13.140625" hidden="1" customWidth="1"/>
    <col min="8" max="14" width="11.42578125" hidden="1" customWidth="1"/>
    <col min="15" max="15" width="13.140625" hidden="1" customWidth="1"/>
    <col min="18" max="18" width="18.42578125" customWidth="1"/>
  </cols>
  <sheetData>
    <row r="1" spans="1:18" s="11" customFormat="1" ht="13.5" thickBot="1" x14ac:dyDescent="0.3">
      <c r="A1" s="9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13</v>
      </c>
      <c r="M1" s="9" t="s">
        <v>14</v>
      </c>
      <c r="N1" s="9" t="s">
        <v>15</v>
      </c>
      <c r="O1" s="9" t="s">
        <v>1</v>
      </c>
      <c r="P1" s="10" t="s">
        <v>17</v>
      </c>
      <c r="Q1" s="10" t="s">
        <v>18</v>
      </c>
      <c r="R1" s="10" t="s">
        <v>68</v>
      </c>
    </row>
    <row r="2" spans="1:18" x14ac:dyDescent="0.25">
      <c r="A2">
        <v>276699</v>
      </c>
      <c r="B2" s="12">
        <v>45848</v>
      </c>
      <c r="C2" t="s">
        <v>37</v>
      </c>
      <c r="D2" t="s">
        <v>38</v>
      </c>
      <c r="E2">
        <v>134</v>
      </c>
      <c r="F2" t="s">
        <v>39</v>
      </c>
      <c r="G2" s="13">
        <v>321200</v>
      </c>
      <c r="H2" s="13">
        <v>61030</v>
      </c>
      <c r="I2" s="13">
        <v>22600</v>
      </c>
      <c r="J2" s="13">
        <v>0</v>
      </c>
      <c r="K2" s="13">
        <v>0</v>
      </c>
      <c r="L2" s="13">
        <v>0</v>
      </c>
      <c r="M2" s="13">
        <v>43800</v>
      </c>
      <c r="N2" s="13">
        <v>8322</v>
      </c>
      <c r="O2" s="13">
        <f t="shared" ref="O2:O18" si="0">SUM(G2:N2)</f>
        <v>456952</v>
      </c>
      <c r="P2" s="12">
        <v>45848.662499999999</v>
      </c>
      <c r="Q2" s="12">
        <v>45848.662499999999</v>
      </c>
      <c r="R2" s="27" t="s">
        <v>70</v>
      </c>
    </row>
    <row r="3" spans="1:18" x14ac:dyDescent="0.25">
      <c r="A3">
        <v>276700</v>
      </c>
      <c r="B3" s="12">
        <v>45848</v>
      </c>
      <c r="C3" t="s">
        <v>40</v>
      </c>
      <c r="D3" t="s">
        <v>38</v>
      </c>
      <c r="E3">
        <v>134</v>
      </c>
      <c r="F3" t="s">
        <v>41</v>
      </c>
      <c r="G3" s="13">
        <v>321200</v>
      </c>
      <c r="H3" s="13">
        <v>61030</v>
      </c>
      <c r="I3" s="13">
        <v>22600</v>
      </c>
      <c r="J3" s="13">
        <v>0</v>
      </c>
      <c r="K3" s="13">
        <v>0</v>
      </c>
      <c r="L3" s="13">
        <v>0</v>
      </c>
      <c r="M3" s="13">
        <v>43800</v>
      </c>
      <c r="N3" s="13">
        <v>8322</v>
      </c>
      <c r="O3" s="13">
        <f t="shared" si="0"/>
        <v>456952</v>
      </c>
      <c r="P3" s="12">
        <v>45848.662499999999</v>
      </c>
      <c r="Q3" s="12">
        <v>45848.662499999999</v>
      </c>
      <c r="R3" s="27" t="s">
        <v>71</v>
      </c>
    </row>
    <row r="4" spans="1:18" x14ac:dyDescent="0.25">
      <c r="A4">
        <v>276701</v>
      </c>
      <c r="B4" s="12">
        <v>45848</v>
      </c>
      <c r="C4" t="s">
        <v>42</v>
      </c>
      <c r="D4" t="s">
        <v>38</v>
      </c>
      <c r="E4">
        <v>134</v>
      </c>
      <c r="F4" t="s">
        <v>43</v>
      </c>
      <c r="G4" s="13">
        <v>321200</v>
      </c>
      <c r="H4" s="13">
        <v>61030</v>
      </c>
      <c r="I4" s="13">
        <v>22600</v>
      </c>
      <c r="J4" s="13">
        <v>0</v>
      </c>
      <c r="K4" s="13">
        <v>0</v>
      </c>
      <c r="L4" s="13">
        <v>0</v>
      </c>
      <c r="M4" s="13">
        <v>43800</v>
      </c>
      <c r="N4" s="13">
        <v>8322</v>
      </c>
      <c r="O4" s="13">
        <f t="shared" si="0"/>
        <v>456952</v>
      </c>
      <c r="P4" s="12">
        <v>45848.662499999999</v>
      </c>
      <c r="Q4" s="12">
        <v>45848.662499999999</v>
      </c>
      <c r="R4" s="27" t="s">
        <v>71</v>
      </c>
    </row>
    <row r="5" spans="1:18" x14ac:dyDescent="0.25">
      <c r="A5">
        <v>276702</v>
      </c>
      <c r="B5" s="12">
        <v>45848</v>
      </c>
      <c r="C5" t="s">
        <v>44</v>
      </c>
      <c r="D5" t="s">
        <v>38</v>
      </c>
      <c r="E5">
        <v>134</v>
      </c>
      <c r="F5" t="s">
        <v>45</v>
      </c>
      <c r="G5" s="13">
        <v>321200</v>
      </c>
      <c r="H5" s="13">
        <v>61030</v>
      </c>
      <c r="I5" s="13">
        <v>22600</v>
      </c>
      <c r="J5" s="13">
        <v>0</v>
      </c>
      <c r="K5" s="13">
        <v>0</v>
      </c>
      <c r="L5" s="13">
        <v>0</v>
      </c>
      <c r="M5" s="13">
        <v>43800</v>
      </c>
      <c r="N5" s="13">
        <v>8322</v>
      </c>
      <c r="O5" s="13">
        <f t="shared" si="0"/>
        <v>456952</v>
      </c>
      <c r="P5" s="12">
        <v>45848.662499999999</v>
      </c>
      <c r="Q5" s="12">
        <v>45848.662499999999</v>
      </c>
      <c r="R5" s="27" t="s">
        <v>71</v>
      </c>
    </row>
    <row r="6" spans="1:18" x14ac:dyDescent="0.25">
      <c r="A6">
        <v>276703</v>
      </c>
      <c r="B6" s="12">
        <v>45848</v>
      </c>
      <c r="C6" t="s">
        <v>46</v>
      </c>
      <c r="D6" t="s">
        <v>38</v>
      </c>
      <c r="E6">
        <v>134</v>
      </c>
      <c r="F6" t="s">
        <v>47</v>
      </c>
      <c r="G6" s="13">
        <v>321200</v>
      </c>
      <c r="H6" s="13">
        <v>61030</v>
      </c>
      <c r="I6" s="13">
        <v>22600</v>
      </c>
      <c r="J6" s="13">
        <v>0</v>
      </c>
      <c r="K6" s="13">
        <v>0</v>
      </c>
      <c r="L6" s="13">
        <v>0</v>
      </c>
      <c r="M6" s="13">
        <v>43800</v>
      </c>
      <c r="N6" s="13">
        <v>8322</v>
      </c>
      <c r="O6" s="13">
        <f t="shared" si="0"/>
        <v>456952</v>
      </c>
      <c r="P6" s="12">
        <v>45848.662499999999</v>
      </c>
      <c r="Q6" s="12">
        <v>45848.662499999999</v>
      </c>
      <c r="R6" s="27" t="s">
        <v>71</v>
      </c>
    </row>
    <row r="7" spans="1:18" x14ac:dyDescent="0.25">
      <c r="A7">
        <v>276704</v>
      </c>
      <c r="B7" s="12">
        <v>45848</v>
      </c>
      <c r="C7" t="s">
        <v>48</v>
      </c>
      <c r="D7" t="s">
        <v>38</v>
      </c>
      <c r="E7">
        <v>134</v>
      </c>
      <c r="F7" t="s">
        <v>49</v>
      </c>
      <c r="G7" s="13">
        <v>321200</v>
      </c>
      <c r="H7" s="13">
        <v>61030</v>
      </c>
      <c r="I7" s="13">
        <v>22600</v>
      </c>
      <c r="J7" s="13">
        <v>0</v>
      </c>
      <c r="K7" s="13">
        <v>0</v>
      </c>
      <c r="L7" s="13">
        <v>0</v>
      </c>
      <c r="M7" s="13">
        <v>43800</v>
      </c>
      <c r="N7" s="13">
        <v>8322</v>
      </c>
      <c r="O7" s="13">
        <f t="shared" si="0"/>
        <v>456952</v>
      </c>
      <c r="P7" s="12">
        <v>45848.662499999999</v>
      </c>
      <c r="Q7" s="12">
        <v>45848.662499999999</v>
      </c>
      <c r="R7" s="27" t="s">
        <v>71</v>
      </c>
    </row>
    <row r="8" spans="1:18" x14ac:dyDescent="0.25">
      <c r="A8">
        <v>276706</v>
      </c>
      <c r="B8" s="12">
        <v>45848</v>
      </c>
      <c r="C8" t="s">
        <v>50</v>
      </c>
      <c r="D8" t="s">
        <v>51</v>
      </c>
      <c r="E8">
        <v>246</v>
      </c>
      <c r="F8" t="s">
        <v>52</v>
      </c>
      <c r="G8" s="13">
        <v>350000</v>
      </c>
      <c r="H8" s="13">
        <v>66500</v>
      </c>
      <c r="I8" s="13">
        <v>24000</v>
      </c>
      <c r="J8" s="13">
        <v>0</v>
      </c>
      <c r="K8" s="13">
        <v>0</v>
      </c>
      <c r="L8" s="13">
        <v>0</v>
      </c>
      <c r="M8" s="13">
        <v>43800</v>
      </c>
      <c r="N8" s="13">
        <v>8322</v>
      </c>
      <c r="O8" s="13">
        <f t="shared" si="0"/>
        <v>492622</v>
      </c>
      <c r="P8" s="12">
        <v>45847.479166666701</v>
      </c>
      <c r="Q8" s="12">
        <v>45847.479166666701</v>
      </c>
      <c r="R8" s="27" t="s">
        <v>72</v>
      </c>
    </row>
    <row r="9" spans="1:18" x14ac:dyDescent="0.25">
      <c r="A9">
        <v>276707</v>
      </c>
      <c r="B9" s="12">
        <v>45848</v>
      </c>
      <c r="C9" t="s">
        <v>53</v>
      </c>
      <c r="D9" t="s">
        <v>51</v>
      </c>
      <c r="E9">
        <v>246</v>
      </c>
      <c r="F9" t="s">
        <v>54</v>
      </c>
      <c r="G9" s="13">
        <v>350000</v>
      </c>
      <c r="H9" s="13">
        <v>66500</v>
      </c>
      <c r="I9" s="13">
        <v>24000</v>
      </c>
      <c r="J9" s="13">
        <v>0</v>
      </c>
      <c r="K9" s="13">
        <v>0</v>
      </c>
      <c r="L9" s="13">
        <v>0</v>
      </c>
      <c r="M9" s="13">
        <v>43800</v>
      </c>
      <c r="N9" s="13">
        <v>8322</v>
      </c>
      <c r="O9" s="13">
        <f t="shared" si="0"/>
        <v>492622</v>
      </c>
      <c r="P9" s="12">
        <v>45847.479166666701</v>
      </c>
      <c r="Q9" s="12">
        <v>45847.479166666701</v>
      </c>
      <c r="R9" s="27" t="s">
        <v>72</v>
      </c>
    </row>
    <row r="10" spans="1:18" x14ac:dyDescent="0.25">
      <c r="A10">
        <v>276708</v>
      </c>
      <c r="B10" s="12">
        <v>45848</v>
      </c>
      <c r="C10" t="s">
        <v>55</v>
      </c>
      <c r="D10" t="s">
        <v>51</v>
      </c>
      <c r="E10">
        <v>246</v>
      </c>
      <c r="F10" t="s">
        <v>56</v>
      </c>
      <c r="G10" s="13">
        <v>350000</v>
      </c>
      <c r="H10" s="13">
        <v>66500</v>
      </c>
      <c r="I10" s="13">
        <v>24000</v>
      </c>
      <c r="J10" s="13">
        <v>0</v>
      </c>
      <c r="K10" s="13">
        <v>0</v>
      </c>
      <c r="L10" s="13">
        <v>0</v>
      </c>
      <c r="M10" s="13">
        <v>43800</v>
      </c>
      <c r="N10" s="13">
        <v>8322</v>
      </c>
      <c r="O10" s="13">
        <f t="shared" si="0"/>
        <v>492622</v>
      </c>
      <c r="P10" s="12">
        <v>45847.479166666701</v>
      </c>
      <c r="Q10" s="12">
        <v>45847.479166666701</v>
      </c>
      <c r="R10" s="27" t="s">
        <v>72</v>
      </c>
    </row>
    <row r="11" spans="1:18" x14ac:dyDescent="0.25">
      <c r="A11">
        <v>276709</v>
      </c>
      <c r="B11" s="12">
        <v>45848</v>
      </c>
      <c r="C11" t="s">
        <v>57</v>
      </c>
      <c r="D11" t="s">
        <v>51</v>
      </c>
      <c r="E11">
        <v>246</v>
      </c>
      <c r="F11" t="s">
        <v>58</v>
      </c>
      <c r="G11" s="13">
        <v>350000</v>
      </c>
      <c r="H11" s="13">
        <v>66500</v>
      </c>
      <c r="I11" s="13">
        <v>24000</v>
      </c>
      <c r="J11" s="13">
        <v>0</v>
      </c>
      <c r="K11" s="13">
        <v>0</v>
      </c>
      <c r="L11" s="13">
        <v>0</v>
      </c>
      <c r="M11" s="13">
        <v>43800</v>
      </c>
      <c r="N11" s="13">
        <v>8322</v>
      </c>
      <c r="O11" s="13">
        <f t="shared" si="0"/>
        <v>492622</v>
      </c>
      <c r="P11" s="12">
        <v>45847.479166666701</v>
      </c>
      <c r="Q11" s="12">
        <v>45847.479166666701</v>
      </c>
      <c r="R11" s="27" t="s">
        <v>72</v>
      </c>
    </row>
    <row r="12" spans="1:18" x14ac:dyDescent="0.25">
      <c r="A12">
        <v>276710</v>
      </c>
      <c r="B12" s="12">
        <v>45848</v>
      </c>
      <c r="C12" t="s">
        <v>59</v>
      </c>
      <c r="D12" t="s">
        <v>51</v>
      </c>
      <c r="E12">
        <v>246</v>
      </c>
      <c r="F12" t="s">
        <v>60</v>
      </c>
      <c r="G12" s="13">
        <v>350000</v>
      </c>
      <c r="H12" s="13">
        <v>66500</v>
      </c>
      <c r="I12" s="13">
        <v>24000</v>
      </c>
      <c r="J12" s="13">
        <v>0</v>
      </c>
      <c r="K12" s="13">
        <v>0</v>
      </c>
      <c r="L12" s="13">
        <v>0</v>
      </c>
      <c r="M12" s="13">
        <v>43800</v>
      </c>
      <c r="N12" s="13">
        <v>8322</v>
      </c>
      <c r="O12" s="13">
        <f t="shared" si="0"/>
        <v>492622</v>
      </c>
      <c r="P12" s="12">
        <v>45847.479166666701</v>
      </c>
      <c r="Q12" s="12">
        <v>45847.479166666701</v>
      </c>
      <c r="R12" s="27" t="s">
        <v>72</v>
      </c>
    </row>
    <row r="13" spans="1:18" x14ac:dyDescent="0.25">
      <c r="A13">
        <v>276711</v>
      </c>
      <c r="B13" s="12">
        <v>45848</v>
      </c>
      <c r="C13" t="s">
        <v>61</v>
      </c>
      <c r="D13" t="s">
        <v>51</v>
      </c>
      <c r="E13">
        <v>246</v>
      </c>
      <c r="F13" t="s">
        <v>62</v>
      </c>
      <c r="G13" s="13">
        <v>350000</v>
      </c>
      <c r="H13" s="13">
        <v>66500</v>
      </c>
      <c r="I13" s="13">
        <v>24000</v>
      </c>
      <c r="J13" s="13">
        <v>0</v>
      </c>
      <c r="K13" s="13">
        <v>0</v>
      </c>
      <c r="L13" s="13">
        <v>0</v>
      </c>
      <c r="M13" s="13">
        <v>43800</v>
      </c>
      <c r="N13" s="13">
        <v>8322</v>
      </c>
      <c r="O13" s="13">
        <f t="shared" si="0"/>
        <v>492622</v>
      </c>
      <c r="P13" s="12">
        <v>45847.479166666701</v>
      </c>
      <c r="Q13" s="12">
        <v>45847.479166666701</v>
      </c>
      <c r="R13" s="27" t="s">
        <v>72</v>
      </c>
    </row>
    <row r="14" spans="1:18" x14ac:dyDescent="0.25">
      <c r="A14">
        <v>277016</v>
      </c>
      <c r="B14" s="12">
        <v>45849</v>
      </c>
      <c r="C14" t="s">
        <v>40</v>
      </c>
      <c r="D14" t="s">
        <v>38</v>
      </c>
      <c r="E14">
        <v>134</v>
      </c>
      <c r="F14" t="s">
        <v>63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43800</v>
      </c>
      <c r="N14" s="13">
        <v>8322</v>
      </c>
      <c r="O14" s="13">
        <f t="shared" si="0"/>
        <v>52122</v>
      </c>
      <c r="P14" s="12">
        <v>45849.662499999999</v>
      </c>
      <c r="Q14" s="12">
        <v>45849.662499999999</v>
      </c>
      <c r="R14" s="27" t="s">
        <v>72</v>
      </c>
    </row>
    <row r="15" spans="1:18" x14ac:dyDescent="0.25">
      <c r="A15">
        <v>277018</v>
      </c>
      <c r="B15" s="12">
        <v>45849</v>
      </c>
      <c r="C15" t="s">
        <v>42</v>
      </c>
      <c r="D15" t="s">
        <v>38</v>
      </c>
      <c r="E15">
        <v>134</v>
      </c>
      <c r="F15" t="s">
        <v>64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43800</v>
      </c>
      <c r="N15" s="13">
        <v>8322</v>
      </c>
      <c r="O15" s="13">
        <f t="shared" si="0"/>
        <v>52122</v>
      </c>
      <c r="P15" s="12">
        <v>45849.662499999999</v>
      </c>
      <c r="Q15" s="12">
        <v>45849.662499999999</v>
      </c>
      <c r="R15" s="27" t="s">
        <v>72</v>
      </c>
    </row>
    <row r="16" spans="1:18" x14ac:dyDescent="0.25">
      <c r="A16">
        <v>277020</v>
      </c>
      <c r="B16" s="12">
        <v>45849</v>
      </c>
      <c r="C16" t="s">
        <v>44</v>
      </c>
      <c r="D16" t="s">
        <v>38</v>
      </c>
      <c r="E16">
        <v>134</v>
      </c>
      <c r="F16" t="s">
        <v>65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43800</v>
      </c>
      <c r="N16" s="13">
        <v>8322</v>
      </c>
      <c r="O16" s="13">
        <f t="shared" si="0"/>
        <v>52122</v>
      </c>
      <c r="P16" s="12">
        <v>45849.662499999999</v>
      </c>
      <c r="Q16" s="12">
        <v>45849.662499999999</v>
      </c>
      <c r="R16" s="27" t="s">
        <v>72</v>
      </c>
    </row>
    <row r="17" spans="1:18" x14ac:dyDescent="0.25">
      <c r="A17">
        <v>277023</v>
      </c>
      <c r="B17" s="12">
        <v>45849</v>
      </c>
      <c r="C17" t="s">
        <v>46</v>
      </c>
      <c r="D17" t="s">
        <v>38</v>
      </c>
      <c r="E17">
        <v>134</v>
      </c>
      <c r="F17" t="s">
        <v>66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43800</v>
      </c>
      <c r="N17" s="13">
        <v>8322</v>
      </c>
      <c r="O17" s="13">
        <f t="shared" si="0"/>
        <v>52122</v>
      </c>
      <c r="P17" s="12">
        <v>45849.662499999999</v>
      </c>
      <c r="Q17" s="12">
        <v>45849.662499999999</v>
      </c>
      <c r="R17" s="27" t="s">
        <v>72</v>
      </c>
    </row>
    <row r="18" spans="1:18" x14ac:dyDescent="0.25">
      <c r="A18">
        <v>277026</v>
      </c>
      <c r="B18" s="12">
        <v>45849</v>
      </c>
      <c r="C18" t="s">
        <v>48</v>
      </c>
      <c r="D18" t="s">
        <v>38</v>
      </c>
      <c r="E18">
        <v>134</v>
      </c>
      <c r="F18" t="s">
        <v>67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43800</v>
      </c>
      <c r="N18" s="13">
        <v>8322</v>
      </c>
      <c r="O18" s="13">
        <f t="shared" si="0"/>
        <v>52122</v>
      </c>
      <c r="P18" s="12">
        <v>45849.662499999999</v>
      </c>
      <c r="Q18" s="12">
        <v>45849.662499999999</v>
      </c>
      <c r="R18" s="27" t="s">
        <v>72</v>
      </c>
    </row>
    <row r="19" spans="1:18" x14ac:dyDescent="0.25">
      <c r="A19">
        <v>280667</v>
      </c>
      <c r="B19" s="12">
        <v>45859</v>
      </c>
      <c r="C19" t="s">
        <v>73</v>
      </c>
      <c r="D19" t="s">
        <v>38</v>
      </c>
      <c r="E19">
        <v>134</v>
      </c>
      <c r="F19" t="s">
        <v>74</v>
      </c>
      <c r="G19" s="13">
        <v>287100</v>
      </c>
      <c r="H19" s="13">
        <v>54550</v>
      </c>
      <c r="I19" s="13">
        <v>22600</v>
      </c>
      <c r="J19" s="13">
        <v>0</v>
      </c>
      <c r="K19" s="13">
        <v>0</v>
      </c>
      <c r="L19" s="13">
        <v>0</v>
      </c>
      <c r="M19" s="13">
        <v>43800</v>
      </c>
      <c r="N19" s="13">
        <v>8322</v>
      </c>
      <c r="O19" s="13">
        <f>SUM(G19:N19)</f>
        <v>416372</v>
      </c>
      <c r="P19" s="12">
        <v>45863.662499999999</v>
      </c>
      <c r="Q19" s="12">
        <v>45863.662499999999</v>
      </c>
      <c r="R19" s="27" t="s">
        <v>71</v>
      </c>
    </row>
    <row r="20" spans="1:18" x14ac:dyDescent="0.25">
      <c r="A20">
        <v>280683</v>
      </c>
      <c r="B20" s="12">
        <v>45859</v>
      </c>
      <c r="C20" t="s">
        <v>73</v>
      </c>
      <c r="D20" t="s">
        <v>51</v>
      </c>
      <c r="E20">
        <v>246</v>
      </c>
      <c r="F20" t="s">
        <v>76</v>
      </c>
      <c r="G20" s="13">
        <v>380000</v>
      </c>
      <c r="H20" s="13">
        <v>72200</v>
      </c>
      <c r="I20" s="13">
        <v>24000</v>
      </c>
      <c r="J20" s="13">
        <v>0</v>
      </c>
      <c r="K20" s="13">
        <v>0</v>
      </c>
      <c r="L20" s="13">
        <v>0</v>
      </c>
      <c r="M20" s="13">
        <v>43800</v>
      </c>
      <c r="N20" s="13">
        <v>8322</v>
      </c>
      <c r="O20" s="13">
        <f>SUM(G20:N20)</f>
        <v>528322</v>
      </c>
      <c r="P20" s="12">
        <v>45858.746527777803</v>
      </c>
      <c r="Q20" s="12">
        <v>45858.746527777803</v>
      </c>
      <c r="R20" s="27" t="s">
        <v>72</v>
      </c>
    </row>
    <row r="21" spans="1:18" x14ac:dyDescent="0.25">
      <c r="A21">
        <v>281169</v>
      </c>
      <c r="B21" s="12">
        <v>45860</v>
      </c>
      <c r="C21" t="s">
        <v>77</v>
      </c>
      <c r="D21" t="s">
        <v>78</v>
      </c>
      <c r="E21">
        <v>134</v>
      </c>
      <c r="F21" t="s">
        <v>79</v>
      </c>
      <c r="G21" s="13">
        <v>615400</v>
      </c>
      <c r="H21" s="13">
        <v>116930</v>
      </c>
      <c r="I21" s="13">
        <v>47500</v>
      </c>
      <c r="J21" s="13">
        <v>0</v>
      </c>
      <c r="K21" s="13">
        <v>0</v>
      </c>
      <c r="L21" s="13">
        <v>0</v>
      </c>
      <c r="M21" s="13">
        <v>45000</v>
      </c>
      <c r="N21" s="13">
        <v>8550</v>
      </c>
      <c r="O21" s="13">
        <v>833380</v>
      </c>
      <c r="P21" s="12">
        <v>45868.452083333301</v>
      </c>
      <c r="Q21" s="12">
        <v>45874.377083333296</v>
      </c>
      <c r="R21" s="27" t="s">
        <v>75</v>
      </c>
    </row>
    <row r="22" spans="1:18" x14ac:dyDescent="0.25">
      <c r="A22">
        <v>281170</v>
      </c>
      <c r="B22" s="12">
        <v>45860</v>
      </c>
      <c r="C22" t="s">
        <v>80</v>
      </c>
      <c r="D22" t="s">
        <v>78</v>
      </c>
      <c r="E22">
        <v>134</v>
      </c>
      <c r="F22" t="s">
        <v>81</v>
      </c>
      <c r="G22" s="13">
        <v>615400</v>
      </c>
      <c r="H22" s="13">
        <v>116930</v>
      </c>
      <c r="I22" s="13">
        <v>47500</v>
      </c>
      <c r="J22" s="13">
        <v>0</v>
      </c>
      <c r="K22" s="13">
        <v>0</v>
      </c>
      <c r="L22" s="13">
        <v>0</v>
      </c>
      <c r="M22" s="13">
        <v>45000</v>
      </c>
      <c r="N22" s="13">
        <v>8550</v>
      </c>
      <c r="O22" s="13">
        <v>833380</v>
      </c>
      <c r="P22" s="12">
        <v>45868.452083333301</v>
      </c>
      <c r="Q22" s="12">
        <v>45874.377083333296</v>
      </c>
      <c r="R22" s="27" t="s">
        <v>75</v>
      </c>
    </row>
    <row r="23" spans="1:18" x14ac:dyDescent="0.25">
      <c r="A23">
        <v>281172</v>
      </c>
      <c r="B23" s="12">
        <v>45860</v>
      </c>
      <c r="C23" t="s">
        <v>82</v>
      </c>
      <c r="D23" t="s">
        <v>78</v>
      </c>
      <c r="E23">
        <v>134</v>
      </c>
      <c r="F23" t="s">
        <v>83</v>
      </c>
      <c r="G23" s="13">
        <v>615400</v>
      </c>
      <c r="H23" s="13">
        <v>116930</v>
      </c>
      <c r="I23" s="13">
        <v>47500</v>
      </c>
      <c r="J23" s="13">
        <v>0</v>
      </c>
      <c r="K23" s="13">
        <v>0</v>
      </c>
      <c r="L23" s="13">
        <v>0</v>
      </c>
      <c r="M23" s="13">
        <v>45000</v>
      </c>
      <c r="N23" s="13">
        <v>8550</v>
      </c>
      <c r="O23" s="13">
        <v>833380</v>
      </c>
      <c r="P23" s="12">
        <v>45868.452083333301</v>
      </c>
      <c r="Q23" s="12">
        <v>45874.377083333296</v>
      </c>
      <c r="R23" s="27" t="s">
        <v>75</v>
      </c>
    </row>
    <row r="24" spans="1:18" x14ac:dyDescent="0.25">
      <c r="A24">
        <v>281180</v>
      </c>
      <c r="B24" s="12">
        <v>45860</v>
      </c>
      <c r="C24" t="s">
        <v>84</v>
      </c>
      <c r="D24" t="s">
        <v>78</v>
      </c>
      <c r="E24">
        <v>134</v>
      </c>
      <c r="F24" t="s">
        <v>85</v>
      </c>
      <c r="G24" s="13">
        <v>615400</v>
      </c>
      <c r="H24" s="13">
        <v>116930</v>
      </c>
      <c r="I24" s="13">
        <v>47500</v>
      </c>
      <c r="J24" s="13">
        <v>0</v>
      </c>
      <c r="K24" s="13">
        <v>0</v>
      </c>
      <c r="L24" s="13">
        <v>0</v>
      </c>
      <c r="M24" s="13">
        <v>45000</v>
      </c>
      <c r="N24" s="13">
        <v>8550</v>
      </c>
      <c r="O24" s="13">
        <v>833380</v>
      </c>
      <c r="P24" s="12">
        <v>45868.452083333301</v>
      </c>
      <c r="Q24" s="12">
        <v>45874.377083333296</v>
      </c>
      <c r="R24" s="27" t="s">
        <v>75</v>
      </c>
    </row>
    <row r="25" spans="1:18" x14ac:dyDescent="0.25">
      <c r="A25">
        <v>281183</v>
      </c>
      <c r="B25" s="12">
        <v>45860</v>
      </c>
      <c r="C25" t="s">
        <v>86</v>
      </c>
      <c r="D25" t="s">
        <v>78</v>
      </c>
      <c r="E25">
        <v>134</v>
      </c>
      <c r="F25" t="s">
        <v>87</v>
      </c>
      <c r="G25" s="13">
        <v>615400</v>
      </c>
      <c r="H25" s="13">
        <v>116930</v>
      </c>
      <c r="I25" s="13">
        <v>47500</v>
      </c>
      <c r="J25" s="13">
        <v>0</v>
      </c>
      <c r="K25" s="13">
        <v>0</v>
      </c>
      <c r="L25" s="13">
        <v>0</v>
      </c>
      <c r="M25" s="13">
        <v>45000</v>
      </c>
      <c r="N25" s="13">
        <v>8550</v>
      </c>
      <c r="O25" s="13">
        <v>833380</v>
      </c>
      <c r="P25" s="12">
        <v>45868.452083333301</v>
      </c>
      <c r="Q25" s="12">
        <v>45874.377083333296</v>
      </c>
      <c r="R25" s="27" t="s">
        <v>75</v>
      </c>
    </row>
    <row r="26" spans="1:18" x14ac:dyDescent="0.25">
      <c r="A26">
        <v>281193</v>
      </c>
      <c r="B26" s="12">
        <v>45860</v>
      </c>
      <c r="C26" t="s">
        <v>88</v>
      </c>
      <c r="D26" t="s">
        <v>78</v>
      </c>
      <c r="E26">
        <v>134</v>
      </c>
      <c r="F26" t="s">
        <v>89</v>
      </c>
      <c r="G26" s="13">
        <v>615400</v>
      </c>
      <c r="H26" s="13">
        <v>116930</v>
      </c>
      <c r="I26" s="13">
        <v>47500</v>
      </c>
      <c r="J26" s="13">
        <v>0</v>
      </c>
      <c r="K26" s="13">
        <v>0</v>
      </c>
      <c r="L26" s="13">
        <v>0</v>
      </c>
      <c r="M26" s="13">
        <v>45000</v>
      </c>
      <c r="N26" s="13">
        <v>8550</v>
      </c>
      <c r="O26" s="13">
        <v>833380</v>
      </c>
      <c r="P26" s="12">
        <v>45868.452083333301</v>
      </c>
      <c r="Q26" s="12">
        <v>45874.377083333296</v>
      </c>
      <c r="R26" s="27" t="s">
        <v>75</v>
      </c>
    </row>
    <row r="27" spans="1:18" x14ac:dyDescent="0.25">
      <c r="A27">
        <v>281196</v>
      </c>
      <c r="B27" s="12">
        <v>45860</v>
      </c>
      <c r="C27" t="s">
        <v>90</v>
      </c>
      <c r="D27" t="s">
        <v>78</v>
      </c>
      <c r="E27">
        <v>134</v>
      </c>
      <c r="F27" t="s">
        <v>91</v>
      </c>
      <c r="G27" s="13">
        <v>615400</v>
      </c>
      <c r="H27" s="13">
        <v>116930</v>
      </c>
      <c r="I27" s="13">
        <v>47500</v>
      </c>
      <c r="J27" s="13">
        <v>0</v>
      </c>
      <c r="K27" s="13">
        <v>0</v>
      </c>
      <c r="L27" s="13">
        <v>0</v>
      </c>
      <c r="M27" s="13">
        <v>45000</v>
      </c>
      <c r="N27" s="13">
        <v>8550</v>
      </c>
      <c r="O27" s="13">
        <v>833380</v>
      </c>
      <c r="P27" s="12">
        <v>45868.452083333301</v>
      </c>
      <c r="Q27" s="12">
        <v>45874.377083333296</v>
      </c>
      <c r="R27" s="27" t="s">
        <v>75</v>
      </c>
    </row>
    <row r="28" spans="1:18" x14ac:dyDescent="0.25">
      <c r="A28">
        <v>281202</v>
      </c>
      <c r="B28" s="12">
        <v>45860</v>
      </c>
      <c r="C28" t="s">
        <v>92</v>
      </c>
      <c r="D28" t="s">
        <v>78</v>
      </c>
      <c r="E28">
        <v>134</v>
      </c>
      <c r="F28" t="s">
        <v>93</v>
      </c>
      <c r="G28" s="13">
        <v>615400</v>
      </c>
      <c r="H28" s="13">
        <v>116930</v>
      </c>
      <c r="I28" s="13">
        <v>47500</v>
      </c>
      <c r="J28" s="13">
        <v>0</v>
      </c>
      <c r="K28" s="13">
        <v>0</v>
      </c>
      <c r="L28" s="13">
        <v>0</v>
      </c>
      <c r="M28" s="13">
        <v>45000</v>
      </c>
      <c r="N28" s="13">
        <v>8550</v>
      </c>
      <c r="O28" s="13">
        <v>833380</v>
      </c>
      <c r="P28" s="12">
        <v>45868.452083333301</v>
      </c>
      <c r="Q28" s="12">
        <v>45874.377083333296</v>
      </c>
      <c r="R28" s="27" t="s">
        <v>75</v>
      </c>
    </row>
    <row r="29" spans="1:18" x14ac:dyDescent="0.25">
      <c r="A29">
        <v>281208</v>
      </c>
      <c r="B29" s="12">
        <v>45860</v>
      </c>
      <c r="C29" t="s">
        <v>94</v>
      </c>
      <c r="D29" t="s">
        <v>78</v>
      </c>
      <c r="E29">
        <v>134</v>
      </c>
      <c r="F29" t="s">
        <v>95</v>
      </c>
      <c r="G29" s="13">
        <v>615400</v>
      </c>
      <c r="H29" s="13">
        <v>116930</v>
      </c>
      <c r="I29" s="13">
        <v>47500</v>
      </c>
      <c r="J29" s="13">
        <v>0</v>
      </c>
      <c r="K29" s="13">
        <v>0</v>
      </c>
      <c r="L29" s="13">
        <v>0</v>
      </c>
      <c r="M29" s="13">
        <v>45000</v>
      </c>
      <c r="N29" s="13">
        <v>8550</v>
      </c>
      <c r="O29" s="13">
        <v>833380</v>
      </c>
      <c r="P29" s="12">
        <v>45868.452083333301</v>
      </c>
      <c r="Q29" s="12">
        <v>45874.377083333296</v>
      </c>
      <c r="R29" s="27" t="s">
        <v>75</v>
      </c>
    </row>
    <row r="30" spans="1:18" x14ac:dyDescent="0.25">
      <c r="A30">
        <v>281214</v>
      </c>
      <c r="B30" s="12">
        <v>45860</v>
      </c>
      <c r="C30" t="s">
        <v>96</v>
      </c>
      <c r="D30" t="s">
        <v>78</v>
      </c>
      <c r="E30">
        <v>134</v>
      </c>
      <c r="F30" t="s">
        <v>97</v>
      </c>
      <c r="G30" s="13">
        <v>615400</v>
      </c>
      <c r="H30" s="13">
        <v>116930</v>
      </c>
      <c r="I30" s="13">
        <v>47500</v>
      </c>
      <c r="J30" s="13">
        <v>0</v>
      </c>
      <c r="K30" s="13">
        <v>0</v>
      </c>
      <c r="L30" s="13">
        <v>0</v>
      </c>
      <c r="M30" s="13">
        <v>45000</v>
      </c>
      <c r="N30" s="13">
        <v>8550</v>
      </c>
      <c r="O30" s="13">
        <v>833380</v>
      </c>
      <c r="P30" s="12">
        <v>45868.452083333301</v>
      </c>
      <c r="Q30" s="12">
        <v>45874.377083333296</v>
      </c>
      <c r="R30" s="27" t="s">
        <v>75</v>
      </c>
    </row>
    <row r="31" spans="1:18" x14ac:dyDescent="0.25">
      <c r="A31">
        <v>281215</v>
      </c>
      <c r="B31" s="12">
        <v>45860</v>
      </c>
      <c r="C31" t="s">
        <v>98</v>
      </c>
      <c r="D31" t="s">
        <v>78</v>
      </c>
      <c r="E31">
        <v>134</v>
      </c>
      <c r="F31" t="s">
        <v>99</v>
      </c>
      <c r="G31" s="13">
        <v>615400</v>
      </c>
      <c r="H31" s="13">
        <v>116930</v>
      </c>
      <c r="I31" s="13">
        <v>47500</v>
      </c>
      <c r="J31" s="13">
        <v>0</v>
      </c>
      <c r="K31" s="13">
        <v>0</v>
      </c>
      <c r="L31" s="13">
        <v>0</v>
      </c>
      <c r="M31" s="13">
        <v>45000</v>
      </c>
      <c r="N31" s="13">
        <v>8550</v>
      </c>
      <c r="O31" s="13">
        <v>833380</v>
      </c>
      <c r="P31" s="12">
        <v>45868.452083333301</v>
      </c>
      <c r="Q31" s="12">
        <v>45874.377083333296</v>
      </c>
      <c r="R31" s="27" t="s">
        <v>75</v>
      </c>
    </row>
    <row r="32" spans="1:18" x14ac:dyDescent="0.25">
      <c r="A32">
        <v>281216</v>
      </c>
      <c r="B32" s="12">
        <v>45860</v>
      </c>
      <c r="C32" t="s">
        <v>100</v>
      </c>
      <c r="D32" t="s">
        <v>78</v>
      </c>
      <c r="E32">
        <v>134</v>
      </c>
      <c r="F32" t="s">
        <v>101</v>
      </c>
      <c r="G32" s="13">
        <v>615400</v>
      </c>
      <c r="H32" s="13">
        <v>116930</v>
      </c>
      <c r="I32" s="13">
        <v>47500</v>
      </c>
      <c r="J32" s="13">
        <v>0</v>
      </c>
      <c r="K32" s="13">
        <v>0</v>
      </c>
      <c r="L32" s="13">
        <v>0</v>
      </c>
      <c r="M32" s="13">
        <v>45000</v>
      </c>
      <c r="N32" s="13">
        <v>8550</v>
      </c>
      <c r="O32" s="13">
        <v>833380</v>
      </c>
      <c r="P32" s="12">
        <v>45868.452083333301</v>
      </c>
      <c r="Q32" s="12">
        <v>45874.377083333296</v>
      </c>
      <c r="R32" s="27" t="s">
        <v>75</v>
      </c>
    </row>
    <row r="33" spans="1:18" x14ac:dyDescent="0.25">
      <c r="A33">
        <v>281217</v>
      </c>
      <c r="B33" s="12">
        <v>45860</v>
      </c>
      <c r="C33" t="s">
        <v>102</v>
      </c>
      <c r="D33" t="s">
        <v>78</v>
      </c>
      <c r="E33">
        <v>134</v>
      </c>
      <c r="F33" t="s">
        <v>103</v>
      </c>
      <c r="G33" s="13">
        <v>615400</v>
      </c>
      <c r="H33" s="13">
        <v>116930</v>
      </c>
      <c r="I33" s="13">
        <v>47500</v>
      </c>
      <c r="J33" s="13">
        <v>0</v>
      </c>
      <c r="K33" s="13">
        <v>0</v>
      </c>
      <c r="L33" s="13">
        <v>0</v>
      </c>
      <c r="M33" s="13">
        <v>45000</v>
      </c>
      <c r="N33" s="13">
        <v>8550</v>
      </c>
      <c r="O33" s="13">
        <v>833380</v>
      </c>
      <c r="P33" s="12">
        <v>45868.452083333301</v>
      </c>
      <c r="Q33" s="12">
        <v>45874.377083333296</v>
      </c>
      <c r="R33" s="27" t="s">
        <v>75</v>
      </c>
    </row>
    <row r="34" spans="1:18" x14ac:dyDescent="0.25">
      <c r="A34">
        <v>281220</v>
      </c>
      <c r="B34" s="12">
        <v>45860</v>
      </c>
      <c r="C34" t="s">
        <v>104</v>
      </c>
      <c r="D34" t="s">
        <v>78</v>
      </c>
      <c r="E34">
        <v>134</v>
      </c>
      <c r="F34" t="s">
        <v>105</v>
      </c>
      <c r="G34" s="13">
        <v>615400</v>
      </c>
      <c r="H34" s="13">
        <v>116930</v>
      </c>
      <c r="I34" s="13">
        <v>47500</v>
      </c>
      <c r="J34" s="13">
        <v>0</v>
      </c>
      <c r="K34" s="13">
        <v>0</v>
      </c>
      <c r="L34" s="13">
        <v>0</v>
      </c>
      <c r="M34" s="13">
        <v>45000</v>
      </c>
      <c r="N34" s="13">
        <v>8550</v>
      </c>
      <c r="O34" s="13">
        <v>833380</v>
      </c>
      <c r="P34" s="12">
        <v>45868.452083333301</v>
      </c>
      <c r="Q34" s="12">
        <v>45874.377083333296</v>
      </c>
      <c r="R34" s="27" t="s">
        <v>75</v>
      </c>
    </row>
    <row r="35" spans="1:18" x14ac:dyDescent="0.25">
      <c r="A35">
        <v>281225</v>
      </c>
      <c r="B35" s="12">
        <v>45860</v>
      </c>
      <c r="C35" t="s">
        <v>106</v>
      </c>
      <c r="D35" t="s">
        <v>78</v>
      </c>
      <c r="E35">
        <v>134</v>
      </c>
      <c r="F35" t="s">
        <v>107</v>
      </c>
      <c r="G35" s="13">
        <v>615400</v>
      </c>
      <c r="H35" s="13">
        <v>116930</v>
      </c>
      <c r="I35" s="13">
        <v>47500</v>
      </c>
      <c r="J35" s="13">
        <v>0</v>
      </c>
      <c r="K35" s="13">
        <v>0</v>
      </c>
      <c r="L35" s="13">
        <v>0</v>
      </c>
      <c r="M35" s="13">
        <v>45000</v>
      </c>
      <c r="N35" s="13">
        <v>8550</v>
      </c>
      <c r="O35" s="13">
        <v>833380</v>
      </c>
      <c r="P35" s="12">
        <v>45868.452083333301</v>
      </c>
      <c r="Q35" s="12">
        <v>45874.377083333296</v>
      </c>
      <c r="R35" s="27" t="s">
        <v>75</v>
      </c>
    </row>
    <row r="36" spans="1:18" x14ac:dyDescent="0.25">
      <c r="A36">
        <v>281227</v>
      </c>
      <c r="B36" s="12">
        <v>45860</v>
      </c>
      <c r="C36" t="s">
        <v>108</v>
      </c>
      <c r="D36" t="s">
        <v>78</v>
      </c>
      <c r="E36">
        <v>134</v>
      </c>
      <c r="F36" t="s">
        <v>109</v>
      </c>
      <c r="G36" s="13">
        <v>615400</v>
      </c>
      <c r="H36" s="13">
        <v>116930</v>
      </c>
      <c r="I36" s="13">
        <v>47500</v>
      </c>
      <c r="J36" s="13">
        <v>0</v>
      </c>
      <c r="K36" s="13">
        <v>0</v>
      </c>
      <c r="L36" s="13">
        <v>0</v>
      </c>
      <c r="M36" s="13">
        <v>45000</v>
      </c>
      <c r="N36" s="13">
        <v>8550</v>
      </c>
      <c r="O36" s="13">
        <v>833380</v>
      </c>
      <c r="P36" s="12">
        <v>45868.452083333301</v>
      </c>
      <c r="Q36" s="12">
        <v>45874.377083333296</v>
      </c>
      <c r="R36" s="27" t="s">
        <v>75</v>
      </c>
    </row>
    <row r="37" spans="1:18" x14ac:dyDescent="0.25">
      <c r="A37">
        <v>281230</v>
      </c>
      <c r="B37" s="12">
        <v>45860</v>
      </c>
      <c r="C37" t="s">
        <v>110</v>
      </c>
      <c r="D37" t="s">
        <v>78</v>
      </c>
      <c r="E37">
        <v>134</v>
      </c>
      <c r="F37" t="s">
        <v>111</v>
      </c>
      <c r="G37" s="13">
        <v>615400</v>
      </c>
      <c r="H37" s="13">
        <v>116930</v>
      </c>
      <c r="I37" s="13">
        <v>47500</v>
      </c>
      <c r="J37" s="13">
        <v>0</v>
      </c>
      <c r="K37" s="13">
        <v>0</v>
      </c>
      <c r="L37" s="13">
        <v>0</v>
      </c>
      <c r="M37" s="13">
        <v>45000</v>
      </c>
      <c r="N37" s="13">
        <v>8550</v>
      </c>
      <c r="O37" s="13">
        <v>833380</v>
      </c>
      <c r="P37" s="12">
        <v>45868.452083333301</v>
      </c>
      <c r="Q37" s="12">
        <v>45874.377083333296</v>
      </c>
      <c r="R37" s="27" t="s">
        <v>75</v>
      </c>
    </row>
    <row r="38" spans="1:18" x14ac:dyDescent="0.25">
      <c r="A38">
        <v>281232</v>
      </c>
      <c r="B38" s="12">
        <v>45860</v>
      </c>
      <c r="C38" t="s">
        <v>112</v>
      </c>
      <c r="D38" t="s">
        <v>78</v>
      </c>
      <c r="E38">
        <v>134</v>
      </c>
      <c r="F38" t="s">
        <v>113</v>
      </c>
      <c r="G38" s="13">
        <v>615400</v>
      </c>
      <c r="H38" s="13">
        <v>116930</v>
      </c>
      <c r="I38" s="13">
        <v>47500</v>
      </c>
      <c r="J38" s="13">
        <v>0</v>
      </c>
      <c r="K38" s="13">
        <v>0</v>
      </c>
      <c r="L38" s="13">
        <v>0</v>
      </c>
      <c r="M38" s="13">
        <v>45000</v>
      </c>
      <c r="N38" s="13">
        <v>8550</v>
      </c>
      <c r="O38" s="13">
        <v>833380</v>
      </c>
      <c r="P38" s="12">
        <v>45868.452083333301</v>
      </c>
      <c r="Q38" s="12">
        <v>45874.377083333296</v>
      </c>
      <c r="R38" s="27" t="s">
        <v>75</v>
      </c>
    </row>
    <row r="39" spans="1:18" x14ac:dyDescent="0.25">
      <c r="A39">
        <v>281878</v>
      </c>
      <c r="B39" s="12">
        <v>45861</v>
      </c>
      <c r="C39" t="s">
        <v>114</v>
      </c>
      <c r="D39" t="s">
        <v>78</v>
      </c>
      <c r="E39">
        <v>134</v>
      </c>
      <c r="F39" t="s">
        <v>115</v>
      </c>
      <c r="G39" s="13">
        <v>696200</v>
      </c>
      <c r="H39" s="13">
        <v>132280</v>
      </c>
      <c r="I39" s="13">
        <v>47500</v>
      </c>
      <c r="J39" s="13">
        <v>0</v>
      </c>
      <c r="K39" s="13">
        <v>0</v>
      </c>
      <c r="L39" s="13">
        <v>0</v>
      </c>
      <c r="M39" s="13">
        <v>45000</v>
      </c>
      <c r="N39" s="13">
        <v>8550</v>
      </c>
      <c r="O39" s="13">
        <v>929530</v>
      </c>
      <c r="P39" s="12">
        <v>45868.452083333301</v>
      </c>
      <c r="Q39" s="12">
        <v>45874.377083333296</v>
      </c>
      <c r="R39" s="27" t="s">
        <v>75</v>
      </c>
    </row>
    <row r="40" spans="1:18" x14ac:dyDescent="0.25">
      <c r="A40">
        <v>281880</v>
      </c>
      <c r="B40" s="12">
        <v>45861</v>
      </c>
      <c r="C40" t="s">
        <v>116</v>
      </c>
      <c r="D40" t="s">
        <v>78</v>
      </c>
      <c r="E40">
        <v>134</v>
      </c>
      <c r="F40" t="s">
        <v>117</v>
      </c>
      <c r="G40" s="13">
        <v>696200</v>
      </c>
      <c r="H40" s="13">
        <v>132280</v>
      </c>
      <c r="I40" s="13">
        <v>47500</v>
      </c>
      <c r="J40" s="13">
        <v>0</v>
      </c>
      <c r="K40" s="13">
        <v>0</v>
      </c>
      <c r="L40" s="13">
        <v>0</v>
      </c>
      <c r="M40" s="13">
        <v>45000</v>
      </c>
      <c r="N40" s="13">
        <v>8550</v>
      </c>
      <c r="O40" s="13">
        <v>929530</v>
      </c>
      <c r="P40" s="12">
        <v>45868.452083333301</v>
      </c>
      <c r="Q40" s="12">
        <v>45874.377083333296</v>
      </c>
      <c r="R40" s="27" t="s">
        <v>75</v>
      </c>
    </row>
    <row r="41" spans="1:18" x14ac:dyDescent="0.25">
      <c r="A41">
        <v>281882</v>
      </c>
      <c r="B41" s="12">
        <v>45861</v>
      </c>
      <c r="C41" t="s">
        <v>118</v>
      </c>
      <c r="D41" t="s">
        <v>78</v>
      </c>
      <c r="E41">
        <v>134</v>
      </c>
      <c r="F41" t="s">
        <v>119</v>
      </c>
      <c r="G41" s="13">
        <v>696200</v>
      </c>
      <c r="H41" s="13">
        <v>132280</v>
      </c>
      <c r="I41" s="13">
        <v>47500</v>
      </c>
      <c r="J41" s="13">
        <v>0</v>
      </c>
      <c r="K41" s="13">
        <v>0</v>
      </c>
      <c r="L41" s="13">
        <v>0</v>
      </c>
      <c r="M41" s="13">
        <v>45000</v>
      </c>
      <c r="N41" s="13">
        <v>8550</v>
      </c>
      <c r="O41" s="13">
        <v>929530</v>
      </c>
      <c r="P41" s="12">
        <v>45868.452083333301</v>
      </c>
      <c r="Q41" s="12">
        <v>45874.377083333296</v>
      </c>
      <c r="R41" s="27" t="s">
        <v>75</v>
      </c>
    </row>
    <row r="42" spans="1:18" x14ac:dyDescent="0.25">
      <c r="A42">
        <v>281885</v>
      </c>
      <c r="B42" s="12">
        <v>45861</v>
      </c>
      <c r="C42" t="s">
        <v>120</v>
      </c>
      <c r="D42" t="s">
        <v>78</v>
      </c>
      <c r="E42">
        <v>134</v>
      </c>
      <c r="F42" t="s">
        <v>121</v>
      </c>
      <c r="G42" s="13">
        <v>696200</v>
      </c>
      <c r="H42" s="13">
        <v>132280</v>
      </c>
      <c r="I42" s="13">
        <v>47500</v>
      </c>
      <c r="J42" s="13">
        <v>0</v>
      </c>
      <c r="K42" s="13">
        <v>0</v>
      </c>
      <c r="L42" s="13">
        <v>0</v>
      </c>
      <c r="M42" s="13">
        <v>45000</v>
      </c>
      <c r="N42" s="13">
        <v>8550</v>
      </c>
      <c r="O42" s="13">
        <v>929530</v>
      </c>
      <c r="P42" s="12">
        <v>45868.452083333301</v>
      </c>
      <c r="Q42" s="12">
        <v>45874.377083333296</v>
      </c>
      <c r="R42" s="27" t="s">
        <v>75</v>
      </c>
    </row>
    <row r="43" spans="1:18" x14ac:dyDescent="0.25">
      <c r="A43">
        <v>281886</v>
      </c>
      <c r="B43" s="12">
        <v>45861</v>
      </c>
      <c r="C43" t="s">
        <v>122</v>
      </c>
      <c r="D43" t="s">
        <v>78</v>
      </c>
      <c r="E43">
        <v>134</v>
      </c>
      <c r="F43" t="s">
        <v>123</v>
      </c>
      <c r="G43" s="13">
        <v>696200</v>
      </c>
      <c r="H43" s="13">
        <v>132280</v>
      </c>
      <c r="I43" s="13">
        <v>47500</v>
      </c>
      <c r="J43" s="13">
        <v>0</v>
      </c>
      <c r="K43" s="13">
        <v>0</v>
      </c>
      <c r="L43" s="13">
        <v>0</v>
      </c>
      <c r="M43" s="13">
        <v>45000</v>
      </c>
      <c r="N43" s="13">
        <v>8550</v>
      </c>
      <c r="O43" s="13">
        <v>929530</v>
      </c>
      <c r="P43" s="12">
        <v>45868.452083333301</v>
      </c>
      <c r="Q43" s="12">
        <v>45874.377083333296</v>
      </c>
      <c r="R43" s="27" t="s">
        <v>75</v>
      </c>
    </row>
    <row r="44" spans="1:18" x14ac:dyDescent="0.25">
      <c r="A44">
        <v>281888</v>
      </c>
      <c r="B44" s="12">
        <v>45861</v>
      </c>
      <c r="C44" t="s">
        <v>124</v>
      </c>
      <c r="D44" t="s">
        <v>78</v>
      </c>
      <c r="E44">
        <v>134</v>
      </c>
      <c r="F44" t="s">
        <v>125</v>
      </c>
      <c r="G44" s="13">
        <v>696200</v>
      </c>
      <c r="H44" s="13">
        <v>132280</v>
      </c>
      <c r="I44" s="13">
        <v>47500</v>
      </c>
      <c r="J44" s="13">
        <v>0</v>
      </c>
      <c r="K44" s="13">
        <v>0</v>
      </c>
      <c r="L44" s="13">
        <v>0</v>
      </c>
      <c r="M44" s="13">
        <v>45000</v>
      </c>
      <c r="N44" s="13">
        <v>8550</v>
      </c>
      <c r="O44" s="13">
        <v>929530</v>
      </c>
      <c r="P44" s="12">
        <v>45868.452083333301</v>
      </c>
      <c r="Q44" s="12">
        <v>45874.377083333296</v>
      </c>
      <c r="R44" s="27" t="s">
        <v>75</v>
      </c>
    </row>
    <row r="45" spans="1:18" x14ac:dyDescent="0.25">
      <c r="A45">
        <v>281889</v>
      </c>
      <c r="B45" s="12">
        <v>45861</v>
      </c>
      <c r="C45" t="s">
        <v>126</v>
      </c>
      <c r="D45" t="s">
        <v>78</v>
      </c>
      <c r="E45">
        <v>134</v>
      </c>
      <c r="F45" t="s">
        <v>127</v>
      </c>
      <c r="G45" s="13">
        <v>696200</v>
      </c>
      <c r="H45" s="13">
        <v>132280</v>
      </c>
      <c r="I45" s="13">
        <v>47500</v>
      </c>
      <c r="J45" s="13">
        <v>0</v>
      </c>
      <c r="K45" s="13">
        <v>0</v>
      </c>
      <c r="L45" s="13">
        <v>0</v>
      </c>
      <c r="M45" s="13">
        <v>45000</v>
      </c>
      <c r="N45" s="13">
        <v>8550</v>
      </c>
      <c r="O45" s="13">
        <v>929530</v>
      </c>
      <c r="P45" s="12">
        <v>45868.452083333301</v>
      </c>
      <c r="Q45" s="12">
        <v>45874.377083333296</v>
      </c>
      <c r="R45" s="27" t="s">
        <v>75</v>
      </c>
    </row>
    <row r="46" spans="1:18" x14ac:dyDescent="0.25">
      <c r="A46">
        <v>281891</v>
      </c>
      <c r="B46" s="12">
        <v>45861</v>
      </c>
      <c r="C46" t="s">
        <v>128</v>
      </c>
      <c r="D46" t="s">
        <v>78</v>
      </c>
      <c r="E46">
        <v>134</v>
      </c>
      <c r="F46" t="s">
        <v>129</v>
      </c>
      <c r="G46" s="13">
        <v>696200</v>
      </c>
      <c r="H46" s="13">
        <v>132280</v>
      </c>
      <c r="I46" s="13">
        <v>47500</v>
      </c>
      <c r="J46" s="13">
        <v>0</v>
      </c>
      <c r="K46" s="13">
        <v>0</v>
      </c>
      <c r="L46" s="13">
        <v>0</v>
      </c>
      <c r="M46" s="13">
        <v>45000</v>
      </c>
      <c r="N46" s="13">
        <v>8550</v>
      </c>
      <c r="O46" s="13">
        <v>929530</v>
      </c>
      <c r="P46" s="12">
        <v>45868.452083333301</v>
      </c>
      <c r="Q46" s="12">
        <v>45874.377083333296</v>
      </c>
      <c r="R46" s="27" t="s">
        <v>75</v>
      </c>
    </row>
    <row r="47" spans="1:18" x14ac:dyDescent="0.25">
      <c r="A47">
        <v>281894</v>
      </c>
      <c r="B47" s="12">
        <v>45861</v>
      </c>
      <c r="C47" t="s">
        <v>130</v>
      </c>
      <c r="D47" t="s">
        <v>78</v>
      </c>
      <c r="E47">
        <v>134</v>
      </c>
      <c r="F47" t="s">
        <v>131</v>
      </c>
      <c r="G47" s="13">
        <v>696200</v>
      </c>
      <c r="H47" s="13">
        <v>132280</v>
      </c>
      <c r="I47" s="13">
        <v>47500</v>
      </c>
      <c r="J47" s="13">
        <v>0</v>
      </c>
      <c r="K47" s="13">
        <v>0</v>
      </c>
      <c r="L47" s="13">
        <v>0</v>
      </c>
      <c r="M47" s="13">
        <v>45000</v>
      </c>
      <c r="N47" s="13">
        <v>8550</v>
      </c>
      <c r="O47" s="13">
        <v>929530</v>
      </c>
      <c r="P47" s="12">
        <v>45868.452083333301</v>
      </c>
      <c r="Q47" s="12">
        <v>45874.377083333296</v>
      </c>
      <c r="R47" s="27" t="s">
        <v>75</v>
      </c>
    </row>
    <row r="48" spans="1:18" x14ac:dyDescent="0.25">
      <c r="A48">
        <v>281896</v>
      </c>
      <c r="B48" s="12">
        <v>45861</v>
      </c>
      <c r="C48" t="s">
        <v>132</v>
      </c>
      <c r="D48" t="s">
        <v>78</v>
      </c>
      <c r="E48">
        <v>134</v>
      </c>
      <c r="F48" t="s">
        <v>133</v>
      </c>
      <c r="G48" s="13">
        <v>696200</v>
      </c>
      <c r="H48" s="13">
        <v>132280</v>
      </c>
      <c r="I48" s="13">
        <v>47500</v>
      </c>
      <c r="J48" s="13">
        <v>0</v>
      </c>
      <c r="K48" s="13">
        <v>0</v>
      </c>
      <c r="L48" s="13">
        <v>0</v>
      </c>
      <c r="M48" s="13">
        <v>45000</v>
      </c>
      <c r="N48" s="13">
        <v>8550</v>
      </c>
      <c r="O48" s="13">
        <v>929530</v>
      </c>
      <c r="P48" s="12">
        <v>45868.452083333301</v>
      </c>
      <c r="Q48" s="12">
        <v>45874.377083333296</v>
      </c>
      <c r="R48" s="27" t="s">
        <v>75</v>
      </c>
    </row>
    <row r="49" spans="1:18" x14ac:dyDescent="0.25">
      <c r="A49">
        <v>282314</v>
      </c>
      <c r="B49" s="12">
        <v>45862</v>
      </c>
      <c r="C49" t="s">
        <v>134</v>
      </c>
      <c r="D49" t="s">
        <v>135</v>
      </c>
      <c r="E49">
        <v>134</v>
      </c>
      <c r="F49" t="s">
        <v>136</v>
      </c>
      <c r="G49" s="13">
        <v>750900</v>
      </c>
      <c r="H49" s="13">
        <v>142670</v>
      </c>
      <c r="I49" s="13">
        <v>46600</v>
      </c>
      <c r="J49" s="13">
        <v>0</v>
      </c>
      <c r="K49" s="13">
        <v>0</v>
      </c>
      <c r="L49" s="13">
        <v>0</v>
      </c>
      <c r="M49" s="13">
        <v>45000</v>
      </c>
      <c r="N49" s="13">
        <v>8550</v>
      </c>
      <c r="O49" s="13">
        <v>993720</v>
      </c>
      <c r="P49" s="12">
        <v>45862.413194444402</v>
      </c>
      <c r="Q49" s="12">
        <v>45866.377083333296</v>
      </c>
      <c r="R49" s="27" t="s">
        <v>72</v>
      </c>
    </row>
    <row r="50" spans="1:18" x14ac:dyDescent="0.25">
      <c r="A50">
        <v>282727</v>
      </c>
      <c r="B50" s="12">
        <v>45863</v>
      </c>
      <c r="C50" t="s">
        <v>137</v>
      </c>
      <c r="D50" t="s">
        <v>138</v>
      </c>
      <c r="E50">
        <v>19</v>
      </c>
      <c r="F50" t="s">
        <v>139</v>
      </c>
      <c r="G50" s="13">
        <v>530000</v>
      </c>
      <c r="H50" s="13">
        <v>0</v>
      </c>
      <c r="I50" s="13">
        <v>36400</v>
      </c>
      <c r="J50" s="13">
        <v>0</v>
      </c>
      <c r="K50" s="13">
        <v>0</v>
      </c>
      <c r="L50" s="13">
        <v>0</v>
      </c>
      <c r="M50" s="13">
        <v>79600</v>
      </c>
      <c r="N50" s="13">
        <v>15124</v>
      </c>
      <c r="O50" s="13">
        <v>661124</v>
      </c>
      <c r="P50" s="12">
        <v>45868.375</v>
      </c>
      <c r="Q50" s="12">
        <v>45873.416666666701</v>
      </c>
      <c r="R50" s="27" t="s">
        <v>75</v>
      </c>
    </row>
    <row r="51" spans="1:18" x14ac:dyDescent="0.25">
      <c r="A51">
        <v>282825</v>
      </c>
      <c r="B51" s="12">
        <v>45863</v>
      </c>
      <c r="C51" t="s">
        <v>140</v>
      </c>
      <c r="D51" t="s">
        <v>141</v>
      </c>
      <c r="E51">
        <v>134</v>
      </c>
      <c r="F51" t="s">
        <v>142</v>
      </c>
      <c r="G51" s="13">
        <v>1276300</v>
      </c>
      <c r="H51" s="13">
        <v>242500</v>
      </c>
      <c r="I51" s="13">
        <v>70600</v>
      </c>
      <c r="J51" s="13">
        <v>0</v>
      </c>
      <c r="K51" s="13">
        <v>0</v>
      </c>
      <c r="L51" s="13">
        <v>0</v>
      </c>
      <c r="M51" s="13">
        <v>45000</v>
      </c>
      <c r="N51" s="13">
        <v>8550</v>
      </c>
      <c r="O51" s="13">
        <v>1642950</v>
      </c>
      <c r="P51" s="12">
        <v>45868.452083333301</v>
      </c>
      <c r="Q51" s="12">
        <v>45870.377083333296</v>
      </c>
      <c r="R51" s="27" t="s">
        <v>75</v>
      </c>
    </row>
    <row r="52" spans="1:18" x14ac:dyDescent="0.25">
      <c r="A52">
        <v>282827</v>
      </c>
      <c r="B52" s="12">
        <v>45863</v>
      </c>
      <c r="C52" t="s">
        <v>143</v>
      </c>
      <c r="D52" t="s">
        <v>144</v>
      </c>
      <c r="E52">
        <v>134</v>
      </c>
      <c r="F52" t="s">
        <v>145</v>
      </c>
      <c r="G52" s="13">
        <v>554600</v>
      </c>
      <c r="H52" s="13">
        <v>105370</v>
      </c>
      <c r="I52" s="13">
        <v>45500</v>
      </c>
      <c r="J52" s="13">
        <v>0</v>
      </c>
      <c r="K52" s="13">
        <v>0</v>
      </c>
      <c r="L52" s="13">
        <v>0</v>
      </c>
      <c r="M52" s="13">
        <v>45000</v>
      </c>
      <c r="N52" s="13">
        <v>8550</v>
      </c>
      <c r="O52" s="13">
        <v>759020</v>
      </c>
      <c r="P52" s="12">
        <v>45864.762499999997</v>
      </c>
      <c r="Q52" s="12">
        <v>45866.377083333296</v>
      </c>
      <c r="R52" s="27" t="s">
        <v>72</v>
      </c>
    </row>
    <row r="53" spans="1:18" x14ac:dyDescent="0.25">
      <c r="A53">
        <v>282898</v>
      </c>
      <c r="B53" s="12">
        <v>45863</v>
      </c>
      <c r="C53" t="s">
        <v>146</v>
      </c>
      <c r="D53" t="s">
        <v>138</v>
      </c>
      <c r="E53">
        <v>19</v>
      </c>
      <c r="F53" t="s">
        <v>147</v>
      </c>
      <c r="G53" s="13">
        <v>530000</v>
      </c>
      <c r="H53" s="13">
        <v>0</v>
      </c>
      <c r="I53" s="13">
        <v>36400</v>
      </c>
      <c r="J53" s="13">
        <v>0</v>
      </c>
      <c r="K53" s="13">
        <v>0</v>
      </c>
      <c r="L53" s="13">
        <v>0</v>
      </c>
      <c r="M53" s="13">
        <v>79600</v>
      </c>
      <c r="N53" s="13">
        <v>15124</v>
      </c>
      <c r="O53" s="13">
        <v>661124</v>
      </c>
      <c r="P53" s="12">
        <v>45868.375</v>
      </c>
      <c r="Q53" s="12">
        <v>45873.416666666701</v>
      </c>
      <c r="R53" s="27" t="s">
        <v>75</v>
      </c>
    </row>
    <row r="54" spans="1:18" x14ac:dyDescent="0.25">
      <c r="A54">
        <v>282899</v>
      </c>
      <c r="B54" s="12">
        <v>45863</v>
      </c>
      <c r="C54" t="s">
        <v>148</v>
      </c>
      <c r="D54" t="s">
        <v>138</v>
      </c>
      <c r="E54">
        <v>19</v>
      </c>
      <c r="F54" t="s">
        <v>149</v>
      </c>
      <c r="G54" s="13">
        <v>530000</v>
      </c>
      <c r="H54" s="13">
        <v>0</v>
      </c>
      <c r="I54" s="13">
        <v>36400</v>
      </c>
      <c r="J54" s="13">
        <v>0</v>
      </c>
      <c r="K54" s="13">
        <v>0</v>
      </c>
      <c r="L54" s="13">
        <v>0</v>
      </c>
      <c r="M54" s="13">
        <v>79600</v>
      </c>
      <c r="N54" s="13">
        <v>15124</v>
      </c>
      <c r="O54" s="13">
        <v>661124</v>
      </c>
      <c r="P54" s="12">
        <v>45868.375</v>
      </c>
      <c r="Q54" s="12">
        <v>45873.416666666701</v>
      </c>
      <c r="R54" s="27" t="s">
        <v>75</v>
      </c>
    </row>
    <row r="55" spans="1:18" x14ac:dyDescent="0.25">
      <c r="A55">
        <v>282900</v>
      </c>
      <c r="B55" s="12">
        <v>45863</v>
      </c>
      <c r="C55" t="s">
        <v>150</v>
      </c>
      <c r="D55" t="s">
        <v>138</v>
      </c>
      <c r="E55">
        <v>19</v>
      </c>
      <c r="F55" t="s">
        <v>151</v>
      </c>
      <c r="G55" s="13">
        <v>530000</v>
      </c>
      <c r="H55" s="13">
        <v>0</v>
      </c>
      <c r="I55" s="13">
        <v>36400</v>
      </c>
      <c r="J55" s="13">
        <v>0</v>
      </c>
      <c r="K55" s="13">
        <v>0</v>
      </c>
      <c r="L55" s="13">
        <v>0</v>
      </c>
      <c r="M55" s="13">
        <v>79600</v>
      </c>
      <c r="N55" s="13">
        <v>15124</v>
      </c>
      <c r="O55" s="13">
        <v>661124</v>
      </c>
      <c r="P55" s="12">
        <v>45868.375</v>
      </c>
      <c r="Q55" s="12">
        <v>45873.416666666701</v>
      </c>
      <c r="R55" s="27" t="s">
        <v>75</v>
      </c>
    </row>
    <row r="56" spans="1:18" x14ac:dyDescent="0.25">
      <c r="A56">
        <v>282902</v>
      </c>
      <c r="B56" s="12">
        <v>45863</v>
      </c>
      <c r="C56" t="s">
        <v>152</v>
      </c>
      <c r="D56" t="s">
        <v>153</v>
      </c>
      <c r="E56">
        <v>19</v>
      </c>
      <c r="F56" t="s">
        <v>154</v>
      </c>
      <c r="G56" s="13">
        <v>265000</v>
      </c>
      <c r="H56" s="13">
        <v>0</v>
      </c>
      <c r="I56" s="13">
        <v>24000</v>
      </c>
      <c r="J56" s="13">
        <v>0</v>
      </c>
      <c r="K56" s="13">
        <v>0</v>
      </c>
      <c r="L56" s="13">
        <v>0</v>
      </c>
      <c r="M56" s="13">
        <v>43800</v>
      </c>
      <c r="N56" s="13">
        <v>8322</v>
      </c>
      <c r="O56" s="13">
        <v>341122</v>
      </c>
      <c r="P56" s="12">
        <v>45870.375</v>
      </c>
      <c r="Q56" s="12">
        <v>45870.375</v>
      </c>
      <c r="R56" s="27" t="s">
        <v>75</v>
      </c>
    </row>
    <row r="57" spans="1:18" x14ac:dyDescent="0.25">
      <c r="A57">
        <v>282904</v>
      </c>
      <c r="B57" s="12">
        <v>45863</v>
      </c>
      <c r="C57" t="s">
        <v>155</v>
      </c>
      <c r="D57" t="s">
        <v>153</v>
      </c>
      <c r="E57">
        <v>19</v>
      </c>
      <c r="F57" t="s">
        <v>156</v>
      </c>
      <c r="G57" s="13">
        <v>265000</v>
      </c>
      <c r="H57" s="13">
        <v>0</v>
      </c>
      <c r="I57" s="13">
        <v>24000</v>
      </c>
      <c r="J57" s="13">
        <v>0</v>
      </c>
      <c r="K57" s="13">
        <v>0</v>
      </c>
      <c r="L57" s="13">
        <v>0</v>
      </c>
      <c r="M57" s="13">
        <v>43800</v>
      </c>
      <c r="N57" s="13">
        <v>8322</v>
      </c>
      <c r="O57" s="13">
        <v>341122</v>
      </c>
      <c r="P57" s="12">
        <v>45870.375</v>
      </c>
      <c r="Q57" s="12">
        <v>45870.375</v>
      </c>
      <c r="R57" s="27" t="s">
        <v>75</v>
      </c>
    </row>
    <row r="58" spans="1:18" x14ac:dyDescent="0.25">
      <c r="A58">
        <v>282920</v>
      </c>
      <c r="B58" s="12">
        <v>45863</v>
      </c>
      <c r="C58" t="s">
        <v>152</v>
      </c>
      <c r="D58" t="s">
        <v>157</v>
      </c>
      <c r="E58">
        <v>246</v>
      </c>
      <c r="F58" t="s">
        <v>158</v>
      </c>
      <c r="G58" s="13">
        <v>350000</v>
      </c>
      <c r="H58" s="13">
        <v>0</v>
      </c>
      <c r="I58" s="13">
        <v>12400</v>
      </c>
      <c r="J58" s="13">
        <v>0</v>
      </c>
      <c r="K58" s="13">
        <v>0</v>
      </c>
      <c r="L58" s="13">
        <v>0</v>
      </c>
      <c r="M58" s="13">
        <v>43800</v>
      </c>
      <c r="N58" s="13">
        <v>8322</v>
      </c>
      <c r="O58" s="13">
        <v>414522</v>
      </c>
      <c r="P58" s="12">
        <v>45874.621527777803</v>
      </c>
      <c r="Q58" s="12">
        <v>45874.621527777803</v>
      </c>
      <c r="R58" s="27" t="s">
        <v>75</v>
      </c>
    </row>
    <row r="59" spans="1:18" x14ac:dyDescent="0.25">
      <c r="A59">
        <v>282922</v>
      </c>
      <c r="B59" s="12">
        <v>45863</v>
      </c>
      <c r="C59" t="s">
        <v>155</v>
      </c>
      <c r="D59" t="s">
        <v>157</v>
      </c>
      <c r="E59">
        <v>246</v>
      </c>
      <c r="F59" t="s">
        <v>159</v>
      </c>
      <c r="G59" s="13">
        <v>350000</v>
      </c>
      <c r="H59" s="13">
        <v>0</v>
      </c>
      <c r="I59" s="13">
        <v>12400</v>
      </c>
      <c r="J59" s="13">
        <v>0</v>
      </c>
      <c r="K59" s="13">
        <v>0</v>
      </c>
      <c r="L59" s="13">
        <v>0</v>
      </c>
      <c r="M59" s="13">
        <v>43800</v>
      </c>
      <c r="N59" s="13">
        <v>8322</v>
      </c>
      <c r="O59" s="13">
        <v>414522</v>
      </c>
      <c r="P59" s="12">
        <v>45874.621527777803</v>
      </c>
      <c r="Q59" s="12">
        <v>45874.621527777803</v>
      </c>
      <c r="R59" s="27" t="s">
        <v>75</v>
      </c>
    </row>
    <row r="60" spans="1:18" x14ac:dyDescent="0.25">
      <c r="A60">
        <v>283176</v>
      </c>
      <c r="B60" s="12">
        <v>45866</v>
      </c>
      <c r="C60" t="s">
        <v>137</v>
      </c>
      <c r="D60" t="s">
        <v>138</v>
      </c>
      <c r="E60">
        <v>19</v>
      </c>
      <c r="F60" t="s">
        <v>160</v>
      </c>
      <c r="G60" s="13">
        <v>75000</v>
      </c>
      <c r="H60" s="13">
        <v>0</v>
      </c>
      <c r="I60" s="13">
        <v>0</v>
      </c>
      <c r="J60" s="13">
        <v>0</v>
      </c>
      <c r="K60" s="13">
        <v>0</v>
      </c>
      <c r="L60" s="13">
        <v>60000</v>
      </c>
      <c r="M60" s="13">
        <v>79600</v>
      </c>
      <c r="N60" s="13">
        <v>15124</v>
      </c>
      <c r="O60" s="13">
        <v>229724</v>
      </c>
      <c r="P60" s="12">
        <v>45868.375</v>
      </c>
      <c r="Q60" s="12">
        <v>45870.416666666701</v>
      </c>
      <c r="R60" s="27" t="s">
        <v>75</v>
      </c>
    </row>
    <row r="61" spans="1:18" x14ac:dyDescent="0.25">
      <c r="A61">
        <v>283178</v>
      </c>
      <c r="B61" s="12">
        <v>45866</v>
      </c>
      <c r="C61" t="s">
        <v>146</v>
      </c>
      <c r="D61" t="s">
        <v>138</v>
      </c>
      <c r="E61">
        <v>19</v>
      </c>
      <c r="F61" t="s">
        <v>161</v>
      </c>
      <c r="G61" s="13">
        <v>75000</v>
      </c>
      <c r="H61" s="13">
        <v>0</v>
      </c>
      <c r="I61" s="13">
        <v>0</v>
      </c>
      <c r="J61" s="13">
        <v>0</v>
      </c>
      <c r="K61" s="13">
        <v>0</v>
      </c>
      <c r="L61" s="13">
        <v>60000</v>
      </c>
      <c r="M61" s="13">
        <v>79600</v>
      </c>
      <c r="N61" s="13">
        <v>15124</v>
      </c>
      <c r="O61" s="13">
        <v>229724</v>
      </c>
      <c r="P61" s="12">
        <v>45868.375</v>
      </c>
      <c r="Q61" s="12">
        <v>45870.416666666701</v>
      </c>
      <c r="R61" s="27" t="s">
        <v>75</v>
      </c>
    </row>
    <row r="62" spans="1:18" x14ac:dyDescent="0.25">
      <c r="A62">
        <v>283179</v>
      </c>
      <c r="B62" s="12">
        <v>45866</v>
      </c>
      <c r="C62" t="s">
        <v>148</v>
      </c>
      <c r="D62" t="s">
        <v>138</v>
      </c>
      <c r="E62">
        <v>19</v>
      </c>
      <c r="F62" t="s">
        <v>162</v>
      </c>
      <c r="G62" s="13">
        <v>75000</v>
      </c>
      <c r="H62" s="13">
        <v>0</v>
      </c>
      <c r="I62" s="13">
        <v>0</v>
      </c>
      <c r="J62" s="13">
        <v>0</v>
      </c>
      <c r="K62" s="13">
        <v>0</v>
      </c>
      <c r="L62" s="13">
        <v>60000</v>
      </c>
      <c r="M62" s="13">
        <v>79600</v>
      </c>
      <c r="N62" s="13">
        <v>15124</v>
      </c>
      <c r="O62" s="13">
        <v>229724</v>
      </c>
      <c r="P62" s="12">
        <v>45868.375</v>
      </c>
      <c r="Q62" s="12">
        <v>45870.416666666701</v>
      </c>
      <c r="R62" s="27" t="s">
        <v>75</v>
      </c>
    </row>
    <row r="63" spans="1:18" x14ac:dyDescent="0.25">
      <c r="A63">
        <v>283182</v>
      </c>
      <c r="B63" s="12">
        <v>45866</v>
      </c>
      <c r="C63" t="s">
        <v>150</v>
      </c>
      <c r="D63" t="s">
        <v>138</v>
      </c>
      <c r="E63">
        <v>19</v>
      </c>
      <c r="F63" t="s">
        <v>163</v>
      </c>
      <c r="G63" s="13">
        <v>75000</v>
      </c>
      <c r="H63" s="13">
        <v>0</v>
      </c>
      <c r="I63" s="13">
        <v>0</v>
      </c>
      <c r="J63" s="13">
        <v>0</v>
      </c>
      <c r="K63" s="13">
        <v>0</v>
      </c>
      <c r="L63" s="13">
        <v>60000</v>
      </c>
      <c r="M63" s="13">
        <v>79600</v>
      </c>
      <c r="N63" s="13">
        <v>15124</v>
      </c>
      <c r="O63" s="13">
        <v>229724</v>
      </c>
      <c r="P63" s="12">
        <v>45868.375</v>
      </c>
      <c r="Q63" s="12">
        <v>45870.416666666701</v>
      </c>
      <c r="R63" s="27" t="s">
        <v>75</v>
      </c>
    </row>
  </sheetData>
  <autoFilter ref="A1:R63" xr:uid="{00000000-0001-0000-0100-000000000000}"/>
  <conditionalFormatting sqref="A1">
    <cfRule type="duplicateValues" dxfId="23" priority="17"/>
    <cfRule type="duplicateValues" dxfId="22" priority="18"/>
  </conditionalFormatting>
  <conditionalFormatting sqref="A2:A18">
    <cfRule type="duplicateValues" dxfId="21" priority="14"/>
    <cfRule type="duplicateValues" dxfId="20" priority="15"/>
  </conditionalFormatting>
  <conditionalFormatting sqref="A19">
    <cfRule type="duplicateValues" dxfId="19" priority="11"/>
    <cfRule type="duplicateValues" dxfId="18" priority="12"/>
  </conditionalFormatting>
  <conditionalFormatting sqref="A20">
    <cfRule type="duplicateValues" dxfId="17" priority="7"/>
    <cfRule type="duplicateValues" dxfId="16" priority="8"/>
  </conditionalFormatting>
  <conditionalFormatting sqref="A21:A48">
    <cfRule type="duplicateValues" dxfId="15" priority="4"/>
    <cfRule type="duplicateValues" dxfId="14" priority="5"/>
  </conditionalFormatting>
  <conditionalFormatting sqref="A49:A63">
    <cfRule type="duplicateValues" dxfId="13" priority="1"/>
    <cfRule type="duplicateValues" dxfId="12" priority="2"/>
  </conditionalFormatting>
  <conditionalFormatting sqref="F1">
    <cfRule type="duplicateValues" dxfId="11" priority="16"/>
  </conditionalFormatting>
  <conditionalFormatting sqref="F2:F18">
    <cfRule type="duplicateValues" dxfId="10" priority="13"/>
  </conditionalFormatting>
  <conditionalFormatting sqref="F19">
    <cfRule type="duplicateValues" dxfId="9" priority="10"/>
  </conditionalFormatting>
  <conditionalFormatting sqref="F20">
    <cfRule type="duplicateValues" dxfId="8" priority="9"/>
  </conditionalFormatting>
  <conditionalFormatting sqref="F21:F48">
    <cfRule type="duplicateValues" dxfId="7" priority="6"/>
  </conditionalFormatting>
  <conditionalFormatting sqref="F49:F63">
    <cfRule type="duplicateValues" dxfId="6" priority="3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5"/>
  <sheetViews>
    <sheetView workbookViewId="0">
      <selection activeCell="K12" sqref="K12"/>
    </sheetView>
  </sheetViews>
  <sheetFormatPr baseColWidth="10" defaultRowHeight="15" x14ac:dyDescent="0.25"/>
  <cols>
    <col min="4" max="4" width="50.28515625" bestFit="1" customWidth="1"/>
    <col min="7" max="9" width="14.140625" bestFit="1" customWidth="1"/>
    <col min="13" max="13" width="16.7109375" bestFit="1" customWidth="1"/>
    <col min="16" max="16" width="14.140625" bestFit="1" customWidth="1"/>
    <col min="18" max="18" width="11.7109375" bestFit="1" customWidth="1"/>
  </cols>
  <sheetData>
    <row r="1" spans="1:18" s="28" customFormat="1" ht="26.25" thickBot="1" x14ac:dyDescent="0.25">
      <c r="A1" s="9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13</v>
      </c>
      <c r="M1" s="9" t="s">
        <v>14</v>
      </c>
      <c r="N1" s="9" t="s">
        <v>15</v>
      </c>
      <c r="O1" s="9" t="s">
        <v>16</v>
      </c>
      <c r="P1" s="9" t="s">
        <v>1</v>
      </c>
    </row>
    <row r="2" spans="1:18" s="28" customFormat="1" ht="11.25" x14ac:dyDescent="0.2"/>
    <row r="3" spans="1:18" s="28" customFormat="1" ht="13.5" thickBot="1" x14ac:dyDescent="0.25">
      <c r="A3" s="5"/>
      <c r="B3" s="6" t="s">
        <v>0</v>
      </c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R3" s="49"/>
    </row>
    <row r="4" spans="1:18" ht="15.75" thickTop="1" x14ac:dyDescent="0.25"/>
    <row r="6" spans="1:18" ht="15" customHeight="1" x14ac:dyDescent="0.25">
      <c r="M6" s="29" t="s">
        <v>29</v>
      </c>
      <c r="N6" s="30"/>
      <c r="O6" s="31"/>
    </row>
    <row r="7" spans="1:18" x14ac:dyDescent="0.25">
      <c r="M7" s="32" t="s">
        <v>30</v>
      </c>
      <c r="N7" s="33">
        <v>0.04</v>
      </c>
      <c r="O7" s="34">
        <f>+M3*N7</f>
        <v>0</v>
      </c>
    </row>
    <row r="8" spans="1:18" x14ac:dyDescent="0.25">
      <c r="M8" s="32" t="s">
        <v>31</v>
      </c>
      <c r="N8" s="35">
        <v>5.0000000000000001E-3</v>
      </c>
      <c r="O8" s="34">
        <f>+M3*N8</f>
        <v>0</v>
      </c>
    </row>
    <row r="9" spans="1:18" x14ac:dyDescent="0.25">
      <c r="M9" s="32" t="s">
        <v>32</v>
      </c>
      <c r="N9" s="33">
        <v>0.15</v>
      </c>
      <c r="O9" s="34">
        <f>+N3*N9</f>
        <v>0</v>
      </c>
    </row>
    <row r="10" spans="1:18" x14ac:dyDescent="0.25">
      <c r="M10" s="32" t="s">
        <v>35</v>
      </c>
      <c r="N10" s="48">
        <v>2.9899999999999999E-2</v>
      </c>
      <c r="O10" s="47">
        <f>+P10*N10</f>
        <v>0</v>
      </c>
      <c r="P10" s="50">
        <f>+P3-N3-H3</f>
        <v>0</v>
      </c>
    </row>
    <row r="11" spans="1:18" x14ac:dyDescent="0.25">
      <c r="M11" s="36" t="s">
        <v>33</v>
      </c>
      <c r="N11" s="37"/>
      <c r="O11" s="38">
        <f>+P3-O7-O8-O9-O10</f>
        <v>0</v>
      </c>
    </row>
    <row r="12" spans="1:18" x14ac:dyDescent="0.25">
      <c r="M12" s="39"/>
      <c r="N12" s="40"/>
      <c r="O12" s="34"/>
    </row>
    <row r="13" spans="1:18" x14ac:dyDescent="0.25">
      <c r="M13" s="41"/>
      <c r="N13" s="42"/>
      <c r="O13" s="43"/>
    </row>
    <row r="14" spans="1:18" x14ac:dyDescent="0.25">
      <c r="M14" s="41"/>
      <c r="N14" s="42"/>
      <c r="O14" s="43"/>
    </row>
    <row r="15" spans="1:18" x14ac:dyDescent="0.25">
      <c r="M15" s="44" t="s">
        <v>34</v>
      </c>
      <c r="N15" s="45"/>
      <c r="O15" s="46">
        <f>O11-O13-O14</f>
        <v>0</v>
      </c>
    </row>
  </sheetData>
  <conditionalFormatting sqref="A1">
    <cfRule type="duplicateValues" dxfId="5" priority="13"/>
    <cfRule type="duplicateValues" dxfId="4" priority="14"/>
  </conditionalFormatting>
  <conditionalFormatting sqref="A3">
    <cfRule type="duplicateValues" dxfId="3" priority="10"/>
    <cfRule type="duplicateValues" dxfId="2" priority="11"/>
  </conditionalFormatting>
  <conditionalFormatting sqref="F1">
    <cfRule type="duplicateValues" dxfId="1" priority="15"/>
  </conditionalFormatting>
  <conditionalFormatting sqref="F3">
    <cfRule type="duplicateValues" dxfId="0" priority="1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ESTADO DE CUENTA SENA CAUCA</vt:lpstr>
      <vt:lpstr>ESTADOS</vt:lpstr>
      <vt:lpstr>PAGOS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Cartera BD</dc:creator>
  <cp:lastModifiedBy>Diana Milena Herrera Gaitan</cp:lastModifiedBy>
  <dcterms:created xsi:type="dcterms:W3CDTF">2025-05-06T22:43:15Z</dcterms:created>
  <dcterms:modified xsi:type="dcterms:W3CDTF">2025-08-05T20:42:02Z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2025-08-01T20:29:28Z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dbb36483-2a30-4ce8-acdb-b72cbb48ad7e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