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24226"/>
  <mc:AlternateContent xmlns:mc="http://schemas.openxmlformats.org/markup-compatibility/2006">
    <mc:Choice Requires="x15">
      <x15ac:absPath xmlns:x15ac="http://schemas.microsoft.com/office/spreadsheetml/2010/11/ac" url="C:\Users\jtarazonac\Downloads\MM+\MODIFICATORIO 1\"/>
    </mc:Choice>
  </mc:AlternateContent>
  <xr:revisionPtr revIDLastSave="0" documentId="8_{E80A33CC-2667-4266-A715-68BDD2B6E32E}" xr6:coauthVersionLast="47" xr6:coauthVersionMax="47" xr10:uidLastSave="{00000000-0000-0000-0000-000000000000}"/>
  <bookViews>
    <workbookView xWindow="-110" yWindow="-110" windowWidth="19420" windowHeight="11500" tabRatio="862" activeTab="2" xr2:uid="{00000000-000D-0000-FFFF-FFFF00000000}"/>
  </bookViews>
  <sheets>
    <sheet name="ANALISIS" sheetId="11" r:id="rId1"/>
    <sheet name="ADICION " sheetId="16" r:id="rId2"/>
    <sheet name="COMPARATIVO" sheetId="15" r:id="rId3"/>
    <sheet name="INCREMENTO" sheetId="17" r:id="rId4"/>
    <sheet name="COT  2025" sheetId="5" r:id="rId5"/>
    <sheet name="COT 2026 " sheetId="8" r:id="rId6"/>
    <sheet name="COPIA - Estudio de mercado" sheetId="12" r:id="rId7"/>
  </sheets>
  <externalReferences>
    <externalReference r:id="rId8"/>
  </externalReferences>
  <definedNames>
    <definedName name="_xlnm._FilterDatabase" localSheetId="6" hidden="1">'COPIA - Estudio de mercado'!$C$2:$AA$40</definedName>
    <definedName name="_xlnm._FilterDatabase" localSheetId="4" hidden="1">'COT  2025'!$C$12:$J$12</definedName>
    <definedName name="_xlnm._FilterDatabase" localSheetId="5" hidden="1">'COT 2026 '!$C$12:$J$51</definedName>
    <definedName name="_xlnm.Print_Area" localSheetId="4">'COT  2025'!$A$1:$J$51</definedName>
    <definedName name="_xlnm.Print_Area" localSheetId="5">'COT 2026 '!$A$1:$J$52</definedName>
    <definedName name="class">#REF!</definedName>
    <definedName name="Compras_Suministro">#REF!</definedName>
    <definedName name="Diseño">#REF!</definedName>
    <definedName name="Honorarios">#REF!</definedName>
    <definedName name="ica">#REF!</definedName>
    <definedName name="Interventoria_Consultoria">#REF!</definedName>
    <definedName name="Obra_Pública">#REF!</definedName>
    <definedName name="OLE_LINK1" localSheetId="4">'COT  2025'!#REF!</definedName>
    <definedName name="OLE_LINK1" localSheetId="5">'COT 2026 '!#REF!</definedName>
    <definedName name="RowTitleRegion1..D18">#REF!</definedName>
    <definedName name="Servicios_Generales">#REF!</definedName>
    <definedName name="Titulo1">#REF!</definedName>
    <definedName name="Titulo2">#REF!</definedName>
    <definedName name="Título3">#REF!</definedName>
    <definedName name="Transporte_Carga">#REF!</definedName>
    <definedName name="Transporte_Restaurant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3" i="5" l="1"/>
  <c r="E46" i="11"/>
  <c r="K33" i="8"/>
  <c r="L33" i="8"/>
  <c r="K34" i="8"/>
  <c r="L34" i="8"/>
  <c r="E20" i="8"/>
  <c r="E19" i="8"/>
  <c r="E18" i="8"/>
  <c r="E14" i="8"/>
  <c r="E13" i="8"/>
  <c r="E20" i="5"/>
  <c r="E19" i="5"/>
  <c r="E18" i="5"/>
  <c r="E14" i="5"/>
  <c r="E13" i="5"/>
  <c r="N26" i="11"/>
  <c r="B35" i="17"/>
  <c r="C3" i="17"/>
  <c r="D3" i="17" s="1"/>
  <c r="C4" i="17"/>
  <c r="D4" i="17" s="1"/>
  <c r="C5" i="17"/>
  <c r="D5" i="17" s="1"/>
  <c r="C6" i="17"/>
  <c r="D6" i="17" s="1"/>
  <c r="C7" i="17"/>
  <c r="D7" i="17" s="1"/>
  <c r="C8" i="17"/>
  <c r="D8" i="17" s="1"/>
  <c r="C9" i="17"/>
  <c r="D9" i="17" s="1"/>
  <c r="C10" i="17"/>
  <c r="D10" i="17" s="1"/>
  <c r="C11" i="17"/>
  <c r="D11" i="17" s="1"/>
  <c r="C12" i="17"/>
  <c r="D12" i="17" s="1"/>
  <c r="C13" i="17"/>
  <c r="D13" i="17" s="1"/>
  <c r="C14" i="17"/>
  <c r="D14" i="17" s="1"/>
  <c r="C15" i="17"/>
  <c r="D15" i="17" s="1"/>
  <c r="C16" i="17"/>
  <c r="D16" i="17" s="1"/>
  <c r="C17" i="17"/>
  <c r="D17" i="17" s="1"/>
  <c r="C18" i="17"/>
  <c r="D18" i="17" s="1"/>
  <c r="C19" i="17"/>
  <c r="D19" i="17" s="1"/>
  <c r="C20" i="17"/>
  <c r="D20" i="17" s="1"/>
  <c r="C21" i="17"/>
  <c r="D21" i="17" s="1"/>
  <c r="C22" i="17"/>
  <c r="D22" i="17" s="1"/>
  <c r="C23" i="17"/>
  <c r="D23" i="17" s="1"/>
  <c r="C24" i="17"/>
  <c r="D24" i="17" s="1"/>
  <c r="C25" i="17"/>
  <c r="D25" i="17" s="1"/>
  <c r="C30" i="17"/>
  <c r="D30" i="17" s="1"/>
  <c r="C28" i="17"/>
  <c r="D28" i="17" s="1"/>
  <c r="C26" i="17"/>
  <c r="D26" i="17" s="1"/>
  <c r="C27" i="17"/>
  <c r="D27" i="17" s="1"/>
  <c r="C29" i="17"/>
  <c r="D29" i="17" s="1"/>
  <c r="C31" i="17"/>
  <c r="D31" i="17" s="1"/>
  <c r="C32" i="17"/>
  <c r="D32" i="17" s="1"/>
  <c r="C33" i="17"/>
  <c r="D33" i="17" s="1"/>
  <c r="C34" i="17"/>
  <c r="D34" i="17" s="1"/>
  <c r="C2" i="17"/>
  <c r="D2" i="17" s="1"/>
  <c r="J33" i="8" l="1"/>
  <c r="J34" i="8"/>
  <c r="D35" i="17"/>
  <c r="X9" i="12" l="1"/>
  <c r="X10" i="12" l="1"/>
  <c r="X8" i="12"/>
  <c r="X7" i="12"/>
  <c r="X6" i="12"/>
  <c r="O8" i="12"/>
  <c r="O9" i="12"/>
  <c r="G27" i="11" l="1"/>
  <c r="G28" i="11"/>
  <c r="Q27" i="11"/>
  <c r="F6" i="16" l="1"/>
  <c r="F7" i="16"/>
  <c r="F8" i="16"/>
  <c r="F9" i="16"/>
  <c r="F10" i="16"/>
  <c r="F11" i="16"/>
  <c r="F12" i="16"/>
  <c r="F13" i="16"/>
  <c r="F14" i="16"/>
  <c r="F15" i="16"/>
  <c r="F16" i="16"/>
  <c r="F17" i="16"/>
  <c r="F5" i="16"/>
  <c r="F18" i="16" s="1"/>
  <c r="F20" i="16" s="1"/>
  <c r="D31" i="15"/>
  <c r="D28" i="15"/>
  <c r="D29" i="15"/>
  <c r="E28" i="15" l="1"/>
  <c r="D27" i="15" l="1"/>
  <c r="D26" i="15"/>
  <c r="D33" i="16" l="1"/>
  <c r="E33" i="16" l="1"/>
  <c r="M27" i="11"/>
  <c r="E18" i="16"/>
  <c r="E19" i="16" s="1"/>
  <c r="D18" i="16"/>
  <c r="D20" i="16" s="1"/>
  <c r="G15" i="16"/>
  <c r="G14" i="16"/>
  <c r="G13" i="16"/>
  <c r="G12" i="16"/>
  <c r="G11" i="16"/>
  <c r="G10" i="16"/>
  <c r="G9" i="16"/>
  <c r="G8" i="16"/>
  <c r="H8" i="16" s="1"/>
  <c r="G16" i="16" l="1"/>
  <c r="G17" i="16"/>
  <c r="H10" i="16"/>
  <c r="G6" i="16"/>
  <c r="H6" i="16" s="1"/>
  <c r="G7" i="16"/>
  <c r="H7" i="16" s="1"/>
  <c r="N27" i="11"/>
  <c r="O27" i="11" s="1"/>
  <c r="H27" i="11"/>
  <c r="I27" i="11" s="1"/>
  <c r="J27" i="11" s="1"/>
  <c r="H9" i="16"/>
  <c r="H15" i="16"/>
  <c r="G5" i="16"/>
  <c r="G18" i="16" s="1"/>
  <c r="H18" i="16" s="1"/>
  <c r="H16" i="16"/>
  <c r="H11" i="16"/>
  <c r="H17" i="16"/>
  <c r="H13" i="16"/>
  <c r="H12" i="16"/>
  <c r="H14" i="16"/>
  <c r="H5" i="16" l="1"/>
  <c r="M39" i="12" l="1"/>
  <c r="L39" i="12"/>
  <c r="K39" i="12"/>
  <c r="J39" i="12"/>
  <c r="I39" i="12"/>
  <c r="H39" i="12"/>
  <c r="G39" i="12"/>
  <c r="M38" i="12"/>
  <c r="L38" i="12"/>
  <c r="K38" i="12"/>
  <c r="J38" i="12"/>
  <c r="I38" i="12"/>
  <c r="H38" i="12"/>
  <c r="G38" i="12"/>
  <c r="M37" i="12"/>
  <c r="L37" i="12"/>
  <c r="K37" i="12"/>
  <c r="J37" i="12"/>
  <c r="I37" i="12"/>
  <c r="H37" i="12"/>
  <c r="G37" i="12"/>
  <c r="X37" i="12" s="1"/>
  <c r="Z37" i="12" s="1"/>
  <c r="AA37" i="12" s="1"/>
  <c r="M36" i="12"/>
  <c r="L36" i="12"/>
  <c r="K36" i="12"/>
  <c r="J36" i="12"/>
  <c r="I36" i="12"/>
  <c r="H36" i="12"/>
  <c r="G36" i="12"/>
  <c r="O36" i="12" s="1"/>
  <c r="M35" i="12"/>
  <c r="L35" i="12"/>
  <c r="K35" i="12"/>
  <c r="J35" i="12"/>
  <c r="I35" i="12"/>
  <c r="H35" i="12"/>
  <c r="G35" i="12"/>
  <c r="O35" i="12" s="1"/>
  <c r="M34" i="12"/>
  <c r="L34" i="12"/>
  <c r="K34" i="12"/>
  <c r="J34" i="12"/>
  <c r="I34" i="12"/>
  <c r="H34" i="12"/>
  <c r="G34" i="12"/>
  <c r="O34" i="12" s="1"/>
  <c r="M33" i="12"/>
  <c r="L33" i="12"/>
  <c r="K33" i="12"/>
  <c r="J33" i="12"/>
  <c r="I33" i="12"/>
  <c r="H33" i="12"/>
  <c r="G33" i="12"/>
  <c r="O33" i="12" s="1"/>
  <c r="M32" i="12"/>
  <c r="L32" i="12"/>
  <c r="K32" i="12"/>
  <c r="J32" i="12"/>
  <c r="I32" i="12"/>
  <c r="H32" i="12"/>
  <c r="G32" i="12"/>
  <c r="M31" i="12"/>
  <c r="L31" i="12"/>
  <c r="K31" i="12"/>
  <c r="J31" i="12"/>
  <c r="I31" i="12"/>
  <c r="H31" i="12"/>
  <c r="G31" i="12"/>
  <c r="M30" i="12"/>
  <c r="L30" i="12"/>
  <c r="K30" i="12"/>
  <c r="J30" i="12"/>
  <c r="I30" i="12"/>
  <c r="H30" i="12"/>
  <c r="G30" i="12"/>
  <c r="N30" i="12" s="1"/>
  <c r="M29" i="12"/>
  <c r="X29" i="12" s="1"/>
  <c r="L29" i="12"/>
  <c r="K29" i="12"/>
  <c r="J29" i="12"/>
  <c r="I29" i="12"/>
  <c r="H29" i="12"/>
  <c r="G29" i="12"/>
  <c r="M28" i="12"/>
  <c r="L28" i="12"/>
  <c r="K28" i="12"/>
  <c r="J28" i="12"/>
  <c r="I28" i="12"/>
  <c r="H28" i="12"/>
  <c r="G28" i="12"/>
  <c r="X28" i="12" s="1"/>
  <c r="M27" i="12"/>
  <c r="L27" i="12"/>
  <c r="K27" i="12"/>
  <c r="J27" i="12"/>
  <c r="I27" i="12"/>
  <c r="H27" i="12"/>
  <c r="G27" i="12"/>
  <c r="M26" i="12"/>
  <c r="L26" i="12"/>
  <c r="K26" i="12"/>
  <c r="J26" i="12"/>
  <c r="I26" i="12"/>
  <c r="H26" i="12"/>
  <c r="G26" i="12"/>
  <c r="M25" i="12"/>
  <c r="L25" i="12"/>
  <c r="O25" i="12" s="1"/>
  <c r="K25" i="12"/>
  <c r="J25" i="12"/>
  <c r="I25" i="12"/>
  <c r="H25" i="12"/>
  <c r="G25" i="12"/>
  <c r="M24" i="12"/>
  <c r="L24" i="12"/>
  <c r="K24" i="12"/>
  <c r="J24" i="12"/>
  <c r="I24" i="12"/>
  <c r="H24" i="12"/>
  <c r="G24" i="12"/>
  <c r="M23" i="12"/>
  <c r="L23" i="12"/>
  <c r="K23" i="12"/>
  <c r="X23" i="12" s="1"/>
  <c r="J23" i="12"/>
  <c r="I23" i="12"/>
  <c r="H23" i="12"/>
  <c r="G23" i="12"/>
  <c r="M22" i="12"/>
  <c r="L22" i="12"/>
  <c r="K22" i="12"/>
  <c r="J22" i="12"/>
  <c r="I22" i="12"/>
  <c r="H22" i="12"/>
  <c r="G22" i="12"/>
  <c r="X22" i="12" s="1"/>
  <c r="M21" i="12"/>
  <c r="L21" i="12"/>
  <c r="K21" i="12"/>
  <c r="J21" i="12"/>
  <c r="I21" i="12"/>
  <c r="H21" i="12"/>
  <c r="G21" i="12"/>
  <c r="M20" i="12"/>
  <c r="L20" i="12"/>
  <c r="K20" i="12"/>
  <c r="J20" i="12"/>
  <c r="I20" i="12"/>
  <c r="H20" i="12"/>
  <c r="G20" i="12"/>
  <c r="N20" i="12" s="1"/>
  <c r="M19" i="12"/>
  <c r="L19" i="12"/>
  <c r="K19" i="12"/>
  <c r="J19" i="12"/>
  <c r="I19" i="12"/>
  <c r="H19" i="12"/>
  <c r="G19" i="12"/>
  <c r="M18" i="12"/>
  <c r="L18" i="12"/>
  <c r="K18" i="12"/>
  <c r="J18" i="12"/>
  <c r="I18" i="12"/>
  <c r="H18" i="12"/>
  <c r="G18" i="12"/>
  <c r="O18" i="12" s="1"/>
  <c r="M17" i="12"/>
  <c r="L17" i="12"/>
  <c r="K17" i="12"/>
  <c r="J17" i="12"/>
  <c r="I17" i="12"/>
  <c r="H17" i="12"/>
  <c r="G17" i="12"/>
  <c r="X17" i="12" s="1"/>
  <c r="M16" i="12"/>
  <c r="L16" i="12"/>
  <c r="K16" i="12"/>
  <c r="J16" i="12"/>
  <c r="I16" i="12"/>
  <c r="H16" i="12"/>
  <c r="G16" i="12"/>
  <c r="X16" i="12" s="1"/>
  <c r="M15" i="12"/>
  <c r="L15" i="12"/>
  <c r="K15" i="12"/>
  <c r="J15" i="12"/>
  <c r="I15" i="12"/>
  <c r="H15" i="12"/>
  <c r="G15" i="12"/>
  <c r="X15" i="12" s="1"/>
  <c r="M14" i="12"/>
  <c r="L14" i="12"/>
  <c r="K14" i="12"/>
  <c r="J14" i="12"/>
  <c r="I14" i="12"/>
  <c r="H14" i="12"/>
  <c r="G14" i="12"/>
  <c r="N14" i="12" s="1"/>
  <c r="M13" i="12"/>
  <c r="L13" i="12"/>
  <c r="K13" i="12"/>
  <c r="J13" i="12"/>
  <c r="I13" i="12"/>
  <c r="O13" i="12" s="1"/>
  <c r="P13" i="12" s="1"/>
  <c r="H13" i="12"/>
  <c r="G13" i="12"/>
  <c r="N13" i="12" s="1"/>
  <c r="M12" i="12"/>
  <c r="L12" i="12"/>
  <c r="K12" i="12"/>
  <c r="J12" i="12"/>
  <c r="I12" i="12"/>
  <c r="H12" i="12"/>
  <c r="G12" i="12"/>
  <c r="O12" i="12" s="1"/>
  <c r="M11" i="12"/>
  <c r="L11" i="12"/>
  <c r="K11" i="12"/>
  <c r="J11" i="12"/>
  <c r="I11" i="12"/>
  <c r="H11" i="12"/>
  <c r="G11" i="12"/>
  <c r="M10" i="12"/>
  <c r="L10" i="12"/>
  <c r="K10" i="12"/>
  <c r="J10" i="12"/>
  <c r="I10" i="12"/>
  <c r="H10" i="12"/>
  <c r="G10" i="12"/>
  <c r="M9" i="12"/>
  <c r="L9" i="12"/>
  <c r="K9" i="12"/>
  <c r="J9" i="12"/>
  <c r="I9" i="12"/>
  <c r="H9" i="12"/>
  <c r="G9" i="12"/>
  <c r="M8" i="12"/>
  <c r="L8" i="12"/>
  <c r="K8" i="12"/>
  <c r="J8" i="12"/>
  <c r="I8" i="12"/>
  <c r="H8" i="12"/>
  <c r="G8" i="12"/>
  <c r="T8" i="12" s="1"/>
  <c r="M7" i="12"/>
  <c r="L7" i="12"/>
  <c r="K7" i="12"/>
  <c r="J7" i="12"/>
  <c r="I7" i="12"/>
  <c r="H7" i="12"/>
  <c r="Z7" i="12" s="1"/>
  <c r="AA7" i="12" s="1"/>
  <c r="G7" i="12"/>
  <c r="M6" i="12"/>
  <c r="L6" i="12"/>
  <c r="K6" i="12"/>
  <c r="J6" i="12"/>
  <c r="I6" i="12"/>
  <c r="H6" i="12"/>
  <c r="G6" i="12"/>
  <c r="M5" i="12"/>
  <c r="L5" i="12"/>
  <c r="K5" i="12"/>
  <c r="J5" i="12"/>
  <c r="I5" i="12"/>
  <c r="H5" i="12"/>
  <c r="G5" i="12"/>
  <c r="N5" i="12" s="1"/>
  <c r="M4" i="12"/>
  <c r="L4" i="12"/>
  <c r="K4" i="12"/>
  <c r="J4" i="12"/>
  <c r="I4" i="12"/>
  <c r="H4" i="12"/>
  <c r="G4" i="12"/>
  <c r="O4" i="12" s="1"/>
  <c r="N9" i="11"/>
  <c r="O9" i="11" s="1"/>
  <c r="N10" i="11"/>
  <c r="O10" i="11" s="1"/>
  <c r="N11" i="11"/>
  <c r="O11" i="11" s="1"/>
  <c r="N13" i="11"/>
  <c r="O13" i="11" s="1"/>
  <c r="N15" i="11"/>
  <c r="O15" i="11" s="1"/>
  <c r="N16" i="11"/>
  <c r="O16" i="11" s="1"/>
  <c r="M19" i="11"/>
  <c r="N19" i="11" s="1"/>
  <c r="O19" i="11" s="1"/>
  <c r="M20" i="11"/>
  <c r="N20" i="11" s="1"/>
  <c r="O20" i="11" s="1"/>
  <c r="M21" i="11"/>
  <c r="N21" i="11" s="1"/>
  <c r="O21" i="11" s="1"/>
  <c r="M22" i="11"/>
  <c r="N22" i="11" s="1"/>
  <c r="O22" i="11" s="1"/>
  <c r="M23" i="11"/>
  <c r="N23" i="11" s="1"/>
  <c r="O23" i="11" s="1"/>
  <c r="M24" i="11"/>
  <c r="N24" i="11" s="1"/>
  <c r="O24" i="11" s="1"/>
  <c r="M25" i="11"/>
  <c r="N25" i="11" s="1"/>
  <c r="O25" i="11" s="1"/>
  <c r="D10" i="15" s="1"/>
  <c r="O26" i="11"/>
  <c r="M29" i="11"/>
  <c r="N29" i="11" s="1"/>
  <c r="O29" i="11" s="1"/>
  <c r="M30" i="11"/>
  <c r="N30" i="11" s="1"/>
  <c r="O30" i="11" s="1"/>
  <c r="M33" i="11"/>
  <c r="N33" i="11" s="1"/>
  <c r="O33" i="11" s="1"/>
  <c r="M35" i="11"/>
  <c r="N35" i="11" s="1"/>
  <c r="O35" i="11" s="1"/>
  <c r="M36" i="11"/>
  <c r="N36" i="11" s="1"/>
  <c r="O36" i="11" s="1"/>
  <c r="M37" i="11"/>
  <c r="N37" i="11" s="1"/>
  <c r="O37" i="11" s="1"/>
  <c r="M38" i="11"/>
  <c r="N38" i="11" s="1"/>
  <c r="O38" i="11" s="1"/>
  <c r="M39" i="11"/>
  <c r="N39" i="11" s="1"/>
  <c r="O39" i="11" s="1"/>
  <c r="D15" i="15" s="1"/>
  <c r="N40" i="11"/>
  <c r="O40" i="11" s="1"/>
  <c r="N41" i="11"/>
  <c r="O41" i="11" s="1"/>
  <c r="N42" i="11"/>
  <c r="O42" i="11" s="1"/>
  <c r="N43" i="11"/>
  <c r="O43" i="11" s="1"/>
  <c r="N7" i="11"/>
  <c r="O7" i="11" s="1"/>
  <c r="G8" i="11"/>
  <c r="I8" i="11" s="1"/>
  <c r="J8" i="11" s="1"/>
  <c r="G9" i="11"/>
  <c r="I9" i="11" s="1"/>
  <c r="J9" i="11" s="1"/>
  <c r="G10" i="11"/>
  <c r="I10" i="11" s="1"/>
  <c r="J10" i="11" s="1"/>
  <c r="G11" i="11"/>
  <c r="I11" i="11" s="1"/>
  <c r="J11" i="11" s="1"/>
  <c r="G12" i="11"/>
  <c r="I12" i="11" s="1"/>
  <c r="J12" i="11" s="1"/>
  <c r="G13" i="11"/>
  <c r="I13" i="11" s="1"/>
  <c r="J13" i="11" s="1"/>
  <c r="G14" i="11"/>
  <c r="I14" i="11" s="1"/>
  <c r="J14" i="11" s="1"/>
  <c r="G15" i="11"/>
  <c r="I15" i="11" s="1"/>
  <c r="J15" i="11" s="1"/>
  <c r="G16" i="11"/>
  <c r="I16" i="11" s="1"/>
  <c r="J16" i="11" s="1"/>
  <c r="G17" i="11"/>
  <c r="I17" i="11" s="1"/>
  <c r="J17" i="11" s="1"/>
  <c r="G18" i="11"/>
  <c r="I18" i="11" s="1"/>
  <c r="J18" i="11" s="1"/>
  <c r="G19" i="11"/>
  <c r="G20" i="11"/>
  <c r="H20" i="11" s="1"/>
  <c r="I20" i="11" s="1"/>
  <c r="J20" i="11" s="1"/>
  <c r="G21" i="11"/>
  <c r="H21" i="11" s="1"/>
  <c r="I21" i="11" s="1"/>
  <c r="J21" i="11" s="1"/>
  <c r="G22" i="11"/>
  <c r="G23" i="11"/>
  <c r="H23" i="11" s="1"/>
  <c r="I23" i="11" s="1"/>
  <c r="J23" i="11" s="1"/>
  <c r="G24" i="11"/>
  <c r="H24" i="11" s="1"/>
  <c r="I24" i="11" s="1"/>
  <c r="J24" i="11" s="1"/>
  <c r="G25" i="11"/>
  <c r="H25" i="11" s="1"/>
  <c r="I25" i="11" s="1"/>
  <c r="J25" i="11" s="1"/>
  <c r="C10" i="15" s="1"/>
  <c r="G26" i="11"/>
  <c r="I26" i="11" s="1"/>
  <c r="J26" i="11" s="1"/>
  <c r="C11" i="15" s="1"/>
  <c r="G29" i="11"/>
  <c r="H29" i="11" s="1"/>
  <c r="I29" i="11" s="1"/>
  <c r="J29" i="11" s="1"/>
  <c r="G30" i="11"/>
  <c r="H30" i="11" s="1"/>
  <c r="I30" i="11" s="1"/>
  <c r="J30" i="11" s="1"/>
  <c r="G31" i="11"/>
  <c r="H31" i="11" s="1"/>
  <c r="I31" i="11" s="1"/>
  <c r="J31" i="11" s="1"/>
  <c r="G32" i="11"/>
  <c r="H32" i="11" s="1"/>
  <c r="I32" i="11" s="1"/>
  <c r="J32" i="11" s="1"/>
  <c r="G33" i="11"/>
  <c r="H33" i="11" s="1"/>
  <c r="I33" i="11" s="1"/>
  <c r="J33" i="11" s="1"/>
  <c r="G34" i="11"/>
  <c r="H34" i="11" s="1"/>
  <c r="I34" i="11" s="1"/>
  <c r="J34" i="11" s="1"/>
  <c r="G35" i="11"/>
  <c r="H35" i="11" s="1"/>
  <c r="I35" i="11" s="1"/>
  <c r="J35" i="11" s="1"/>
  <c r="G36" i="11"/>
  <c r="H36" i="11" s="1"/>
  <c r="I36" i="11" s="1"/>
  <c r="J36" i="11" s="1"/>
  <c r="G37" i="11"/>
  <c r="G38" i="11"/>
  <c r="H38" i="11" s="1"/>
  <c r="G39" i="11"/>
  <c r="G40" i="11"/>
  <c r="I40" i="11" s="1"/>
  <c r="J40" i="11" s="1"/>
  <c r="G41" i="11"/>
  <c r="G42" i="11"/>
  <c r="I42" i="11" s="1"/>
  <c r="J42" i="11" s="1"/>
  <c r="G43" i="11"/>
  <c r="I43" i="11" s="1"/>
  <c r="J43" i="11" s="1"/>
  <c r="G7" i="11"/>
  <c r="I7" i="11" s="1"/>
  <c r="J7" i="11" s="1"/>
  <c r="M34" i="11"/>
  <c r="N34" i="11" s="1"/>
  <c r="O34" i="11" s="1"/>
  <c r="M32" i="11"/>
  <c r="N32" i="11" s="1"/>
  <c r="O32" i="11" s="1"/>
  <c r="M31" i="11"/>
  <c r="N31" i="11" s="1"/>
  <c r="O31" i="11" s="1"/>
  <c r="M28" i="11"/>
  <c r="N28" i="11" s="1"/>
  <c r="O28" i="11" s="1"/>
  <c r="N18" i="11"/>
  <c r="O18" i="11" s="1"/>
  <c r="N17" i="11"/>
  <c r="O17" i="11" s="1"/>
  <c r="N14" i="11"/>
  <c r="O14" i="11" s="1"/>
  <c r="N12" i="11"/>
  <c r="O12" i="11" s="1"/>
  <c r="N8" i="11"/>
  <c r="O8" i="11" s="1"/>
  <c r="I41" i="11"/>
  <c r="J41" i="11" s="1"/>
  <c r="H28" i="11"/>
  <c r="I28" i="11" s="1"/>
  <c r="J28" i="11" s="1"/>
  <c r="H22" i="11"/>
  <c r="I22" i="11" s="1"/>
  <c r="J22" i="11" s="1"/>
  <c r="D5" i="15" l="1"/>
  <c r="C9" i="15"/>
  <c r="C5" i="15"/>
  <c r="C13" i="15"/>
  <c r="C12" i="15"/>
  <c r="C16" i="15"/>
  <c r="H37" i="11"/>
  <c r="I37" i="11" s="1"/>
  <c r="J37" i="11" s="1"/>
  <c r="C7" i="15"/>
  <c r="D11" i="15"/>
  <c r="O44" i="11"/>
  <c r="D13" i="15"/>
  <c r="D7" i="15"/>
  <c r="D8" i="15"/>
  <c r="D6" i="15"/>
  <c r="D14" i="15"/>
  <c r="D12" i="15"/>
  <c r="Y22" i="12"/>
  <c r="Z22" i="12" s="1"/>
  <c r="AA22" i="12" s="1"/>
  <c r="Q25" i="11"/>
  <c r="R25" i="11" s="1"/>
  <c r="S25" i="11" s="1"/>
  <c r="T25" i="11" s="1"/>
  <c r="U25" i="11" s="1"/>
  <c r="Q13" i="12"/>
  <c r="Y29" i="12"/>
  <c r="Z29" i="12" s="1"/>
  <c r="AA29" i="12" s="1"/>
  <c r="Q33" i="11"/>
  <c r="R33" i="11" s="1"/>
  <c r="S33" i="11" s="1"/>
  <c r="T33" i="11" s="1"/>
  <c r="U33" i="11" s="1"/>
  <c r="Y16" i="12"/>
  <c r="Z16" i="12" s="1"/>
  <c r="AA16" i="12" s="1"/>
  <c r="Q19" i="11"/>
  <c r="Y28" i="12"/>
  <c r="Z28" i="12" s="1"/>
  <c r="AA28" i="12" s="1"/>
  <c r="Q32" i="11"/>
  <c r="Z23" i="12"/>
  <c r="AA23" i="12" s="1"/>
  <c r="R27" i="11"/>
  <c r="S27" i="11" s="1"/>
  <c r="T27" i="11" s="1"/>
  <c r="U27" i="11" s="1"/>
  <c r="Q26" i="11"/>
  <c r="S26" i="11" s="1"/>
  <c r="T26" i="11" s="1"/>
  <c r="U26" i="11" s="1"/>
  <c r="Z10" i="12"/>
  <c r="AA10" i="12" s="1"/>
  <c r="Q13" i="11"/>
  <c r="S13" i="11" s="1"/>
  <c r="T13" i="11" s="1"/>
  <c r="U13" i="11" s="1"/>
  <c r="Y17" i="12"/>
  <c r="Z17" i="12" s="1"/>
  <c r="AA17" i="12" s="1"/>
  <c r="Q20" i="11"/>
  <c r="R20" i="11" s="1"/>
  <c r="Z15" i="12"/>
  <c r="AA15" i="12" s="1"/>
  <c r="Q18" i="11"/>
  <c r="S18" i="11" s="1"/>
  <c r="T18" i="11" s="1"/>
  <c r="U18" i="11" s="1"/>
  <c r="N15" i="12"/>
  <c r="N16" i="12"/>
  <c r="Q16" i="12" s="1"/>
  <c r="N12" i="12"/>
  <c r="O30" i="12"/>
  <c r="Q30" i="12" s="1"/>
  <c r="X39" i="12"/>
  <c r="X34" i="12"/>
  <c r="X4" i="12"/>
  <c r="O6" i="12"/>
  <c r="O20" i="12"/>
  <c r="U20" i="12" s="1"/>
  <c r="X27" i="12"/>
  <c r="N31" i="12"/>
  <c r="Q31" i="12" s="1"/>
  <c r="U10" i="12"/>
  <c r="X14" i="12"/>
  <c r="O23" i="12"/>
  <c r="X25" i="12"/>
  <c r="N27" i="12"/>
  <c r="X5" i="12"/>
  <c r="X12" i="12"/>
  <c r="X18" i="12"/>
  <c r="X21" i="12"/>
  <c r="N25" i="12"/>
  <c r="Q25" i="12" s="1"/>
  <c r="N26" i="12"/>
  <c r="T26" i="12" s="1"/>
  <c r="O29" i="12"/>
  <c r="U29" i="12" s="1"/>
  <c r="U9" i="12"/>
  <c r="U11" i="12"/>
  <c r="N19" i="12"/>
  <c r="T19" i="12" s="1"/>
  <c r="N37" i="12"/>
  <c r="T37" i="12" s="1"/>
  <c r="X32" i="12"/>
  <c r="N4" i="12"/>
  <c r="R4" i="12" s="1"/>
  <c r="N11" i="12"/>
  <c r="X13" i="12"/>
  <c r="O15" i="12"/>
  <c r="O17" i="12"/>
  <c r="O21" i="12"/>
  <c r="X31" i="12"/>
  <c r="X33" i="12"/>
  <c r="X35" i="12"/>
  <c r="O37" i="12"/>
  <c r="U37" i="12" s="1"/>
  <c r="V37" i="12" s="1"/>
  <c r="Q10" i="11"/>
  <c r="S10" i="11" s="1"/>
  <c r="T10" i="11" s="1"/>
  <c r="U10" i="11" s="1"/>
  <c r="X38" i="12"/>
  <c r="Q41" i="11"/>
  <c r="S41" i="11" s="1"/>
  <c r="T41" i="11" s="1"/>
  <c r="U41" i="11" s="1"/>
  <c r="O28" i="12"/>
  <c r="P28" i="12" s="1"/>
  <c r="O32" i="12"/>
  <c r="O22" i="12"/>
  <c r="U22" i="12" s="1"/>
  <c r="O24" i="12"/>
  <c r="X26" i="12"/>
  <c r="X30" i="12"/>
  <c r="O5" i="12"/>
  <c r="Q5" i="12" s="1"/>
  <c r="O10" i="12"/>
  <c r="X11" i="12"/>
  <c r="O19" i="12"/>
  <c r="U19" i="12" s="1"/>
  <c r="O38" i="12"/>
  <c r="U38" i="12" s="1"/>
  <c r="C6" i="15"/>
  <c r="D16" i="15"/>
  <c r="D9" i="15"/>
  <c r="I19" i="11"/>
  <c r="R32" i="11"/>
  <c r="S32" i="11" s="1"/>
  <c r="T32" i="11" s="1"/>
  <c r="H39" i="11"/>
  <c r="I39" i="11" s="1"/>
  <c r="J39" i="11" s="1"/>
  <c r="H19" i="11"/>
  <c r="T15" i="12"/>
  <c r="R15" i="12"/>
  <c r="Q15" i="12"/>
  <c r="U15" i="12"/>
  <c r="V15" i="12" s="1"/>
  <c r="P15" i="12"/>
  <c r="U28" i="12"/>
  <c r="U32" i="12"/>
  <c r="U34" i="12"/>
  <c r="U12" i="12"/>
  <c r="P12" i="12"/>
  <c r="U18" i="12"/>
  <c r="T20" i="12"/>
  <c r="U24" i="12"/>
  <c r="T16" i="12"/>
  <c r="R16" i="12"/>
  <c r="U17" i="12"/>
  <c r="R5" i="12"/>
  <c r="U4" i="12"/>
  <c r="P4" i="12"/>
  <c r="U33" i="12"/>
  <c r="U35" i="12"/>
  <c r="R19" i="12"/>
  <c r="T30" i="12"/>
  <c r="T14" i="12"/>
  <c r="R12" i="12"/>
  <c r="T12" i="12"/>
  <c r="Q12" i="12"/>
  <c r="P30" i="12"/>
  <c r="U21" i="12"/>
  <c r="P21" i="12"/>
  <c r="U36" i="12"/>
  <c r="U6" i="12"/>
  <c r="U23" i="12"/>
  <c r="T27" i="12"/>
  <c r="U5" i="12"/>
  <c r="P5" i="12"/>
  <c r="R25" i="12"/>
  <c r="O26" i="12"/>
  <c r="T5" i="12"/>
  <c r="O7" i="12"/>
  <c r="T13" i="12"/>
  <c r="N21" i="12"/>
  <c r="X24" i="12"/>
  <c r="N32" i="12"/>
  <c r="P32" i="12" s="1"/>
  <c r="N38" i="12"/>
  <c r="O14" i="12"/>
  <c r="O16" i="12"/>
  <c r="X19" i="12"/>
  <c r="O27" i="12"/>
  <c r="Q27" i="12" s="1"/>
  <c r="N39" i="12"/>
  <c r="T4" i="12"/>
  <c r="O31" i="12"/>
  <c r="R13" i="12"/>
  <c r="N9" i="12"/>
  <c r="N22" i="12"/>
  <c r="P22" i="12" s="1"/>
  <c r="N33" i="12"/>
  <c r="P33" i="12" s="1"/>
  <c r="O39" i="12"/>
  <c r="N8" i="12"/>
  <c r="U13" i="12"/>
  <c r="V13" i="12" s="1"/>
  <c r="U25" i="12"/>
  <c r="N17" i="12"/>
  <c r="P17" i="12" s="1"/>
  <c r="N28" i="12"/>
  <c r="X36" i="12"/>
  <c r="Q4" i="12"/>
  <c r="N7" i="12"/>
  <c r="N10" i="12"/>
  <c r="X20" i="12"/>
  <c r="N23" i="12"/>
  <c r="N34" i="12"/>
  <c r="P34" i="12" s="1"/>
  <c r="N18" i="12"/>
  <c r="N29" i="12"/>
  <c r="N6" i="12"/>
  <c r="U8" i="12"/>
  <c r="V8" i="12" s="1"/>
  <c r="O11" i="12"/>
  <c r="P11" i="12" s="1"/>
  <c r="N24" i="12"/>
  <c r="P24" i="12" s="1"/>
  <c r="N35" i="12"/>
  <c r="P35" i="12" s="1"/>
  <c r="N36" i="12"/>
  <c r="P36" i="12" s="1"/>
  <c r="I38" i="11"/>
  <c r="J38" i="11" s="1"/>
  <c r="C14" i="15" s="1"/>
  <c r="E10" i="15" l="1"/>
  <c r="F10" i="15" s="1"/>
  <c r="G10" i="15" s="1"/>
  <c r="J19" i="11"/>
  <c r="J44" i="11" s="1"/>
  <c r="S20" i="11"/>
  <c r="T20" i="11" s="1"/>
  <c r="U20" i="11" s="1"/>
  <c r="Z38" i="12"/>
  <c r="AA38" i="12" s="1"/>
  <c r="Q42" i="11"/>
  <c r="S42" i="11" s="1"/>
  <c r="T42" i="11" s="1"/>
  <c r="U42" i="11" s="1"/>
  <c r="Z11" i="12"/>
  <c r="AA11" i="12" s="1"/>
  <c r="Q14" i="11"/>
  <c r="S14" i="11" s="1"/>
  <c r="T14" i="11" s="1"/>
  <c r="U14" i="11" s="1"/>
  <c r="Z12" i="12"/>
  <c r="AA12" i="12" s="1"/>
  <c r="Q15" i="11"/>
  <c r="S15" i="11" s="1"/>
  <c r="T15" i="11" s="1"/>
  <c r="U15" i="11" s="1"/>
  <c r="T31" i="12"/>
  <c r="Z4" i="12"/>
  <c r="AA4" i="12" s="1"/>
  <c r="Q7" i="11"/>
  <c r="S7" i="11" s="1"/>
  <c r="T7" i="11" s="1"/>
  <c r="Y35" i="12"/>
  <c r="Z35" i="12" s="1"/>
  <c r="AA35" i="12" s="1"/>
  <c r="Q39" i="11"/>
  <c r="R39" i="11" s="1"/>
  <c r="S39" i="11" s="1"/>
  <c r="T39" i="11" s="1"/>
  <c r="E15" i="15" s="1"/>
  <c r="R20" i="12"/>
  <c r="Z39" i="12"/>
  <c r="AA39" i="12" s="1"/>
  <c r="Q43" i="11"/>
  <c r="S43" i="11" s="1"/>
  <c r="T43" i="11" s="1"/>
  <c r="U43" i="11" s="1"/>
  <c r="Q26" i="12"/>
  <c r="Y31" i="12"/>
  <c r="Z31" i="12" s="1"/>
  <c r="AA31" i="12" s="1"/>
  <c r="Q35" i="11"/>
  <c r="R35" i="11" s="1"/>
  <c r="S35" i="11" s="1"/>
  <c r="T35" i="11" s="1"/>
  <c r="U35" i="11" s="1"/>
  <c r="U30" i="12"/>
  <c r="V30" i="12" s="1"/>
  <c r="R27" i="12"/>
  <c r="E11" i="15"/>
  <c r="F11" i="15" s="1"/>
  <c r="G11" i="15" s="1"/>
  <c r="Z8" i="12"/>
  <c r="AA8" i="12" s="1"/>
  <c r="Q11" i="11"/>
  <c r="S11" i="11" s="1"/>
  <c r="T11" i="11" s="1"/>
  <c r="U11" i="11" s="1"/>
  <c r="R19" i="11"/>
  <c r="S19" i="11" s="1"/>
  <c r="T19" i="11" s="1"/>
  <c r="V5" i="12"/>
  <c r="T25" i="12"/>
  <c r="V25" i="12" s="1"/>
  <c r="Z13" i="12"/>
  <c r="AA13" i="12" s="1"/>
  <c r="Q16" i="11"/>
  <c r="S16" i="11" s="1"/>
  <c r="T16" i="11" s="1"/>
  <c r="Y19" i="12"/>
  <c r="Z19" i="12" s="1"/>
  <c r="AA19" i="12" s="1"/>
  <c r="Q22" i="11"/>
  <c r="R22" i="11" s="1"/>
  <c r="S22" i="11" s="1"/>
  <c r="T22" i="11" s="1"/>
  <c r="Q19" i="12"/>
  <c r="Y27" i="12"/>
  <c r="Z27" i="12" s="1"/>
  <c r="AA27" i="12" s="1"/>
  <c r="Q31" i="11"/>
  <c r="R31" i="11" s="1"/>
  <c r="S31" i="11" s="1"/>
  <c r="T31" i="11" s="1"/>
  <c r="U31" i="11" s="1"/>
  <c r="Q20" i="12"/>
  <c r="R31" i="12"/>
  <c r="R26" i="12"/>
  <c r="Y21" i="12"/>
  <c r="Z21" i="12" s="1"/>
  <c r="AA21" i="12" s="1"/>
  <c r="Q24" i="11"/>
  <c r="R24" i="11" s="1"/>
  <c r="S24" i="11" s="1"/>
  <c r="T24" i="11" s="1"/>
  <c r="U24" i="11" s="1"/>
  <c r="Y24" i="12"/>
  <c r="Z24" i="12" s="1"/>
  <c r="AA24" i="12" s="1"/>
  <c r="Q28" i="11"/>
  <c r="Y30" i="12"/>
  <c r="Z30" i="12" s="1"/>
  <c r="AA30" i="12" s="1"/>
  <c r="Q34" i="11"/>
  <c r="Z6" i="12"/>
  <c r="AA6" i="12" s="1"/>
  <c r="Q9" i="11"/>
  <c r="S9" i="11" s="1"/>
  <c r="T9" i="11" s="1"/>
  <c r="U9" i="11" s="1"/>
  <c r="R11" i="12"/>
  <c r="P19" i="12"/>
  <c r="Y26" i="12"/>
  <c r="Z26" i="12" s="1"/>
  <c r="AA26" i="12" s="1"/>
  <c r="Q30" i="11"/>
  <c r="Y25" i="12"/>
  <c r="Z25" i="12" s="1"/>
  <c r="AA25" i="12" s="1"/>
  <c r="Q29" i="11"/>
  <c r="Y34" i="12"/>
  <c r="Z34" i="12" s="1"/>
  <c r="AA34" i="12" s="1"/>
  <c r="Q38" i="11"/>
  <c r="Y18" i="12"/>
  <c r="Z18" i="12" s="1"/>
  <c r="AA18" i="12" s="1"/>
  <c r="Q21" i="11"/>
  <c r="Z5" i="12"/>
  <c r="AA5" i="12" s="1"/>
  <c r="Q8" i="11"/>
  <c r="S8" i="11" s="1"/>
  <c r="T8" i="11" s="1"/>
  <c r="U8" i="11" s="1"/>
  <c r="Q11" i="12"/>
  <c r="R30" i="12"/>
  <c r="Z36" i="12"/>
  <c r="AA36" i="12" s="1"/>
  <c r="Q40" i="11"/>
  <c r="S40" i="11" s="1"/>
  <c r="T40" i="11" s="1"/>
  <c r="P25" i="12"/>
  <c r="P37" i="12"/>
  <c r="Y20" i="12"/>
  <c r="Z20" i="12" s="1"/>
  <c r="AA20" i="12" s="1"/>
  <c r="Q23" i="11"/>
  <c r="R23" i="11" s="1"/>
  <c r="S23" i="11" s="1"/>
  <c r="T23" i="11" s="1"/>
  <c r="U23" i="11" s="1"/>
  <c r="P38" i="12"/>
  <c r="Y32" i="12"/>
  <c r="Z32" i="12" s="1"/>
  <c r="AA32" i="12" s="1"/>
  <c r="Q36" i="11"/>
  <c r="Z14" i="12"/>
  <c r="AA14" i="12" s="1"/>
  <c r="Q17" i="11"/>
  <c r="S17" i="11" s="1"/>
  <c r="T17" i="11" s="1"/>
  <c r="U17" i="11" s="1"/>
  <c r="Q37" i="12"/>
  <c r="Y33" i="12"/>
  <c r="Z33" i="12" s="1"/>
  <c r="AA33" i="12" s="1"/>
  <c r="Q37" i="11"/>
  <c r="P20" i="12"/>
  <c r="R37" i="12"/>
  <c r="C15" i="15"/>
  <c r="U32" i="11"/>
  <c r="T29" i="12"/>
  <c r="V29" i="12" s="1"/>
  <c r="Q29" i="12"/>
  <c r="R29" i="12"/>
  <c r="V17" i="12"/>
  <c r="U39" i="12"/>
  <c r="V39" i="12" s="1"/>
  <c r="P39" i="12"/>
  <c r="P14" i="12"/>
  <c r="U14" i="12"/>
  <c r="V14" i="12" s="1"/>
  <c r="R6" i="12"/>
  <c r="T6" i="12"/>
  <c r="V6" i="12" s="1"/>
  <c r="Q6" i="12"/>
  <c r="T32" i="12"/>
  <c r="V32" i="12" s="1"/>
  <c r="R32" i="12"/>
  <c r="Q32" i="12"/>
  <c r="P29" i="12"/>
  <c r="V19" i="12"/>
  <c r="R23" i="12"/>
  <c r="Q23" i="12"/>
  <c r="T23" i="12"/>
  <c r="V23" i="12" s="1"/>
  <c r="R9" i="12"/>
  <c r="Q9" i="12"/>
  <c r="T9" i="12" s="1"/>
  <c r="T21" i="12"/>
  <c r="V21" i="12" s="1"/>
  <c r="R21" i="12"/>
  <c r="Q21" i="12"/>
  <c r="T38" i="12"/>
  <c r="V38" i="12" s="1"/>
  <c r="R38" i="12"/>
  <c r="Q38" i="12"/>
  <c r="Q18" i="12"/>
  <c r="R18" i="12"/>
  <c r="T18" i="12"/>
  <c r="T33" i="12"/>
  <c r="V33" i="12" s="1"/>
  <c r="R33" i="12"/>
  <c r="Q33" i="12"/>
  <c r="U31" i="12"/>
  <c r="V31" i="12" s="1"/>
  <c r="P31" i="12"/>
  <c r="P23" i="12"/>
  <c r="U7" i="12"/>
  <c r="P7" i="12"/>
  <c r="T34" i="12"/>
  <c r="V34" i="12" s="1"/>
  <c r="R34" i="12"/>
  <c r="Q34" i="12"/>
  <c r="T22" i="12"/>
  <c r="V22" i="12" s="1"/>
  <c r="R22" i="12"/>
  <c r="Q22" i="12"/>
  <c r="U26" i="12"/>
  <c r="V26" i="12" s="1"/>
  <c r="P26" i="12"/>
  <c r="V18" i="12"/>
  <c r="Q14" i="12"/>
  <c r="T28" i="12"/>
  <c r="V28" i="12" s="1"/>
  <c r="R28" i="12"/>
  <c r="Q28" i="12"/>
  <c r="T24" i="12"/>
  <c r="V24" i="12" s="1"/>
  <c r="R24" i="12"/>
  <c r="Q24" i="12"/>
  <c r="T17" i="12"/>
  <c r="R17" i="12"/>
  <c r="Q17" i="12"/>
  <c r="U16" i="12"/>
  <c r="V16" i="12" s="1"/>
  <c r="P16" i="12"/>
  <c r="V20" i="12"/>
  <c r="R14" i="12"/>
  <c r="V4" i="12"/>
  <c r="R8" i="12"/>
  <c r="Q8" i="12"/>
  <c r="R10" i="12"/>
  <c r="Q10" i="12"/>
  <c r="T10" i="12" s="1"/>
  <c r="V10" i="12" s="1"/>
  <c r="T7" i="12"/>
  <c r="R7" i="12"/>
  <c r="Q7" i="12"/>
  <c r="T39" i="12"/>
  <c r="R39" i="12"/>
  <c r="Q39" i="12"/>
  <c r="T36" i="12"/>
  <c r="V36" i="12" s="1"/>
  <c r="R36" i="12"/>
  <c r="Q36" i="12"/>
  <c r="U27" i="12"/>
  <c r="V27" i="12" s="1"/>
  <c r="P27" i="12"/>
  <c r="P18" i="12"/>
  <c r="R35" i="12"/>
  <c r="Q35" i="12"/>
  <c r="T35" i="12"/>
  <c r="V35" i="12" s="1"/>
  <c r="P9" i="12"/>
  <c r="P8" i="12"/>
  <c r="P6" i="12"/>
  <c r="P10" i="12"/>
  <c r="V12" i="12"/>
  <c r="E16" i="15" l="1"/>
  <c r="C8" i="15"/>
  <c r="C17" i="15" s="1"/>
  <c r="F20" i="15" s="1"/>
  <c r="V9" i="12"/>
  <c r="E7" i="15"/>
  <c r="F7" i="15" s="1"/>
  <c r="G7" i="15" s="1"/>
  <c r="U16" i="11"/>
  <c r="E5" i="15"/>
  <c r="U7" i="11"/>
  <c r="R21" i="11"/>
  <c r="S21" i="11"/>
  <c r="T21" i="11" s="1"/>
  <c r="U21" i="11" s="1"/>
  <c r="R28" i="11"/>
  <c r="S28" i="11" s="1"/>
  <c r="T28" i="11" s="1"/>
  <c r="U40" i="11"/>
  <c r="F16" i="15"/>
  <c r="G16" i="15" s="1"/>
  <c r="T11" i="12"/>
  <c r="V11" i="12" s="1"/>
  <c r="R37" i="11"/>
  <c r="S37" i="11" s="1"/>
  <c r="T37" i="11" s="1"/>
  <c r="U37" i="11" s="1"/>
  <c r="U19" i="11"/>
  <c r="R29" i="11"/>
  <c r="S29" i="11" s="1"/>
  <c r="T29" i="11" s="1"/>
  <c r="U29" i="11" s="1"/>
  <c r="R34" i="11"/>
  <c r="S34" i="11"/>
  <c r="T34" i="11" s="1"/>
  <c r="R36" i="11"/>
  <c r="S36" i="11"/>
  <c r="T36" i="11" s="1"/>
  <c r="U36" i="11" s="1"/>
  <c r="U22" i="11"/>
  <c r="E9" i="15"/>
  <c r="F9" i="15" s="1"/>
  <c r="G9" i="15" s="1"/>
  <c r="R38" i="11"/>
  <c r="S38" i="11" s="1"/>
  <c r="T38" i="11" s="1"/>
  <c r="U38" i="11" s="1"/>
  <c r="U39" i="11"/>
  <c r="R30" i="11"/>
  <c r="S30" i="11" s="1"/>
  <c r="T30" i="11" s="1"/>
  <c r="F15" i="15"/>
  <c r="G15" i="15" s="1"/>
  <c r="V7" i="12"/>
  <c r="D23" i="16" l="1"/>
  <c r="E8" i="15"/>
  <c r="F8" i="15" s="1"/>
  <c r="G8" i="15" s="1"/>
  <c r="Q12" i="11"/>
  <c r="S12" i="11" s="1"/>
  <c r="T12" i="11" s="1"/>
  <c r="E6" i="15" s="1"/>
  <c r="Z9" i="12"/>
  <c r="E12" i="15"/>
  <c r="F12" i="15" s="1"/>
  <c r="G12" i="15" s="1"/>
  <c r="U30" i="11"/>
  <c r="E13" i="15"/>
  <c r="F13" i="15" s="1"/>
  <c r="G13" i="15" s="1"/>
  <c r="U28" i="11"/>
  <c r="U34" i="11"/>
  <c r="E14" i="15"/>
  <c r="F14" i="15" s="1"/>
  <c r="G14" i="15" s="1"/>
  <c r="F5" i="15"/>
  <c r="G5" i="15" s="1"/>
  <c r="K13" i="8"/>
  <c r="L49" i="8"/>
  <c r="K49" i="8"/>
  <c r="J49" i="8"/>
  <c r="L48" i="8"/>
  <c r="K48" i="8"/>
  <c r="J48" i="8"/>
  <c r="L47" i="8"/>
  <c r="K47" i="8"/>
  <c r="J47" i="8"/>
  <c r="L46" i="8"/>
  <c r="K46" i="8"/>
  <c r="J46" i="8"/>
  <c r="K45" i="8"/>
  <c r="J45" i="8"/>
  <c r="K44" i="8"/>
  <c r="L44" i="8"/>
  <c r="K43" i="8"/>
  <c r="L43" i="8"/>
  <c r="K42" i="8"/>
  <c r="J42" i="8"/>
  <c r="K41" i="8"/>
  <c r="J41" i="8"/>
  <c r="K40" i="8"/>
  <c r="L40" i="8"/>
  <c r="K39" i="8"/>
  <c r="J39" i="8"/>
  <c r="K38" i="8"/>
  <c r="L38" i="8"/>
  <c r="K37" i="8"/>
  <c r="L37" i="8"/>
  <c r="K36" i="8"/>
  <c r="L36" i="8"/>
  <c r="K35" i="8"/>
  <c r="L35" i="8"/>
  <c r="L32" i="8"/>
  <c r="K32" i="8"/>
  <c r="J32" i="8"/>
  <c r="K31" i="8"/>
  <c r="L31" i="8"/>
  <c r="K30" i="8"/>
  <c r="L30" i="8"/>
  <c r="K29" i="8"/>
  <c r="L29" i="8"/>
  <c r="K28" i="8"/>
  <c r="J28" i="8"/>
  <c r="K27" i="8"/>
  <c r="J27" i="8"/>
  <c r="K26" i="8"/>
  <c r="L26" i="8"/>
  <c r="K25" i="8"/>
  <c r="J25" i="8"/>
  <c r="L24" i="8"/>
  <c r="K24" i="8"/>
  <c r="J24" i="8"/>
  <c r="L23" i="8"/>
  <c r="K23" i="8"/>
  <c r="J23" i="8"/>
  <c r="L22" i="8"/>
  <c r="K22" i="8"/>
  <c r="J22" i="8"/>
  <c r="L21" i="8"/>
  <c r="K21" i="8"/>
  <c r="J21" i="8"/>
  <c r="L20" i="8"/>
  <c r="K20" i="8"/>
  <c r="J20" i="8"/>
  <c r="L19" i="8"/>
  <c r="K19" i="8"/>
  <c r="J19" i="8"/>
  <c r="L18" i="8"/>
  <c r="K18" i="8"/>
  <c r="J18" i="8"/>
  <c r="L17" i="8"/>
  <c r="K17" i="8"/>
  <c r="J17" i="8"/>
  <c r="L16" i="8"/>
  <c r="K16" i="8"/>
  <c r="J16" i="8"/>
  <c r="L15" i="8"/>
  <c r="K15" i="8"/>
  <c r="J15" i="8"/>
  <c r="L14" i="8"/>
  <c r="K14" i="8"/>
  <c r="J14" i="8"/>
  <c r="L13" i="8"/>
  <c r="J13" i="8"/>
  <c r="D24" i="16" l="1"/>
  <c r="E17" i="15"/>
  <c r="D25" i="16"/>
  <c r="AA9" i="12"/>
  <c r="AA40" i="12" s="1"/>
  <c r="T44" i="11"/>
  <c r="U12" i="11"/>
  <c r="U44" i="11" s="1"/>
  <c r="K50" i="8"/>
  <c r="J44" i="8"/>
  <c r="L41" i="8"/>
  <c r="J26" i="8"/>
  <c r="L39" i="8"/>
  <c r="L28" i="8"/>
  <c r="J29" i="8"/>
  <c r="J35" i="8"/>
  <c r="J40" i="8"/>
  <c r="L42" i="8"/>
  <c r="J38" i="8"/>
  <c r="J43" i="8"/>
  <c r="L27" i="8"/>
  <c r="J36" i="8"/>
  <c r="L45" i="8"/>
  <c r="L25" i="8"/>
  <c r="J31" i="8"/>
  <c r="J37" i="8"/>
  <c r="J30" i="8"/>
  <c r="D1" i="11" l="1"/>
  <c r="D34" i="16"/>
  <c r="G33" i="16" s="1"/>
  <c r="J50" i="8"/>
  <c r="F6" i="15"/>
  <c r="G6" i="15" s="1"/>
  <c r="L50" i="8"/>
  <c r="D35" i="16" l="1"/>
  <c r="E34" i="16"/>
  <c r="F17" i="15"/>
  <c r="H31" i="5"/>
  <c r="H30" i="5"/>
  <c r="H29" i="5"/>
  <c r="H28" i="5"/>
  <c r="H27" i="5"/>
  <c r="H26" i="5"/>
  <c r="H25" i="5"/>
  <c r="H35" i="5"/>
  <c r="H36" i="5"/>
  <c r="H17" i="15" l="1"/>
  <c r="G17" i="15"/>
  <c r="K14" i="5"/>
  <c r="L14" i="5"/>
  <c r="K15" i="5"/>
  <c r="L15" i="5"/>
  <c r="K16" i="5"/>
  <c r="L16" i="5"/>
  <c r="K17" i="5"/>
  <c r="L17" i="5"/>
  <c r="K18" i="5"/>
  <c r="L18" i="5"/>
  <c r="K19" i="5"/>
  <c r="L19" i="5"/>
  <c r="K20" i="5"/>
  <c r="L20" i="5"/>
  <c r="K21" i="5"/>
  <c r="L21" i="5"/>
  <c r="K22" i="5"/>
  <c r="L22" i="5"/>
  <c r="K23" i="5"/>
  <c r="L23" i="5"/>
  <c r="K24" i="5"/>
  <c r="L24" i="5"/>
  <c r="K25" i="5"/>
  <c r="K26" i="5"/>
  <c r="K27" i="5"/>
  <c r="K28" i="5"/>
  <c r="K29" i="5"/>
  <c r="K30" i="5"/>
  <c r="K31" i="5"/>
  <c r="K32" i="5"/>
  <c r="L32" i="5"/>
  <c r="K33" i="5"/>
  <c r="K34" i="5"/>
  <c r="K35" i="5"/>
  <c r="K36" i="5"/>
  <c r="K37" i="5"/>
  <c r="K38" i="5"/>
  <c r="K39" i="5"/>
  <c r="K40" i="5"/>
  <c r="K41" i="5"/>
  <c r="K42" i="5"/>
  <c r="K43" i="5"/>
  <c r="K44" i="5"/>
  <c r="K45" i="5"/>
  <c r="L45" i="5"/>
  <c r="K46" i="5"/>
  <c r="L46" i="5"/>
  <c r="K47" i="5"/>
  <c r="L47" i="5"/>
  <c r="K48" i="5"/>
  <c r="L48" i="5"/>
  <c r="L13" i="5"/>
  <c r="K13" i="5"/>
  <c r="I48" i="5"/>
  <c r="J48" i="5" s="1"/>
  <c r="I47" i="5"/>
  <c r="J47" i="5" s="1"/>
  <c r="I46" i="5"/>
  <c r="J46" i="5" s="1"/>
  <c r="I45" i="5"/>
  <c r="J45" i="5" s="1"/>
  <c r="H44" i="5"/>
  <c r="I44" i="5" s="1"/>
  <c r="J44" i="5" s="1"/>
  <c r="H43" i="5"/>
  <c r="I43" i="5" s="1"/>
  <c r="J43" i="5" s="1"/>
  <c r="H42" i="5"/>
  <c r="I42" i="5" s="1"/>
  <c r="J42" i="5" s="1"/>
  <c r="H41" i="5"/>
  <c r="I41" i="5" s="1"/>
  <c r="J41" i="5" s="1"/>
  <c r="H40" i="5"/>
  <c r="I40" i="5" s="1"/>
  <c r="J40" i="5" s="1"/>
  <c r="H39" i="5"/>
  <c r="I39" i="5" s="1"/>
  <c r="J39" i="5" s="1"/>
  <c r="H38" i="5"/>
  <c r="I38" i="5" s="1"/>
  <c r="J38" i="5" s="1"/>
  <c r="H37" i="5"/>
  <c r="I37" i="5" s="1"/>
  <c r="J37" i="5" s="1"/>
  <c r="I36" i="5"/>
  <c r="J36" i="5" s="1"/>
  <c r="I35" i="5"/>
  <c r="J35" i="5" s="1"/>
  <c r="H34" i="5"/>
  <c r="I34" i="5" s="1"/>
  <c r="J34" i="5" s="1"/>
  <c r="H33" i="5"/>
  <c r="I33" i="5" s="1"/>
  <c r="J33" i="5" s="1"/>
  <c r="I32" i="5"/>
  <c r="J32" i="5" s="1"/>
  <c r="I31" i="5"/>
  <c r="J31" i="5" s="1"/>
  <c r="I30" i="5"/>
  <c r="J30" i="5" s="1"/>
  <c r="I29" i="5"/>
  <c r="J29" i="5" s="1"/>
  <c r="I28" i="5"/>
  <c r="J28" i="5" s="1"/>
  <c r="I27" i="5"/>
  <c r="J27" i="5" s="1"/>
  <c r="I26" i="5"/>
  <c r="J26" i="5" s="1"/>
  <c r="I25" i="5"/>
  <c r="J25" i="5" s="1"/>
  <c r="I24" i="5"/>
  <c r="J24" i="5" s="1"/>
  <c r="I23" i="5"/>
  <c r="J23" i="5" s="1"/>
  <c r="I22" i="5"/>
  <c r="J22" i="5" s="1"/>
  <c r="I21" i="5"/>
  <c r="J21" i="5" s="1"/>
  <c r="I20" i="5"/>
  <c r="J20" i="5" s="1"/>
  <c r="I19" i="5"/>
  <c r="J19" i="5" s="1"/>
  <c r="I18" i="5"/>
  <c r="J18" i="5" s="1"/>
  <c r="I17" i="5"/>
  <c r="J17" i="5" s="1"/>
  <c r="I16" i="5"/>
  <c r="J16" i="5" s="1"/>
  <c r="I15" i="5"/>
  <c r="J15" i="5" s="1"/>
  <c r="I14" i="5"/>
  <c r="J14" i="5" s="1"/>
  <c r="I13" i="5"/>
  <c r="J49" i="5" l="1"/>
  <c r="L40" i="5"/>
  <c r="L39" i="5"/>
  <c r="L28" i="5"/>
  <c r="L36" i="5"/>
  <c r="L29" i="5"/>
  <c r="L35" i="5"/>
  <c r="L27" i="5"/>
  <c r="L41" i="5"/>
  <c r="K49" i="5"/>
  <c r="L42" i="5"/>
  <c r="L30" i="5"/>
  <c r="L34" i="5"/>
  <c r="L33" i="5"/>
  <c r="L44" i="5"/>
  <c r="L38" i="5"/>
  <c r="L26" i="5"/>
  <c r="L43" i="5"/>
  <c r="L37" i="5"/>
  <c r="L31" i="5"/>
  <c r="L25" i="5"/>
  <c r="L49" i="5" l="1"/>
</calcChain>
</file>

<file path=xl/sharedStrings.xml><?xml version="1.0" encoding="utf-8"?>
<sst xmlns="http://schemas.openxmlformats.org/spreadsheetml/2006/main" count="600" uniqueCount="162">
  <si>
    <t>Nombre:</t>
  </si>
  <si>
    <t>Descripción del Proceso:</t>
  </si>
  <si>
    <t>Firma Representante legal</t>
  </si>
  <si>
    <t>ITEM</t>
  </si>
  <si>
    <t>UNIDAD DE MEDIDA</t>
  </si>
  <si>
    <t>VALOR DEL IVA</t>
  </si>
  <si>
    <t>VALOR UNITARIO INCLUIDO IVA</t>
  </si>
  <si>
    <t>V/TOTAL INCLUIDO IVA</t>
  </si>
  <si>
    <t>VALOR UNITARIO ANTES DE IVA</t>
  </si>
  <si>
    <t xml:space="preserve">VALOR TOTAL INCLUIDO IVA </t>
  </si>
  <si>
    <t xml:space="preserve">FONDO NACIONAL DEL AHORRO S.A. </t>
  </si>
  <si>
    <t>1. El valor de la oferta económica deber ser expresado en PESOS COLOMBIANOS.
2. Asignar valor en la casilla "Valor Unitario antes de IVA". El " Valor del IVA" corresponde con la regulación tributaria vigente.
3. El oferente deberá tener en cuenta todos los gravámenes, impuestos tasas y demás contribuciones para la estimación del presupuesto.
4. No modificar, agregar o quitar ningún ítem o sub-ítem, so pena de encontrarse inmerso en causal de rechazo.
5. Todos los valores deberán estar ajustados al peso, es decir, sin decimales. Para el efecto, se aplicará la formula redondeo de Excel.
6. No podrá superar los precios unitarios techo o valor unitario de referencia establecidos por la entidad ni tampoco podra ser cero (0) so pena de rechazo por encontrarse inmerso en causal de rechazo.                                                                                                                                                                                                                                                                                                 7. No podrá superar el  Presupuesto Oficial Estimado so pena de encontrarse inmerso en causal de rechazo.
NOTA                        
• El contratista deberá prever la proyección del presupuesto para el plazo de ejecución del contrato. El FNA no asumirán los costos adicionales generados por el IPC de los años subsiguientes o cualquier otro sistema de actualización de precios; en el caso que exista reglamentación gubernamental de incrementos salariales durante la ejecución del contrato, éstos deben ser contemplados por el contratista dentro del valor de la ofertado.
• Tiempo estimado de ejecución: 12 meses.
• Los precios ofertados se deberán mantener durante la ejecución del contrato independientemente de la fecha de inicio de ejecución del contrato.</t>
  </si>
  <si>
    <t>ACTIVIDAD</t>
  </si>
  <si>
    <t>CANT ESTIMADA CONTRATO</t>
  </si>
  <si>
    <t>PLAZO</t>
  </si>
  <si>
    <t xml:space="preserve">MENSAJERIA  </t>
  </si>
  <si>
    <t>URBANO</t>
  </si>
  <si>
    <t>SOBRE MEDIA CARTA Y/O CARTA/COBRO MENSUAL</t>
  </si>
  <si>
    <t>NACIONAL</t>
  </si>
  <si>
    <t>REGIONAL</t>
  </si>
  <si>
    <t>TRAYECTO ESPECIAL</t>
  </si>
  <si>
    <t xml:space="preserve">INTERNACIONAL </t>
  </si>
  <si>
    <t>SERVICIO DE TULAS</t>
  </si>
  <si>
    <t>URBANO (INCLUYE RECEPCIÓN DE TULA EN EL PUNTO DE ATENCIÓN, TRANSPORTE A SITIO DESTINO, LA ENTREGA EFECTIVA DE LA TULA CON SU RESPECTIVO PRECINTO DE SEGURIDAD Y LA GUIA, SE DEBE CONTAR CON EL STOCK DE TULAS NECESARIO PARA LA PRESTACIÓN DEL SERVICIO)</t>
  </si>
  <si>
    <t>TULA (0 a 25KG PROMEDIO) / COBRO MENSUAL</t>
  </si>
  <si>
    <t>NACIONAL (INCLUYE RECEPCIÓN DE TULA EN EL PUNTO DE ATENCIÓN, TRANSPORTE A SITIO DESTINO, LA ENTREGA EFECTIVA DE LA TULA CON SU RESPECTIVO PRECINTO DE SEGURIDAD Y LA GUIA, SE DEBE CONTAR CON EL STOCK DE TULAS NECESARIO PARA LA PRESTACIÓN DEL SERVICIO)</t>
  </si>
  <si>
    <t>REGIONAL (INCLUYE RECEPCIÓN DE TULA EN EL PUNTO DE ATENCIÓN, TRANSPORTE A SITIO DESTINO, LA ENTREGA EFECTIVA DE LA TULA CON SU RESPECTIVO PRECINTO DE SEGURIDAD Y LA GUIA, SE DEBE CONTAR CON EL STOCK DE TULAS NECESARIO PARA LA PRESTACIÓN DEL SERVICIO)</t>
  </si>
  <si>
    <t>TRAYECTO ESPECIAL (INCLUYE RECEPCIÓN DE TULA EN EL PUNTO DE ATENCIÓN, TRANSPORTE A SITIO DESTINO, LA ENTREGA EFECTIVA DE LA TULA CON SU RESPECTIVO PRECINTO DE SEGURIDAD Y LA GUIA, SE DEBE CONTAR CON EL STOCK DE TULAS NECESARIO PARA LA PRESTACIÓN DEL SERVICIO)</t>
  </si>
  <si>
    <t>MENSAJEROS POR DIA PARA DILIGENCIAS NOTARIALES E IMPUESTOS</t>
  </si>
  <si>
    <t>NACIONAL - DILIGENCIAS POR DÍA PARA NOTARIAS Y PRESENTACION DE IMPUESTOS A NIVEL NACIONAL. NO INCLUYE A LA CIUDAD DE BOGOTÁ NI EL DEPARTAMENTO DE CUNDINAMARCA</t>
  </si>
  <si>
    <t xml:space="preserve">TOTAL DE DÍAS MENSAJERO/COBRO POR DILIGENCIA </t>
  </si>
  <si>
    <t>REGIONAL - DILIGENCIAS POR DÍA PARA NOTARIAS Y PRESENTACION DE IMPUESTOS A NIVEL NACIONAL. NO INCLUYE A LA CIUDAD DE BOGOTÁ NI EL DEPARTAMENTO DE CUNDINAMARCA</t>
  </si>
  <si>
    <t>TRAYECTOS ESPECIALES - DILIGENCIAS POR DÍA PARA NOTARIAS Y PRESENTACION DE IMPUESTOS A NIVEL NACIONAL. NO INCLUYE A LA CIUDAD DE BOGOTÁ NI EL DEPARTAMENTO DE CUNDINAMARCA.</t>
  </si>
  <si>
    <t xml:space="preserve">APOYO A FERIAS INMOBILIARIAS </t>
  </si>
  <si>
    <t>REGIONAL (ASISTENCIA A EVENTUALES DILIGENCIAS DE FERIAS INMOBILIARIAS, ACTIVIDAD QUE INCLUYE LOS GASTOS ASOCIADOS AL TRASLADO A LA FERIA)</t>
  </si>
  <si>
    <t>NACIONAL (ASISTENCIA A EVENTUALES DILIGENCIAS DE FERIAS INMOBILIARIAS, ACTIVIDAD QUE INCLUYE LOS GASTOS ASOCIADOS AL TRASLADO A LA FERIA)</t>
  </si>
  <si>
    <t xml:space="preserve">TRAYECTO ESPECIAL (ASISTENCIA A EVENTUALES DILIGENCIAS DE FERIAS INMOBILIARIAS, ACTIVIDAD QUE INCLUYE LOS GASTOS ASOCIADOS AL TRASLADO A LA FERIA) </t>
  </si>
  <si>
    <t>APOYO RADICACIÓN SEDE PRINCIPAL</t>
  </si>
  <si>
    <t>LÍDERES DE RADICACIÓN / COORDINADOR QUE CUENTE CON EQUIPO DE CÓMPUTO, CUENTAS DE CORREO ELECTRÓNICO, 1 ESCÁNER, 1 IMPRESORA TÉRMICA, 1 PISTOLAS LECTORAS Y PAPELERÍA NECESARIA PARA LA OPERACIÓN.</t>
  </si>
  <si>
    <t>APOYO RADICACIÓN/COBRO MENSUAL</t>
  </si>
  <si>
    <t xml:space="preserve">TÉCNICO DE SOPORTE QUE CUENTE CON EQUIPO DE CÓMPUTO PORTATIL.  </t>
  </si>
  <si>
    <t>APOYO CENTROS DE RADICACIÓN</t>
  </si>
  <si>
    <t>MOTORIZADOS</t>
  </si>
  <si>
    <t>URBANO - MENSAJEROS MOTORIZADOS TIEMPO COMPLETO PARA BOGOTA Y SUS ALREDEDORES</t>
  </si>
  <si>
    <t>MOTORIZADO/COBRO MENSUAL</t>
  </si>
  <si>
    <t xml:space="preserve">APOYO A LA GESTIÓN DOCUMENTAL </t>
  </si>
  <si>
    <t xml:space="preserve">ARCHIVO CENTRAL SEDE SAN DIEGO PERSONAL: PERSONAL QUE GESTIONARÁ LAS TRANSFERENCIAS, PRESTAMOS DOCUMENTALES, AUXILIARES DE ARCHIVO QUE INCLUYA EQUIPO DE CÓMPUTO, 1 IMPRESORA, CUENTAS DE CORREO ELECTRÓNICO, EPP (BOTAS, BATA, GUANTES Y TAPABOCAS) Y PAPELERÍA NECESARIA PARA LA OPERACIÓN. SE REQUIERE DE FORMA MINIMA 1 ESCANER PARA TODO EL EQUIPO QUE APOYARÁ LAS ACTIVIDADES REQUERIDAS EN EL PUNTO 2 ANEXO TÉCNICO No 1. </t>
  </si>
  <si>
    <t>APOYO GD/ COBRO MENSUAL</t>
  </si>
  <si>
    <t>ARCHIVO DE GESTIÓN SEDE PRINCIPAL.PERSONAL  QUE GESTIONARÁ LAS TRANSFERENCIAS, PRESTAMOS DOCUMENTALES, AUXILIARES DE ARCHIVO QUE INCLUYA EQUIPO DE CÓMPUTO, 1 IMPRESORA, 1 ESCÁNER, CUENTAS DE CORREO ELECTRÓNICO, EPP (BOTAS, BATA, GUANTES Y TAPABOCAS) Y PAPELERÍA NECESARIA PARA LA OPERACIÓN. REQUERIDA EN EL PUNTO 2 ANEXO TÉCNICO No 1</t>
  </si>
  <si>
    <t xml:space="preserve">APOYO MASIVOS </t>
  </si>
  <si>
    <t xml:space="preserve">APOYO OPERATIVO / COBRO MENSUAL </t>
  </si>
  <si>
    <t xml:space="preserve">AUXILIAR MASIVO CUENTE CON COMPUTADOR, CUENTA DE CORREO, PISTOLA LECTORA Y ESCANER. </t>
  </si>
  <si>
    <t xml:space="preserve">GESTIÓN DE IMPRESIÓN MASIVA </t>
  </si>
  <si>
    <t>HOJA/COBRO MENSUAL</t>
  </si>
  <si>
    <t>ALISTAMIENTO</t>
  </si>
  <si>
    <t>SOBRE/COBRO MENSUAL</t>
  </si>
  <si>
    <t>DISTIRBUCIÓN MASIVA</t>
  </si>
  <si>
    <t xml:space="preserve">URBANA </t>
  </si>
  <si>
    <t xml:space="preserve">NACIONAL </t>
  </si>
  <si>
    <t xml:space="preserve">REGIONAL </t>
  </si>
  <si>
    <t xml:space="preserve">TRAYECTO ESPECIAL  </t>
  </si>
  <si>
    <t>Prestación de los servicios de administración para el manejo integral de la mensajería interna, externa y/o transporte de objetos y/o piezas postales y demás servicios conexos para la adecuada administración documental del Fondo Nacional del Ahorro S.A.</t>
  </si>
  <si>
    <t>Nombre del Oferente</t>
  </si>
  <si>
    <t>NIT</t>
  </si>
  <si>
    <t>Representante Legal</t>
  </si>
  <si>
    <t>C.C</t>
  </si>
  <si>
    <t>TOTAL DE DÍAS ASISTENCIA/COBRO POR TURNO</t>
  </si>
  <si>
    <t xml:space="preserve">ANALISTA MASIVO QUE CUENTE CON COMPUTADOR, CUENTA DE CORREO Y PISTOLA LECTORA </t>
  </si>
  <si>
    <t>RECIBOS DE PAGO DE CRÉDITOS: IMPRESIÓN EN PAPEL LASER DE 75 GRS, PRE-IMPRESO A 4X4 TINTA IMPRESIÓN VARIABLE DÚPLEX</t>
  </si>
  <si>
    <t>PROYECCIÓN ANUAL DE PAGOS (EL ENVÍO SE REALIZA CON LA FACTURA DE CRÉDITO DEL MES DE ENERO): IMPRESIÓN EN PAPEL LASER DE 75 GRS, PRE-IMPRESO A 4X4 TINTA IMPRESIÓN VARIABLE DÚPLEX</t>
  </si>
  <si>
    <t>IMPRESIÓN DE SOBRES PARA FACTURAS DE CRÉDITOS:SOBRE MEDIA CARTA, IMPRESIÓN A 4X0 TINTAS, ARMADO TROQUELADO PARA MASIVOS.</t>
  </si>
  <si>
    <t>EXTRACTOS DE CESANTÍAS Y AVC: IMPRESIÓN EN PAPEL LASER 75 GR, PRE-IMPRESO 4X4 FULL COLOR, DÚPLEX, TAMAÑO OFICIO Y/O CARTA, AUTOENSOBRADO.</t>
  </si>
  <si>
    <t>EXTRACTOS REPORTE ANUAL DE COSTOS: IMPRESIÓN EN PAPEL LASER 75 GR, PRE-IMPRESO 4X4 FULL COLOR, DÚPLEX, TAMAÑO OFICIO Y/O CARTA, AUTOENSOBRADO.</t>
  </si>
  <si>
    <t>EXTRACTO/COBRO MENSUAL</t>
  </si>
  <si>
    <t>HABEAS DATA: IMPRESIÓN EN PAPEL LASER DE 75 GRS IMPRESIÓN VARIABLE SIMPLEX.</t>
  </si>
  <si>
    <t>PÓLIZAS: SEMESTRAL. IMPRESIÓN EN PAPEL LASER DE 75 GRS, PRE-IMPRESO A 4X4 TINTA IMPRESIÓN VARIABLE DÚPLEX.</t>
  </si>
  <si>
    <t>POLIZA/COBRO SEMESTRAL</t>
  </si>
  <si>
    <t>AUXILIARES DE RADICACIÓN, TÉCNICOS DE RADICACIÓN, 1 IMPRESORA, 5 ESCÁNER, 8 IMPRESORA TÉRMICA, 4 PISTOLAS LECTORAS Y PAPELERÍA NECESARIA PARA LA OPERACIÓN..</t>
  </si>
  <si>
    <t>APOYO EN LOS CENTROS DE RADICACIÓN EN LOS PUNTOS DE ATENCIÓN: BOGOTÁ: CNA Y PUNTO ANGEL CAN, SUBA, SOACHA, MEDELLÍN, VIVA BARRANQUILLA, BUCARAMANGA, CALI AMÉRICAS, CALI GUADALUPE, PEREIRA, GIRARDOT, VILLAVICENCIO, MAYORCA (MEDELLÍN), VALLEDUPAR, SANTA MARTA, TUNJA, CÚCUTA, NEIVA, SOLEDAD, IBAGUÉ, MANIZALES, CARTAGENA, POPAYÁN, PASTO, APARTADO, MONTERÍA. INCLUYE AUXILIARES DE RADICACIÓN QUE CUENTEN CON EQUIPO DE CÓMPUTO, CUENTAS DE CORREO ELECTRÓNICO, IMPRESORA, ESCÁNER, IMPRESORA TÉRMICA, PISTOLA LECTORA Y PAPELERÍA NECESARIA PARA LA OPERACIÓN.</t>
  </si>
  <si>
    <t>SE REALIZA POR HOJA EFECTIVAMENTE IMPRESA, ESTE SERVICIO</t>
  </si>
  <si>
    <t>FORMATO COTIZACIÓN</t>
  </si>
  <si>
    <t>Adicionalmente, declaro:
a) Que los valores registrados en la presente oferta económica incluyen todos los costos, impuestos, gastos y erogaciones en los que incurra para el cumplimiento, cabal e íntegro cumplimiento de la presente propuesta, y por lo tanto EL FONDO NACIONAL DEL AHORRO no deberá reconocernos ningún valor adicional al que hemos registrado en la presente oferta, y por ningún concepto y no serán aumentados en ninguna forma durante la ejecución del contrato.
b) Que he leído cuidadosamente los documentos del FNA y elaboré mi propuesta ajustada a los mismos.
c) Que nos comprometemos a proveer al FONDO NACIONAL DEL AHORRO, en caso de resultar aceptada la presente, todos los servicios que hacen parte de la ofertar, la justificación de la necesidad y a garantizar la calidad de estos.
d) Manifestamos que hemos realizado el examen completo y cuidadoso, y que hemos investigado plenamente las condiciones del contrato que nos comprometemos a ejecutar,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 los cuales se encuentran incluidos en los términos de nuestra propuesta.
e) Que los valores registrados en la presente oferta económica contienen las condiciones y especificaciones técnicas descritas en los documentos del proceso.
f) Que durante la ejecución del contrato no se incrementaran los valores o tasas ofertadas
g) Autorizo al FONDO NACIONAL DEL AHORRO a efectuar la verificación aritmética de las operaciones que se registran en la presente oferta económica, y en caso de presentarse error, le solicito que para todos los efectos legales asuma el valor corregido como valor propuesto.
h) Que los valores aquí contemplados, obedecen a una estructura de costos y proyecciones estimadas para las vigencias requeridas (años estimados de ejecución: 2025 y 2026, teniendo en cuenta todas las variables que pueden afectar los precios, tales como los índices de inflación (IPC), salarios, TRM, cambios en la reglamentación gubernamental, entre otros, según aplique.</t>
  </si>
  <si>
    <t xml:space="preserve">VALOR  SIN IVA  </t>
  </si>
  <si>
    <t xml:space="preserve">IVA </t>
  </si>
  <si>
    <t>COTIZACIÓN</t>
  </si>
  <si>
    <t>ESTUDIO DE MERCADO</t>
  </si>
  <si>
    <t>DIFERENCIA</t>
  </si>
  <si>
    <t>COTIZACIÓN SERVICIOS 2025</t>
  </si>
  <si>
    <t>COTIZACIÓN SERVICIOS 2026</t>
  </si>
  <si>
    <t>AHORRO SI SE REALIZA ADICIÓN Y PRORROGA</t>
  </si>
  <si>
    <t>PROMEDIO</t>
  </si>
  <si>
    <t>DESV.ESTANDAR</t>
  </si>
  <si>
    <t>COEF. DE VARIACIÓN</t>
  </si>
  <si>
    <t>MIN</t>
  </si>
  <si>
    <t>MAX</t>
  </si>
  <si>
    <t>PROMEDIO PODADO (si aplica)</t>
  </si>
  <si>
    <t>DESVEST</t>
  </si>
  <si>
    <t>VALORES UNITARIOS DE REFERENCIA</t>
  </si>
  <si>
    <t>Valor unitario sin IVA</t>
  </si>
  <si>
    <t>VALOR UNITARIO SIN IVA</t>
  </si>
  <si>
    <t>IVA</t>
  </si>
  <si>
    <t>VALOR TOTAL CON  IVA</t>
  </si>
  <si>
    <t>AÑO</t>
  </si>
  <si>
    <t>VALOR SMLMV</t>
  </si>
  <si>
    <t>VALOR INICIAL CONTRATO</t>
  </si>
  <si>
    <t>SMMLV – 2024</t>
  </si>
  <si>
    <t>ADICIÓN SOLICITADA</t>
  </si>
  <si>
    <t>SMMLV – 2025</t>
  </si>
  <si>
    <t>VALOR TOTAL CONTRATO</t>
  </si>
  <si>
    <t>TOTAL</t>
  </si>
  <si>
    <t>ESTUDIO MERCADO</t>
  </si>
  <si>
    <t>SERVICIO</t>
  </si>
  <si>
    <t>VALORES 2025</t>
  </si>
  <si>
    <t>VALORES 2026</t>
  </si>
  <si>
    <t>DIFERENCIA VALORES</t>
  </si>
  <si>
    <t xml:space="preserve">ANALISIS COMPARATIVO-COTIZACION- ESTUDIO DE MERCADO </t>
  </si>
  <si>
    <t>Ítem</t>
  </si>
  <si>
    <t>N° de entrega</t>
  </si>
  <si>
    <t>Valor Facturado</t>
  </si>
  <si>
    <t>Valor ANS aplicado</t>
  </si>
  <si>
    <t>Valor a pagar menos ANS</t>
  </si>
  <si>
    <t>% recibido a satisfacción</t>
  </si>
  <si>
    <t>% Pte por facturar</t>
  </si>
  <si>
    <t>AGOSTO</t>
  </si>
  <si>
    <t>SEPTIEMBRE</t>
  </si>
  <si>
    <t>OCTUBRE</t>
  </si>
  <si>
    <t>NOVIEMBRE</t>
  </si>
  <si>
    <t>DICIEMBRE</t>
  </si>
  <si>
    <t>ENERO</t>
  </si>
  <si>
    <t>FEBRERO</t>
  </si>
  <si>
    <t>MARZO</t>
  </si>
  <si>
    <t>ABRIL</t>
  </si>
  <si>
    <t>MAYO</t>
  </si>
  <si>
    <t>JUNIO</t>
  </si>
  <si>
    <t>PENDIENTE POR EJECUTAR</t>
  </si>
  <si>
    <t>PRESUPUESTO OFICIAL (PRORROGA)</t>
  </si>
  <si>
    <t>PROYECCIÓN ADICIÓN</t>
  </si>
  <si>
    <t>TOTAL FINAL CTO</t>
  </si>
  <si>
    <t>JULIO (Proyección)</t>
  </si>
  <si>
    <t>AGOSTO - 8 dias (Proyección)</t>
  </si>
  <si>
    <t>FACTURACIÓN INICIAL</t>
  </si>
  <si>
    <t>5 meses</t>
  </si>
  <si>
    <t>3 meses</t>
  </si>
  <si>
    <t>8 meses</t>
  </si>
  <si>
    <t>Estudio</t>
  </si>
  <si>
    <t>Inventario</t>
  </si>
  <si>
    <t>APOYO A LA GESTIÓN DOCUMENTAL FUNZA</t>
  </si>
  <si>
    <t>APOYO A LA GESTIÓN DOCUMENTAL SEDE P/PAL</t>
  </si>
  <si>
    <t>PORCENTAJE DIFERENCIA</t>
  </si>
  <si>
    <t>Valor con ANS</t>
  </si>
  <si>
    <t>Saldo CTO</t>
  </si>
  <si>
    <t>Adición</t>
  </si>
  <si>
    <t>VALOR UNITARIO ANTES DE IVA 2025</t>
  </si>
  <si>
    <t>ESTIMACIÓN 2026</t>
  </si>
  <si>
    <t>AUMENTO IPC 4.8%</t>
  </si>
  <si>
    <t>cot 1</t>
  </si>
  <si>
    <t>cot 2</t>
  </si>
  <si>
    <t>cot 3</t>
  </si>
  <si>
    <t>cot 4</t>
  </si>
  <si>
    <t>cot 5</t>
  </si>
  <si>
    <t>cot 6</t>
  </si>
  <si>
    <t>cot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</si>
</sst>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_(&quot;$&quot;\ * #,##0.00_);_(&quot;$&quot;\ * \(#,##0.00\);_(&quot;$&quot;\ * &quot;-&quot;??_);_(@_)"/>
    <numFmt numFmtId="166" formatCode="_-&quot;$&quot;\ * #,##0_-;\-&quot;$&quot;\ * #,##0_-;_-&quot;$&quot;\ * &quot;-&quot;??_-;_-@_-"/>
    <numFmt numFmtId="167" formatCode="&quot;$&quot;\ #,##0"/>
    <numFmt numFmtId="168" formatCode="[$$-240A]\ #,##0"/>
    <numFmt numFmtId="169" formatCode="0.0%"/>
    <numFmt numFmtId="170" formatCode="_-[$$-240A]\ * #,##0.00_-;\-[$$-240A]\ * #,##0.00_-;_-[$$-240A]\ * &quot;-&quot;??_-;_-@_-"/>
    <numFmt numFmtId="171" formatCode="_-[$$-240A]\ * #,##0_-;\-[$$-240A]\ * #,##0_-;_-[$$-240A]\ * &quot;-&quot;??_-;_-@_-"/>
    <numFmt numFmtId="172" formatCode="0.000%"/>
    <numFmt numFmtId="173" formatCode="_(&quot;$&quot;\ * #,##0_);_(&quot;$&quot;\ * \(#,##0\);_(&quot;$&quot;\ * &quot;-&quot;??_);_(@_)"/>
    <numFmt numFmtId="174" formatCode="[$$-240A]\ #,##0.00"/>
  </numFmts>
  <fonts count="35" x14ac:knownFonts="1">
    <font>
      <sz val="11"/>
      <color theme="1"/>
      <name val="Calibri"/>
      <family val="2"/>
      <scheme val="minor"/>
    </font>
    <font>
      <sz val="11"/>
      <color theme="1"/>
      <name val="Calibri"/>
      <family val="2"/>
      <scheme val="minor"/>
    </font>
    <font>
      <sz val="10"/>
      <name val="Arial"/>
      <family val="2"/>
    </font>
    <font>
      <sz val="11"/>
      <color theme="1"/>
      <name val="Arial Narrow"/>
      <family val="2"/>
    </font>
    <font>
      <b/>
      <sz val="11"/>
      <color theme="1"/>
      <name val="Arial Narrow"/>
      <family val="2"/>
    </font>
    <font>
      <sz val="12"/>
      <name val="Times New Roman"/>
      <family val="1"/>
    </font>
    <font>
      <b/>
      <sz val="18"/>
      <color theme="1"/>
      <name val="Arial Narrow"/>
      <family val="2"/>
    </font>
    <font>
      <b/>
      <sz val="16"/>
      <color indexed="9"/>
      <name val="Arial Narrow"/>
      <family val="2"/>
    </font>
    <font>
      <sz val="11"/>
      <color theme="1"/>
      <name val="Arial"/>
      <family val="2"/>
    </font>
    <font>
      <b/>
      <sz val="10"/>
      <color theme="0"/>
      <name val="Arial"/>
      <family val="2"/>
    </font>
    <font>
      <b/>
      <sz val="16"/>
      <color theme="0"/>
      <name val="Arial Narrow"/>
      <family val="2"/>
    </font>
    <font>
      <sz val="10"/>
      <name val="Arial Narrow"/>
      <family val="2"/>
    </font>
    <font>
      <b/>
      <sz val="9"/>
      <name val="Calibri"/>
      <family val="2"/>
      <scheme val="minor"/>
    </font>
    <font>
      <sz val="9"/>
      <name val="Calibri"/>
      <family val="2"/>
      <scheme val="minor"/>
    </font>
    <font>
      <sz val="8"/>
      <name val="Calibri"/>
      <family val="2"/>
      <scheme val="minor"/>
    </font>
    <font>
      <b/>
      <sz val="10"/>
      <name val="Arial"/>
      <family val="2"/>
    </font>
    <font>
      <b/>
      <sz val="11"/>
      <name val="Arial Nova"/>
      <family val="2"/>
    </font>
    <font>
      <b/>
      <sz val="11"/>
      <color theme="1"/>
      <name val="Arial"/>
      <family val="2"/>
    </font>
    <font>
      <sz val="14"/>
      <color theme="1"/>
      <name val="Arial"/>
      <family val="2"/>
    </font>
    <font>
      <b/>
      <sz val="11"/>
      <name val="Arial"/>
      <family val="2"/>
    </font>
    <font>
      <b/>
      <sz val="14"/>
      <color theme="1"/>
      <name val="Arial"/>
      <family val="2"/>
    </font>
    <font>
      <sz val="9"/>
      <name val="Arial"/>
      <family val="2"/>
    </font>
    <font>
      <sz val="10"/>
      <color theme="1"/>
      <name val="Arial"/>
      <family val="2"/>
    </font>
    <font>
      <b/>
      <sz val="10"/>
      <color theme="1"/>
      <name val="Arial"/>
      <family val="2"/>
    </font>
    <font>
      <sz val="10"/>
      <color rgb="FFFF0000"/>
      <name val="Arial"/>
      <family val="2"/>
    </font>
    <font>
      <b/>
      <sz val="10"/>
      <color rgb="FFFF0000"/>
      <name val="Arial"/>
      <family val="2"/>
    </font>
    <font>
      <sz val="9"/>
      <color theme="1"/>
      <name val="Arial"/>
      <family val="2"/>
    </font>
    <font>
      <b/>
      <sz val="9"/>
      <color theme="1"/>
      <name val="Arial"/>
      <family val="2"/>
    </font>
    <font>
      <b/>
      <sz val="10"/>
      <color rgb="FF000000"/>
      <name val="Arial"/>
      <family val="2"/>
    </font>
    <font>
      <sz val="10"/>
      <color rgb="FF000000"/>
      <name val="Arial"/>
      <family val="2"/>
    </font>
    <font>
      <b/>
      <sz val="11"/>
      <name val="Calibri"/>
      <family val="2"/>
      <scheme val="minor"/>
    </font>
    <font>
      <sz val="11"/>
      <name val="Calibri"/>
      <family val="2"/>
      <scheme val="minor"/>
    </font>
    <font>
      <b/>
      <sz val="11"/>
      <color theme="0"/>
      <name val="Arial Narrow"/>
      <family val="2"/>
    </font>
    <font>
      <b/>
      <sz val="10"/>
      <color theme="1"/>
      <name val="Calibri"/>
      <family val="2"/>
      <scheme val="minor"/>
    </font>
    <font>
      <sz val="10"/>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4" tint="-0.249977111117893"/>
        <bgColor indexed="9"/>
      </patternFill>
    </fill>
    <fill>
      <patternFill patternType="solid">
        <fgColor rgb="FF002060"/>
        <bgColor indexed="64"/>
      </patternFill>
    </fill>
    <fill>
      <patternFill patternType="solid">
        <fgColor rgb="FF66FF99"/>
        <bgColor indexed="64"/>
      </patternFill>
    </fill>
    <fill>
      <patternFill patternType="solid">
        <fgColor rgb="FF00B0F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FF"/>
        <bgColor indexed="64"/>
      </patternFill>
    </fill>
    <fill>
      <patternFill patternType="solid">
        <fgColor rgb="FFF2F2F2"/>
        <bgColor indexed="64"/>
      </patternFill>
    </fill>
    <fill>
      <patternFill patternType="solid">
        <fgColor theme="8" tint="0.39997558519241921"/>
        <bgColor indexed="64"/>
      </patternFill>
    </fill>
  </fills>
  <borders count="58">
    <border>
      <left/>
      <right/>
      <top/>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left>
      <right/>
      <top style="thin">
        <color indexed="64"/>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top style="thin">
        <color theme="1"/>
      </top>
      <bottom/>
      <diagonal/>
    </border>
    <border>
      <left/>
      <right/>
      <top/>
      <bottom style="thin">
        <color theme="1"/>
      </bottom>
      <diagonal/>
    </border>
    <border>
      <left style="medium">
        <color indexed="64"/>
      </left>
      <right style="medium">
        <color indexed="64"/>
      </right>
      <top/>
      <bottom style="medium">
        <color indexed="64"/>
      </bottom>
      <diagonal/>
    </border>
    <border>
      <left/>
      <right/>
      <top style="thin">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21">
    <xf numFmtId="0" fontId="0" fillId="0" borderId="0"/>
    <xf numFmtId="0" fontId="2" fillId="0" borderId="0"/>
    <xf numFmtId="164" fontId="2" fillId="0" borderId="0" applyFont="0" applyFill="0" applyBorder="0" applyAlignment="0" applyProtection="0"/>
    <xf numFmtId="0" fontId="5" fillId="0" borderId="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alignment vertical="center"/>
    </xf>
    <xf numFmtId="9" fontId="1" fillId="0" borderId="0" applyFill="0" applyBorder="0" applyAlignment="0" applyProtection="0"/>
    <xf numFmtId="43" fontId="1" fillId="0" borderId="0" applyFont="0" applyFill="0" applyBorder="0" applyAlignment="0" applyProtection="0"/>
  </cellStyleXfs>
  <cellXfs count="264">
    <xf numFmtId="0" fontId="0" fillId="0" borderId="0" xfId="0"/>
    <xf numFmtId="0" fontId="4" fillId="2" borderId="7" xfId="0" applyFont="1" applyFill="1" applyBorder="1" applyAlignment="1">
      <alignment vertical="center" wrapText="1"/>
    </xf>
    <xf numFmtId="0" fontId="4" fillId="2" borderId="0" xfId="0" applyFont="1" applyFill="1" applyAlignment="1">
      <alignment horizontal="left" vertical="center" wrapText="1"/>
    </xf>
    <xf numFmtId="0" fontId="0" fillId="2" borderId="0" xfId="0" applyFill="1" applyProtection="1">
      <protection locked="0"/>
    </xf>
    <xf numFmtId="0" fontId="0" fillId="0" borderId="0" xfId="0" applyProtection="1">
      <protection locked="0"/>
    </xf>
    <xf numFmtId="0" fontId="0" fillId="2" borderId="0" xfId="0" applyFill="1"/>
    <xf numFmtId="0" fontId="0" fillId="2" borderId="8" xfId="0" applyFill="1" applyBorder="1" applyProtection="1">
      <protection locked="0"/>
    </xf>
    <xf numFmtId="0" fontId="0" fillId="2" borderId="2" xfId="0" applyFill="1" applyBorder="1" applyProtection="1">
      <protection locked="0"/>
    </xf>
    <xf numFmtId="0" fontId="9" fillId="4" borderId="1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0" fillId="2" borderId="6" xfId="0" applyFill="1" applyBorder="1" applyProtection="1">
      <protection locked="0"/>
    </xf>
    <xf numFmtId="0" fontId="0" fillId="2" borderId="7" xfId="0" applyFill="1" applyBorder="1" applyProtection="1">
      <protection locked="0"/>
    </xf>
    <xf numFmtId="0" fontId="0" fillId="2" borderId="5" xfId="0" applyFill="1" applyBorder="1" applyProtection="1">
      <protection locked="0"/>
    </xf>
    <xf numFmtId="0" fontId="0" fillId="2" borderId="3" xfId="0" applyFill="1" applyBorder="1" applyProtection="1">
      <protection locked="0"/>
    </xf>
    <xf numFmtId="165" fontId="10" fillId="4" borderId="12" xfId="0" applyNumberFormat="1" applyFont="1" applyFill="1" applyBorder="1" applyAlignment="1" applyProtection="1">
      <alignment vertical="center"/>
      <protection locked="0"/>
    </xf>
    <xf numFmtId="0" fontId="11" fillId="0" borderId="9" xfId="0" applyFont="1" applyBorder="1" applyAlignment="1">
      <alignment horizontal="center" vertical="center" wrapText="1"/>
    </xf>
    <xf numFmtId="0" fontId="11" fillId="0" borderId="9" xfId="0" applyFont="1" applyBorder="1" applyAlignment="1">
      <alignment horizontal="left" vertical="center" wrapText="1"/>
    </xf>
    <xf numFmtId="0" fontId="11" fillId="0" borderId="9" xfId="0" applyFont="1" applyBorder="1" applyAlignment="1">
      <alignment vertical="center" wrapText="1"/>
    </xf>
    <xf numFmtId="3" fontId="11" fillId="0" borderId="9" xfId="0" applyNumberFormat="1" applyFont="1" applyBorder="1" applyAlignment="1">
      <alignment horizontal="center" vertical="center" wrapText="1"/>
    </xf>
    <xf numFmtId="3" fontId="11" fillId="0" borderId="9" xfId="14" applyNumberFormat="1" applyFont="1" applyFill="1" applyBorder="1" applyAlignment="1">
      <alignment horizontal="center" vertical="center" wrapText="1"/>
    </xf>
    <xf numFmtId="0" fontId="11" fillId="0" borderId="15" xfId="0" applyFont="1" applyBorder="1" applyAlignment="1">
      <alignment horizontal="center" vertical="center" wrapText="1"/>
    </xf>
    <xf numFmtId="0" fontId="11" fillId="0" borderId="9" xfId="0" applyFont="1" applyBorder="1" applyAlignment="1">
      <alignment horizontal="justify" vertical="center" wrapText="1"/>
    </xf>
    <xf numFmtId="3" fontId="11" fillId="0" borderId="9" xfId="14" applyNumberFormat="1" applyFont="1" applyFill="1" applyBorder="1" applyAlignment="1">
      <alignment horizontal="left" vertical="center" wrapText="1"/>
    </xf>
    <xf numFmtId="3" fontId="11" fillId="0" borderId="18" xfId="0" applyNumberFormat="1" applyFont="1" applyBorder="1" applyAlignment="1">
      <alignment horizontal="center" vertical="center" wrapText="1"/>
    </xf>
    <xf numFmtId="0" fontId="11" fillId="0" borderId="18" xfId="0" applyFont="1" applyBorder="1" applyAlignment="1">
      <alignment horizontal="center" vertical="center" wrapText="1"/>
    </xf>
    <xf numFmtId="3" fontId="11" fillId="0" borderId="18" xfId="14" applyNumberFormat="1" applyFont="1" applyFill="1" applyBorder="1" applyAlignment="1">
      <alignment horizontal="center" vertical="center" wrapText="1"/>
    </xf>
    <xf numFmtId="0" fontId="9" fillId="4" borderId="9" xfId="0" applyFont="1" applyFill="1" applyBorder="1" applyAlignment="1">
      <alignment horizontal="center" vertical="center" wrapText="1"/>
    </xf>
    <xf numFmtId="0" fontId="11" fillId="2" borderId="9" xfId="0" applyFont="1" applyFill="1" applyBorder="1" applyAlignment="1">
      <alignment horizontal="justify" vertical="center" wrapText="1"/>
    </xf>
    <xf numFmtId="0" fontId="11" fillId="2" borderId="9" xfId="0" applyFont="1" applyFill="1" applyBorder="1" applyAlignment="1">
      <alignment horizontal="left" vertical="center" wrapText="1"/>
    </xf>
    <xf numFmtId="0" fontId="11" fillId="2" borderId="9" xfId="0" applyFont="1" applyFill="1" applyBorder="1" applyAlignment="1">
      <alignment horizontal="center" vertical="center" wrapText="1"/>
    </xf>
    <xf numFmtId="0" fontId="11" fillId="2" borderId="9" xfId="0" applyFont="1" applyFill="1" applyBorder="1" applyAlignment="1">
      <alignment vertical="center" wrapText="1"/>
    </xf>
    <xf numFmtId="3" fontId="11" fillId="2" borderId="9" xfId="14" applyNumberFormat="1" applyFont="1" applyFill="1" applyBorder="1" applyAlignment="1">
      <alignment horizontal="center" vertical="center" wrapText="1"/>
    </xf>
    <xf numFmtId="0" fontId="9" fillId="4" borderId="25" xfId="0" applyFont="1" applyFill="1" applyBorder="1" applyAlignment="1">
      <alignment horizontal="center" vertical="center" wrapText="1"/>
    </xf>
    <xf numFmtId="0" fontId="9" fillId="4" borderId="26" xfId="0" applyFont="1" applyFill="1" applyBorder="1" applyAlignment="1">
      <alignment horizontal="center" vertical="center" wrapText="1"/>
    </xf>
    <xf numFmtId="3" fontId="11" fillId="2" borderId="18" xfId="14" applyNumberFormat="1" applyFont="1" applyFill="1" applyBorder="1" applyAlignment="1">
      <alignment horizontal="center" vertical="center" wrapText="1"/>
    </xf>
    <xf numFmtId="0" fontId="12" fillId="5" borderId="9" xfId="0" applyFont="1" applyFill="1" applyBorder="1" applyAlignment="1">
      <alignment horizontal="center" vertical="center" wrapText="1"/>
    </xf>
    <xf numFmtId="167" fontId="13" fillId="0" borderId="9" xfId="15" applyNumberFormat="1" applyFont="1" applyFill="1" applyBorder="1" applyAlignment="1">
      <alignment vertical="center"/>
    </xf>
    <xf numFmtId="0" fontId="11" fillId="6" borderId="9" xfId="0" applyFont="1" applyFill="1" applyBorder="1" applyAlignment="1">
      <alignment horizontal="left" vertical="center" wrapText="1"/>
    </xf>
    <xf numFmtId="42" fontId="0" fillId="0" borderId="9" xfId="13" applyFont="1" applyBorder="1" applyAlignment="1">
      <alignment horizontal="right" vertical="center"/>
    </xf>
    <xf numFmtId="42" fontId="8" fillId="2" borderId="9" xfId="13" applyFont="1" applyFill="1" applyBorder="1" applyAlignment="1" applyProtection="1">
      <alignment horizontal="right" vertical="center"/>
      <protection locked="0"/>
    </xf>
    <xf numFmtId="166" fontId="8" fillId="7" borderId="9" xfId="13" applyNumberFormat="1" applyFont="1" applyFill="1" applyBorder="1" applyAlignment="1" applyProtection="1">
      <alignment horizontal="center" vertical="center"/>
      <protection locked="0"/>
    </xf>
    <xf numFmtId="166" fontId="8" fillId="8" borderId="9" xfId="13" applyNumberFormat="1" applyFont="1" applyFill="1" applyBorder="1" applyAlignment="1" applyProtection="1">
      <alignment horizontal="center" vertical="center"/>
      <protection locked="0"/>
    </xf>
    <xf numFmtId="0" fontId="15" fillId="7" borderId="9" xfId="0" applyFont="1" applyFill="1" applyBorder="1" applyAlignment="1">
      <alignment horizontal="center" vertical="center" wrapText="1"/>
    </xf>
    <xf numFmtId="0" fontId="15" fillId="8" borderId="9" xfId="0" applyFont="1" applyFill="1" applyBorder="1" applyAlignment="1">
      <alignment horizontal="center" vertical="center" wrapText="1"/>
    </xf>
    <xf numFmtId="0" fontId="15" fillId="9" borderId="9" xfId="0" applyFont="1" applyFill="1" applyBorder="1" applyAlignment="1">
      <alignment horizontal="center" vertical="center" wrapText="1"/>
    </xf>
    <xf numFmtId="0" fontId="15" fillId="0" borderId="0" xfId="0" applyFont="1" applyAlignment="1">
      <alignment horizontal="center" vertical="center" wrapText="1"/>
    </xf>
    <xf numFmtId="0" fontId="15" fillId="9" borderId="21" xfId="0" applyFont="1" applyFill="1" applyBorder="1" applyAlignment="1">
      <alignment horizontal="center" vertical="center" wrapText="1"/>
    </xf>
    <xf numFmtId="166" fontId="8" fillId="7" borderId="23" xfId="13" applyNumberFormat="1" applyFont="1" applyFill="1" applyBorder="1" applyAlignment="1" applyProtection="1">
      <alignment horizontal="center" vertical="center"/>
      <protection locked="0"/>
    </xf>
    <xf numFmtId="166" fontId="8" fillId="8" borderId="23" xfId="13" applyNumberFormat="1" applyFont="1" applyFill="1" applyBorder="1" applyAlignment="1" applyProtection="1">
      <alignment horizontal="center" vertical="center"/>
      <protection locked="0"/>
    </xf>
    <xf numFmtId="166" fontId="8" fillId="7" borderId="10" xfId="13" applyNumberFormat="1" applyFont="1" applyFill="1" applyBorder="1" applyAlignment="1" applyProtection="1">
      <alignment horizontal="center" vertical="center"/>
      <protection locked="0"/>
    </xf>
    <xf numFmtId="166" fontId="8" fillId="7" borderId="30" xfId="13" applyNumberFormat="1" applyFont="1" applyFill="1" applyBorder="1" applyAlignment="1" applyProtection="1">
      <alignment horizontal="center" vertical="center"/>
      <protection locked="0"/>
    </xf>
    <xf numFmtId="166" fontId="8" fillId="8" borderId="10" xfId="13" applyNumberFormat="1" applyFont="1" applyFill="1" applyBorder="1" applyAlignment="1" applyProtection="1">
      <alignment horizontal="center" vertical="center"/>
      <protection locked="0"/>
    </xf>
    <xf numFmtId="166" fontId="8" fillId="8" borderId="21" xfId="13" applyNumberFormat="1" applyFont="1" applyFill="1" applyBorder="1" applyAlignment="1" applyProtection="1">
      <alignment horizontal="center" vertical="center"/>
      <protection locked="0"/>
    </xf>
    <xf numFmtId="166" fontId="8" fillId="8" borderId="30" xfId="13" applyNumberFormat="1" applyFont="1" applyFill="1" applyBorder="1" applyAlignment="1" applyProtection="1">
      <alignment horizontal="center" vertical="center"/>
      <protection locked="0"/>
    </xf>
    <xf numFmtId="166" fontId="8" fillId="8" borderId="24" xfId="13" applyNumberFormat="1" applyFont="1" applyFill="1" applyBorder="1" applyAlignment="1" applyProtection="1">
      <alignment horizontal="center" vertical="center"/>
      <protection locked="0"/>
    </xf>
    <xf numFmtId="0" fontId="9" fillId="4" borderId="33" xfId="0" applyFont="1" applyFill="1" applyBorder="1" applyAlignment="1">
      <alignment horizontal="center" vertical="center" wrapText="1"/>
    </xf>
    <xf numFmtId="0" fontId="9" fillId="0" borderId="0" xfId="0" applyFont="1" applyAlignment="1">
      <alignment horizontal="center" vertical="center" wrapText="1"/>
    </xf>
    <xf numFmtId="0" fontId="9" fillId="4" borderId="36" xfId="0" applyFont="1" applyFill="1" applyBorder="1" applyAlignment="1">
      <alignment horizontal="center" vertical="center" wrapText="1"/>
    </xf>
    <xf numFmtId="0" fontId="9" fillId="0" borderId="37" xfId="0" applyFont="1" applyBorder="1" applyAlignment="1">
      <alignment horizontal="center" vertical="center" wrapText="1"/>
    </xf>
    <xf numFmtId="0" fontId="16" fillId="12" borderId="9" xfId="0" applyFont="1" applyFill="1" applyBorder="1" applyAlignment="1">
      <alignment horizontal="center" vertical="center" wrapText="1"/>
    </xf>
    <xf numFmtId="167" fontId="16" fillId="12" borderId="9" xfId="0" applyNumberFormat="1" applyFont="1" applyFill="1" applyBorder="1" applyAlignment="1">
      <alignment horizontal="center" vertical="center" wrapText="1"/>
    </xf>
    <xf numFmtId="42" fontId="0" fillId="0" borderId="38" xfId="13" applyFont="1" applyBorder="1" applyAlignment="1">
      <alignment horizontal="right" vertical="center"/>
    </xf>
    <xf numFmtId="9" fontId="0" fillId="0" borderId="38" xfId="17" applyFont="1" applyBorder="1" applyAlignment="1">
      <alignment horizontal="right" vertical="center"/>
    </xf>
    <xf numFmtId="42" fontId="0" fillId="0" borderId="39" xfId="13" applyFont="1" applyBorder="1" applyAlignment="1">
      <alignment horizontal="right" vertical="center"/>
    </xf>
    <xf numFmtId="42" fontId="0" fillId="0" borderId="40" xfId="13" applyFont="1" applyBorder="1" applyAlignment="1">
      <alignment horizontal="right" vertical="center"/>
    </xf>
    <xf numFmtId="9" fontId="0" fillId="0" borderId="9" xfId="17" applyFont="1" applyBorder="1" applyAlignment="1">
      <alignment horizontal="right" vertical="center"/>
    </xf>
    <xf numFmtId="42" fontId="0" fillId="0" borderId="0" xfId="13" applyFont="1" applyAlignment="1">
      <alignment horizontal="right" vertical="center"/>
    </xf>
    <xf numFmtId="42" fontId="0" fillId="0" borderId="41" xfId="13" applyFont="1" applyBorder="1" applyAlignment="1">
      <alignment horizontal="right" vertical="center"/>
    </xf>
    <xf numFmtId="42" fontId="0" fillId="0" borderId="0" xfId="13" applyFont="1" applyBorder="1" applyAlignment="1">
      <alignment horizontal="right" vertical="center"/>
    </xf>
    <xf numFmtId="42" fontId="0" fillId="0" borderId="42" xfId="13" applyFont="1" applyBorder="1" applyAlignment="1">
      <alignment horizontal="right" vertical="center"/>
    </xf>
    <xf numFmtId="0" fontId="2" fillId="0" borderId="9" xfId="0" applyFont="1" applyBorder="1" applyAlignment="1">
      <alignment horizontal="center" vertical="center"/>
    </xf>
    <xf numFmtId="3" fontId="2" fillId="0" borderId="18" xfId="0" applyNumberFormat="1" applyFont="1" applyBorder="1" applyAlignment="1">
      <alignment horizontal="center" vertical="center" wrapText="1"/>
    </xf>
    <xf numFmtId="3" fontId="2" fillId="7" borderId="27" xfId="0" applyNumberFormat="1" applyFont="1" applyFill="1" applyBorder="1" applyAlignment="1">
      <alignment horizontal="center" vertical="center" wrapText="1"/>
    </xf>
    <xf numFmtId="3" fontId="2" fillId="8" borderId="18" xfId="0" applyNumberFormat="1" applyFont="1" applyFill="1" applyBorder="1" applyAlignment="1">
      <alignment horizontal="center" vertical="center" wrapText="1"/>
    </xf>
    <xf numFmtId="3" fontId="2" fillId="9" borderId="20" xfId="0" applyNumberFormat="1" applyFont="1" applyFill="1" applyBorder="1" applyAlignment="1">
      <alignment horizontal="center" vertical="center" wrapText="1"/>
    </xf>
    <xf numFmtId="0" fontId="2" fillId="0" borderId="18" xfId="0" applyFont="1" applyBorder="1" applyAlignment="1">
      <alignment horizontal="center" vertical="center" wrapText="1"/>
    </xf>
    <xf numFmtId="0" fontId="2" fillId="7" borderId="27"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2" fillId="9" borderId="20" xfId="0" applyFont="1" applyFill="1" applyBorder="1" applyAlignment="1">
      <alignment horizontal="center" vertical="center" wrapText="1"/>
    </xf>
    <xf numFmtId="3" fontId="2" fillId="7" borderId="27" xfId="14" applyNumberFormat="1" applyFont="1" applyFill="1" applyBorder="1" applyAlignment="1">
      <alignment horizontal="center" vertical="center" wrapText="1"/>
    </xf>
    <xf numFmtId="3" fontId="2" fillId="8" borderId="18" xfId="14" applyNumberFormat="1" applyFont="1" applyFill="1" applyBorder="1" applyAlignment="1">
      <alignment horizontal="center" vertical="center" wrapText="1"/>
    </xf>
    <xf numFmtId="3" fontId="2" fillId="9" borderId="20" xfId="14" applyNumberFormat="1" applyFont="1" applyFill="1" applyBorder="1" applyAlignment="1">
      <alignment horizontal="center" vertical="center" wrapText="1"/>
    </xf>
    <xf numFmtId="0" fontId="2" fillId="0" borderId="15" xfId="0" applyFont="1" applyBorder="1" applyAlignment="1">
      <alignment horizontal="center" vertical="center"/>
    </xf>
    <xf numFmtId="3" fontId="2" fillId="0" borderId="18" xfId="14" applyNumberFormat="1" applyFont="1" applyFill="1" applyBorder="1" applyAlignment="1">
      <alignment horizontal="center" vertical="center" wrapText="1"/>
    </xf>
    <xf numFmtId="0" fontId="2" fillId="2" borderId="9" xfId="0" applyFont="1" applyFill="1" applyBorder="1" applyAlignment="1">
      <alignment horizontal="center" vertical="center"/>
    </xf>
    <xf numFmtId="3" fontId="2" fillId="2" borderId="18" xfId="14" applyNumberFormat="1" applyFont="1" applyFill="1" applyBorder="1" applyAlignment="1">
      <alignment horizontal="center" vertical="center" wrapText="1"/>
    </xf>
    <xf numFmtId="0" fontId="2" fillId="7" borderId="29" xfId="0" applyFont="1" applyFill="1" applyBorder="1" applyAlignment="1">
      <alignment horizontal="center" vertical="center" wrapText="1"/>
    </xf>
    <xf numFmtId="0" fontId="2" fillId="8" borderId="31" xfId="0" applyFont="1" applyFill="1" applyBorder="1" applyAlignment="1">
      <alignment horizontal="center" vertical="center" wrapText="1"/>
    </xf>
    <xf numFmtId="0" fontId="2" fillId="9" borderId="22" xfId="0" applyFont="1" applyFill="1" applyBorder="1" applyAlignment="1">
      <alignment horizontal="center" vertical="center" wrapText="1"/>
    </xf>
    <xf numFmtId="0" fontId="22" fillId="0" borderId="0" xfId="0" applyFont="1" applyAlignment="1">
      <alignment horizontal="center" vertical="center" wrapText="1"/>
    </xf>
    <xf numFmtId="0" fontId="27" fillId="15" borderId="9" xfId="0" applyFont="1" applyFill="1" applyBorder="1" applyAlignment="1">
      <alignment horizontal="center" vertical="center" wrapText="1"/>
    </xf>
    <xf numFmtId="0" fontId="21" fillId="0" borderId="9" xfId="0" applyFont="1" applyBorder="1" applyAlignment="1">
      <alignment horizontal="justify" vertical="center" wrapText="1"/>
    </xf>
    <xf numFmtId="0" fontId="22" fillId="0" borderId="0" xfId="18" applyFont="1" applyAlignment="1">
      <alignment vertical="center" wrapText="1"/>
    </xf>
    <xf numFmtId="0" fontId="23" fillId="0" borderId="0" xfId="18" applyFont="1" applyAlignment="1">
      <alignment horizontal="center" vertical="center" wrapText="1"/>
    </xf>
    <xf numFmtId="0" fontId="23" fillId="0" borderId="9" xfId="18" applyFont="1" applyBorder="1" applyAlignment="1">
      <alignment horizontal="center" vertical="center" wrapText="1"/>
    </xf>
    <xf numFmtId="0" fontId="22" fillId="0" borderId="9" xfId="18" applyFont="1" applyBorder="1" applyAlignment="1">
      <alignment horizontal="center" vertical="center" wrapText="1"/>
    </xf>
    <xf numFmtId="167" fontId="22" fillId="0" borderId="9" xfId="18" applyNumberFormat="1" applyFont="1" applyBorder="1" applyAlignment="1">
      <alignment vertical="center" wrapText="1"/>
    </xf>
    <xf numFmtId="10" fontId="22" fillId="0" borderId="9" xfId="19" applyNumberFormat="1" applyFont="1" applyBorder="1" applyAlignment="1">
      <alignment horizontal="center" vertical="center" wrapText="1"/>
    </xf>
    <xf numFmtId="169" fontId="22" fillId="0" borderId="9" xfId="18" applyNumberFormat="1" applyFont="1" applyBorder="1" applyAlignment="1">
      <alignment horizontal="center" vertical="center" wrapText="1"/>
    </xf>
    <xf numFmtId="167" fontId="24" fillId="0" borderId="9" xfId="18" applyNumberFormat="1" applyFont="1" applyBorder="1" applyAlignment="1">
      <alignment vertical="center" wrapText="1"/>
    </xf>
    <xf numFmtId="167" fontId="15" fillId="0" borderId="9" xfId="18" applyNumberFormat="1" applyFont="1" applyBorder="1" applyAlignment="1">
      <alignment vertical="center" wrapText="1"/>
    </xf>
    <xf numFmtId="167" fontId="25" fillId="0" borderId="9" xfId="18" applyNumberFormat="1" applyFont="1" applyBorder="1" applyAlignment="1">
      <alignment vertical="center" wrapText="1"/>
    </xf>
    <xf numFmtId="10" fontId="15" fillId="0" borderId="9" xfId="19" applyNumberFormat="1" applyFont="1" applyBorder="1" applyAlignment="1">
      <alignment horizontal="center" vertical="center" wrapText="1"/>
    </xf>
    <xf numFmtId="10" fontId="25" fillId="0" borderId="9" xfId="18" applyNumberFormat="1" applyFont="1" applyBorder="1" applyAlignment="1">
      <alignment horizontal="center" vertical="center" wrapText="1"/>
    </xf>
    <xf numFmtId="167" fontId="2" fillId="0" borderId="9" xfId="18" applyNumberFormat="1" applyFont="1" applyBorder="1" applyAlignment="1">
      <alignment vertical="center" wrapText="1"/>
    </xf>
    <xf numFmtId="167" fontId="22" fillId="0" borderId="0" xfId="18" applyNumberFormat="1" applyFont="1" applyAlignment="1">
      <alignment vertical="center" wrapText="1"/>
    </xf>
    <xf numFmtId="0" fontId="28" fillId="14" borderId="12" xfId="0" applyFont="1" applyFill="1" applyBorder="1" applyAlignment="1">
      <alignment horizontal="center" vertical="center" wrapText="1"/>
    </xf>
    <xf numFmtId="0" fontId="28" fillId="14" borderId="1" xfId="0" applyFont="1" applyFill="1" applyBorder="1" applyAlignment="1">
      <alignment horizontal="center" vertical="center" wrapText="1"/>
    </xf>
    <xf numFmtId="0" fontId="29" fillId="13" borderId="43" xfId="0" applyFont="1" applyFill="1" applyBorder="1" applyAlignment="1">
      <alignment horizontal="center" vertical="center" wrapText="1"/>
    </xf>
    <xf numFmtId="170" fontId="29" fillId="13" borderId="5" xfId="0" applyNumberFormat="1" applyFont="1" applyFill="1" applyBorder="1" applyAlignment="1">
      <alignment horizontal="center" vertical="center" wrapText="1"/>
    </xf>
    <xf numFmtId="3" fontId="29" fillId="13" borderId="9" xfId="0" applyNumberFormat="1" applyFont="1" applyFill="1" applyBorder="1" applyAlignment="1">
      <alignment horizontal="center" vertical="center" wrapText="1"/>
    </xf>
    <xf numFmtId="0" fontId="29" fillId="13" borderId="9" xfId="0" applyFont="1" applyFill="1" applyBorder="1" applyAlignment="1">
      <alignment horizontal="center" vertical="center" wrapText="1"/>
    </xf>
    <xf numFmtId="0" fontId="22" fillId="0" borderId="0" xfId="0" applyFont="1" applyAlignment="1">
      <alignment vertical="center"/>
    </xf>
    <xf numFmtId="9" fontId="22" fillId="0" borderId="0" xfId="17" applyFont="1" applyAlignment="1">
      <alignment vertical="center"/>
    </xf>
    <xf numFmtId="42" fontId="8" fillId="9" borderId="9" xfId="13" applyFont="1" applyFill="1" applyBorder="1" applyAlignment="1">
      <alignment horizontal="center" vertical="center"/>
    </xf>
    <xf numFmtId="42" fontId="8" fillId="9" borderId="9" xfId="13" applyFont="1" applyFill="1" applyBorder="1" applyAlignment="1" applyProtection="1">
      <alignment horizontal="center" vertical="center"/>
      <protection locked="0"/>
    </xf>
    <xf numFmtId="0" fontId="2" fillId="0" borderId="9" xfId="0" applyFont="1" applyBorder="1" applyAlignment="1">
      <alignment horizontal="center" vertical="center" wrapText="1"/>
    </xf>
    <xf numFmtId="0" fontId="2" fillId="6" borderId="9" xfId="0" applyFont="1" applyFill="1" applyBorder="1" applyAlignment="1">
      <alignment horizontal="center" vertical="center" wrapText="1"/>
    </xf>
    <xf numFmtId="3" fontId="2" fillId="0" borderId="9" xfId="14" applyNumberFormat="1" applyFont="1" applyFill="1" applyBorder="1" applyAlignment="1">
      <alignment horizontal="center" vertical="center"/>
    </xf>
    <xf numFmtId="42" fontId="8" fillId="9" borderId="23" xfId="13" applyFont="1" applyFill="1" applyBorder="1" applyAlignment="1">
      <alignment horizontal="center" vertical="center"/>
    </xf>
    <xf numFmtId="42" fontId="8" fillId="9" borderId="23" xfId="13" applyFont="1" applyFill="1" applyBorder="1" applyAlignment="1" applyProtection="1">
      <alignment horizontal="center" vertical="center"/>
      <protection locked="0"/>
    </xf>
    <xf numFmtId="0" fontId="8" fillId="0" borderId="0" xfId="0" applyFont="1" applyAlignment="1">
      <alignment horizontal="center" vertical="center"/>
    </xf>
    <xf numFmtId="42" fontId="8" fillId="9" borderId="21" xfId="0" applyNumberFormat="1" applyFont="1" applyFill="1" applyBorder="1" applyAlignment="1">
      <alignment horizontal="center" vertical="center"/>
    </xf>
    <xf numFmtId="42" fontId="8" fillId="9" borderId="24" xfId="0" applyNumberFormat="1" applyFont="1" applyFill="1" applyBorder="1" applyAlignment="1">
      <alignment horizontal="center" vertical="center"/>
    </xf>
    <xf numFmtId="42" fontId="20" fillId="9" borderId="0" xfId="0" applyNumberFormat="1" applyFont="1" applyFill="1" applyAlignment="1">
      <alignment horizontal="center" vertical="center"/>
    </xf>
    <xf numFmtId="166" fontId="8" fillId="2" borderId="10" xfId="0" applyNumberFormat="1" applyFont="1" applyFill="1" applyBorder="1" applyAlignment="1">
      <alignment horizontal="center" vertical="center"/>
    </xf>
    <xf numFmtId="0" fontId="17" fillId="7" borderId="0" xfId="0" applyFont="1" applyFill="1" applyAlignment="1">
      <alignment horizontal="center" vertical="center"/>
    </xf>
    <xf numFmtId="166" fontId="17" fillId="7" borderId="0" xfId="0" applyNumberFormat="1" applyFont="1" applyFill="1" applyAlignment="1">
      <alignment horizontal="center" vertical="center"/>
    </xf>
    <xf numFmtId="166" fontId="20" fillId="7" borderId="0" xfId="0" applyNumberFormat="1" applyFont="1" applyFill="1" applyAlignment="1">
      <alignment horizontal="center" vertical="center"/>
    </xf>
    <xf numFmtId="0" fontId="17" fillId="8" borderId="0" xfId="0" applyFont="1" applyFill="1" applyAlignment="1">
      <alignment horizontal="center" vertical="center"/>
    </xf>
    <xf numFmtId="0" fontId="17" fillId="9" borderId="0" xfId="0" applyFont="1" applyFill="1" applyAlignment="1">
      <alignment horizontal="center" vertical="center"/>
    </xf>
    <xf numFmtId="166" fontId="20" fillId="2" borderId="9" xfId="0" applyNumberFormat="1" applyFont="1" applyFill="1" applyBorder="1" applyAlignment="1">
      <alignment horizontal="center" vertical="center"/>
    </xf>
    <xf numFmtId="44" fontId="8" fillId="0" borderId="0" xfId="0" applyNumberFormat="1" applyFont="1" applyAlignment="1">
      <alignment horizontal="center" vertical="center"/>
    </xf>
    <xf numFmtId="0" fontId="22" fillId="0" borderId="0" xfId="0" applyFont="1" applyAlignment="1">
      <alignment horizontal="right" vertical="center" wrapText="1"/>
    </xf>
    <xf numFmtId="172" fontId="22" fillId="0" borderId="0" xfId="17" applyNumberFormat="1" applyFont="1" applyAlignment="1">
      <alignment vertical="center" wrapText="1"/>
    </xf>
    <xf numFmtId="9" fontId="22" fillId="0" borderId="0" xfId="17" applyFont="1" applyAlignment="1">
      <alignment horizontal="center" vertical="center" wrapText="1"/>
    </xf>
    <xf numFmtId="173" fontId="10" fillId="4" borderId="43" xfId="0" applyNumberFormat="1" applyFont="1" applyFill="1" applyBorder="1" applyAlignment="1" applyProtection="1">
      <alignment vertical="center"/>
      <protection locked="0"/>
    </xf>
    <xf numFmtId="9" fontId="26" fillId="0" borderId="9" xfId="17" applyFont="1" applyBorder="1" applyAlignment="1">
      <alignment horizontal="center" vertical="center" wrapText="1"/>
    </xf>
    <xf numFmtId="9" fontId="27" fillId="0" borderId="9" xfId="17" applyFont="1" applyBorder="1" applyAlignment="1">
      <alignment horizontal="center" vertical="center" wrapText="1"/>
    </xf>
    <xf numFmtId="171" fontId="29" fillId="13" borderId="10" xfId="0" applyNumberFormat="1" applyFont="1" applyFill="1" applyBorder="1" applyAlignment="1">
      <alignment horizontal="center" vertical="center" wrapText="1"/>
    </xf>
    <xf numFmtId="167" fontId="22" fillId="0" borderId="0" xfId="0" applyNumberFormat="1" applyFont="1" applyAlignment="1">
      <alignment vertical="center"/>
    </xf>
    <xf numFmtId="0" fontId="22" fillId="6" borderId="9" xfId="18" applyFont="1" applyFill="1" applyBorder="1" applyAlignment="1">
      <alignment vertical="center" wrapText="1"/>
    </xf>
    <xf numFmtId="167" fontId="22" fillId="6" borderId="9" xfId="18" applyNumberFormat="1" applyFont="1" applyFill="1" applyBorder="1" applyAlignment="1">
      <alignment vertical="center" wrapText="1"/>
    </xf>
    <xf numFmtId="168" fontId="26" fillId="0" borderId="9" xfId="0" applyNumberFormat="1" applyFont="1" applyBorder="1" applyAlignment="1">
      <alignment horizontal="right" vertical="center" wrapText="1"/>
    </xf>
    <xf numFmtId="168" fontId="27" fillId="0" borderId="9" xfId="0" applyNumberFormat="1" applyFont="1" applyBorder="1" applyAlignment="1">
      <alignment horizontal="right" vertical="center" wrapText="1"/>
    </xf>
    <xf numFmtId="168" fontId="25" fillId="0" borderId="0" xfId="0" applyNumberFormat="1" applyFont="1" applyAlignment="1">
      <alignment horizontal="right" vertical="center" wrapText="1"/>
    </xf>
    <xf numFmtId="168" fontId="27" fillId="0" borderId="0" xfId="0" applyNumberFormat="1" applyFont="1" applyAlignment="1">
      <alignment horizontal="right" vertical="center" wrapText="1"/>
    </xf>
    <xf numFmtId="168" fontId="22" fillId="0" borderId="0" xfId="0" applyNumberFormat="1" applyFont="1" applyAlignment="1">
      <alignment horizontal="right" vertical="center" wrapText="1"/>
    </xf>
    <xf numFmtId="0" fontId="22" fillId="0" borderId="9" xfId="0" applyFont="1" applyBorder="1" applyAlignment="1">
      <alignment horizontal="right" vertical="center" wrapText="1"/>
    </xf>
    <xf numFmtId="168" fontId="25" fillId="0" borderId="9" xfId="0" applyNumberFormat="1" applyFont="1" applyBorder="1" applyAlignment="1">
      <alignment horizontal="right" vertical="center" wrapText="1"/>
    </xf>
    <xf numFmtId="166" fontId="0" fillId="2" borderId="0" xfId="0" applyNumberFormat="1" applyFill="1" applyProtection="1">
      <protection locked="0"/>
    </xf>
    <xf numFmtId="0" fontId="30" fillId="5" borderId="9" xfId="0" applyFont="1" applyFill="1" applyBorder="1" applyAlignment="1">
      <alignment horizontal="center" vertical="center" wrapText="1"/>
    </xf>
    <xf numFmtId="167" fontId="31" fillId="0" borderId="9" xfId="15" applyNumberFormat="1" applyFont="1" applyFill="1" applyBorder="1" applyAlignment="1">
      <alignment vertical="center"/>
    </xf>
    <xf numFmtId="165" fontId="32" fillId="4" borderId="12" xfId="0" applyNumberFormat="1" applyFont="1" applyFill="1" applyBorder="1" applyAlignment="1" applyProtection="1">
      <alignment vertical="center"/>
      <protection locked="0"/>
    </xf>
    <xf numFmtId="166" fontId="20" fillId="8" borderId="0" xfId="0" applyNumberFormat="1" applyFont="1" applyFill="1" applyAlignment="1">
      <alignment horizontal="center" vertical="center"/>
    </xf>
    <xf numFmtId="0" fontId="15" fillId="9" borderId="10" xfId="0" applyFont="1" applyFill="1" applyBorder="1" applyAlignment="1">
      <alignment horizontal="center" vertical="center" wrapText="1"/>
    </xf>
    <xf numFmtId="168" fontId="34" fillId="0" borderId="0" xfId="0" applyNumberFormat="1" applyFont="1" applyAlignment="1">
      <alignment vertical="center" wrapText="1"/>
    </xf>
    <xf numFmtId="1" fontId="8" fillId="0" borderId="0" xfId="0" applyNumberFormat="1" applyFont="1" applyAlignment="1">
      <alignment horizontal="center" vertical="center"/>
    </xf>
    <xf numFmtId="173" fontId="10" fillId="4" borderId="12" xfId="0" applyNumberFormat="1" applyFont="1" applyFill="1" applyBorder="1" applyAlignment="1" applyProtection="1">
      <alignment vertical="center"/>
      <protection locked="0"/>
    </xf>
    <xf numFmtId="168" fontId="34" fillId="0" borderId="9" xfId="0" applyNumberFormat="1" applyFont="1" applyBorder="1" applyAlignment="1">
      <alignment vertical="center" wrapText="1"/>
    </xf>
    <xf numFmtId="174" fontId="33" fillId="0" borderId="9" xfId="0" applyNumberFormat="1" applyFont="1" applyBorder="1" applyAlignment="1">
      <alignment horizontal="center" vertical="center" wrapText="1"/>
    </xf>
    <xf numFmtId="0" fontId="33" fillId="0" borderId="9" xfId="0" applyFont="1" applyBorder="1" applyAlignment="1">
      <alignment horizontal="center" vertical="center" wrapText="1"/>
    </xf>
    <xf numFmtId="0" fontId="34" fillId="0" borderId="0" xfId="0" applyFont="1" applyAlignment="1">
      <alignment horizontal="center" vertical="center" wrapText="1"/>
    </xf>
    <xf numFmtId="0" fontId="34" fillId="0" borderId="0" xfId="0" applyFont="1" applyAlignment="1">
      <alignment vertical="center" wrapText="1"/>
    </xf>
    <xf numFmtId="0" fontId="17" fillId="0" borderId="55" xfId="0" applyFont="1" applyBorder="1" applyAlignment="1">
      <alignment horizontal="center" vertical="center"/>
    </xf>
    <xf numFmtId="0" fontId="17" fillId="0" borderId="44" xfId="0" applyFont="1" applyBorder="1" applyAlignment="1">
      <alignment horizontal="center" vertical="center"/>
    </xf>
    <xf numFmtId="0" fontId="17" fillId="0" borderId="56" xfId="0" applyFont="1" applyBorder="1" applyAlignment="1">
      <alignment horizontal="center" vertical="center"/>
    </xf>
    <xf numFmtId="0" fontId="17" fillId="0" borderId="57" xfId="0" applyFont="1" applyBorder="1" applyAlignment="1">
      <alignment horizontal="center" vertical="center"/>
    </xf>
    <xf numFmtId="0" fontId="17" fillId="0" borderId="13" xfId="0" applyFont="1" applyBorder="1" applyAlignment="1">
      <alignment horizontal="center" vertical="center"/>
    </xf>
    <xf numFmtId="0" fontId="17" fillId="0" borderId="14" xfId="0" applyFont="1" applyBorder="1" applyAlignment="1">
      <alignment horizontal="center" vertical="center"/>
    </xf>
    <xf numFmtId="9" fontId="18" fillId="0" borderId="15" xfId="17" applyFont="1" applyBorder="1" applyAlignment="1">
      <alignment horizontal="center" vertical="center"/>
    </xf>
    <xf numFmtId="9" fontId="18" fillId="0" borderId="17" xfId="17" applyFont="1" applyBorder="1" applyAlignment="1">
      <alignment horizontal="center" vertical="center"/>
    </xf>
    <xf numFmtId="0" fontId="17" fillId="8" borderId="18" xfId="0" applyFont="1" applyFill="1" applyBorder="1" applyAlignment="1">
      <alignment horizontal="center" vertical="center"/>
    </xf>
    <xf numFmtId="0" fontId="17" fillId="8" borderId="45" xfId="0" applyFont="1" applyFill="1" applyBorder="1" applyAlignment="1">
      <alignment horizontal="center" vertical="center"/>
    </xf>
    <xf numFmtId="0" fontId="17" fillId="8" borderId="28" xfId="0" applyFont="1" applyFill="1" applyBorder="1" applyAlignment="1">
      <alignment horizontal="center" vertical="center"/>
    </xf>
    <xf numFmtId="0" fontId="17" fillId="10" borderId="52" xfId="0" applyFont="1" applyFill="1" applyBorder="1" applyAlignment="1">
      <alignment horizontal="center" vertical="center"/>
    </xf>
    <xf numFmtId="0" fontId="17" fillId="10" borderId="53" xfId="0" applyFont="1" applyFill="1" applyBorder="1" applyAlignment="1">
      <alignment horizontal="center" vertical="center"/>
    </xf>
    <xf numFmtId="0" fontId="17" fillId="10" borderId="54" xfId="0" applyFont="1" applyFill="1" applyBorder="1" applyAlignment="1">
      <alignment horizontal="center" vertical="center"/>
    </xf>
    <xf numFmtId="0" fontId="19" fillId="9" borderId="49" xfId="0" applyFont="1" applyFill="1" applyBorder="1" applyAlignment="1">
      <alignment horizontal="center" vertical="center"/>
    </xf>
    <xf numFmtId="0" fontId="19" fillId="9" borderId="50" xfId="0" applyFont="1" applyFill="1" applyBorder="1" applyAlignment="1">
      <alignment horizontal="center" vertical="center"/>
    </xf>
    <xf numFmtId="0" fontId="19" fillId="9" borderId="51"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13" xfId="0" applyFont="1" applyFill="1" applyBorder="1" applyAlignment="1">
      <alignment horizontal="center" vertical="center"/>
    </xf>
    <xf numFmtId="0" fontId="19" fillId="9" borderId="32"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48" xfId="0" applyFont="1" applyFill="1" applyBorder="1" applyAlignment="1">
      <alignment horizontal="center" vertical="center" wrapText="1"/>
    </xf>
    <xf numFmtId="0" fontId="9" fillId="4" borderId="0" xfId="0" applyFont="1" applyFill="1" applyAlignment="1">
      <alignment horizontal="center" vertical="center" wrapText="1"/>
    </xf>
    <xf numFmtId="0" fontId="9" fillId="4" borderId="1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17" fillId="7" borderId="27" xfId="0" applyFont="1" applyFill="1" applyBorder="1" applyAlignment="1">
      <alignment horizontal="center" vertical="center"/>
    </xf>
    <xf numFmtId="0" fontId="17" fillId="7" borderId="45" xfId="0" applyFont="1" applyFill="1" applyBorder="1" applyAlignment="1">
      <alignment horizontal="center" vertical="center"/>
    </xf>
    <xf numFmtId="0" fontId="17" fillId="7" borderId="10" xfId="0" applyFont="1" applyFill="1" applyBorder="1" applyAlignment="1">
      <alignment horizontal="center" vertical="center"/>
    </xf>
    <xf numFmtId="171" fontId="28" fillId="13" borderId="7" xfId="0" applyNumberFormat="1" applyFont="1" applyFill="1" applyBorder="1" applyAlignment="1">
      <alignment horizontal="center" vertical="center" wrapText="1"/>
    </xf>
    <xf numFmtId="171" fontId="28" fillId="13" borderId="5" xfId="0" applyNumberFormat="1" applyFont="1" applyFill="1" applyBorder="1" applyAlignment="1">
      <alignment horizontal="center" vertical="center" wrapText="1"/>
    </xf>
    <xf numFmtId="0" fontId="23" fillId="0" borderId="9" xfId="18" applyFont="1" applyBorder="1" applyAlignment="1">
      <alignment horizontal="center" vertical="center" wrapText="1"/>
    </xf>
    <xf numFmtId="0" fontId="23" fillId="0" borderId="0" xfId="18" applyFont="1" applyAlignment="1">
      <alignment horizontal="center" vertical="center" wrapText="1"/>
    </xf>
    <xf numFmtId="0" fontId="28" fillId="14" borderId="9" xfId="0" applyFont="1" applyFill="1" applyBorder="1" applyAlignment="1">
      <alignment horizontal="center" vertical="center" wrapText="1"/>
    </xf>
    <xf numFmtId="0" fontId="27" fillId="15" borderId="9" xfId="0" applyFont="1" applyFill="1" applyBorder="1" applyAlignment="1">
      <alignment horizontal="center" vertical="center" wrapText="1"/>
    </xf>
    <xf numFmtId="168" fontId="27" fillId="0" borderId="9" xfId="0" applyNumberFormat="1" applyFont="1" applyBorder="1" applyAlignment="1">
      <alignment horizontal="right" vertical="center" wrapText="1"/>
    </xf>
    <xf numFmtId="0" fontId="27" fillId="0" borderId="9" xfId="0" applyFont="1" applyBorder="1" applyAlignment="1">
      <alignment horizontal="right" vertical="center" wrapText="1"/>
    </xf>
    <xf numFmtId="0" fontId="27" fillId="15" borderId="18" xfId="0" applyFont="1" applyFill="1" applyBorder="1" applyAlignment="1">
      <alignment horizontal="center" vertical="center" wrapText="1"/>
    </xf>
    <xf numFmtId="0" fontId="27" fillId="15" borderId="45" xfId="0" applyFont="1" applyFill="1" applyBorder="1" applyAlignment="1">
      <alignment horizontal="center" vertical="center" wrapText="1"/>
    </xf>
    <xf numFmtId="0" fontId="27" fillId="15" borderId="10" xfId="0" applyFont="1" applyFill="1" applyBorder="1" applyAlignment="1">
      <alignment horizontal="center" vertical="center" wrapText="1"/>
    </xf>
    <xf numFmtId="0" fontId="10" fillId="4" borderId="4"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1" xfId="0" applyFont="1" applyFill="1" applyBorder="1" applyAlignment="1">
      <alignment horizontal="center" vertical="center"/>
    </xf>
    <xf numFmtId="0" fontId="3" fillId="2" borderId="4" xfId="0" applyFont="1" applyFill="1" applyBorder="1" applyAlignment="1" applyProtection="1">
      <alignment horizontal="left" vertical="top" wrapText="1"/>
      <protection locked="0"/>
    </xf>
    <xf numFmtId="0" fontId="3" fillId="2" borderId="3" xfId="0" applyFont="1" applyFill="1" applyBorder="1" applyAlignment="1" applyProtection="1">
      <alignment horizontal="left" vertical="top" wrapText="1"/>
      <protection locked="0"/>
    </xf>
    <xf numFmtId="0" fontId="3" fillId="2" borderId="1" xfId="0" applyFont="1" applyFill="1" applyBorder="1" applyAlignment="1" applyProtection="1">
      <alignment horizontal="left" vertical="top" wrapText="1"/>
      <protection locked="0"/>
    </xf>
    <xf numFmtId="0" fontId="8" fillId="2" borderId="19"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4" fillId="2" borderId="20" xfId="0" applyFont="1" applyFill="1" applyBorder="1" applyAlignment="1">
      <alignment horizontal="left" vertical="center"/>
    </xf>
    <xf numFmtId="0" fontId="4" fillId="2" borderId="9" xfId="0" applyFont="1" applyFill="1" applyBorder="1" applyAlignment="1">
      <alignment horizontal="left" vertical="center"/>
    </xf>
    <xf numFmtId="0" fontId="3" fillId="2" borderId="9"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4" fillId="2" borderId="22" xfId="0" applyFont="1" applyFill="1" applyBorder="1" applyAlignment="1">
      <alignment horizontal="left" vertical="center"/>
    </xf>
    <xf numFmtId="0" fontId="4" fillId="2" borderId="23" xfId="0" applyFont="1" applyFill="1" applyBorder="1" applyAlignment="1">
      <alignment horizontal="left" vertical="center"/>
    </xf>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7" fillId="3" borderId="8" xfId="1" applyFont="1" applyFill="1" applyBorder="1" applyAlignment="1">
      <alignment horizontal="center" vertical="center" wrapText="1"/>
    </xf>
    <xf numFmtId="0" fontId="7" fillId="3" borderId="0" xfId="1" applyFont="1" applyFill="1" applyAlignment="1">
      <alignment horizontal="center" vertical="center" wrapText="1"/>
    </xf>
    <xf numFmtId="0" fontId="4" fillId="2" borderId="20" xfId="0" applyFont="1" applyFill="1" applyBorder="1" applyAlignment="1">
      <alignment horizontal="left" vertical="center" wrapText="1"/>
    </xf>
    <xf numFmtId="0" fontId="4" fillId="2" borderId="9"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21" xfId="0" applyFont="1" applyFill="1" applyBorder="1" applyAlignment="1">
      <alignment horizontal="left" vertical="center" wrapText="1"/>
    </xf>
    <xf numFmtId="0" fontId="10" fillId="4" borderId="5" xfId="0" applyFont="1" applyFill="1" applyBorder="1" applyAlignment="1">
      <alignment horizontal="center" vertical="center"/>
    </xf>
    <xf numFmtId="0" fontId="9" fillId="4" borderId="33" xfId="0" applyFont="1" applyFill="1" applyBorder="1" applyAlignment="1">
      <alignment horizontal="center" vertical="center" wrapText="1"/>
    </xf>
    <xf numFmtId="0" fontId="9" fillId="4" borderId="36" xfId="0" applyFont="1" applyFill="1" applyBorder="1" applyAlignment="1">
      <alignment horizontal="center" vertical="center" wrapText="1"/>
    </xf>
    <xf numFmtId="0" fontId="16" fillId="11" borderId="9"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9" fillId="4" borderId="35" xfId="0" applyFont="1" applyFill="1" applyBorder="1" applyAlignment="1">
      <alignment horizontal="center" vertical="center" wrapText="1"/>
    </xf>
    <xf numFmtId="43" fontId="0" fillId="0" borderId="0" xfId="20" applyFont="1"/>
    <xf numFmtId="43" fontId="0" fillId="0" borderId="0" xfId="0" applyNumberFormat="1"/>
    <xf numFmtId="0" fontId="0" fillId="0" borderId="0" xfId="0" applyFill="1"/>
    <xf numFmtId="166" fontId="0" fillId="0" borderId="0" xfId="0" applyNumberFormat="1" applyFill="1"/>
    <xf numFmtId="44" fontId="0" fillId="0" borderId="0" xfId="0" applyNumberFormat="1" applyFill="1"/>
    <xf numFmtId="43" fontId="0" fillId="0" borderId="0" xfId="20" applyFont="1" applyFill="1"/>
    <xf numFmtId="166" fontId="8" fillId="0" borderId="9" xfId="13" applyNumberFormat="1" applyFont="1" applyFill="1" applyBorder="1" applyAlignment="1" applyProtection="1">
      <alignment horizontal="center" vertical="center"/>
      <protection locked="0"/>
    </xf>
    <xf numFmtId="0" fontId="11" fillId="0" borderId="9" xfId="0" applyFont="1" applyFill="1" applyBorder="1" applyAlignment="1">
      <alignment vertical="center" wrapText="1"/>
    </xf>
    <xf numFmtId="0" fontId="11" fillId="0" borderId="9" xfId="0" applyFont="1" applyFill="1" applyBorder="1" applyAlignment="1">
      <alignment horizontal="left" vertical="center" wrapText="1"/>
    </xf>
    <xf numFmtId="3" fontId="2" fillId="0" borderId="18" xfId="0" applyNumberFormat="1" applyFont="1" applyFill="1" applyBorder="1" applyAlignment="1">
      <alignment horizontal="center" vertical="center" wrapText="1"/>
    </xf>
    <xf numFmtId="3" fontId="11" fillId="0" borderId="18" xfId="0" applyNumberFormat="1" applyFont="1" applyFill="1" applyBorder="1" applyAlignment="1">
      <alignment horizontal="center" vertical="center" wrapText="1"/>
    </xf>
    <xf numFmtId="44" fontId="8" fillId="0" borderId="10" xfId="13" applyNumberFormat="1" applyFont="1" applyFill="1" applyBorder="1" applyAlignment="1" applyProtection="1">
      <alignment horizontal="center" vertical="center"/>
      <protection locked="0"/>
    </xf>
    <xf numFmtId="44" fontId="8" fillId="0" borderId="9" xfId="13" applyNumberFormat="1" applyFont="1" applyFill="1" applyBorder="1" applyAlignment="1" applyProtection="1">
      <alignment horizontal="center" vertical="center"/>
      <protection locked="0"/>
    </xf>
    <xf numFmtId="0" fontId="2" fillId="0" borderId="18"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9" xfId="0" applyFont="1" applyFill="1" applyBorder="1" applyAlignment="1">
      <alignment horizontal="justify" vertical="center" wrapText="1"/>
    </xf>
    <xf numFmtId="42" fontId="0" fillId="0" borderId="0" xfId="0" applyNumberFormat="1" applyFill="1"/>
    <xf numFmtId="42" fontId="8" fillId="0" borderId="9" xfId="13" applyFont="1" applyFill="1" applyBorder="1" applyAlignment="1">
      <alignment horizontal="center" vertical="center"/>
    </xf>
  </cellXfs>
  <cellStyles count="21">
    <cellStyle name="Estilo 1" xfId="3" xr:uid="{4829E5D7-88DD-411E-96BA-DC1C021E33EE}"/>
    <cellStyle name="Millares" xfId="20" builtinId="3"/>
    <cellStyle name="Millares 2" xfId="2" xr:uid="{2ADB04EB-CCBB-4D6C-87A5-509B389CE539}"/>
    <cellStyle name="Millares 2 2" xfId="6" xr:uid="{C71E75BD-F17C-40AE-B33E-9A78A1F18704}"/>
    <cellStyle name="Millares 2 2 2" xfId="7" xr:uid="{5D9D7BB5-F9BA-46C8-A2A1-A2F8963CC511}"/>
    <cellStyle name="Millares 3" xfId="4" xr:uid="{3EABEEFB-33B7-458D-94FE-F0CDAEE16674}"/>
    <cellStyle name="Millares 31" xfId="16" xr:uid="{CE94DA66-CA46-48AB-B967-FD66A538D326}"/>
    <cellStyle name="Millares 4" xfId="12" xr:uid="{893294A4-BB09-423E-BEA6-1F57E3C37F66}"/>
    <cellStyle name="Millares 66 2 4" xfId="14" xr:uid="{FF756443-973D-4C05-B06E-9D7F90549A8D}"/>
    <cellStyle name="Millares 9" xfId="8" xr:uid="{9368F1BE-381A-4CEA-8B7D-63077F1756D0}"/>
    <cellStyle name="Moneda" xfId="15" builtinId="4"/>
    <cellStyle name="Moneda [0]" xfId="13" builtinId="7"/>
    <cellStyle name="Moneda 2" xfId="5" xr:uid="{A83840F8-2790-4880-887D-C8305FB443A7}"/>
    <cellStyle name="Moneda 3" xfId="9" xr:uid="{95EBEB9E-C2A9-49D1-933D-020E5D38D2D2}"/>
    <cellStyle name="Normal" xfId="0" builtinId="0"/>
    <cellStyle name="Normal 2" xfId="1" xr:uid="{00000000-0005-0000-0000-000003000000}"/>
    <cellStyle name="Normal 2 2" xfId="10" xr:uid="{0AF97545-AA13-43E4-9765-EA4A9B78042C}"/>
    <cellStyle name="Normal 2 3" xfId="11" xr:uid="{07475C27-A104-49E7-8CE7-67E34838D7CE}"/>
    <cellStyle name="Normal 3" xfId="18" xr:uid="{22FEC190-15D0-4805-97E8-A314CC496008}"/>
    <cellStyle name="Porcentaje" xfId="17" builtinId="5"/>
    <cellStyle name="Porcentaje 2" xfId="19" xr:uid="{D3E6EA42-C5F4-4326-9E08-E142FD4DEB4D}"/>
  </cellStyles>
  <dxfs count="0"/>
  <tableStyles count="0" defaultTableStyle="TableStyleMedium2" defaultPivotStyle="PivotStyleLight16"/>
  <colors>
    <mruColors>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3107968</xdr:colOff>
      <xdr:row>0</xdr:row>
      <xdr:rowOff>81644</xdr:rowOff>
    </xdr:from>
    <xdr:to>
      <xdr:col>1</xdr:col>
      <xdr:colOff>4087586</xdr:colOff>
      <xdr:row>0</xdr:row>
      <xdr:rowOff>659868</xdr:rowOff>
    </xdr:to>
    <xdr:pic>
      <xdr:nvPicPr>
        <xdr:cNvPr id="2" name="Imagen 1">
          <a:extLst>
            <a:ext uri="{FF2B5EF4-FFF2-40B4-BE49-F238E27FC236}">
              <a16:creationId xmlns:a16="http://schemas.microsoft.com/office/drawing/2014/main" id="{DC7789CB-A6D1-410A-ACAD-7F2507D319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098318" y="81644"/>
          <a:ext cx="0" cy="578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95249</xdr:rowOff>
    </xdr:from>
    <xdr:to>
      <xdr:col>2</xdr:col>
      <xdr:colOff>0</xdr:colOff>
      <xdr:row>0</xdr:row>
      <xdr:rowOff>1179526</xdr:rowOff>
    </xdr:to>
    <xdr:pic>
      <xdr:nvPicPr>
        <xdr:cNvPr id="3" name="Imagen 2">
          <a:extLst>
            <a:ext uri="{FF2B5EF4-FFF2-40B4-BE49-F238E27FC236}">
              <a16:creationId xmlns:a16="http://schemas.microsoft.com/office/drawing/2014/main" id="{44BFC4FE-7C3B-4346-891B-F8F2D8C2C6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571500" y="95249"/>
          <a:ext cx="1524000" cy="1084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3107968</xdr:colOff>
      <xdr:row>0</xdr:row>
      <xdr:rowOff>81644</xdr:rowOff>
    </xdr:from>
    <xdr:to>
      <xdr:col>1</xdr:col>
      <xdr:colOff>4087586</xdr:colOff>
      <xdr:row>0</xdr:row>
      <xdr:rowOff>659868</xdr:rowOff>
    </xdr:to>
    <xdr:pic>
      <xdr:nvPicPr>
        <xdr:cNvPr id="2" name="Imagen 1">
          <a:extLst>
            <a:ext uri="{FF2B5EF4-FFF2-40B4-BE49-F238E27FC236}">
              <a16:creationId xmlns:a16="http://schemas.microsoft.com/office/drawing/2014/main" id="{F8699E1A-0617-4C41-8D5F-9936183C09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968268" y="81644"/>
          <a:ext cx="0" cy="578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95249</xdr:rowOff>
    </xdr:from>
    <xdr:to>
      <xdr:col>2</xdr:col>
      <xdr:colOff>0</xdr:colOff>
      <xdr:row>0</xdr:row>
      <xdr:rowOff>1179526</xdr:rowOff>
    </xdr:to>
    <xdr:pic>
      <xdr:nvPicPr>
        <xdr:cNvPr id="3" name="Imagen 2">
          <a:extLst>
            <a:ext uri="{FF2B5EF4-FFF2-40B4-BE49-F238E27FC236}">
              <a16:creationId xmlns:a16="http://schemas.microsoft.com/office/drawing/2014/main" id="{C95D3B4F-F8C4-47EE-8D2B-6157C54FAB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571500" y="95249"/>
          <a:ext cx="2393950" cy="1084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ramoss\Documents\CONTRATOS\GESTION%20DOCUMENTAL\CORRESPONDENCIA%202025-2026\ESTUDIO%20DE%20MERCADO%20MENSAJERIA.xlsx" TargetMode="External"/><Relationship Id="rId1" Type="http://schemas.openxmlformats.org/officeDocument/2006/relationships/externalLinkPath" Target="/Users/mramoss/Documents/CONTRATOS/GESTION%20DOCUMENTAL/CORRESPONDENCIA%202025-2026/ESTUDIO%20DE%20MERCADO%20MENSAJE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Grupo Kriterion"/>
      <sheetName val="Lan Solutions"/>
      <sheetName val="Digicom"/>
      <sheetName val="Servicios postales"/>
      <sheetName val="Rottor"/>
      <sheetName val="Indra Colombia"/>
      <sheetName val="TK Logistica"/>
      <sheetName val="Estudio de mercado"/>
      <sheetName val="Estudio de mercado (2)"/>
      <sheetName val="Estudio de mercado (3)"/>
      <sheetName val="Estudio de mercado (4)"/>
    </sheetNames>
    <sheetDataSet>
      <sheetData sheetId="0">
        <row r="11">
          <cell r="G11">
            <v>14900</v>
          </cell>
        </row>
        <row r="12">
          <cell r="G12">
            <v>24000</v>
          </cell>
        </row>
        <row r="13">
          <cell r="G13">
            <v>20800</v>
          </cell>
        </row>
        <row r="14">
          <cell r="G14">
            <v>47000</v>
          </cell>
        </row>
        <row r="15">
          <cell r="G15">
            <v>450000</v>
          </cell>
        </row>
        <row r="16">
          <cell r="G16">
            <v>146000</v>
          </cell>
        </row>
        <row r="17">
          <cell r="G17">
            <v>190000</v>
          </cell>
        </row>
        <row r="18">
          <cell r="G18">
            <v>180000</v>
          </cell>
        </row>
        <row r="19">
          <cell r="G19">
            <v>420000</v>
          </cell>
        </row>
        <row r="20">
          <cell r="G20">
            <v>360000</v>
          </cell>
        </row>
        <row r="21">
          <cell r="G21">
            <v>355000</v>
          </cell>
        </row>
        <row r="22">
          <cell r="G22">
            <v>405000</v>
          </cell>
        </row>
        <row r="23">
          <cell r="G23">
            <v>680000</v>
          </cell>
        </row>
        <row r="24">
          <cell r="G24">
            <v>880000</v>
          </cell>
        </row>
        <row r="25">
          <cell r="G25">
            <v>1200000</v>
          </cell>
        </row>
        <row r="26">
          <cell r="G26">
            <v>9300000</v>
          </cell>
        </row>
        <row r="27">
          <cell r="G27">
            <v>8900000</v>
          </cell>
        </row>
        <row r="28">
          <cell r="G28">
            <v>6300000</v>
          </cell>
        </row>
        <row r="29">
          <cell r="G29">
            <v>6400000</v>
          </cell>
        </row>
        <row r="30">
          <cell r="G30">
            <v>6900000</v>
          </cell>
        </row>
        <row r="31">
          <cell r="G31">
            <v>6500000</v>
          </cell>
        </row>
        <row r="32">
          <cell r="G32">
            <v>6500000</v>
          </cell>
        </row>
        <row r="33">
          <cell r="G33">
            <v>9000000</v>
          </cell>
        </row>
        <row r="34">
          <cell r="G34">
            <v>7000000</v>
          </cell>
        </row>
        <row r="35">
          <cell r="G35">
            <v>350</v>
          </cell>
        </row>
        <row r="36">
          <cell r="G36">
            <v>350</v>
          </cell>
        </row>
        <row r="37">
          <cell r="G37">
            <v>470</v>
          </cell>
        </row>
        <row r="38">
          <cell r="G38">
            <v>370</v>
          </cell>
        </row>
        <row r="39">
          <cell r="G39">
            <v>370</v>
          </cell>
        </row>
        <row r="40">
          <cell r="G40">
            <v>300</v>
          </cell>
        </row>
        <row r="41">
          <cell r="G41">
            <v>350</v>
          </cell>
        </row>
        <row r="42">
          <cell r="G42">
            <v>195</v>
          </cell>
        </row>
        <row r="43">
          <cell r="G43">
            <v>2600</v>
          </cell>
        </row>
        <row r="44">
          <cell r="G44">
            <v>3500</v>
          </cell>
        </row>
        <row r="45">
          <cell r="G45">
            <v>3200</v>
          </cell>
        </row>
        <row r="46">
          <cell r="G46">
            <v>11000</v>
          </cell>
        </row>
      </sheetData>
      <sheetData sheetId="1">
        <row r="11">
          <cell r="G11">
            <v>13700</v>
          </cell>
        </row>
        <row r="12">
          <cell r="G12">
            <v>25000</v>
          </cell>
        </row>
        <row r="13">
          <cell r="G13">
            <v>22100</v>
          </cell>
        </row>
        <row r="14">
          <cell r="G14">
            <v>45000</v>
          </cell>
        </row>
        <row r="15">
          <cell r="G15">
            <v>500000</v>
          </cell>
        </row>
        <row r="16">
          <cell r="G16">
            <v>140000</v>
          </cell>
        </row>
        <row r="17">
          <cell r="G17">
            <v>180000</v>
          </cell>
        </row>
        <row r="18">
          <cell r="G18">
            <v>174000</v>
          </cell>
        </row>
        <row r="19">
          <cell r="G19">
            <v>390000</v>
          </cell>
        </row>
        <row r="20">
          <cell r="G20">
            <v>345000</v>
          </cell>
        </row>
        <row r="21">
          <cell r="G21">
            <v>330000</v>
          </cell>
        </row>
        <row r="22">
          <cell r="G22">
            <v>430000</v>
          </cell>
        </row>
        <row r="23">
          <cell r="G23">
            <v>850000</v>
          </cell>
        </row>
        <row r="24">
          <cell r="G24">
            <v>905000</v>
          </cell>
        </row>
        <row r="25">
          <cell r="G25">
            <v>1100000</v>
          </cell>
        </row>
        <row r="26">
          <cell r="G26">
            <v>9700000</v>
          </cell>
        </row>
        <row r="27">
          <cell r="G27">
            <v>9100000</v>
          </cell>
        </row>
        <row r="28">
          <cell r="G28">
            <v>6700000</v>
          </cell>
        </row>
        <row r="29">
          <cell r="G29">
            <v>6800000</v>
          </cell>
        </row>
        <row r="30">
          <cell r="G30">
            <v>7000000</v>
          </cell>
        </row>
        <row r="31">
          <cell r="G31">
            <v>6600000</v>
          </cell>
        </row>
        <row r="32">
          <cell r="G32">
            <v>6600000</v>
          </cell>
        </row>
        <row r="33">
          <cell r="G33">
            <v>9100000</v>
          </cell>
        </row>
        <row r="34">
          <cell r="G34">
            <v>6800000</v>
          </cell>
        </row>
        <row r="35">
          <cell r="G35">
            <v>370</v>
          </cell>
        </row>
        <row r="36">
          <cell r="G36">
            <v>370</v>
          </cell>
        </row>
        <row r="37">
          <cell r="G37">
            <v>450</v>
          </cell>
        </row>
        <row r="38">
          <cell r="G38">
            <v>390</v>
          </cell>
        </row>
        <row r="39">
          <cell r="G39">
            <v>390</v>
          </cell>
        </row>
        <row r="40">
          <cell r="G40">
            <v>260</v>
          </cell>
        </row>
        <row r="41">
          <cell r="G41">
            <v>370</v>
          </cell>
        </row>
        <row r="42">
          <cell r="G42">
            <v>200</v>
          </cell>
        </row>
        <row r="43">
          <cell r="G43">
            <v>2700</v>
          </cell>
        </row>
        <row r="44">
          <cell r="G44">
            <v>3800</v>
          </cell>
        </row>
        <row r="45">
          <cell r="G45">
            <v>3700</v>
          </cell>
        </row>
        <row r="46">
          <cell r="G46">
            <v>11500</v>
          </cell>
        </row>
      </sheetData>
      <sheetData sheetId="2">
        <row r="11">
          <cell r="G11">
            <v>13100</v>
          </cell>
        </row>
        <row r="12">
          <cell r="G12">
            <v>21300</v>
          </cell>
        </row>
        <row r="13">
          <cell r="G13">
            <v>19900</v>
          </cell>
        </row>
        <row r="14">
          <cell r="G14">
            <v>44800</v>
          </cell>
        </row>
        <row r="15">
          <cell r="G15">
            <v>783100</v>
          </cell>
        </row>
        <row r="16">
          <cell r="G16">
            <v>129900</v>
          </cell>
        </row>
        <row r="17">
          <cell r="G17">
            <v>177200</v>
          </cell>
        </row>
        <row r="18">
          <cell r="G18">
            <v>139700</v>
          </cell>
        </row>
        <row r="19">
          <cell r="G19">
            <v>347200</v>
          </cell>
        </row>
        <row r="20">
          <cell r="G20">
            <v>320000</v>
          </cell>
        </row>
        <row r="21">
          <cell r="G21">
            <v>312500</v>
          </cell>
        </row>
        <row r="22">
          <cell r="G22">
            <v>345500</v>
          </cell>
        </row>
        <row r="23">
          <cell r="G23">
            <v>651300</v>
          </cell>
        </row>
        <row r="24">
          <cell r="G24">
            <v>672100</v>
          </cell>
        </row>
        <row r="25">
          <cell r="G25">
            <v>958000</v>
          </cell>
        </row>
        <row r="26">
          <cell r="G26">
            <v>9944000</v>
          </cell>
        </row>
        <row r="27">
          <cell r="G27">
            <v>8021900</v>
          </cell>
        </row>
        <row r="28">
          <cell r="G28">
            <v>6012800</v>
          </cell>
        </row>
        <row r="29">
          <cell r="G29">
            <v>6012800</v>
          </cell>
        </row>
        <row r="30">
          <cell r="G30">
            <v>6432800</v>
          </cell>
        </row>
        <row r="31">
          <cell r="G31">
            <v>7019200</v>
          </cell>
        </row>
        <row r="32">
          <cell r="G32">
            <v>7019200</v>
          </cell>
        </row>
        <row r="33">
          <cell r="G33">
            <v>8027200</v>
          </cell>
        </row>
        <row r="34">
          <cell r="G34">
            <v>6012800</v>
          </cell>
        </row>
        <row r="35">
          <cell r="G35">
            <v>363</v>
          </cell>
        </row>
        <row r="36">
          <cell r="G36">
            <v>363</v>
          </cell>
        </row>
        <row r="37">
          <cell r="G37">
            <v>487</v>
          </cell>
        </row>
        <row r="38">
          <cell r="G38">
            <v>360</v>
          </cell>
        </row>
        <row r="39">
          <cell r="G39">
            <v>360</v>
          </cell>
        </row>
        <row r="40">
          <cell r="G40">
            <v>396</v>
          </cell>
        </row>
        <row r="41">
          <cell r="G41">
            <v>363</v>
          </cell>
        </row>
        <row r="42">
          <cell r="G42">
            <v>258</v>
          </cell>
        </row>
        <row r="43">
          <cell r="G43">
            <v>2500</v>
          </cell>
        </row>
        <row r="44">
          <cell r="G44">
            <v>3900</v>
          </cell>
        </row>
        <row r="45">
          <cell r="G45">
            <v>3700</v>
          </cell>
        </row>
        <row r="46">
          <cell r="G46">
            <v>10200</v>
          </cell>
        </row>
      </sheetData>
      <sheetData sheetId="3">
        <row r="11">
          <cell r="G11">
            <v>13225</v>
          </cell>
        </row>
        <row r="12">
          <cell r="G12">
            <v>20700</v>
          </cell>
        </row>
        <row r="13">
          <cell r="G13">
            <v>18400</v>
          </cell>
        </row>
        <row r="14">
          <cell r="G14">
            <v>39100</v>
          </cell>
        </row>
        <row r="15">
          <cell r="G15">
            <v>345000</v>
          </cell>
        </row>
        <row r="16">
          <cell r="G16">
            <v>126500</v>
          </cell>
        </row>
        <row r="17">
          <cell r="G17">
            <v>149500</v>
          </cell>
        </row>
        <row r="18">
          <cell r="G18">
            <v>138000</v>
          </cell>
        </row>
        <row r="19">
          <cell r="G19">
            <v>345000</v>
          </cell>
        </row>
        <row r="20">
          <cell r="G20">
            <v>322000</v>
          </cell>
        </row>
        <row r="21">
          <cell r="G21">
            <v>316250</v>
          </cell>
        </row>
        <row r="22">
          <cell r="G22">
            <v>333500</v>
          </cell>
        </row>
        <row r="23">
          <cell r="G23">
            <v>575000</v>
          </cell>
        </row>
        <row r="24">
          <cell r="G24">
            <v>690000</v>
          </cell>
        </row>
        <row r="25">
          <cell r="G25">
            <v>977500</v>
          </cell>
        </row>
        <row r="26">
          <cell r="G26">
            <v>9200000</v>
          </cell>
        </row>
        <row r="27">
          <cell r="G27">
            <v>7820000</v>
          </cell>
        </row>
        <row r="28">
          <cell r="G28">
            <v>5980000</v>
          </cell>
        </row>
        <row r="29">
          <cell r="G29">
            <v>5980000</v>
          </cell>
        </row>
        <row r="30">
          <cell r="G30">
            <v>6210000</v>
          </cell>
        </row>
        <row r="31">
          <cell r="G31">
            <v>5865000</v>
          </cell>
        </row>
        <row r="32">
          <cell r="G32">
            <v>5865000</v>
          </cell>
        </row>
        <row r="33">
          <cell r="G33">
            <v>8050000</v>
          </cell>
        </row>
        <row r="34">
          <cell r="G34">
            <v>5980000</v>
          </cell>
        </row>
        <row r="35">
          <cell r="G35">
            <v>287</v>
          </cell>
        </row>
        <row r="36">
          <cell r="G36">
            <v>287</v>
          </cell>
        </row>
        <row r="37">
          <cell r="G37">
            <v>517</v>
          </cell>
        </row>
        <row r="38">
          <cell r="G38">
            <v>340</v>
          </cell>
        </row>
        <row r="39">
          <cell r="G39">
            <v>340</v>
          </cell>
        </row>
        <row r="40">
          <cell r="G40">
            <v>276</v>
          </cell>
        </row>
        <row r="41">
          <cell r="G41">
            <v>287</v>
          </cell>
        </row>
        <row r="42">
          <cell r="G42">
            <v>184</v>
          </cell>
        </row>
        <row r="43">
          <cell r="G43">
            <v>2530</v>
          </cell>
        </row>
        <row r="44">
          <cell r="G44">
            <v>3450</v>
          </cell>
        </row>
        <row r="45">
          <cell r="G45">
            <v>3105</v>
          </cell>
        </row>
        <row r="46">
          <cell r="G46">
            <v>10350</v>
          </cell>
        </row>
      </sheetData>
      <sheetData sheetId="4">
        <row r="11">
          <cell r="G11">
            <v>13000</v>
          </cell>
        </row>
        <row r="12">
          <cell r="G12">
            <v>19200</v>
          </cell>
        </row>
        <row r="13">
          <cell r="G13">
            <v>17900</v>
          </cell>
        </row>
        <row r="14">
          <cell r="G14">
            <v>38000</v>
          </cell>
        </row>
        <row r="15">
          <cell r="G15">
            <v>330000</v>
          </cell>
        </row>
        <row r="16">
          <cell r="G16">
            <v>124000</v>
          </cell>
        </row>
        <row r="17">
          <cell r="G17">
            <v>147000</v>
          </cell>
        </row>
        <row r="18">
          <cell r="G18">
            <v>135000</v>
          </cell>
        </row>
        <row r="19">
          <cell r="G19">
            <v>320000</v>
          </cell>
        </row>
        <row r="20">
          <cell r="G20">
            <v>310000</v>
          </cell>
        </row>
        <row r="21">
          <cell r="G21">
            <v>300000</v>
          </cell>
        </row>
        <row r="22">
          <cell r="G22">
            <v>320000</v>
          </cell>
        </row>
        <row r="23">
          <cell r="G23">
            <v>550000</v>
          </cell>
        </row>
        <row r="24">
          <cell r="G24">
            <v>640000</v>
          </cell>
        </row>
        <row r="25">
          <cell r="G25">
            <v>880000</v>
          </cell>
        </row>
        <row r="26">
          <cell r="G26">
            <v>8900000</v>
          </cell>
        </row>
        <row r="27">
          <cell r="G27">
            <v>7500000</v>
          </cell>
        </row>
        <row r="28">
          <cell r="G28">
            <v>5600000</v>
          </cell>
        </row>
        <row r="29">
          <cell r="G29">
            <v>5700000</v>
          </cell>
        </row>
        <row r="30">
          <cell r="G30">
            <v>6000000</v>
          </cell>
        </row>
        <row r="31">
          <cell r="G31">
            <v>5500000</v>
          </cell>
        </row>
        <row r="32">
          <cell r="G32">
            <v>5500000</v>
          </cell>
        </row>
        <row r="33">
          <cell r="G33">
            <v>7800000</v>
          </cell>
        </row>
        <row r="34">
          <cell r="G34">
            <v>5900000</v>
          </cell>
        </row>
        <row r="35">
          <cell r="G35">
            <v>286</v>
          </cell>
        </row>
        <row r="36">
          <cell r="G36">
            <v>286</v>
          </cell>
        </row>
        <row r="37">
          <cell r="G37">
            <v>500</v>
          </cell>
        </row>
        <row r="38">
          <cell r="G38">
            <v>330</v>
          </cell>
        </row>
        <row r="39">
          <cell r="G39">
            <v>330</v>
          </cell>
        </row>
        <row r="40">
          <cell r="G40">
            <v>250</v>
          </cell>
        </row>
        <row r="41">
          <cell r="G41">
            <v>286</v>
          </cell>
        </row>
        <row r="42">
          <cell r="G42">
            <v>170</v>
          </cell>
        </row>
        <row r="43">
          <cell r="G43">
            <v>2400</v>
          </cell>
        </row>
        <row r="44">
          <cell r="G44">
            <v>3400</v>
          </cell>
        </row>
        <row r="45">
          <cell r="G45">
            <v>3100</v>
          </cell>
        </row>
        <row r="46">
          <cell r="G46">
            <v>10200</v>
          </cell>
        </row>
      </sheetData>
      <sheetData sheetId="5">
        <row r="11">
          <cell r="G11">
            <v>14430</v>
          </cell>
        </row>
        <row r="12">
          <cell r="G12">
            <v>22200</v>
          </cell>
        </row>
        <row r="13">
          <cell r="G13">
            <v>19980</v>
          </cell>
        </row>
        <row r="14">
          <cell r="G14">
            <v>46620</v>
          </cell>
        </row>
        <row r="15">
          <cell r="G15">
            <v>444222</v>
          </cell>
        </row>
        <row r="16">
          <cell r="G16">
            <v>333000</v>
          </cell>
        </row>
        <row r="17">
          <cell r="G17">
            <v>333000</v>
          </cell>
        </row>
        <row r="18">
          <cell r="G18">
            <v>333000</v>
          </cell>
        </row>
        <row r="19">
          <cell r="G19">
            <v>333000</v>
          </cell>
        </row>
        <row r="20">
          <cell r="G20">
            <v>321900</v>
          </cell>
        </row>
        <row r="21">
          <cell r="G21">
            <v>321900</v>
          </cell>
        </row>
        <row r="22">
          <cell r="G22">
            <v>321900</v>
          </cell>
        </row>
        <row r="23">
          <cell r="G23">
            <v>999000</v>
          </cell>
        </row>
        <row r="24">
          <cell r="G24">
            <v>999000</v>
          </cell>
        </row>
        <row r="25">
          <cell r="G25">
            <v>999000</v>
          </cell>
        </row>
        <row r="26">
          <cell r="G26">
            <v>11100000</v>
          </cell>
        </row>
        <row r="27">
          <cell r="G27">
            <v>8880000</v>
          </cell>
        </row>
        <row r="28">
          <cell r="G28">
            <v>6660000</v>
          </cell>
        </row>
        <row r="29">
          <cell r="G29">
            <v>6660000</v>
          </cell>
        </row>
        <row r="30">
          <cell r="G30">
            <v>7770000</v>
          </cell>
        </row>
        <row r="31">
          <cell r="G31">
            <v>7215000</v>
          </cell>
        </row>
        <row r="32">
          <cell r="G32">
            <v>7215000</v>
          </cell>
        </row>
        <row r="33">
          <cell r="G33">
            <v>8880000</v>
          </cell>
        </row>
        <row r="34">
          <cell r="G34">
            <v>6105000</v>
          </cell>
        </row>
        <row r="35">
          <cell r="G35">
            <v>389</v>
          </cell>
        </row>
        <row r="36">
          <cell r="G36">
            <v>389</v>
          </cell>
        </row>
        <row r="37">
          <cell r="G37">
            <v>444</v>
          </cell>
        </row>
        <row r="38">
          <cell r="G38">
            <v>344</v>
          </cell>
        </row>
        <row r="39">
          <cell r="G39">
            <v>344</v>
          </cell>
        </row>
        <row r="40">
          <cell r="G40">
            <v>222</v>
          </cell>
        </row>
        <row r="41">
          <cell r="G41">
            <v>389</v>
          </cell>
        </row>
        <row r="42">
          <cell r="G42">
            <v>231</v>
          </cell>
        </row>
        <row r="43">
          <cell r="G43">
            <v>2664</v>
          </cell>
        </row>
        <row r="44">
          <cell r="G44">
            <v>3885</v>
          </cell>
        </row>
        <row r="45">
          <cell r="G45">
            <v>3330</v>
          </cell>
        </row>
        <row r="46">
          <cell r="G46">
            <v>10878</v>
          </cell>
        </row>
      </sheetData>
      <sheetData sheetId="6">
        <row r="11">
          <cell r="G11">
            <v>14000</v>
          </cell>
        </row>
        <row r="12">
          <cell r="G12">
            <v>23000</v>
          </cell>
        </row>
        <row r="13">
          <cell r="G13">
            <v>21000</v>
          </cell>
        </row>
        <row r="14">
          <cell r="G14">
            <v>42000</v>
          </cell>
        </row>
        <row r="15">
          <cell r="G15">
            <v>400000</v>
          </cell>
        </row>
        <row r="16">
          <cell r="G16">
            <v>135000</v>
          </cell>
        </row>
        <row r="17">
          <cell r="G17">
            <v>160000</v>
          </cell>
        </row>
        <row r="18">
          <cell r="G18">
            <v>155000</v>
          </cell>
        </row>
        <row r="19">
          <cell r="G19">
            <v>400000</v>
          </cell>
        </row>
        <row r="20">
          <cell r="G20">
            <v>350000</v>
          </cell>
        </row>
        <row r="21">
          <cell r="G21">
            <v>340000</v>
          </cell>
        </row>
        <row r="22">
          <cell r="G22">
            <v>450000</v>
          </cell>
        </row>
        <row r="23">
          <cell r="G23">
            <v>705000</v>
          </cell>
        </row>
        <row r="24">
          <cell r="G24">
            <v>795000</v>
          </cell>
        </row>
        <row r="25">
          <cell r="G25">
            <v>950000</v>
          </cell>
        </row>
        <row r="26">
          <cell r="G26">
            <v>10000000</v>
          </cell>
        </row>
        <row r="27">
          <cell r="G27">
            <v>9000000</v>
          </cell>
        </row>
        <row r="28">
          <cell r="G28">
            <v>6100000</v>
          </cell>
        </row>
        <row r="29">
          <cell r="G29">
            <v>6200000</v>
          </cell>
        </row>
        <row r="30">
          <cell r="G30">
            <v>6500000</v>
          </cell>
        </row>
        <row r="31">
          <cell r="G31">
            <v>6150000</v>
          </cell>
        </row>
        <row r="32">
          <cell r="G32">
            <v>6150000</v>
          </cell>
        </row>
        <row r="33">
          <cell r="G33">
            <v>9500000</v>
          </cell>
        </row>
        <row r="34">
          <cell r="G34">
            <v>6500000</v>
          </cell>
        </row>
        <row r="35">
          <cell r="G35">
            <v>389</v>
          </cell>
        </row>
        <row r="36">
          <cell r="G36">
            <v>389</v>
          </cell>
        </row>
        <row r="37">
          <cell r="G37">
            <v>440</v>
          </cell>
        </row>
        <row r="38">
          <cell r="G38">
            <v>370</v>
          </cell>
        </row>
        <row r="39">
          <cell r="G39">
            <v>370</v>
          </cell>
        </row>
        <row r="40">
          <cell r="G40">
            <v>250</v>
          </cell>
        </row>
        <row r="41">
          <cell r="G41">
            <v>389</v>
          </cell>
        </row>
        <row r="42">
          <cell r="G42">
            <v>240</v>
          </cell>
        </row>
        <row r="43">
          <cell r="G43">
            <v>2500</v>
          </cell>
        </row>
        <row r="44">
          <cell r="G44">
            <v>3600</v>
          </cell>
        </row>
        <row r="45">
          <cell r="G45">
            <v>3550</v>
          </cell>
        </row>
        <row r="46">
          <cell r="G46">
            <v>10000</v>
          </cell>
        </row>
      </sheetData>
      <sheetData sheetId="7"/>
      <sheetData sheetId="8"/>
      <sheetData sheetId="9"/>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105DD-4CCD-4EE4-BA19-E983B72701EE}">
  <dimension ref="A1:V47"/>
  <sheetViews>
    <sheetView topLeftCell="F3" zoomScale="55" zoomScaleNormal="55" workbookViewId="0">
      <pane ySplit="4" topLeftCell="A7" activePane="bottomLeft" state="frozen"/>
      <selection activeCell="A3" sqref="A3"/>
      <selection pane="bottomLeft" activeCell="O45" sqref="O45:O47"/>
    </sheetView>
  </sheetViews>
  <sheetFormatPr baseColWidth="10" defaultColWidth="11.453125" defaultRowHeight="14" x14ac:dyDescent="0.35"/>
  <cols>
    <col min="1" max="1" width="9.453125" style="121" customWidth="1"/>
    <col min="2" max="2" width="32.81640625" style="121" customWidth="1"/>
    <col min="3" max="3" width="47" style="121" customWidth="1"/>
    <col min="4" max="4" width="42.1796875" style="121" customWidth="1"/>
    <col min="5" max="6" width="11.54296875" style="121" bestFit="1" customWidth="1"/>
    <col min="7" max="9" width="17.54296875" style="121" bestFit="1" customWidth="1"/>
    <col min="10" max="10" width="25.453125" style="121" bestFit="1" customWidth="1"/>
    <col min="11" max="11" width="11.54296875" style="121" bestFit="1" customWidth="1"/>
    <col min="12" max="12" width="17.54296875" style="121" bestFit="1" customWidth="1"/>
    <col min="13" max="13" width="17.81640625" style="121" bestFit="1" customWidth="1"/>
    <col min="14" max="14" width="19.1796875" style="121" bestFit="1" customWidth="1"/>
    <col min="15" max="15" width="32.453125" style="121" bestFit="1" customWidth="1"/>
    <col min="16" max="16" width="11.54296875" style="121" bestFit="1" customWidth="1"/>
    <col min="17" max="17" width="14.26953125" style="121" customWidth="1"/>
    <col min="18" max="18" width="14.81640625" style="121" customWidth="1"/>
    <col min="19" max="19" width="15.7265625" style="121" customWidth="1"/>
    <col min="20" max="20" width="25" style="121" bestFit="1" customWidth="1"/>
    <col min="21" max="21" width="23.453125" style="121" bestFit="1" customWidth="1"/>
    <col min="22" max="16384" width="11.453125" style="121"/>
  </cols>
  <sheetData>
    <row r="1" spans="1:22" ht="14.25" customHeight="1" x14ac:dyDescent="0.35">
      <c r="A1" s="164" t="s">
        <v>89</v>
      </c>
      <c r="B1" s="165"/>
      <c r="C1" s="166"/>
      <c r="D1" s="170">
        <f>U44/T44</f>
        <v>0.18269622680995382</v>
      </c>
    </row>
    <row r="2" spans="1:22" ht="14.25" customHeight="1" x14ac:dyDescent="0.35">
      <c r="A2" s="167"/>
      <c r="B2" s="168"/>
      <c r="C2" s="169"/>
      <c r="D2" s="171"/>
    </row>
    <row r="3" spans="1:22" ht="14.5" thickBot="1" x14ac:dyDescent="0.4"/>
    <row r="4" spans="1:22" ht="15" customHeight="1" x14ac:dyDescent="0.35">
      <c r="A4" s="193" t="s">
        <v>3</v>
      </c>
      <c r="B4" s="193" t="s">
        <v>12</v>
      </c>
      <c r="C4" s="193" t="s">
        <v>3</v>
      </c>
      <c r="D4" s="193" t="s">
        <v>4</v>
      </c>
      <c r="E4" s="195" t="s">
        <v>13</v>
      </c>
      <c r="F4" s="175" t="s">
        <v>84</v>
      </c>
      <c r="G4" s="176"/>
      <c r="H4" s="176"/>
      <c r="I4" s="176"/>
      <c r="J4" s="176"/>
      <c r="K4" s="176"/>
      <c r="L4" s="176"/>
      <c r="M4" s="176"/>
      <c r="N4" s="176"/>
      <c r="O4" s="177"/>
      <c r="P4" s="178" t="s">
        <v>85</v>
      </c>
      <c r="Q4" s="179"/>
      <c r="R4" s="179"/>
      <c r="S4" s="179"/>
      <c r="T4" s="180"/>
      <c r="U4" s="190" t="s">
        <v>86</v>
      </c>
    </row>
    <row r="5" spans="1:22" x14ac:dyDescent="0.35">
      <c r="A5" s="193"/>
      <c r="B5" s="193"/>
      <c r="C5" s="193"/>
      <c r="D5" s="193"/>
      <c r="E5" s="195"/>
      <c r="F5" s="196" t="s">
        <v>87</v>
      </c>
      <c r="G5" s="197"/>
      <c r="H5" s="197"/>
      <c r="I5" s="197"/>
      <c r="J5" s="198"/>
      <c r="K5" s="172" t="s">
        <v>88</v>
      </c>
      <c r="L5" s="173"/>
      <c r="M5" s="173"/>
      <c r="N5" s="173"/>
      <c r="O5" s="174"/>
      <c r="P5" s="181"/>
      <c r="Q5" s="182"/>
      <c r="R5" s="182"/>
      <c r="S5" s="182"/>
      <c r="T5" s="183"/>
      <c r="U5" s="191"/>
    </row>
    <row r="6" spans="1:22" ht="39" x14ac:dyDescent="0.35">
      <c r="A6" s="194"/>
      <c r="B6" s="194"/>
      <c r="C6" s="194"/>
      <c r="D6" s="194"/>
      <c r="E6" s="194"/>
      <c r="F6" s="43" t="s">
        <v>14</v>
      </c>
      <c r="G6" s="42" t="s">
        <v>8</v>
      </c>
      <c r="H6" s="42" t="s">
        <v>5</v>
      </c>
      <c r="I6" s="42" t="s">
        <v>6</v>
      </c>
      <c r="J6" s="42" t="s">
        <v>7</v>
      </c>
      <c r="K6" s="43" t="s">
        <v>14</v>
      </c>
      <c r="L6" s="43" t="s">
        <v>8</v>
      </c>
      <c r="M6" s="43" t="s">
        <v>5</v>
      </c>
      <c r="N6" s="43" t="s">
        <v>6</v>
      </c>
      <c r="O6" s="43" t="s">
        <v>7</v>
      </c>
      <c r="P6" s="155" t="s">
        <v>14</v>
      </c>
      <c r="Q6" s="44" t="s">
        <v>8</v>
      </c>
      <c r="R6" s="44" t="s">
        <v>5</v>
      </c>
      <c r="S6" s="44" t="s">
        <v>6</v>
      </c>
      <c r="T6" s="46" t="s">
        <v>7</v>
      </c>
      <c r="U6" s="192"/>
      <c r="V6" s="45"/>
    </row>
    <row r="7" spans="1:22" x14ac:dyDescent="0.35">
      <c r="A7" s="70">
        <v>1</v>
      </c>
      <c r="B7" s="70" t="s">
        <v>15</v>
      </c>
      <c r="C7" s="70" t="s">
        <v>16</v>
      </c>
      <c r="D7" s="70" t="s">
        <v>17</v>
      </c>
      <c r="E7" s="71">
        <v>854</v>
      </c>
      <c r="F7" s="72">
        <v>5</v>
      </c>
      <c r="G7" s="40">
        <f>ROUND('COT  2025'!G13,0)</f>
        <v>11300</v>
      </c>
      <c r="H7" s="49">
        <v>0</v>
      </c>
      <c r="I7" s="40">
        <f>ROUND((G7+H7),0)</f>
        <v>11300</v>
      </c>
      <c r="J7" s="40">
        <f>ROUND(I7*E7*F7,0)</f>
        <v>48251000</v>
      </c>
      <c r="K7" s="73">
        <v>7</v>
      </c>
      <c r="L7" s="41">
        <v>11842.4</v>
      </c>
      <c r="M7" s="51">
        <v>0</v>
      </c>
      <c r="N7" s="41">
        <f>ROUND((L7+M7),0)</f>
        <v>11842</v>
      </c>
      <c r="O7" s="52">
        <f>ROUND(N7*E7*K7,0)</f>
        <v>70791476</v>
      </c>
      <c r="P7" s="74">
        <v>12</v>
      </c>
      <c r="Q7" s="114">
        <f>ROUND('COPIA - Estudio de mercado'!X4,0)</f>
        <v>13765</v>
      </c>
      <c r="R7" s="115">
        <v>0</v>
      </c>
      <c r="S7" s="114">
        <f>ROUND(Q7+R7,0)</f>
        <v>13765</v>
      </c>
      <c r="T7" s="122">
        <f>ROUND(E7*P7*S7,0)</f>
        <v>141063720</v>
      </c>
      <c r="U7" s="125">
        <f>ROUND(T7-(O7+J7),0)</f>
        <v>22021244</v>
      </c>
    </row>
    <row r="8" spans="1:22" x14ac:dyDescent="0.35">
      <c r="A8" s="70">
        <v>2</v>
      </c>
      <c r="B8" s="70" t="s">
        <v>15</v>
      </c>
      <c r="C8" s="70" t="s">
        <v>18</v>
      </c>
      <c r="D8" s="70" t="s">
        <v>17</v>
      </c>
      <c r="E8" s="71">
        <v>1547</v>
      </c>
      <c r="F8" s="72">
        <v>5</v>
      </c>
      <c r="G8" s="40">
        <f>ROUND('COT  2025'!G14,0)</f>
        <v>18200</v>
      </c>
      <c r="H8" s="49">
        <v>0</v>
      </c>
      <c r="I8" s="40">
        <f t="shared" ref="I8:I43" si="0">ROUND((G8+H8),0)</f>
        <v>18200</v>
      </c>
      <c r="J8" s="40">
        <f t="shared" ref="J8:J39" si="1">ROUND(I8*E8*F8,0)</f>
        <v>140777000</v>
      </c>
      <c r="K8" s="73">
        <v>7</v>
      </c>
      <c r="L8" s="41">
        <v>19073.599999999999</v>
      </c>
      <c r="M8" s="51">
        <v>0</v>
      </c>
      <c r="N8" s="41">
        <f t="shared" ref="N8:N43" si="2">ROUND((L8+M8),0)</f>
        <v>19074</v>
      </c>
      <c r="O8" s="52">
        <f t="shared" ref="O8:O43" si="3">ROUND(N8*E8*K8,0)</f>
        <v>206552346</v>
      </c>
      <c r="P8" s="74">
        <v>12</v>
      </c>
      <c r="Q8" s="114">
        <f>ROUND('COPIA - Estudio de mercado'!X5,0)</f>
        <v>22200</v>
      </c>
      <c r="R8" s="115">
        <v>0</v>
      </c>
      <c r="S8" s="114">
        <f t="shared" ref="S8:S43" si="4">ROUND(Q8+R8,0)</f>
        <v>22200</v>
      </c>
      <c r="T8" s="122">
        <f t="shared" ref="T8:T43" si="5">ROUND(E8*P8*S8,0)</f>
        <v>412120800</v>
      </c>
      <c r="U8" s="125">
        <f t="shared" ref="U8:U43" si="6">ROUND(T8-(O8+J8),0)</f>
        <v>64791454</v>
      </c>
    </row>
    <row r="9" spans="1:22" x14ac:dyDescent="0.35">
      <c r="A9" s="70">
        <v>3</v>
      </c>
      <c r="B9" s="70" t="s">
        <v>15</v>
      </c>
      <c r="C9" s="70" t="s">
        <v>19</v>
      </c>
      <c r="D9" s="70" t="s">
        <v>17</v>
      </c>
      <c r="E9" s="71">
        <v>107</v>
      </c>
      <c r="F9" s="72">
        <v>5</v>
      </c>
      <c r="G9" s="40">
        <f>ROUND('COT  2025'!G15,0)</f>
        <v>16800</v>
      </c>
      <c r="H9" s="49">
        <v>0</v>
      </c>
      <c r="I9" s="40">
        <f t="shared" si="0"/>
        <v>16800</v>
      </c>
      <c r="J9" s="40">
        <f t="shared" si="1"/>
        <v>8988000</v>
      </c>
      <c r="K9" s="73">
        <v>7</v>
      </c>
      <c r="L9" s="41">
        <v>17606.400000000001</v>
      </c>
      <c r="M9" s="51">
        <v>0</v>
      </c>
      <c r="N9" s="41">
        <f t="shared" si="2"/>
        <v>17606</v>
      </c>
      <c r="O9" s="52">
        <f t="shared" si="3"/>
        <v>13186894</v>
      </c>
      <c r="P9" s="74">
        <v>12</v>
      </c>
      <c r="Q9" s="114">
        <f>ROUND('COPIA - Estudio de mercado'!X6,0)</f>
        <v>20011</v>
      </c>
      <c r="R9" s="115">
        <v>0</v>
      </c>
      <c r="S9" s="114">
        <f t="shared" si="4"/>
        <v>20011</v>
      </c>
      <c r="T9" s="122">
        <f t="shared" si="5"/>
        <v>25694124</v>
      </c>
      <c r="U9" s="125">
        <f t="shared" si="6"/>
        <v>3519230</v>
      </c>
    </row>
    <row r="10" spans="1:22" x14ac:dyDescent="0.35">
      <c r="A10" s="70">
        <v>4</v>
      </c>
      <c r="B10" s="70" t="s">
        <v>15</v>
      </c>
      <c r="C10" s="70" t="s">
        <v>20</v>
      </c>
      <c r="D10" s="70" t="s">
        <v>17</v>
      </c>
      <c r="E10" s="71">
        <v>160</v>
      </c>
      <c r="F10" s="72">
        <v>5</v>
      </c>
      <c r="G10" s="40">
        <f>ROUND('COT  2025'!G16,0)</f>
        <v>35500</v>
      </c>
      <c r="H10" s="49">
        <v>0</v>
      </c>
      <c r="I10" s="40">
        <f t="shared" si="0"/>
        <v>35500</v>
      </c>
      <c r="J10" s="40">
        <f t="shared" si="1"/>
        <v>28400000</v>
      </c>
      <c r="K10" s="73">
        <v>7</v>
      </c>
      <c r="L10" s="41">
        <v>37204</v>
      </c>
      <c r="M10" s="51">
        <v>0</v>
      </c>
      <c r="N10" s="41">
        <f t="shared" si="2"/>
        <v>37204</v>
      </c>
      <c r="O10" s="52">
        <f t="shared" si="3"/>
        <v>41668480</v>
      </c>
      <c r="P10" s="74">
        <v>12</v>
      </c>
      <c r="Q10" s="114">
        <f>ROUND('COPIA - Estudio de mercado'!X7,0)</f>
        <v>43217</v>
      </c>
      <c r="R10" s="115">
        <v>0</v>
      </c>
      <c r="S10" s="114">
        <f t="shared" si="4"/>
        <v>43217</v>
      </c>
      <c r="T10" s="122">
        <f t="shared" si="5"/>
        <v>82976640</v>
      </c>
      <c r="U10" s="125">
        <f t="shared" si="6"/>
        <v>12908160</v>
      </c>
    </row>
    <row r="11" spans="1:22" x14ac:dyDescent="0.35">
      <c r="A11" s="70">
        <v>5</v>
      </c>
      <c r="B11" s="70" t="s">
        <v>15</v>
      </c>
      <c r="C11" s="70" t="s">
        <v>21</v>
      </c>
      <c r="D11" s="70" t="s">
        <v>17</v>
      </c>
      <c r="E11" s="71">
        <v>4</v>
      </c>
      <c r="F11" s="72">
        <v>5</v>
      </c>
      <c r="G11" s="40">
        <f>ROUND('COT  2025'!G17,0)</f>
        <v>310000</v>
      </c>
      <c r="H11" s="49">
        <v>0</v>
      </c>
      <c r="I11" s="40">
        <f t="shared" si="0"/>
        <v>310000</v>
      </c>
      <c r="J11" s="40">
        <f t="shared" si="1"/>
        <v>6200000</v>
      </c>
      <c r="K11" s="73">
        <v>7</v>
      </c>
      <c r="L11" s="41">
        <v>324880</v>
      </c>
      <c r="M11" s="51">
        <v>0</v>
      </c>
      <c r="N11" s="41">
        <f t="shared" si="2"/>
        <v>324880</v>
      </c>
      <c r="O11" s="52">
        <f t="shared" si="3"/>
        <v>9096640</v>
      </c>
      <c r="P11" s="74">
        <v>12</v>
      </c>
      <c r="Q11" s="114">
        <f>ROUND('COPIA - Estudio de mercado'!X8,0)</f>
        <v>407095</v>
      </c>
      <c r="R11" s="115">
        <v>0</v>
      </c>
      <c r="S11" s="114">
        <f t="shared" si="4"/>
        <v>407095</v>
      </c>
      <c r="T11" s="122">
        <f t="shared" si="5"/>
        <v>19540560</v>
      </c>
      <c r="U11" s="125">
        <f t="shared" si="6"/>
        <v>4243920</v>
      </c>
    </row>
    <row r="12" spans="1:22" x14ac:dyDescent="0.35">
      <c r="A12" s="70">
        <v>6</v>
      </c>
      <c r="B12" s="70" t="s">
        <v>22</v>
      </c>
      <c r="C12" s="70" t="s">
        <v>23</v>
      </c>
      <c r="D12" s="70" t="s">
        <v>24</v>
      </c>
      <c r="E12" s="75">
        <v>144</v>
      </c>
      <c r="F12" s="76">
        <v>5</v>
      </c>
      <c r="G12" s="40">
        <f>ROUND('COT  2025'!G18,0)</f>
        <v>108000</v>
      </c>
      <c r="H12" s="49">
        <v>0</v>
      </c>
      <c r="I12" s="40">
        <f t="shared" si="0"/>
        <v>108000</v>
      </c>
      <c r="J12" s="40">
        <f t="shared" si="1"/>
        <v>77760000</v>
      </c>
      <c r="K12" s="77">
        <v>7</v>
      </c>
      <c r="L12" s="41">
        <v>113184</v>
      </c>
      <c r="M12" s="51">
        <v>0</v>
      </c>
      <c r="N12" s="41">
        <f t="shared" si="2"/>
        <v>113184</v>
      </c>
      <c r="O12" s="52">
        <f t="shared" si="3"/>
        <v>114089472</v>
      </c>
      <c r="P12" s="78">
        <v>12</v>
      </c>
      <c r="Q12" s="114">
        <f>ROUND('COPIA - Estudio de mercado'!X9,0)</f>
        <v>133567</v>
      </c>
      <c r="R12" s="115">
        <v>0</v>
      </c>
      <c r="S12" s="114">
        <f t="shared" si="4"/>
        <v>133567</v>
      </c>
      <c r="T12" s="122">
        <f t="shared" si="5"/>
        <v>230803776</v>
      </c>
      <c r="U12" s="125">
        <f t="shared" si="6"/>
        <v>38954304</v>
      </c>
    </row>
    <row r="13" spans="1:22" x14ac:dyDescent="0.35">
      <c r="A13" s="70">
        <v>7</v>
      </c>
      <c r="B13" s="70" t="s">
        <v>22</v>
      </c>
      <c r="C13" s="70" t="s">
        <v>25</v>
      </c>
      <c r="D13" s="70" t="s">
        <v>24</v>
      </c>
      <c r="E13" s="75">
        <v>554</v>
      </c>
      <c r="F13" s="76">
        <v>5</v>
      </c>
      <c r="G13" s="40">
        <f>ROUND('COT  2025'!G19,0)</f>
        <v>132000</v>
      </c>
      <c r="H13" s="49">
        <v>0</v>
      </c>
      <c r="I13" s="40">
        <f t="shared" si="0"/>
        <v>132000</v>
      </c>
      <c r="J13" s="40">
        <f t="shared" si="1"/>
        <v>365640000</v>
      </c>
      <c r="K13" s="77">
        <v>7</v>
      </c>
      <c r="L13" s="41">
        <v>138336</v>
      </c>
      <c r="M13" s="51">
        <v>0</v>
      </c>
      <c r="N13" s="41">
        <f t="shared" si="2"/>
        <v>138336</v>
      </c>
      <c r="O13" s="52">
        <f t="shared" si="3"/>
        <v>536467008</v>
      </c>
      <c r="P13" s="78">
        <v>12</v>
      </c>
      <c r="Q13" s="114">
        <f>ROUND('COPIA - Estudio de mercado'!X10,0)</f>
        <v>166505</v>
      </c>
      <c r="R13" s="115">
        <v>0</v>
      </c>
      <c r="S13" s="114">
        <f t="shared" si="4"/>
        <v>166505</v>
      </c>
      <c r="T13" s="122">
        <f t="shared" si="5"/>
        <v>1106925240</v>
      </c>
      <c r="U13" s="125">
        <f t="shared" si="6"/>
        <v>204818232</v>
      </c>
    </row>
    <row r="14" spans="1:22" x14ac:dyDescent="0.35">
      <c r="A14" s="70">
        <v>8</v>
      </c>
      <c r="B14" s="70" t="s">
        <v>22</v>
      </c>
      <c r="C14" s="70" t="s">
        <v>26</v>
      </c>
      <c r="D14" s="70" t="s">
        <v>24</v>
      </c>
      <c r="E14" s="75">
        <v>22</v>
      </c>
      <c r="F14" s="76">
        <v>5</v>
      </c>
      <c r="G14" s="40">
        <f>ROUND('COT  2025'!G20,0)</f>
        <v>120000</v>
      </c>
      <c r="H14" s="49">
        <v>0</v>
      </c>
      <c r="I14" s="40">
        <f t="shared" si="0"/>
        <v>120000</v>
      </c>
      <c r="J14" s="40">
        <f t="shared" si="1"/>
        <v>13200000</v>
      </c>
      <c r="K14" s="77">
        <v>7</v>
      </c>
      <c r="L14" s="41">
        <v>125760</v>
      </c>
      <c r="M14" s="51">
        <v>0</v>
      </c>
      <c r="N14" s="41">
        <f t="shared" si="2"/>
        <v>125760</v>
      </c>
      <c r="O14" s="52">
        <f t="shared" si="3"/>
        <v>19367040</v>
      </c>
      <c r="P14" s="78">
        <v>12</v>
      </c>
      <c r="Q14" s="114">
        <f>ROUND('COPIA - Estudio de mercado'!X11,0)</f>
        <v>152614</v>
      </c>
      <c r="R14" s="115">
        <v>0</v>
      </c>
      <c r="S14" s="114">
        <f t="shared" si="4"/>
        <v>152614</v>
      </c>
      <c r="T14" s="122">
        <f t="shared" si="5"/>
        <v>40290096</v>
      </c>
      <c r="U14" s="125">
        <f t="shared" si="6"/>
        <v>7723056</v>
      </c>
    </row>
    <row r="15" spans="1:22" x14ac:dyDescent="0.35">
      <c r="A15" s="70">
        <v>9</v>
      </c>
      <c r="B15" s="70" t="s">
        <v>22</v>
      </c>
      <c r="C15" s="70" t="s">
        <v>27</v>
      </c>
      <c r="D15" s="70" t="s">
        <v>24</v>
      </c>
      <c r="E15" s="75">
        <v>79</v>
      </c>
      <c r="F15" s="76">
        <v>5</v>
      </c>
      <c r="G15" s="40">
        <f>ROUND('COT  2025'!G21,0)</f>
        <v>300000</v>
      </c>
      <c r="H15" s="49">
        <v>0</v>
      </c>
      <c r="I15" s="40">
        <f t="shared" si="0"/>
        <v>300000</v>
      </c>
      <c r="J15" s="40">
        <f t="shared" si="1"/>
        <v>118500000</v>
      </c>
      <c r="K15" s="77">
        <v>7</v>
      </c>
      <c r="L15" s="41">
        <v>314400</v>
      </c>
      <c r="M15" s="51">
        <v>0</v>
      </c>
      <c r="N15" s="41">
        <f t="shared" si="2"/>
        <v>314400</v>
      </c>
      <c r="O15" s="52">
        <f t="shared" si="3"/>
        <v>173863200</v>
      </c>
      <c r="P15" s="78">
        <v>12</v>
      </c>
      <c r="Q15" s="114">
        <f>ROUND('COPIA - Estudio de mercado'!X12,0)</f>
        <v>365029</v>
      </c>
      <c r="R15" s="115">
        <v>0</v>
      </c>
      <c r="S15" s="114">
        <f t="shared" si="4"/>
        <v>365029</v>
      </c>
      <c r="T15" s="122">
        <f t="shared" si="5"/>
        <v>346047492</v>
      </c>
      <c r="U15" s="125">
        <f t="shared" si="6"/>
        <v>53684292</v>
      </c>
    </row>
    <row r="16" spans="1:22" ht="37.5" x14ac:dyDescent="0.35">
      <c r="A16" s="70">
        <v>10</v>
      </c>
      <c r="B16" s="116" t="s">
        <v>28</v>
      </c>
      <c r="C16" s="70" t="s">
        <v>29</v>
      </c>
      <c r="D16" s="70" t="s">
        <v>30</v>
      </c>
      <c r="E16" s="75">
        <v>12</v>
      </c>
      <c r="F16" s="79">
        <v>5</v>
      </c>
      <c r="G16" s="40">
        <f>ROUND('COT  2025'!G22,0)</f>
        <v>278000</v>
      </c>
      <c r="H16" s="49">
        <v>0</v>
      </c>
      <c r="I16" s="40">
        <f t="shared" si="0"/>
        <v>278000</v>
      </c>
      <c r="J16" s="40">
        <f t="shared" si="1"/>
        <v>16680000</v>
      </c>
      <c r="K16" s="80">
        <v>7</v>
      </c>
      <c r="L16" s="41">
        <v>291344</v>
      </c>
      <c r="M16" s="51">
        <v>0</v>
      </c>
      <c r="N16" s="41">
        <f t="shared" si="2"/>
        <v>291344</v>
      </c>
      <c r="O16" s="52">
        <f t="shared" si="3"/>
        <v>24472896</v>
      </c>
      <c r="P16" s="81">
        <v>12</v>
      </c>
      <c r="Q16" s="114">
        <f>ROUND('COPIA - Estudio de mercado'!X13,0)</f>
        <v>332700</v>
      </c>
      <c r="R16" s="115">
        <v>0</v>
      </c>
      <c r="S16" s="114">
        <f t="shared" si="4"/>
        <v>332700</v>
      </c>
      <c r="T16" s="122">
        <f t="shared" si="5"/>
        <v>47908800</v>
      </c>
      <c r="U16" s="125">
        <f t="shared" si="6"/>
        <v>6755904</v>
      </c>
    </row>
    <row r="17" spans="1:21" ht="37.5" x14ac:dyDescent="0.35">
      <c r="A17" s="70">
        <v>11</v>
      </c>
      <c r="B17" s="116" t="s">
        <v>28</v>
      </c>
      <c r="C17" s="70" t="s">
        <v>31</v>
      </c>
      <c r="D17" s="70" t="s">
        <v>30</v>
      </c>
      <c r="E17" s="75">
        <v>1</v>
      </c>
      <c r="F17" s="79">
        <v>5</v>
      </c>
      <c r="G17" s="40">
        <f>ROUND('COT  2025'!G23,0)</f>
        <v>270000</v>
      </c>
      <c r="H17" s="49">
        <v>0</v>
      </c>
      <c r="I17" s="40">
        <f t="shared" si="0"/>
        <v>270000</v>
      </c>
      <c r="J17" s="40">
        <f t="shared" si="1"/>
        <v>1350000</v>
      </c>
      <c r="K17" s="80">
        <v>7</v>
      </c>
      <c r="L17" s="41">
        <v>282960</v>
      </c>
      <c r="M17" s="51">
        <v>0</v>
      </c>
      <c r="N17" s="41">
        <f t="shared" si="2"/>
        <v>282960</v>
      </c>
      <c r="O17" s="52">
        <f t="shared" si="3"/>
        <v>1980720</v>
      </c>
      <c r="P17" s="81">
        <v>12</v>
      </c>
      <c r="Q17" s="114">
        <f>ROUND('COPIA - Estudio de mercado'!X14,0)</f>
        <v>325093</v>
      </c>
      <c r="R17" s="115">
        <v>0</v>
      </c>
      <c r="S17" s="114">
        <f t="shared" si="4"/>
        <v>325093</v>
      </c>
      <c r="T17" s="122">
        <f t="shared" si="5"/>
        <v>3901116</v>
      </c>
      <c r="U17" s="125">
        <f t="shared" si="6"/>
        <v>570396</v>
      </c>
    </row>
    <row r="18" spans="1:21" ht="37.5" x14ac:dyDescent="0.35">
      <c r="A18" s="70">
        <v>12</v>
      </c>
      <c r="B18" s="116" t="s">
        <v>28</v>
      </c>
      <c r="C18" s="70" t="s">
        <v>32</v>
      </c>
      <c r="D18" s="70" t="s">
        <v>30</v>
      </c>
      <c r="E18" s="75">
        <v>1</v>
      </c>
      <c r="F18" s="79">
        <v>5</v>
      </c>
      <c r="G18" s="40">
        <f>ROUND('COT  2025'!G24,0)</f>
        <v>285000</v>
      </c>
      <c r="H18" s="49">
        <v>0</v>
      </c>
      <c r="I18" s="40">
        <f t="shared" si="0"/>
        <v>285000</v>
      </c>
      <c r="J18" s="40">
        <f t="shared" si="1"/>
        <v>1425000</v>
      </c>
      <c r="K18" s="80">
        <v>7</v>
      </c>
      <c r="L18" s="41">
        <v>298680</v>
      </c>
      <c r="M18" s="51">
        <v>0</v>
      </c>
      <c r="N18" s="41">
        <f t="shared" si="2"/>
        <v>298680</v>
      </c>
      <c r="O18" s="52">
        <f t="shared" si="3"/>
        <v>2090760</v>
      </c>
      <c r="P18" s="81">
        <v>12</v>
      </c>
      <c r="Q18" s="114">
        <f>ROUND('COPIA - Estudio de mercado'!X15,0)</f>
        <v>368923</v>
      </c>
      <c r="R18" s="115">
        <v>0</v>
      </c>
      <c r="S18" s="114">
        <f t="shared" si="4"/>
        <v>368923</v>
      </c>
      <c r="T18" s="122">
        <f t="shared" si="5"/>
        <v>4427076</v>
      </c>
      <c r="U18" s="125">
        <f t="shared" si="6"/>
        <v>911316</v>
      </c>
    </row>
    <row r="19" spans="1:21" x14ac:dyDescent="0.35">
      <c r="A19" s="82">
        <v>13</v>
      </c>
      <c r="B19" s="184" t="s">
        <v>33</v>
      </c>
      <c r="C19" s="70" t="s">
        <v>34</v>
      </c>
      <c r="D19" s="70" t="s">
        <v>66</v>
      </c>
      <c r="E19" s="75">
        <v>1</v>
      </c>
      <c r="F19" s="79">
        <v>5</v>
      </c>
      <c r="G19" s="40">
        <f>ROUND('COT  2025'!G25,0)</f>
        <v>505000</v>
      </c>
      <c r="H19" s="49">
        <f>+ROUND(G19*0.19,0)</f>
        <v>95950</v>
      </c>
      <c r="I19" s="40">
        <f t="shared" si="0"/>
        <v>600950</v>
      </c>
      <c r="J19" s="40">
        <f>ROUND(I19*E19*F19,0)</f>
        <v>3004750</v>
      </c>
      <c r="K19" s="80">
        <v>7</v>
      </c>
      <c r="L19" s="41">
        <v>529240</v>
      </c>
      <c r="M19" s="51">
        <f t="shared" ref="M19:M25" si="7">+ROUND(L19*0.19,0)</f>
        <v>100556</v>
      </c>
      <c r="N19" s="41">
        <f t="shared" si="2"/>
        <v>629796</v>
      </c>
      <c r="O19" s="52">
        <f t="shared" si="3"/>
        <v>4408572</v>
      </c>
      <c r="P19" s="81">
        <v>12</v>
      </c>
      <c r="Q19" s="114">
        <f>ROUND('COPIA - Estudio de mercado'!X16,0)</f>
        <v>701800</v>
      </c>
      <c r="R19" s="115">
        <f>+ROUND(Q19*0.19,0)</f>
        <v>133342</v>
      </c>
      <c r="S19" s="114">
        <f t="shared" si="4"/>
        <v>835142</v>
      </c>
      <c r="T19" s="122">
        <f t="shared" si="5"/>
        <v>10021704</v>
      </c>
      <c r="U19" s="125">
        <f t="shared" si="6"/>
        <v>2608382</v>
      </c>
    </row>
    <row r="20" spans="1:21" x14ac:dyDescent="0.35">
      <c r="A20" s="82">
        <v>14</v>
      </c>
      <c r="B20" s="185"/>
      <c r="C20" s="70" t="s">
        <v>35</v>
      </c>
      <c r="D20" s="70" t="s">
        <v>66</v>
      </c>
      <c r="E20" s="75">
        <v>1</v>
      </c>
      <c r="F20" s="79">
        <v>5</v>
      </c>
      <c r="G20" s="40">
        <f>ROUND('COT  2025'!G26,0)</f>
        <v>590000</v>
      </c>
      <c r="H20" s="49">
        <f t="shared" ref="H20:H25" si="8">+ROUND(G20*0.19,0)</f>
        <v>112100</v>
      </c>
      <c r="I20" s="40">
        <f t="shared" si="0"/>
        <v>702100</v>
      </c>
      <c r="J20" s="40">
        <f t="shared" si="1"/>
        <v>3510500</v>
      </c>
      <c r="K20" s="80">
        <v>7</v>
      </c>
      <c r="L20" s="41">
        <v>618320</v>
      </c>
      <c r="M20" s="51">
        <f t="shared" si="7"/>
        <v>117481</v>
      </c>
      <c r="N20" s="41">
        <f t="shared" si="2"/>
        <v>735801</v>
      </c>
      <c r="O20" s="52">
        <f t="shared" si="3"/>
        <v>5150607</v>
      </c>
      <c r="P20" s="81">
        <v>12</v>
      </c>
      <c r="Q20" s="114">
        <f>ROUND('COPIA - Estudio de mercado'!X17,0)</f>
        <v>787441</v>
      </c>
      <c r="R20" s="115">
        <f t="shared" ref="R20:R24" si="9">+ROUND(Q20*0.19,0)</f>
        <v>149614</v>
      </c>
      <c r="S20" s="114">
        <f t="shared" si="4"/>
        <v>937055</v>
      </c>
      <c r="T20" s="122">
        <f t="shared" si="5"/>
        <v>11244660</v>
      </c>
      <c r="U20" s="125">
        <f t="shared" si="6"/>
        <v>2583553</v>
      </c>
    </row>
    <row r="21" spans="1:21" x14ac:dyDescent="0.35">
      <c r="A21" s="82">
        <v>15</v>
      </c>
      <c r="B21" s="186"/>
      <c r="C21" s="70" t="s">
        <v>36</v>
      </c>
      <c r="D21" s="70" t="s">
        <v>66</v>
      </c>
      <c r="E21" s="75">
        <v>1</v>
      </c>
      <c r="F21" s="79">
        <v>5</v>
      </c>
      <c r="G21" s="40">
        <f>ROUND('COT  2025'!G27,0)</f>
        <v>830000</v>
      </c>
      <c r="H21" s="49">
        <f t="shared" si="8"/>
        <v>157700</v>
      </c>
      <c r="I21" s="40">
        <f t="shared" si="0"/>
        <v>987700</v>
      </c>
      <c r="J21" s="40">
        <f t="shared" si="1"/>
        <v>4938500</v>
      </c>
      <c r="K21" s="80">
        <v>7</v>
      </c>
      <c r="L21" s="41">
        <v>869840</v>
      </c>
      <c r="M21" s="51">
        <f t="shared" si="7"/>
        <v>165270</v>
      </c>
      <c r="N21" s="41">
        <f t="shared" si="2"/>
        <v>1035110</v>
      </c>
      <c r="O21" s="52">
        <f t="shared" si="3"/>
        <v>7245770</v>
      </c>
      <c r="P21" s="81">
        <v>12</v>
      </c>
      <c r="Q21" s="114">
        <f>ROUND('COPIA - Estudio de mercado'!X18,0)</f>
        <v>1004559</v>
      </c>
      <c r="R21" s="115">
        <f t="shared" si="9"/>
        <v>190866</v>
      </c>
      <c r="S21" s="114">
        <f t="shared" si="4"/>
        <v>1195425</v>
      </c>
      <c r="T21" s="122">
        <f t="shared" si="5"/>
        <v>14345100</v>
      </c>
      <c r="U21" s="125">
        <f t="shared" si="6"/>
        <v>2160830</v>
      </c>
    </row>
    <row r="22" spans="1:21" ht="14.25" customHeight="1" x14ac:dyDescent="0.35">
      <c r="A22" s="184">
        <v>16</v>
      </c>
      <c r="B22" s="187" t="s">
        <v>37</v>
      </c>
      <c r="C22" s="84" t="s">
        <v>38</v>
      </c>
      <c r="D22" s="84" t="s">
        <v>39</v>
      </c>
      <c r="E22" s="75">
        <v>3</v>
      </c>
      <c r="F22" s="79">
        <v>5</v>
      </c>
      <c r="G22" s="40">
        <f>ROUND('COT  2025'!G28,0)</f>
        <v>8250000</v>
      </c>
      <c r="H22" s="49">
        <f t="shared" si="8"/>
        <v>1567500</v>
      </c>
      <c r="I22" s="40">
        <f t="shared" si="0"/>
        <v>9817500</v>
      </c>
      <c r="J22" s="40">
        <f t="shared" si="1"/>
        <v>147262500</v>
      </c>
      <c r="K22" s="80">
        <v>7</v>
      </c>
      <c r="L22" s="41">
        <v>8646000</v>
      </c>
      <c r="M22" s="51">
        <f t="shared" si="7"/>
        <v>1642740</v>
      </c>
      <c r="N22" s="41">
        <f t="shared" si="2"/>
        <v>10288740</v>
      </c>
      <c r="O22" s="52">
        <f t="shared" si="3"/>
        <v>216063540</v>
      </c>
      <c r="P22" s="81">
        <v>12</v>
      </c>
      <c r="Q22" s="114">
        <f>ROUND('COPIA - Estudio de mercado'!X19,0)</f>
        <v>9734857</v>
      </c>
      <c r="R22" s="115">
        <f t="shared" si="9"/>
        <v>1849623</v>
      </c>
      <c r="S22" s="114">
        <f t="shared" si="4"/>
        <v>11584480</v>
      </c>
      <c r="T22" s="122">
        <f t="shared" si="5"/>
        <v>417041280</v>
      </c>
      <c r="U22" s="125">
        <f t="shared" si="6"/>
        <v>53715240</v>
      </c>
    </row>
    <row r="23" spans="1:21" ht="13.5" customHeight="1" x14ac:dyDescent="0.35">
      <c r="A23" s="185"/>
      <c r="B23" s="188"/>
      <c r="C23" s="84" t="s">
        <v>40</v>
      </c>
      <c r="D23" s="84" t="s">
        <v>39</v>
      </c>
      <c r="E23" s="75">
        <v>1</v>
      </c>
      <c r="F23" s="79">
        <v>5</v>
      </c>
      <c r="G23" s="40">
        <f>ROUND('COT  2025'!G29,0)</f>
        <v>6800000</v>
      </c>
      <c r="H23" s="49">
        <f t="shared" si="8"/>
        <v>1292000</v>
      </c>
      <c r="I23" s="40">
        <f t="shared" si="0"/>
        <v>8092000</v>
      </c>
      <c r="J23" s="40">
        <f t="shared" si="1"/>
        <v>40460000</v>
      </c>
      <c r="K23" s="80">
        <v>7</v>
      </c>
      <c r="L23" s="41">
        <v>7126400</v>
      </c>
      <c r="M23" s="51">
        <f t="shared" si="7"/>
        <v>1354016</v>
      </c>
      <c r="N23" s="41">
        <f t="shared" si="2"/>
        <v>8480416</v>
      </c>
      <c r="O23" s="52">
        <f t="shared" si="3"/>
        <v>59362912</v>
      </c>
      <c r="P23" s="81">
        <v>12</v>
      </c>
      <c r="Q23" s="114">
        <f>ROUND('COPIA - Estudio de mercado'!X20,0)</f>
        <v>8460271</v>
      </c>
      <c r="R23" s="115">
        <f t="shared" si="9"/>
        <v>1607451</v>
      </c>
      <c r="S23" s="114">
        <f t="shared" si="4"/>
        <v>10067722</v>
      </c>
      <c r="T23" s="122">
        <f t="shared" si="5"/>
        <v>120812664</v>
      </c>
      <c r="U23" s="125">
        <f t="shared" si="6"/>
        <v>20989752</v>
      </c>
    </row>
    <row r="24" spans="1:21" ht="13.5" customHeight="1" x14ac:dyDescent="0.35">
      <c r="A24" s="186"/>
      <c r="B24" s="189"/>
      <c r="C24" s="84" t="s">
        <v>77</v>
      </c>
      <c r="D24" s="84" t="s">
        <v>39</v>
      </c>
      <c r="E24" s="75">
        <v>25</v>
      </c>
      <c r="F24" s="79">
        <v>5</v>
      </c>
      <c r="G24" s="40">
        <f>ROUND('COT  2025'!G30,0)</f>
        <v>5230000</v>
      </c>
      <c r="H24" s="49">
        <f t="shared" si="8"/>
        <v>993700</v>
      </c>
      <c r="I24" s="40">
        <f t="shared" si="0"/>
        <v>6223700</v>
      </c>
      <c r="J24" s="40">
        <f t="shared" si="1"/>
        <v>777962500</v>
      </c>
      <c r="K24" s="80">
        <v>7</v>
      </c>
      <c r="L24" s="41">
        <v>5481040</v>
      </c>
      <c r="M24" s="51">
        <f t="shared" si="7"/>
        <v>1041398</v>
      </c>
      <c r="N24" s="41">
        <f t="shared" si="2"/>
        <v>6522438</v>
      </c>
      <c r="O24" s="52">
        <f t="shared" si="3"/>
        <v>1141426650</v>
      </c>
      <c r="P24" s="81">
        <v>12</v>
      </c>
      <c r="Q24" s="114">
        <f>ROUND('COPIA - Estudio de mercado'!X21,0)</f>
        <v>6193257</v>
      </c>
      <c r="R24" s="115">
        <f t="shared" si="9"/>
        <v>1176719</v>
      </c>
      <c r="S24" s="114">
        <f t="shared" si="4"/>
        <v>7369976</v>
      </c>
      <c r="T24" s="122">
        <f t="shared" si="5"/>
        <v>2210992800</v>
      </c>
      <c r="U24" s="125">
        <f t="shared" si="6"/>
        <v>291603650</v>
      </c>
    </row>
    <row r="25" spans="1:21" x14ac:dyDescent="0.35">
      <c r="A25" s="70">
        <v>17</v>
      </c>
      <c r="B25" s="70" t="s">
        <v>41</v>
      </c>
      <c r="C25" s="84" t="s">
        <v>78</v>
      </c>
      <c r="D25" s="84" t="s">
        <v>39</v>
      </c>
      <c r="E25" s="83">
        <v>49</v>
      </c>
      <c r="F25" s="79">
        <v>5</v>
      </c>
      <c r="G25" s="40">
        <f>ROUND('COT  2025'!G31,0)</f>
        <v>5230000</v>
      </c>
      <c r="H25" s="49">
        <f t="shared" si="8"/>
        <v>993700</v>
      </c>
      <c r="I25" s="40">
        <f t="shared" si="0"/>
        <v>6223700</v>
      </c>
      <c r="J25" s="40">
        <f t="shared" si="1"/>
        <v>1524806500</v>
      </c>
      <c r="K25" s="80">
        <v>7</v>
      </c>
      <c r="L25" s="41">
        <v>5481040</v>
      </c>
      <c r="M25" s="51">
        <f t="shared" si="7"/>
        <v>1041398</v>
      </c>
      <c r="N25" s="41">
        <f t="shared" si="2"/>
        <v>6522438</v>
      </c>
      <c r="O25" s="52">
        <f t="shared" si="3"/>
        <v>2237196234</v>
      </c>
      <c r="P25" s="81">
        <v>12</v>
      </c>
      <c r="Q25" s="114">
        <f>ROUND('COPIA - Estudio de mercado'!X22,0)</f>
        <v>6250400</v>
      </c>
      <c r="R25" s="115">
        <f>+ROUND(Q25*0.19,0)</f>
        <v>1187576</v>
      </c>
      <c r="S25" s="114">
        <f t="shared" si="4"/>
        <v>7437976</v>
      </c>
      <c r="T25" s="122">
        <f t="shared" si="5"/>
        <v>4373529888</v>
      </c>
      <c r="U25" s="125">
        <f t="shared" si="6"/>
        <v>611527154</v>
      </c>
    </row>
    <row r="26" spans="1:21" x14ac:dyDescent="0.35">
      <c r="A26" s="70">
        <v>18</v>
      </c>
      <c r="B26" s="70" t="s">
        <v>42</v>
      </c>
      <c r="C26" s="70" t="s">
        <v>43</v>
      </c>
      <c r="D26" s="70" t="s">
        <v>44</v>
      </c>
      <c r="E26" s="83">
        <v>5</v>
      </c>
      <c r="F26" s="79">
        <v>5</v>
      </c>
      <c r="G26" s="40">
        <f>ROUND('COT  2025'!G32,0)</f>
        <v>5450000</v>
      </c>
      <c r="H26" s="49">
        <v>0</v>
      </c>
      <c r="I26" s="40">
        <f t="shared" si="0"/>
        <v>5450000</v>
      </c>
      <c r="J26" s="40">
        <f t="shared" si="1"/>
        <v>136250000</v>
      </c>
      <c r="K26" s="80">
        <v>7</v>
      </c>
      <c r="L26" s="41">
        <v>5711600</v>
      </c>
      <c r="M26" s="51">
        <v>0</v>
      </c>
      <c r="N26" s="41">
        <f>ROUND((L26+M26),0)</f>
        <v>5711600</v>
      </c>
      <c r="O26" s="52">
        <f t="shared" si="3"/>
        <v>199906000</v>
      </c>
      <c r="P26" s="81">
        <v>12</v>
      </c>
      <c r="Q26" s="114">
        <f>ROUND('COPIA - Estudio de mercado'!X23,0)</f>
        <v>6687543</v>
      </c>
      <c r="R26" s="115">
        <v>0</v>
      </c>
      <c r="S26" s="114">
        <f t="shared" si="4"/>
        <v>6687543</v>
      </c>
      <c r="T26" s="122">
        <f t="shared" si="5"/>
        <v>401252580</v>
      </c>
      <c r="U26" s="125">
        <f t="shared" si="6"/>
        <v>65096580</v>
      </c>
    </row>
    <row r="27" spans="1:21" ht="30.75" customHeight="1" x14ac:dyDescent="0.35">
      <c r="A27" s="70">
        <v>19</v>
      </c>
      <c r="B27" s="117" t="s">
        <v>146</v>
      </c>
      <c r="C27" s="70" t="s">
        <v>46</v>
      </c>
      <c r="D27" s="118" t="s">
        <v>47</v>
      </c>
      <c r="E27" s="83">
        <v>41</v>
      </c>
      <c r="F27" s="79">
        <v>5</v>
      </c>
      <c r="G27" s="40">
        <f>ROUND('COT  2025'!G33,0)</f>
        <v>5020000</v>
      </c>
      <c r="H27" s="49">
        <f>+ROUND(G27*0.19,0)</f>
        <v>953800</v>
      </c>
      <c r="I27" s="40">
        <f t="shared" ref="I27" si="10">ROUND((G27+H27),0)</f>
        <v>5973800</v>
      </c>
      <c r="J27" s="40">
        <f>ROUND(I27*E27*F27,0)</f>
        <v>1224629000</v>
      </c>
      <c r="K27" s="80">
        <v>3</v>
      </c>
      <c r="L27" s="41">
        <v>5260960</v>
      </c>
      <c r="M27" s="51">
        <f>+ROUND(L27*0.19,0)</f>
        <v>999582</v>
      </c>
      <c r="N27" s="41">
        <f t="shared" ref="N27" si="11">ROUND((L27+M27),0)</f>
        <v>6260542</v>
      </c>
      <c r="O27" s="52">
        <f>ROUND(N27*E27*K27,0)</f>
        <v>770046666</v>
      </c>
      <c r="P27" s="81">
        <v>12</v>
      </c>
      <c r="Q27" s="114">
        <f>ROUND('COPIA - Estudio de mercado'!X24,0)</f>
        <v>6407029</v>
      </c>
      <c r="R27" s="115">
        <f>+ROUND(Q27*0.19,0)</f>
        <v>1217336</v>
      </c>
      <c r="S27" s="114">
        <f t="shared" ref="S27" si="12">ROUND(Q27+R27,0)</f>
        <v>7624365</v>
      </c>
      <c r="T27" s="122">
        <f t="shared" ref="T27" si="13">ROUND(E27*P27*S27,0)</f>
        <v>3751187580</v>
      </c>
      <c r="U27" s="125">
        <f t="shared" ref="U27" si="14">ROUND(T27-(O27+J27),0)</f>
        <v>1756511914</v>
      </c>
    </row>
    <row r="28" spans="1:21" ht="30.75" customHeight="1" x14ac:dyDescent="0.35">
      <c r="A28" s="70">
        <v>19</v>
      </c>
      <c r="B28" s="117" t="s">
        <v>146</v>
      </c>
      <c r="C28" s="70" t="s">
        <v>46</v>
      </c>
      <c r="D28" s="118" t="s">
        <v>47</v>
      </c>
      <c r="E28" s="83">
        <v>20</v>
      </c>
      <c r="F28" s="79">
        <v>0</v>
      </c>
      <c r="G28" s="40">
        <f>ROUND('COT  2025'!G33,0)</f>
        <v>5020000</v>
      </c>
      <c r="H28" s="49">
        <f>+ROUND(G28*0.19,0)</f>
        <v>953800</v>
      </c>
      <c r="I28" s="40">
        <f t="shared" si="0"/>
        <v>5973800</v>
      </c>
      <c r="J28" s="40">
        <f t="shared" si="1"/>
        <v>0</v>
      </c>
      <c r="K28" s="80">
        <v>4</v>
      </c>
      <c r="L28" s="41">
        <v>5260960</v>
      </c>
      <c r="M28" s="51">
        <f>+ROUND(L28*0.19,0)</f>
        <v>999582</v>
      </c>
      <c r="N28" s="41">
        <f t="shared" si="2"/>
        <v>6260542</v>
      </c>
      <c r="O28" s="52">
        <f>ROUND(N28*E28*K28,0)</f>
        <v>500843360</v>
      </c>
      <c r="P28" s="81">
        <v>0</v>
      </c>
      <c r="Q28" s="114">
        <f>ROUND('COPIA - Estudio de mercado'!X24,0)</f>
        <v>6407029</v>
      </c>
      <c r="R28" s="115">
        <f>+ROUND(Q28*0.19,0)</f>
        <v>1217336</v>
      </c>
      <c r="S28" s="114">
        <f t="shared" si="4"/>
        <v>7624365</v>
      </c>
      <c r="T28" s="122">
        <f t="shared" si="5"/>
        <v>0</v>
      </c>
      <c r="U28" s="125">
        <f t="shared" si="6"/>
        <v>-500843360</v>
      </c>
    </row>
    <row r="29" spans="1:21" ht="26.25" customHeight="1" x14ac:dyDescent="0.35">
      <c r="A29" s="70">
        <v>20</v>
      </c>
      <c r="B29" s="117" t="s">
        <v>147</v>
      </c>
      <c r="C29" s="70" t="s">
        <v>48</v>
      </c>
      <c r="D29" s="118" t="s">
        <v>47</v>
      </c>
      <c r="E29" s="83">
        <v>7</v>
      </c>
      <c r="F29" s="79">
        <v>5</v>
      </c>
      <c r="G29" s="40">
        <f>ROUND('COT  2025'!G34,0)</f>
        <v>5020000</v>
      </c>
      <c r="H29" s="49">
        <f t="shared" ref="H29:H39" si="15">+ROUND(G29*0.19,0)</f>
        <v>953800</v>
      </c>
      <c r="I29" s="40">
        <f t="shared" si="0"/>
        <v>5973800</v>
      </c>
      <c r="J29" s="40">
        <f t="shared" si="1"/>
        <v>209083000</v>
      </c>
      <c r="K29" s="80">
        <v>7</v>
      </c>
      <c r="L29" s="41">
        <v>5260960</v>
      </c>
      <c r="M29" s="51">
        <f t="shared" ref="M29:M39" si="16">+ROUND(L29*0.19,0)</f>
        <v>999582</v>
      </c>
      <c r="N29" s="41">
        <f t="shared" si="2"/>
        <v>6260542</v>
      </c>
      <c r="O29" s="52">
        <f t="shared" si="3"/>
        <v>306766558</v>
      </c>
      <c r="P29" s="81">
        <v>12</v>
      </c>
      <c r="Q29" s="114">
        <f>ROUND('COPIA - Estudio de mercado'!X25,0)</f>
        <v>6407029</v>
      </c>
      <c r="R29" s="115">
        <f t="shared" ref="R29:R39" si="17">+ROUND(Q29*0.19,0)</f>
        <v>1217336</v>
      </c>
      <c r="S29" s="114">
        <f t="shared" si="4"/>
        <v>7624365</v>
      </c>
      <c r="T29" s="122">
        <f t="shared" si="5"/>
        <v>640446660</v>
      </c>
      <c r="U29" s="125">
        <f t="shared" si="6"/>
        <v>124597102</v>
      </c>
    </row>
    <row r="30" spans="1:21" ht="13.5" customHeight="1" x14ac:dyDescent="0.35">
      <c r="A30" s="184">
        <v>21</v>
      </c>
      <c r="B30" s="82" t="s">
        <v>49</v>
      </c>
      <c r="C30" s="70" t="s">
        <v>67</v>
      </c>
      <c r="D30" s="118" t="s">
        <v>50</v>
      </c>
      <c r="E30" s="83">
        <v>1</v>
      </c>
      <c r="F30" s="79">
        <v>5</v>
      </c>
      <c r="G30" s="40">
        <f>ROUND('COT  2025'!G35,0)</f>
        <v>7020000</v>
      </c>
      <c r="H30" s="49">
        <f t="shared" si="15"/>
        <v>1333800</v>
      </c>
      <c r="I30" s="40">
        <f t="shared" si="0"/>
        <v>8353800</v>
      </c>
      <c r="J30" s="40">
        <f t="shared" si="1"/>
        <v>41769000</v>
      </c>
      <c r="K30" s="80">
        <v>7</v>
      </c>
      <c r="L30" s="41">
        <v>7356960</v>
      </c>
      <c r="M30" s="51">
        <f t="shared" si="16"/>
        <v>1397822</v>
      </c>
      <c r="N30" s="41">
        <f t="shared" si="2"/>
        <v>8754782</v>
      </c>
      <c r="O30" s="52">
        <f t="shared" si="3"/>
        <v>61283474</v>
      </c>
      <c r="P30" s="81">
        <v>12</v>
      </c>
      <c r="Q30" s="114">
        <f>ROUND('COPIA - Estudio de mercado'!X26,0)</f>
        <v>8622457</v>
      </c>
      <c r="R30" s="115">
        <f t="shared" si="17"/>
        <v>1638267</v>
      </c>
      <c r="S30" s="114">
        <f t="shared" si="4"/>
        <v>10260724</v>
      </c>
      <c r="T30" s="122">
        <f t="shared" si="5"/>
        <v>123128688</v>
      </c>
      <c r="U30" s="125">
        <f t="shared" si="6"/>
        <v>20076214</v>
      </c>
    </row>
    <row r="31" spans="1:21" ht="12.75" customHeight="1" x14ac:dyDescent="0.35">
      <c r="A31" s="186"/>
      <c r="B31" s="82" t="s">
        <v>49</v>
      </c>
      <c r="C31" s="70" t="s">
        <v>51</v>
      </c>
      <c r="D31" s="118" t="s">
        <v>50</v>
      </c>
      <c r="E31" s="83">
        <v>1</v>
      </c>
      <c r="F31" s="79">
        <v>5</v>
      </c>
      <c r="G31" s="40">
        <f>ROUND('COT  2025'!G36,0)</f>
        <v>5200000</v>
      </c>
      <c r="H31" s="49">
        <f t="shared" si="15"/>
        <v>988000</v>
      </c>
      <c r="I31" s="40">
        <f t="shared" si="0"/>
        <v>6188000</v>
      </c>
      <c r="J31" s="40">
        <f t="shared" si="1"/>
        <v>30940000</v>
      </c>
      <c r="K31" s="80">
        <v>7</v>
      </c>
      <c r="L31" s="41">
        <v>5449600</v>
      </c>
      <c r="M31" s="51">
        <f t="shared" si="16"/>
        <v>1035424</v>
      </c>
      <c r="N31" s="41">
        <f t="shared" si="2"/>
        <v>6485024</v>
      </c>
      <c r="O31" s="52">
        <f t="shared" si="3"/>
        <v>45395168</v>
      </c>
      <c r="P31" s="81">
        <v>12</v>
      </c>
      <c r="Q31" s="114">
        <f>ROUND('COPIA - Estudio de mercado'!X27,0)</f>
        <v>6328257</v>
      </c>
      <c r="R31" s="115">
        <f t="shared" si="17"/>
        <v>1202369</v>
      </c>
      <c r="S31" s="114">
        <f t="shared" si="4"/>
        <v>7530626</v>
      </c>
      <c r="T31" s="122">
        <f t="shared" si="5"/>
        <v>90367512</v>
      </c>
      <c r="U31" s="125">
        <f t="shared" si="6"/>
        <v>14032344</v>
      </c>
    </row>
    <row r="32" spans="1:21" x14ac:dyDescent="0.35">
      <c r="A32" s="70">
        <v>22</v>
      </c>
      <c r="B32" s="116" t="s">
        <v>52</v>
      </c>
      <c r="C32" s="70" t="s">
        <v>68</v>
      </c>
      <c r="D32" s="70" t="s">
        <v>53</v>
      </c>
      <c r="E32" s="83">
        <v>66866</v>
      </c>
      <c r="F32" s="79">
        <v>5</v>
      </c>
      <c r="G32" s="40">
        <f>ROUND('COT  2025'!G37,0)</f>
        <v>255</v>
      </c>
      <c r="H32" s="49">
        <f t="shared" si="15"/>
        <v>48</v>
      </c>
      <c r="I32" s="40">
        <f t="shared" si="0"/>
        <v>303</v>
      </c>
      <c r="J32" s="40">
        <f t="shared" si="1"/>
        <v>101301990</v>
      </c>
      <c r="K32" s="80">
        <v>7</v>
      </c>
      <c r="L32" s="41">
        <v>267.24</v>
      </c>
      <c r="M32" s="51">
        <f t="shared" si="16"/>
        <v>51</v>
      </c>
      <c r="N32" s="41">
        <f t="shared" si="2"/>
        <v>318</v>
      </c>
      <c r="O32" s="52">
        <f t="shared" si="3"/>
        <v>148843716</v>
      </c>
      <c r="P32" s="81">
        <v>12</v>
      </c>
      <c r="Q32" s="114">
        <f>ROUND('COPIA - Estudio de mercado'!X28,0)</f>
        <v>345</v>
      </c>
      <c r="R32" s="115">
        <f t="shared" si="17"/>
        <v>66</v>
      </c>
      <c r="S32" s="114">
        <f t="shared" si="4"/>
        <v>411</v>
      </c>
      <c r="T32" s="122">
        <f t="shared" si="5"/>
        <v>329783112</v>
      </c>
      <c r="U32" s="125">
        <f t="shared" si="6"/>
        <v>79637406</v>
      </c>
    </row>
    <row r="33" spans="1:21" x14ac:dyDescent="0.35">
      <c r="A33" s="70">
        <v>23</v>
      </c>
      <c r="B33" s="70" t="s">
        <v>52</v>
      </c>
      <c r="C33" s="70" t="s">
        <v>69</v>
      </c>
      <c r="D33" s="70" t="s">
        <v>53</v>
      </c>
      <c r="E33" s="83">
        <v>11161</v>
      </c>
      <c r="F33" s="79">
        <v>5</v>
      </c>
      <c r="G33" s="40">
        <f>ROUND('COT  2025'!G38,0)</f>
        <v>255</v>
      </c>
      <c r="H33" s="49">
        <f t="shared" si="15"/>
        <v>48</v>
      </c>
      <c r="I33" s="40">
        <f t="shared" si="0"/>
        <v>303</v>
      </c>
      <c r="J33" s="40">
        <f t="shared" si="1"/>
        <v>16908915</v>
      </c>
      <c r="K33" s="80">
        <v>7</v>
      </c>
      <c r="L33" s="41">
        <v>267.24</v>
      </c>
      <c r="M33" s="51">
        <f t="shared" si="16"/>
        <v>51</v>
      </c>
      <c r="N33" s="41">
        <f t="shared" si="2"/>
        <v>318</v>
      </c>
      <c r="O33" s="52">
        <f t="shared" si="3"/>
        <v>24844386</v>
      </c>
      <c r="P33" s="81">
        <v>12</v>
      </c>
      <c r="Q33" s="114">
        <f>ROUND('COPIA - Estudio de mercado'!X29,0)</f>
        <v>345</v>
      </c>
      <c r="R33" s="115">
        <f t="shared" si="17"/>
        <v>66</v>
      </c>
      <c r="S33" s="114">
        <f t="shared" si="4"/>
        <v>411</v>
      </c>
      <c r="T33" s="122">
        <f t="shared" si="5"/>
        <v>55046052</v>
      </c>
      <c r="U33" s="125">
        <f t="shared" si="6"/>
        <v>13292751</v>
      </c>
    </row>
    <row r="34" spans="1:21" x14ac:dyDescent="0.35">
      <c r="A34" s="70">
        <v>24</v>
      </c>
      <c r="B34" s="70" t="s">
        <v>52</v>
      </c>
      <c r="C34" s="70" t="s">
        <v>70</v>
      </c>
      <c r="D34" s="70" t="s">
        <v>55</v>
      </c>
      <c r="E34" s="83">
        <v>65000</v>
      </c>
      <c r="F34" s="79">
        <v>5</v>
      </c>
      <c r="G34" s="40">
        <f>ROUND('COT  2025'!G39,0)</f>
        <v>410</v>
      </c>
      <c r="H34" s="49">
        <f t="shared" si="15"/>
        <v>78</v>
      </c>
      <c r="I34" s="40">
        <f t="shared" si="0"/>
        <v>488</v>
      </c>
      <c r="J34" s="40">
        <f t="shared" si="1"/>
        <v>158600000</v>
      </c>
      <c r="K34" s="80">
        <v>7</v>
      </c>
      <c r="L34" s="41">
        <v>429.68</v>
      </c>
      <c r="M34" s="51">
        <f t="shared" si="16"/>
        <v>82</v>
      </c>
      <c r="N34" s="41">
        <f t="shared" si="2"/>
        <v>512</v>
      </c>
      <c r="O34" s="52">
        <f t="shared" si="3"/>
        <v>232960000</v>
      </c>
      <c r="P34" s="81">
        <v>12</v>
      </c>
      <c r="Q34" s="114">
        <f>ROUND('COPIA - Estudio de mercado'!X30,0)</f>
        <v>473</v>
      </c>
      <c r="R34" s="115">
        <f t="shared" si="17"/>
        <v>90</v>
      </c>
      <c r="S34" s="114">
        <f t="shared" si="4"/>
        <v>563</v>
      </c>
      <c r="T34" s="122">
        <f t="shared" si="5"/>
        <v>439140000</v>
      </c>
      <c r="U34" s="125">
        <f t="shared" si="6"/>
        <v>47580000</v>
      </c>
    </row>
    <row r="35" spans="1:21" x14ac:dyDescent="0.35">
      <c r="A35" s="70">
        <v>25</v>
      </c>
      <c r="B35" s="70" t="s">
        <v>52</v>
      </c>
      <c r="C35" s="70" t="s">
        <v>71</v>
      </c>
      <c r="D35" s="70" t="s">
        <v>73</v>
      </c>
      <c r="E35" s="83">
        <v>86659</v>
      </c>
      <c r="F35" s="79">
        <v>5</v>
      </c>
      <c r="G35" s="40">
        <f>ROUND('COT  2025'!G40,0)</f>
        <v>272</v>
      </c>
      <c r="H35" s="49">
        <f t="shared" si="15"/>
        <v>52</v>
      </c>
      <c r="I35" s="40">
        <f t="shared" si="0"/>
        <v>324</v>
      </c>
      <c r="J35" s="40">
        <f t="shared" si="1"/>
        <v>140387580</v>
      </c>
      <c r="K35" s="80">
        <v>7</v>
      </c>
      <c r="L35" s="41">
        <v>285.05599999999998</v>
      </c>
      <c r="M35" s="51">
        <f t="shared" si="16"/>
        <v>54</v>
      </c>
      <c r="N35" s="41">
        <f t="shared" si="2"/>
        <v>339</v>
      </c>
      <c r="O35" s="52">
        <f t="shared" si="3"/>
        <v>205641807</v>
      </c>
      <c r="P35" s="81">
        <v>12</v>
      </c>
      <c r="Q35" s="114">
        <f>ROUND('COPIA - Estudio de mercado'!X31,0)</f>
        <v>358</v>
      </c>
      <c r="R35" s="115">
        <f t="shared" si="17"/>
        <v>68</v>
      </c>
      <c r="S35" s="114">
        <f t="shared" si="4"/>
        <v>426</v>
      </c>
      <c r="T35" s="122">
        <f t="shared" si="5"/>
        <v>443000808</v>
      </c>
      <c r="U35" s="125">
        <f t="shared" si="6"/>
        <v>96971421</v>
      </c>
    </row>
    <row r="36" spans="1:21" x14ac:dyDescent="0.35">
      <c r="A36" s="70">
        <v>26</v>
      </c>
      <c r="B36" s="70" t="s">
        <v>52</v>
      </c>
      <c r="C36" s="70" t="s">
        <v>72</v>
      </c>
      <c r="D36" s="70" t="s">
        <v>73</v>
      </c>
      <c r="E36" s="83">
        <v>30830</v>
      </c>
      <c r="F36" s="79">
        <v>5</v>
      </c>
      <c r="G36" s="40">
        <f>ROUND('COT  2025'!G41,0)</f>
        <v>272</v>
      </c>
      <c r="H36" s="49">
        <f t="shared" si="15"/>
        <v>52</v>
      </c>
      <c r="I36" s="40">
        <f t="shared" si="0"/>
        <v>324</v>
      </c>
      <c r="J36" s="40">
        <f t="shared" si="1"/>
        <v>49944600</v>
      </c>
      <c r="K36" s="80">
        <v>7</v>
      </c>
      <c r="L36" s="41">
        <v>285.05599999999998</v>
      </c>
      <c r="M36" s="51">
        <f t="shared" si="16"/>
        <v>54</v>
      </c>
      <c r="N36" s="41">
        <f t="shared" si="2"/>
        <v>339</v>
      </c>
      <c r="O36" s="52">
        <f t="shared" si="3"/>
        <v>73159590</v>
      </c>
      <c r="P36" s="81">
        <v>12</v>
      </c>
      <c r="Q36" s="114">
        <f>ROUND('COPIA - Estudio de mercado'!X32,0)</f>
        <v>358</v>
      </c>
      <c r="R36" s="115">
        <f t="shared" si="17"/>
        <v>68</v>
      </c>
      <c r="S36" s="114">
        <f t="shared" si="4"/>
        <v>426</v>
      </c>
      <c r="T36" s="122">
        <f t="shared" si="5"/>
        <v>157602960</v>
      </c>
      <c r="U36" s="125">
        <f t="shared" si="6"/>
        <v>34498770</v>
      </c>
    </row>
    <row r="37" spans="1:21" x14ac:dyDescent="0.35">
      <c r="A37" s="84">
        <v>27</v>
      </c>
      <c r="B37" s="70" t="s">
        <v>52</v>
      </c>
      <c r="C37" s="84" t="s">
        <v>74</v>
      </c>
      <c r="D37" s="84" t="s">
        <v>53</v>
      </c>
      <c r="E37" s="83">
        <v>20124</v>
      </c>
      <c r="F37" s="79">
        <v>5</v>
      </c>
      <c r="G37" s="40">
        <f>ROUND('COT  2025'!G42,0)</f>
        <v>210</v>
      </c>
      <c r="H37" s="49">
        <f>+ROUND(G37*0.19,0)</f>
        <v>40</v>
      </c>
      <c r="I37" s="40">
        <f>ROUND((G37+H37),0)</f>
        <v>250</v>
      </c>
      <c r="J37" s="40">
        <f>ROUND(I37*E37*F37,0)</f>
        <v>25155000</v>
      </c>
      <c r="K37" s="80">
        <v>7</v>
      </c>
      <c r="L37" s="41">
        <v>220.08</v>
      </c>
      <c r="M37" s="51">
        <f>+ROUND(L37*0.19,0)</f>
        <v>42</v>
      </c>
      <c r="N37" s="41">
        <f>ROUND((L37+M37),0)</f>
        <v>262</v>
      </c>
      <c r="O37" s="52">
        <f>ROUND(N37*E37*K37,0)</f>
        <v>36907416</v>
      </c>
      <c r="P37" s="81">
        <v>12</v>
      </c>
      <c r="Q37" s="114">
        <f>ROUND('COPIA - Estudio de mercado'!X33,0)</f>
        <v>275</v>
      </c>
      <c r="R37" s="115">
        <f>+ROUND(Q37*0.19,0)</f>
        <v>52</v>
      </c>
      <c r="S37" s="114">
        <f>ROUND(Q37+R37,0)</f>
        <v>327</v>
      </c>
      <c r="T37" s="122">
        <f>ROUND(E37*P37*S37,0)</f>
        <v>78966576</v>
      </c>
      <c r="U37" s="125">
        <f>ROUND(T37-(O37+J37),0)</f>
        <v>16904160</v>
      </c>
    </row>
    <row r="38" spans="1:21" x14ac:dyDescent="0.35">
      <c r="A38" s="84">
        <v>28</v>
      </c>
      <c r="B38" s="70" t="s">
        <v>52</v>
      </c>
      <c r="C38" s="84" t="s">
        <v>75</v>
      </c>
      <c r="D38" s="84" t="s">
        <v>76</v>
      </c>
      <c r="E38" s="83">
        <v>360550</v>
      </c>
      <c r="F38" s="79">
        <v>1</v>
      </c>
      <c r="G38" s="40">
        <f>ROUND('COT  2025'!G43,0)</f>
        <v>255</v>
      </c>
      <c r="H38" s="49">
        <f t="shared" si="15"/>
        <v>48</v>
      </c>
      <c r="I38" s="40">
        <f t="shared" si="0"/>
        <v>303</v>
      </c>
      <c r="J38" s="40">
        <f t="shared" si="1"/>
        <v>109246650</v>
      </c>
      <c r="K38" s="80">
        <v>1</v>
      </c>
      <c r="L38" s="41">
        <v>267.24</v>
      </c>
      <c r="M38" s="51">
        <f t="shared" si="16"/>
        <v>51</v>
      </c>
      <c r="N38" s="41">
        <f t="shared" si="2"/>
        <v>318</v>
      </c>
      <c r="O38" s="52">
        <f t="shared" si="3"/>
        <v>114654900</v>
      </c>
      <c r="P38" s="81">
        <v>2</v>
      </c>
      <c r="Q38" s="114">
        <f>ROUND('COPIA - Estudio de mercado'!X34,0)</f>
        <v>345</v>
      </c>
      <c r="R38" s="115">
        <f t="shared" si="17"/>
        <v>66</v>
      </c>
      <c r="S38" s="114">
        <f t="shared" si="4"/>
        <v>411</v>
      </c>
      <c r="T38" s="122">
        <f t="shared" si="5"/>
        <v>296372100</v>
      </c>
      <c r="U38" s="125">
        <f t="shared" si="6"/>
        <v>72470550</v>
      </c>
    </row>
    <row r="39" spans="1:21" x14ac:dyDescent="0.35">
      <c r="A39" s="84">
        <v>29</v>
      </c>
      <c r="B39" s="70" t="s">
        <v>54</v>
      </c>
      <c r="C39" s="84" t="s">
        <v>79</v>
      </c>
      <c r="D39" s="84" t="s">
        <v>53</v>
      </c>
      <c r="E39" s="83">
        <v>451385</v>
      </c>
      <c r="F39" s="79">
        <v>5</v>
      </c>
      <c r="G39" s="40">
        <f>ROUND('COT  2025'!G44,0)</f>
        <v>145</v>
      </c>
      <c r="H39" s="49">
        <f t="shared" si="15"/>
        <v>28</v>
      </c>
      <c r="I39" s="40">
        <f t="shared" si="0"/>
        <v>173</v>
      </c>
      <c r="J39" s="40">
        <f t="shared" si="1"/>
        <v>390448025</v>
      </c>
      <c r="K39" s="80">
        <v>7</v>
      </c>
      <c r="L39" s="41">
        <v>151.96</v>
      </c>
      <c r="M39" s="51">
        <f t="shared" si="16"/>
        <v>29</v>
      </c>
      <c r="N39" s="41">
        <f t="shared" si="2"/>
        <v>181</v>
      </c>
      <c r="O39" s="52">
        <f t="shared" si="3"/>
        <v>571904795</v>
      </c>
      <c r="P39" s="81">
        <v>12</v>
      </c>
      <c r="Q39" s="114">
        <f>ROUND('COPIA - Estudio de mercado'!X35,0)</f>
        <v>209</v>
      </c>
      <c r="R39" s="115">
        <f t="shared" si="17"/>
        <v>40</v>
      </c>
      <c r="S39" s="114">
        <f t="shared" si="4"/>
        <v>249</v>
      </c>
      <c r="T39" s="122">
        <f t="shared" si="5"/>
        <v>1348738380</v>
      </c>
      <c r="U39" s="125">
        <f t="shared" si="6"/>
        <v>386385560</v>
      </c>
    </row>
    <row r="40" spans="1:21" x14ac:dyDescent="0.35">
      <c r="A40" s="70">
        <v>30</v>
      </c>
      <c r="B40" s="70" t="s">
        <v>56</v>
      </c>
      <c r="C40" s="70" t="s">
        <v>57</v>
      </c>
      <c r="D40" s="70" t="s">
        <v>55</v>
      </c>
      <c r="E40" s="83">
        <v>76646</v>
      </c>
      <c r="F40" s="76">
        <v>5</v>
      </c>
      <c r="G40" s="40">
        <f>ROUND('COT  2025'!G45,0)</f>
        <v>2185</v>
      </c>
      <c r="H40" s="49">
        <v>0</v>
      </c>
      <c r="I40" s="40">
        <f t="shared" si="0"/>
        <v>2185</v>
      </c>
      <c r="J40" s="40">
        <f>ROUND(I40*E40*F40,0)</f>
        <v>837357550</v>
      </c>
      <c r="K40" s="77">
        <v>7</v>
      </c>
      <c r="L40" s="41">
        <v>2289.88</v>
      </c>
      <c r="M40" s="51">
        <v>0</v>
      </c>
      <c r="N40" s="41">
        <f t="shared" si="2"/>
        <v>2290</v>
      </c>
      <c r="O40" s="52">
        <f t="shared" si="3"/>
        <v>1228635380</v>
      </c>
      <c r="P40" s="78">
        <v>12</v>
      </c>
      <c r="Q40" s="114">
        <f>ROUND('COPIA - Estudio de mercado'!X36,0)</f>
        <v>2556</v>
      </c>
      <c r="R40" s="115">
        <v>0</v>
      </c>
      <c r="S40" s="114">
        <f t="shared" si="4"/>
        <v>2556</v>
      </c>
      <c r="T40" s="122">
        <f t="shared" si="5"/>
        <v>2350886112</v>
      </c>
      <c r="U40" s="125">
        <f t="shared" si="6"/>
        <v>284893182</v>
      </c>
    </row>
    <row r="41" spans="1:21" x14ac:dyDescent="0.35">
      <c r="A41" s="70">
        <v>31</v>
      </c>
      <c r="B41" s="70" t="s">
        <v>56</v>
      </c>
      <c r="C41" s="70" t="s">
        <v>58</v>
      </c>
      <c r="D41" s="70" t="s">
        <v>55</v>
      </c>
      <c r="E41" s="83">
        <v>109634</v>
      </c>
      <c r="F41" s="76">
        <v>5</v>
      </c>
      <c r="G41" s="40">
        <f>ROUND('COT  2025'!G46,0)</f>
        <v>3040</v>
      </c>
      <c r="H41" s="49">
        <v>0</v>
      </c>
      <c r="I41" s="40">
        <f t="shared" si="0"/>
        <v>3040</v>
      </c>
      <c r="J41" s="40">
        <f>ROUND(I41*E41*F41,0)</f>
        <v>1666436800</v>
      </c>
      <c r="K41" s="77">
        <v>7</v>
      </c>
      <c r="L41" s="41">
        <v>3185.92</v>
      </c>
      <c r="M41" s="51">
        <v>0</v>
      </c>
      <c r="N41" s="41">
        <f t="shared" si="2"/>
        <v>3186</v>
      </c>
      <c r="O41" s="52">
        <f t="shared" si="3"/>
        <v>2445057468</v>
      </c>
      <c r="P41" s="78">
        <v>12</v>
      </c>
      <c r="Q41" s="114">
        <f>ROUND('COPIA - Estudio de mercado'!X37,0)</f>
        <v>3648</v>
      </c>
      <c r="R41" s="115">
        <v>0</v>
      </c>
      <c r="S41" s="114">
        <f t="shared" si="4"/>
        <v>3648</v>
      </c>
      <c r="T41" s="122">
        <f t="shared" si="5"/>
        <v>4799337984</v>
      </c>
      <c r="U41" s="125">
        <f t="shared" si="6"/>
        <v>687843716</v>
      </c>
    </row>
    <row r="42" spans="1:21" x14ac:dyDescent="0.35">
      <c r="A42" s="70">
        <v>32</v>
      </c>
      <c r="B42" s="70" t="s">
        <v>56</v>
      </c>
      <c r="C42" s="70" t="s">
        <v>59</v>
      </c>
      <c r="D42" s="70" t="s">
        <v>55</v>
      </c>
      <c r="E42" s="83">
        <v>8186</v>
      </c>
      <c r="F42" s="76">
        <v>5</v>
      </c>
      <c r="G42" s="40">
        <f>ROUND('COT  2025'!G47,0)</f>
        <v>2855</v>
      </c>
      <c r="H42" s="49">
        <v>0</v>
      </c>
      <c r="I42" s="40">
        <f t="shared" si="0"/>
        <v>2855</v>
      </c>
      <c r="J42" s="40">
        <f>ROUND(I42*E42*F42,0)</f>
        <v>116855150</v>
      </c>
      <c r="K42" s="77">
        <v>7</v>
      </c>
      <c r="L42" s="41">
        <v>2992.04</v>
      </c>
      <c r="M42" s="51">
        <v>0</v>
      </c>
      <c r="N42" s="41">
        <f t="shared" si="2"/>
        <v>2992</v>
      </c>
      <c r="O42" s="52">
        <f t="shared" si="3"/>
        <v>171447584</v>
      </c>
      <c r="P42" s="78">
        <v>12</v>
      </c>
      <c r="Q42" s="114">
        <f>ROUND('COPIA - Estudio de mercado'!X38,0)</f>
        <v>3384</v>
      </c>
      <c r="R42" s="115">
        <v>0</v>
      </c>
      <c r="S42" s="114">
        <f t="shared" si="4"/>
        <v>3384</v>
      </c>
      <c r="T42" s="122">
        <f t="shared" si="5"/>
        <v>332417088</v>
      </c>
      <c r="U42" s="125">
        <f t="shared" si="6"/>
        <v>44114354</v>
      </c>
    </row>
    <row r="43" spans="1:21" ht="14.5" thickBot="1" x14ac:dyDescent="0.4">
      <c r="A43" s="70">
        <v>33</v>
      </c>
      <c r="B43" s="70" t="s">
        <v>56</v>
      </c>
      <c r="C43" s="70" t="s">
        <v>60</v>
      </c>
      <c r="D43" s="70" t="s">
        <v>55</v>
      </c>
      <c r="E43" s="83">
        <v>4907</v>
      </c>
      <c r="F43" s="86">
        <v>5</v>
      </c>
      <c r="G43" s="40">
        <f>ROUND('COT  2025'!G48,0)</f>
        <v>9010</v>
      </c>
      <c r="H43" s="50">
        <v>0</v>
      </c>
      <c r="I43" s="47">
        <f t="shared" si="0"/>
        <v>9010</v>
      </c>
      <c r="J43" s="47">
        <f>ROUND(I43*E43*F43,0)</f>
        <v>221060350</v>
      </c>
      <c r="K43" s="87">
        <v>7</v>
      </c>
      <c r="L43" s="41">
        <v>9442.48</v>
      </c>
      <c r="M43" s="53">
        <v>0</v>
      </c>
      <c r="N43" s="48">
        <f t="shared" si="2"/>
        <v>9442</v>
      </c>
      <c r="O43" s="54">
        <f t="shared" si="3"/>
        <v>324323258</v>
      </c>
      <c r="P43" s="88">
        <v>12</v>
      </c>
      <c r="Q43" s="119">
        <f>ROUND('COPIA - Estudio de mercado'!X39,0)</f>
        <v>10590</v>
      </c>
      <c r="R43" s="120">
        <v>0</v>
      </c>
      <c r="S43" s="119">
        <f t="shared" si="4"/>
        <v>10590</v>
      </c>
      <c r="T43" s="123">
        <f t="shared" si="5"/>
        <v>623581560</v>
      </c>
      <c r="U43" s="125">
        <f t="shared" si="6"/>
        <v>78197952</v>
      </c>
    </row>
    <row r="44" spans="1:21" ht="18" x14ac:dyDescent="0.35">
      <c r="F44" s="126"/>
      <c r="G44" s="127"/>
      <c r="H44" s="127"/>
      <c r="I44" s="127"/>
      <c r="J44" s="128">
        <f>SUM(J7:J43)</f>
        <v>8805489860</v>
      </c>
      <c r="K44" s="129"/>
      <c r="L44" s="129"/>
      <c r="M44" s="129"/>
      <c r="N44" s="129"/>
      <c r="O44" s="154">
        <f>SUM(O7:O43)</f>
        <v>12347102743</v>
      </c>
      <c r="P44" s="130"/>
      <c r="Q44" s="130"/>
      <c r="R44" s="130"/>
      <c r="S44" s="130"/>
      <c r="T44" s="124">
        <f>SUM(T7:T43)</f>
        <v>25880943288</v>
      </c>
      <c r="U44" s="131">
        <f>SUM(U7:U43)</f>
        <v>4728350685</v>
      </c>
    </row>
    <row r="45" spans="1:21" x14ac:dyDescent="0.35">
      <c r="J45" s="132"/>
      <c r="O45" s="132"/>
    </row>
    <row r="46" spans="1:21" x14ac:dyDescent="0.35">
      <c r="E46" s="157">
        <f>E39/5</f>
        <v>90277</v>
      </c>
    </row>
    <row r="47" spans="1:21" x14ac:dyDescent="0.35">
      <c r="O47" s="132"/>
    </row>
  </sheetData>
  <mergeCells count="16">
    <mergeCell ref="B19:B21"/>
    <mergeCell ref="A22:A24"/>
    <mergeCell ref="B22:B24"/>
    <mergeCell ref="A30:A31"/>
    <mergeCell ref="U4:U6"/>
    <mergeCell ref="A4:A6"/>
    <mergeCell ref="B4:B6"/>
    <mergeCell ref="C4:C6"/>
    <mergeCell ref="D4:D6"/>
    <mergeCell ref="E4:E6"/>
    <mergeCell ref="F5:J5"/>
    <mergeCell ref="A1:C2"/>
    <mergeCell ref="D1:D2"/>
    <mergeCell ref="K5:O5"/>
    <mergeCell ref="F4:O4"/>
    <mergeCell ref="P4:T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0348F-734E-4E36-A672-B6F3DB976ECF}">
  <dimension ref="B2:J35"/>
  <sheetViews>
    <sheetView workbookViewId="0">
      <selection activeCell="J9" sqref="J9"/>
    </sheetView>
  </sheetViews>
  <sheetFormatPr baseColWidth="10" defaultColWidth="11.453125" defaultRowHeight="12.5" x14ac:dyDescent="0.35"/>
  <cols>
    <col min="1" max="1" width="11.453125" style="112"/>
    <col min="2" max="2" width="20.7265625" style="112" customWidth="1"/>
    <col min="3" max="3" width="14.7265625" style="112" bestFit="1" customWidth="1"/>
    <col min="4" max="4" width="19.1796875" style="112" bestFit="1" customWidth="1"/>
    <col min="5" max="6" width="15.26953125" style="112" bestFit="1" customWidth="1"/>
    <col min="7" max="7" width="12.1796875" style="112" bestFit="1" customWidth="1"/>
    <col min="8" max="8" width="9.54296875" style="112" bestFit="1" customWidth="1"/>
    <col min="9" max="9" width="11.453125" style="112"/>
    <col min="10" max="10" width="17" style="112" customWidth="1"/>
    <col min="11" max="16384" width="11.453125" style="112"/>
  </cols>
  <sheetData>
    <row r="2" spans="2:10" s="92" customFormat="1" ht="13" x14ac:dyDescent="0.35">
      <c r="C2" s="202" t="s">
        <v>140</v>
      </c>
      <c r="D2" s="202"/>
      <c r="E2" s="202"/>
      <c r="F2" s="202"/>
    </row>
    <row r="3" spans="2:10" s="92" customFormat="1" x14ac:dyDescent="0.35"/>
    <row r="4" spans="2:10" s="93" customFormat="1" ht="26" x14ac:dyDescent="0.35">
      <c r="B4" s="94" t="s">
        <v>116</v>
      </c>
      <c r="C4" s="94" t="s">
        <v>117</v>
      </c>
      <c r="D4" s="94" t="s">
        <v>118</v>
      </c>
      <c r="E4" s="94" t="s">
        <v>119</v>
      </c>
      <c r="F4" s="94" t="s">
        <v>120</v>
      </c>
      <c r="G4" s="94" t="s">
        <v>121</v>
      </c>
      <c r="H4" s="94" t="s">
        <v>122</v>
      </c>
    </row>
    <row r="5" spans="2:10" s="93" customFormat="1" ht="13" x14ac:dyDescent="0.35">
      <c r="B5" s="94" t="s">
        <v>123</v>
      </c>
      <c r="C5" s="95">
        <v>1</v>
      </c>
      <c r="D5" s="96">
        <v>734982161</v>
      </c>
      <c r="E5" s="96"/>
      <c r="F5" s="96">
        <f>D5-E5</f>
        <v>734982161</v>
      </c>
      <c r="G5" s="97">
        <f>F5/$D$18</f>
        <v>3.6537122231717553E-2</v>
      </c>
      <c r="H5" s="98">
        <f>100%-G5</f>
        <v>0.96346287776828243</v>
      </c>
    </row>
    <row r="6" spans="2:10" s="93" customFormat="1" ht="13" x14ac:dyDescent="0.35">
      <c r="B6" s="94" t="s">
        <v>124</v>
      </c>
      <c r="C6" s="95">
        <v>2</v>
      </c>
      <c r="D6" s="96">
        <v>1572837192</v>
      </c>
      <c r="E6" s="96"/>
      <c r="F6" s="96">
        <f t="shared" ref="F6:F17" si="0">D6-E6</f>
        <v>1572837192</v>
      </c>
      <c r="G6" s="97">
        <f t="shared" ref="G6:G17" si="1">F6/$D$18</f>
        <v>7.8188217053468609E-2</v>
      </c>
      <c r="H6" s="98">
        <f t="shared" ref="H6:H8" si="2">100%-G6</f>
        <v>0.92181178294653143</v>
      </c>
    </row>
    <row r="7" spans="2:10" s="93" customFormat="1" ht="13" x14ac:dyDescent="0.35">
      <c r="B7" s="94" t="s">
        <v>125</v>
      </c>
      <c r="C7" s="95">
        <v>3</v>
      </c>
      <c r="D7" s="96">
        <v>1282082311</v>
      </c>
      <c r="E7" s="96"/>
      <c r="F7" s="96">
        <f t="shared" si="0"/>
        <v>1282082311</v>
      </c>
      <c r="G7" s="97">
        <f t="shared" si="1"/>
        <v>6.3734333421637868E-2</v>
      </c>
      <c r="H7" s="98">
        <f t="shared" si="2"/>
        <v>0.93626566657836219</v>
      </c>
    </row>
    <row r="8" spans="2:10" s="93" customFormat="1" ht="13" x14ac:dyDescent="0.35">
      <c r="B8" s="94" t="s">
        <v>126</v>
      </c>
      <c r="C8" s="95">
        <v>4</v>
      </c>
      <c r="D8" s="96">
        <v>2934640613</v>
      </c>
      <c r="E8" s="96"/>
      <c r="F8" s="96">
        <f t="shared" si="0"/>
        <v>2934640613</v>
      </c>
      <c r="G8" s="97">
        <f t="shared" si="1"/>
        <v>0.14588561256705596</v>
      </c>
      <c r="H8" s="98">
        <f t="shared" si="2"/>
        <v>0.85411438743294399</v>
      </c>
    </row>
    <row r="9" spans="2:10" s="92" customFormat="1" ht="13" x14ac:dyDescent="0.35">
      <c r="B9" s="94" t="s">
        <v>127</v>
      </c>
      <c r="C9" s="95">
        <v>5</v>
      </c>
      <c r="D9" s="96">
        <v>1259448055</v>
      </c>
      <c r="E9" s="96"/>
      <c r="F9" s="96">
        <f t="shared" si="0"/>
        <v>1259448055</v>
      </c>
      <c r="G9" s="97">
        <f t="shared" si="1"/>
        <v>6.2609148863456476E-2</v>
      </c>
      <c r="H9" s="98">
        <f>100%-G9</f>
        <v>0.93739085113654352</v>
      </c>
      <c r="J9" s="93"/>
    </row>
    <row r="10" spans="2:10" s="92" customFormat="1" ht="13" x14ac:dyDescent="0.35">
      <c r="B10" s="94" t="s">
        <v>128</v>
      </c>
      <c r="C10" s="95">
        <v>6</v>
      </c>
      <c r="D10" s="96">
        <v>1276044962</v>
      </c>
      <c r="E10" s="96">
        <v>238800</v>
      </c>
      <c r="F10" s="96">
        <f t="shared" si="0"/>
        <v>1275806162</v>
      </c>
      <c r="G10" s="97">
        <f t="shared" si="1"/>
        <v>6.3422336157860096E-2</v>
      </c>
      <c r="H10" s="98">
        <f>100%-(G9+G10)</f>
        <v>0.87396851497868344</v>
      </c>
      <c r="J10" s="93"/>
    </row>
    <row r="11" spans="2:10" s="92" customFormat="1" ht="13" x14ac:dyDescent="0.35">
      <c r="B11" s="94" t="s">
        <v>129</v>
      </c>
      <c r="C11" s="95">
        <v>7</v>
      </c>
      <c r="D11" s="96">
        <v>1554435870</v>
      </c>
      <c r="E11" s="96">
        <v>248400</v>
      </c>
      <c r="F11" s="96">
        <f t="shared" si="0"/>
        <v>1554187470</v>
      </c>
      <c r="G11" s="97">
        <f t="shared" si="1"/>
        <v>7.7261109963720417E-2</v>
      </c>
      <c r="H11" s="98">
        <f>100%-(G9+G10+G11)</f>
        <v>0.79670740501496295</v>
      </c>
      <c r="J11" s="93"/>
    </row>
    <row r="12" spans="2:10" s="92" customFormat="1" ht="13" x14ac:dyDescent="0.35">
      <c r="B12" s="94" t="s">
        <v>130</v>
      </c>
      <c r="C12" s="95">
        <v>8</v>
      </c>
      <c r="D12" s="96">
        <v>2445804410</v>
      </c>
      <c r="E12" s="96">
        <v>3629226</v>
      </c>
      <c r="F12" s="96">
        <f t="shared" si="0"/>
        <v>2442175184</v>
      </c>
      <c r="G12" s="97">
        <f t="shared" si="1"/>
        <v>0.12140437951265502</v>
      </c>
      <c r="H12" s="98">
        <f>100%-(G9+G10+G11+G12)</f>
        <v>0.67530302550230803</v>
      </c>
      <c r="J12" s="93"/>
    </row>
    <row r="13" spans="2:10" s="92" customFormat="1" ht="13" x14ac:dyDescent="0.35">
      <c r="B13" s="94" t="s">
        <v>131</v>
      </c>
      <c r="C13" s="95">
        <v>9</v>
      </c>
      <c r="D13" s="96">
        <v>1272976976</v>
      </c>
      <c r="E13" s="96"/>
      <c r="F13" s="96">
        <f t="shared" si="0"/>
        <v>1272976976</v>
      </c>
      <c r="G13" s="97">
        <f t="shared" si="1"/>
        <v>6.3281692860398808E-2</v>
      </c>
      <c r="H13" s="98">
        <f>100%-(G9+G10+G11+G12+G13)</f>
        <v>0.61202133264190917</v>
      </c>
      <c r="J13" s="93"/>
    </row>
    <row r="14" spans="2:10" s="92" customFormat="1" ht="13" x14ac:dyDescent="0.35">
      <c r="B14" s="94" t="s">
        <v>132</v>
      </c>
      <c r="C14" s="95">
        <v>10</v>
      </c>
      <c r="D14" s="96">
        <v>1347432479</v>
      </c>
      <c r="E14" s="96"/>
      <c r="F14" s="96">
        <f t="shared" si="0"/>
        <v>1347432479</v>
      </c>
      <c r="G14" s="97">
        <f t="shared" si="1"/>
        <v>6.6982993324934861E-2</v>
      </c>
      <c r="H14" s="98">
        <f>100%-(G9+G10+G11+G12+G13+G14)</f>
        <v>0.54503833931697432</v>
      </c>
      <c r="J14" s="93"/>
    </row>
    <row r="15" spans="2:10" s="92" customFormat="1" ht="13" x14ac:dyDescent="0.35">
      <c r="B15" s="94" t="s">
        <v>133</v>
      </c>
      <c r="C15" s="95">
        <v>11</v>
      </c>
      <c r="D15" s="96">
        <v>1284321546</v>
      </c>
      <c r="E15" s="96"/>
      <c r="F15" s="96">
        <f t="shared" si="0"/>
        <v>1284321546</v>
      </c>
      <c r="G15" s="97">
        <f t="shared" si="1"/>
        <v>6.3845649324583351E-2</v>
      </c>
      <c r="H15" s="98">
        <f>100%-(G9+G10+G11+G12+G13+G14+G15)</f>
        <v>0.48119268999239095</v>
      </c>
    </row>
    <row r="16" spans="2:10" s="92" customFormat="1" ht="13" x14ac:dyDescent="0.35">
      <c r="B16" s="94" t="s">
        <v>138</v>
      </c>
      <c r="C16" s="95">
        <v>12</v>
      </c>
      <c r="D16" s="99">
        <v>2641312269</v>
      </c>
      <c r="E16" s="96"/>
      <c r="F16" s="96">
        <f t="shared" si="0"/>
        <v>2641312269</v>
      </c>
      <c r="G16" s="97">
        <f t="shared" si="1"/>
        <v>0.13130379803134873</v>
      </c>
      <c r="H16" s="98">
        <f t="shared" ref="H16:H17" si="3">100%-(G9+G10+G11+G12+G13+G14+G15+G16)</f>
        <v>0.34988889196104223</v>
      </c>
    </row>
    <row r="17" spans="2:8" s="92" customFormat="1" ht="26" x14ac:dyDescent="0.35">
      <c r="B17" s="94" t="s">
        <v>139</v>
      </c>
      <c r="C17" s="95">
        <v>13</v>
      </c>
      <c r="D17" s="99">
        <v>509719752</v>
      </c>
      <c r="E17" s="96"/>
      <c r="F17" s="96">
        <f t="shared" si="0"/>
        <v>509719752</v>
      </c>
      <c r="G17" s="97">
        <f t="shared" si="1"/>
        <v>2.533897265942589E-2</v>
      </c>
      <c r="H17" s="98">
        <f t="shared" si="3"/>
        <v>0.38715906816507284</v>
      </c>
    </row>
    <row r="18" spans="2:8" s="92" customFormat="1" ht="13" x14ac:dyDescent="0.35">
      <c r="B18" s="201" t="s">
        <v>109</v>
      </c>
      <c r="C18" s="201"/>
      <c r="D18" s="100">
        <f>SUM(D5:D17)</f>
        <v>20116038596</v>
      </c>
      <c r="E18" s="101">
        <f>SUM(E5:E17)</f>
        <v>4116426</v>
      </c>
      <c r="F18" s="101">
        <f>SUM(F5:F17)</f>
        <v>20111922170</v>
      </c>
      <c r="G18" s="102">
        <f>SUM(G5:G17)</f>
        <v>0.99979536597226348</v>
      </c>
      <c r="H18" s="103">
        <f>100%-G18</f>
        <v>2.0463402773651662E-4</v>
      </c>
    </row>
    <row r="19" spans="2:8" s="92" customFormat="1" ht="13" x14ac:dyDescent="0.35">
      <c r="B19" s="201" t="s">
        <v>104</v>
      </c>
      <c r="C19" s="201"/>
      <c r="D19" s="104">
        <v>20987139031</v>
      </c>
      <c r="E19" s="134">
        <f>E18/D19</f>
        <v>1.9614040741425725E-4</v>
      </c>
    </row>
    <row r="20" spans="2:8" s="92" customFormat="1" ht="13" x14ac:dyDescent="0.35">
      <c r="B20" s="201" t="s">
        <v>134</v>
      </c>
      <c r="C20" s="201"/>
      <c r="D20" s="101">
        <f>D19-D18</f>
        <v>871100435</v>
      </c>
      <c r="E20" s="141" t="s">
        <v>149</v>
      </c>
      <c r="F20" s="142">
        <f>D19-F18</f>
        <v>875216861</v>
      </c>
    </row>
    <row r="21" spans="2:8" s="92" customFormat="1" x14ac:dyDescent="0.35"/>
    <row r="22" spans="2:8" s="92" customFormat="1" ht="13" x14ac:dyDescent="0.35">
      <c r="B22" s="201" t="s">
        <v>104</v>
      </c>
      <c r="C22" s="201"/>
      <c r="D22" s="104">
        <v>20987139031</v>
      </c>
    </row>
    <row r="23" spans="2:8" s="92" customFormat="1" ht="13" x14ac:dyDescent="0.35">
      <c r="B23" s="201" t="s">
        <v>135</v>
      </c>
      <c r="C23" s="201"/>
      <c r="D23" s="104">
        <f>COMPARATIVO!C17</f>
        <v>21152592603</v>
      </c>
      <c r="F23" s="105"/>
    </row>
    <row r="24" spans="2:8" s="92" customFormat="1" ht="13" x14ac:dyDescent="0.35">
      <c r="B24" s="201" t="s">
        <v>136</v>
      </c>
      <c r="C24" s="201"/>
      <c r="D24" s="96">
        <f>D23-F20</f>
        <v>20277375742</v>
      </c>
    </row>
    <row r="25" spans="2:8" s="92" customFormat="1" ht="13" x14ac:dyDescent="0.35">
      <c r="B25" s="201" t="s">
        <v>137</v>
      </c>
      <c r="C25" s="201"/>
      <c r="D25" s="96">
        <f>D19+D24</f>
        <v>41264514773</v>
      </c>
    </row>
    <row r="26" spans="2:8" s="92" customFormat="1" x14ac:dyDescent="0.35"/>
    <row r="27" spans="2:8" ht="13" thickBot="1" x14ac:dyDescent="0.4">
      <c r="B27" s="92"/>
      <c r="C27" s="92"/>
      <c r="D27" s="92"/>
      <c r="F27" s="140"/>
    </row>
    <row r="28" spans="2:8" ht="13.5" thickBot="1" x14ac:dyDescent="0.4">
      <c r="C28" s="106" t="s">
        <v>102</v>
      </c>
      <c r="D28" s="107" t="s">
        <v>103</v>
      </c>
    </row>
    <row r="29" spans="2:8" ht="13" thickBot="1" x14ac:dyDescent="0.4">
      <c r="C29" s="108">
        <v>2024</v>
      </c>
      <c r="D29" s="109">
        <v>1300000</v>
      </c>
    </row>
    <row r="30" spans="2:8" ht="13" thickBot="1" x14ac:dyDescent="0.4">
      <c r="C30" s="108"/>
      <c r="D30" s="109">
        <v>1423500</v>
      </c>
    </row>
    <row r="33" spans="2:7" ht="15" customHeight="1" x14ac:dyDescent="0.35">
      <c r="B33" s="203" t="s">
        <v>104</v>
      </c>
      <c r="C33" s="203"/>
      <c r="D33" s="139">
        <f>D19</f>
        <v>20987139031</v>
      </c>
      <c r="E33" s="110">
        <f>D33/D29</f>
        <v>16143.953100769231</v>
      </c>
      <c r="F33" s="111" t="s">
        <v>105</v>
      </c>
      <c r="G33" s="113">
        <f>D34/D33</f>
        <v>0.9661810364932728</v>
      </c>
    </row>
    <row r="34" spans="2:7" ht="15" customHeight="1" x14ac:dyDescent="0.35">
      <c r="B34" s="203" t="s">
        <v>106</v>
      </c>
      <c r="C34" s="203"/>
      <c r="D34" s="139">
        <f>D24</f>
        <v>20277375742</v>
      </c>
      <c r="E34" s="110">
        <f>D34/D30</f>
        <v>14244.731817351598</v>
      </c>
      <c r="F34" s="111" t="s">
        <v>107</v>
      </c>
    </row>
    <row r="35" spans="2:7" ht="15.75" customHeight="1" thickBot="1" x14ac:dyDescent="0.4">
      <c r="B35" s="203" t="s">
        <v>108</v>
      </c>
      <c r="C35" s="203"/>
      <c r="D35" s="199">
        <f>D33+D34</f>
        <v>41264514773</v>
      </c>
      <c r="E35" s="199"/>
      <c r="F35" s="200"/>
    </row>
  </sheetData>
  <mergeCells count="12">
    <mergeCell ref="D35:F35"/>
    <mergeCell ref="B18:C18"/>
    <mergeCell ref="B19:C19"/>
    <mergeCell ref="B20:C20"/>
    <mergeCell ref="C2:F2"/>
    <mergeCell ref="B23:C23"/>
    <mergeCell ref="B24:C24"/>
    <mergeCell ref="B25:C25"/>
    <mergeCell ref="B33:C33"/>
    <mergeCell ref="B34:C34"/>
    <mergeCell ref="B35:C35"/>
    <mergeCell ref="B22:C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23FE0-92EB-44C0-A48B-95E595701623}">
  <dimension ref="B2:H35"/>
  <sheetViews>
    <sheetView tabSelected="1" zoomScale="85" zoomScaleNormal="85" workbookViewId="0">
      <selection activeCell="K38" sqref="K38"/>
    </sheetView>
  </sheetViews>
  <sheetFormatPr baseColWidth="10" defaultColWidth="11.453125" defaultRowHeight="12.5" x14ac:dyDescent="0.35"/>
  <cols>
    <col min="1" max="1" width="7.1796875" style="89" customWidth="1"/>
    <col min="2" max="2" width="35.1796875" style="89" customWidth="1"/>
    <col min="3" max="5" width="15.26953125" style="133" bestFit="1" customWidth="1"/>
    <col min="6" max="6" width="19.1796875" style="133" bestFit="1" customWidth="1"/>
    <col min="7" max="7" width="12" style="89" bestFit="1" customWidth="1"/>
    <col min="8" max="16384" width="11.453125" style="89"/>
  </cols>
  <sheetData>
    <row r="2" spans="2:7" ht="12.75" customHeight="1" x14ac:dyDescent="0.35">
      <c r="B2" s="207" t="s">
        <v>115</v>
      </c>
      <c r="C2" s="208"/>
      <c r="D2" s="208"/>
      <c r="E2" s="208"/>
      <c r="F2" s="208"/>
      <c r="G2" s="209"/>
    </row>
    <row r="3" spans="2:7" x14ac:dyDescent="0.35">
      <c r="B3" s="204" t="s">
        <v>111</v>
      </c>
      <c r="C3" s="204" t="s">
        <v>84</v>
      </c>
      <c r="D3" s="204"/>
      <c r="E3" s="204" t="s">
        <v>110</v>
      </c>
      <c r="F3" s="204" t="s">
        <v>114</v>
      </c>
      <c r="G3" s="204" t="s">
        <v>148</v>
      </c>
    </row>
    <row r="4" spans="2:7" x14ac:dyDescent="0.35">
      <c r="B4" s="204"/>
      <c r="C4" s="90" t="s">
        <v>112</v>
      </c>
      <c r="D4" s="90" t="s">
        <v>113</v>
      </c>
      <c r="E4" s="204"/>
      <c r="F4" s="204"/>
      <c r="G4" s="204"/>
    </row>
    <row r="5" spans="2:7" x14ac:dyDescent="0.35">
      <c r="B5" s="91" t="s">
        <v>15</v>
      </c>
      <c r="C5" s="143">
        <f>SUM(ANALISIS!J7:J11)</f>
        <v>232616000</v>
      </c>
      <c r="D5" s="143">
        <f>SUM(ANALISIS!O7:O11)</f>
        <v>341295836</v>
      </c>
      <c r="E5" s="143">
        <f>SUM(ANALISIS!T7:T11)</f>
        <v>681395844</v>
      </c>
      <c r="F5" s="143">
        <f t="shared" ref="F5:F16" si="0">(E5)-(C5+D5)</f>
        <v>107484008</v>
      </c>
      <c r="G5" s="137">
        <f>F5/E5</f>
        <v>0.15774092100274095</v>
      </c>
    </row>
    <row r="6" spans="2:7" x14ac:dyDescent="0.35">
      <c r="B6" s="91" t="s">
        <v>22</v>
      </c>
      <c r="C6" s="143">
        <f>SUM(ANALISIS!J12:J15)</f>
        <v>575100000</v>
      </c>
      <c r="D6" s="143">
        <f>SUM(ANALISIS!O12:O15)</f>
        <v>843786720</v>
      </c>
      <c r="E6" s="143">
        <f>SUM(ANALISIS!T12:T15)</f>
        <v>1724066604</v>
      </c>
      <c r="F6" s="143">
        <f t="shared" si="0"/>
        <v>305179884</v>
      </c>
      <c r="G6" s="137">
        <f t="shared" ref="G6:G16" si="1">F6/E6</f>
        <v>0.17701165563554991</v>
      </c>
    </row>
    <row r="7" spans="2:7" ht="23" x14ac:dyDescent="0.35">
      <c r="B7" s="91" t="s">
        <v>28</v>
      </c>
      <c r="C7" s="143">
        <f>SUM(ANALISIS!J16:J18)</f>
        <v>19455000</v>
      </c>
      <c r="D7" s="143">
        <f>SUM(ANALISIS!O16:O18)</f>
        <v>28544376</v>
      </c>
      <c r="E7" s="143">
        <f>SUM(ANALISIS!T16:T18)</f>
        <v>56236992</v>
      </c>
      <c r="F7" s="143">
        <f t="shared" si="0"/>
        <v>8237616</v>
      </c>
      <c r="G7" s="137">
        <f t="shared" si="1"/>
        <v>0.14648038074298142</v>
      </c>
    </row>
    <row r="8" spans="2:7" x14ac:dyDescent="0.35">
      <c r="B8" s="91" t="s">
        <v>33</v>
      </c>
      <c r="C8" s="143">
        <f>SUM(ANALISIS!J19:J21)</f>
        <v>11453750</v>
      </c>
      <c r="D8" s="143">
        <f>SUM(ANALISIS!O19:O21)</f>
        <v>16804949</v>
      </c>
      <c r="E8" s="143">
        <f>SUM(ANALISIS!T19:T21)</f>
        <v>35611464</v>
      </c>
      <c r="F8" s="143">
        <f t="shared" si="0"/>
        <v>7352765</v>
      </c>
      <c r="G8" s="137">
        <f t="shared" si="1"/>
        <v>0.20647185411978569</v>
      </c>
    </row>
    <row r="9" spans="2:7" x14ac:dyDescent="0.35">
      <c r="B9" s="91" t="s">
        <v>37</v>
      </c>
      <c r="C9" s="143">
        <f>SUM(ANALISIS!J22:J24)</f>
        <v>965685000</v>
      </c>
      <c r="D9" s="143">
        <f>SUM(ANALISIS!O22:O24)</f>
        <v>1416853102</v>
      </c>
      <c r="E9" s="143">
        <f>SUM(ANALISIS!T22:T24)</f>
        <v>2748846744</v>
      </c>
      <c r="F9" s="143">
        <f t="shared" si="0"/>
        <v>366308642</v>
      </c>
      <c r="G9" s="137">
        <f t="shared" si="1"/>
        <v>0.13325902682626967</v>
      </c>
    </row>
    <row r="10" spans="2:7" x14ac:dyDescent="0.35">
      <c r="B10" s="91" t="s">
        <v>41</v>
      </c>
      <c r="C10" s="143">
        <f>ANALISIS!J25</f>
        <v>1524806500</v>
      </c>
      <c r="D10" s="143">
        <f>ANALISIS!O25</f>
        <v>2237196234</v>
      </c>
      <c r="E10" s="143">
        <f>ANALISIS!T25</f>
        <v>4373529888</v>
      </c>
      <c r="F10" s="143">
        <f t="shared" si="0"/>
        <v>611527154</v>
      </c>
      <c r="G10" s="137">
        <f t="shared" si="1"/>
        <v>0.13982461985178046</v>
      </c>
    </row>
    <row r="11" spans="2:7" x14ac:dyDescent="0.35">
      <c r="B11" s="91" t="s">
        <v>42</v>
      </c>
      <c r="C11" s="143">
        <f>SUM(ANALISIS!J26)</f>
        <v>136250000</v>
      </c>
      <c r="D11" s="143">
        <f>ANALISIS!O26</f>
        <v>199906000</v>
      </c>
      <c r="E11" s="143">
        <f>SUM(ANALISIS!T26)</f>
        <v>401252580</v>
      </c>
      <c r="F11" s="143">
        <f t="shared" si="0"/>
        <v>65096580</v>
      </c>
      <c r="G11" s="137">
        <f t="shared" si="1"/>
        <v>0.16223342414396438</v>
      </c>
    </row>
    <row r="12" spans="2:7" x14ac:dyDescent="0.35">
      <c r="B12" s="91" t="s">
        <v>45</v>
      </c>
      <c r="C12" s="143">
        <f>SUM(ANALISIS!J27:J29)</f>
        <v>1433712000</v>
      </c>
      <c r="D12" s="143">
        <f>SUM(ANALISIS!O27+ANALISIS!O28+ANALISIS!O29)</f>
        <v>1577656584</v>
      </c>
      <c r="E12" s="143">
        <f>SUM(ANALISIS!T27:T29)</f>
        <v>4391634240</v>
      </c>
      <c r="F12" s="143">
        <f t="shared" si="0"/>
        <v>1380265656</v>
      </c>
      <c r="G12" s="137">
        <f t="shared" si="1"/>
        <v>0.31429431063002189</v>
      </c>
    </row>
    <row r="13" spans="2:7" x14ac:dyDescent="0.35">
      <c r="B13" s="91" t="s">
        <v>49</v>
      </c>
      <c r="C13" s="143">
        <f>SUM(ANALISIS!J30:J31)</f>
        <v>72709000</v>
      </c>
      <c r="D13" s="143">
        <f>SUM(ANALISIS!O30:O31)</f>
        <v>106678642</v>
      </c>
      <c r="E13" s="143">
        <f>SUM(ANALISIS!T30:T31)</f>
        <v>213496200</v>
      </c>
      <c r="F13" s="143">
        <f t="shared" si="0"/>
        <v>34108558</v>
      </c>
      <c r="G13" s="137">
        <f t="shared" si="1"/>
        <v>0.15976189740145258</v>
      </c>
    </row>
    <row r="14" spans="2:7" x14ac:dyDescent="0.35">
      <c r="B14" s="91" t="s">
        <v>52</v>
      </c>
      <c r="C14" s="143">
        <f>SUM(ANALISIS!J32:J38)</f>
        <v>601544735</v>
      </c>
      <c r="D14" s="143">
        <f>SUM(ANALISIS!O32:O38)</f>
        <v>837011815</v>
      </c>
      <c r="E14" s="143">
        <f>SUM(ANALISIS!T32:T38)</f>
        <v>1799911608</v>
      </c>
      <c r="F14" s="143">
        <f t="shared" si="0"/>
        <v>361355058</v>
      </c>
      <c r="G14" s="137">
        <f t="shared" si="1"/>
        <v>0.20076266878545515</v>
      </c>
    </row>
    <row r="15" spans="2:7" x14ac:dyDescent="0.35">
      <c r="B15" s="91" t="s">
        <v>54</v>
      </c>
      <c r="C15" s="143">
        <f>SUM(ANALISIS!J39)</f>
        <v>390448025</v>
      </c>
      <c r="D15" s="143">
        <f>SUM(ANALISIS!O39)</f>
        <v>571904795</v>
      </c>
      <c r="E15" s="143">
        <f>SUM(ANALISIS!T39)</f>
        <v>1348738380</v>
      </c>
      <c r="F15" s="143">
        <f t="shared" si="0"/>
        <v>386385560</v>
      </c>
      <c r="G15" s="137">
        <f t="shared" si="1"/>
        <v>0.28647925033467203</v>
      </c>
    </row>
    <row r="16" spans="2:7" x14ac:dyDescent="0.35">
      <c r="B16" s="91" t="s">
        <v>56</v>
      </c>
      <c r="C16" s="143">
        <f>SUM(ANALISIS!J40:J43)</f>
        <v>2841709850</v>
      </c>
      <c r="D16" s="143">
        <f>SUM(ANALISIS!O40:O43)</f>
        <v>4169463690</v>
      </c>
      <c r="E16" s="143">
        <f>SUM(ANALISIS!T40:T43)</f>
        <v>8106222744</v>
      </c>
      <c r="F16" s="143">
        <f t="shared" si="0"/>
        <v>1095049204</v>
      </c>
      <c r="G16" s="137">
        <f t="shared" si="1"/>
        <v>0.13508748014733804</v>
      </c>
    </row>
    <row r="17" spans="2:8" x14ac:dyDescent="0.35">
      <c r="B17" s="90" t="s">
        <v>109</v>
      </c>
      <c r="C17" s="205">
        <f>SUM(C5:C16)+SUM(D5:D16)</f>
        <v>21152592603</v>
      </c>
      <c r="D17" s="206"/>
      <c r="E17" s="144">
        <f>SUM(E5:E16)</f>
        <v>25880943288</v>
      </c>
      <c r="F17" s="144">
        <f>E17-C17</f>
        <v>4728350685</v>
      </c>
      <c r="G17" s="138">
        <f>F17/E17</f>
        <v>0.18269622680995382</v>
      </c>
      <c r="H17" s="135">
        <f>F17/E17</f>
        <v>0.18269622680995382</v>
      </c>
    </row>
    <row r="18" spans="2:8" x14ac:dyDescent="0.35">
      <c r="H18" s="135"/>
    </row>
    <row r="19" spans="2:8" x14ac:dyDescent="0.35">
      <c r="E19" s="148" t="s">
        <v>150</v>
      </c>
      <c r="F19" s="148" t="s">
        <v>151</v>
      </c>
    </row>
    <row r="20" spans="2:8" ht="13" x14ac:dyDescent="0.35">
      <c r="E20" s="144">
        <v>875216861</v>
      </c>
      <c r="F20" s="149">
        <f>C17-E20</f>
        <v>20277375742</v>
      </c>
    </row>
    <row r="21" spans="2:8" ht="13" x14ac:dyDescent="0.35">
      <c r="E21" s="146"/>
      <c r="F21" s="145"/>
    </row>
    <row r="22" spans="2:8" hidden="1" x14ac:dyDescent="0.35">
      <c r="B22" s="89" t="s">
        <v>141</v>
      </c>
      <c r="C22" s="133">
        <v>2025</v>
      </c>
      <c r="D22" s="143">
        <v>680977500</v>
      </c>
    </row>
    <row r="23" spans="2:8" hidden="1" x14ac:dyDescent="0.35">
      <c r="B23" s="89" t="s">
        <v>142</v>
      </c>
      <c r="C23" s="133">
        <v>2026</v>
      </c>
      <c r="D23" s="143">
        <v>433776420</v>
      </c>
    </row>
    <row r="24" spans="2:8" hidden="1" x14ac:dyDescent="0.35">
      <c r="B24" s="89" t="s">
        <v>143</v>
      </c>
      <c r="C24" s="133" t="s">
        <v>144</v>
      </c>
      <c r="D24" s="143">
        <v>1336973568</v>
      </c>
    </row>
    <row r="25" spans="2:8" hidden="1" x14ac:dyDescent="0.35"/>
    <row r="26" spans="2:8" hidden="1" x14ac:dyDescent="0.35">
      <c r="B26" s="89" t="s">
        <v>141</v>
      </c>
      <c r="C26" s="133">
        <v>2025</v>
      </c>
      <c r="D26" s="143">
        <f>(326692*21)*5</f>
        <v>34302660</v>
      </c>
    </row>
    <row r="27" spans="2:8" hidden="1" x14ac:dyDescent="0.35">
      <c r="B27" s="89" t="s">
        <v>142</v>
      </c>
      <c r="C27" s="133">
        <v>2026</v>
      </c>
      <c r="D27" s="143">
        <f>(330016*21)*3</f>
        <v>20791008</v>
      </c>
    </row>
    <row r="28" spans="2:8" hidden="1" x14ac:dyDescent="0.35">
      <c r="B28" s="89" t="s">
        <v>143</v>
      </c>
      <c r="D28" s="143">
        <f>(609419*21)*5</f>
        <v>63988995</v>
      </c>
      <c r="E28" s="147">
        <f>D28+D29</f>
        <v>102945738</v>
      </c>
    </row>
    <row r="29" spans="2:8" hidden="1" x14ac:dyDescent="0.35">
      <c r="D29" s="143">
        <f>(618361*21)*3</f>
        <v>38956743</v>
      </c>
    </row>
    <row r="30" spans="2:8" hidden="1" x14ac:dyDescent="0.35"/>
    <row r="31" spans="2:8" hidden="1" x14ac:dyDescent="0.35">
      <c r="B31" s="89" t="s">
        <v>143</v>
      </c>
      <c r="C31" s="133" t="s">
        <v>145</v>
      </c>
      <c r="D31" s="143">
        <f>(1031444*6127)</f>
        <v>6319657388</v>
      </c>
    </row>
    <row r="32" spans="2:8" hidden="1" x14ac:dyDescent="0.35"/>
    <row r="33" hidden="1" x14ac:dyDescent="0.35"/>
    <row r="34" hidden="1" x14ac:dyDescent="0.35"/>
    <row r="35" hidden="1" x14ac:dyDescent="0.35"/>
  </sheetData>
  <mergeCells count="7">
    <mergeCell ref="C3:D3"/>
    <mergeCell ref="C17:D17"/>
    <mergeCell ref="B2:G2"/>
    <mergeCell ref="B3:B4"/>
    <mergeCell ref="E3:E4"/>
    <mergeCell ref="F3:F4"/>
    <mergeCell ref="G3:G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E8C8D-05A6-4A79-85D7-5BCD7A841BDE}">
  <dimension ref="B1:D35"/>
  <sheetViews>
    <sheetView topLeftCell="A3" workbookViewId="0">
      <selection activeCell="E53" sqref="E53"/>
    </sheetView>
  </sheetViews>
  <sheetFormatPr baseColWidth="10" defaultColWidth="11.453125" defaultRowHeight="13" x14ac:dyDescent="0.35"/>
  <cols>
    <col min="1" max="1" width="11.453125" style="163"/>
    <col min="2" max="2" width="16.26953125" style="163" bestFit="1" customWidth="1"/>
    <col min="3" max="3" width="14.7265625" style="163" bestFit="1" customWidth="1"/>
    <col min="4" max="4" width="17.54296875" style="163" bestFit="1" customWidth="1"/>
    <col min="5" max="16384" width="11.453125" style="163"/>
  </cols>
  <sheetData>
    <row r="1" spans="2:4" s="162" customFormat="1" ht="26" x14ac:dyDescent="0.35">
      <c r="B1" s="160" t="s">
        <v>152</v>
      </c>
      <c r="C1" s="161" t="s">
        <v>154</v>
      </c>
      <c r="D1" s="160" t="s">
        <v>153</v>
      </c>
    </row>
    <row r="2" spans="2:4" x14ac:dyDescent="0.35">
      <c r="B2" s="159">
        <v>11300</v>
      </c>
      <c r="C2" s="159">
        <f>4.8%*B2</f>
        <v>542.4</v>
      </c>
      <c r="D2" s="159">
        <f>B2+C2</f>
        <v>11842.4</v>
      </c>
    </row>
    <row r="3" spans="2:4" x14ac:dyDescent="0.35">
      <c r="B3" s="159">
        <v>18200</v>
      </c>
      <c r="C3" s="159">
        <f t="shared" ref="C3:C34" si="0">4.8%*B3</f>
        <v>873.6</v>
      </c>
      <c r="D3" s="159">
        <f t="shared" ref="D3:D34" si="1">B3+C3</f>
        <v>19073.599999999999</v>
      </c>
    </row>
    <row r="4" spans="2:4" x14ac:dyDescent="0.35">
      <c r="B4" s="159">
        <v>16800</v>
      </c>
      <c r="C4" s="159">
        <f t="shared" si="0"/>
        <v>806.4</v>
      </c>
      <c r="D4" s="159">
        <f t="shared" si="1"/>
        <v>17606.400000000001</v>
      </c>
    </row>
    <row r="5" spans="2:4" x14ac:dyDescent="0.35">
      <c r="B5" s="159">
        <v>35500</v>
      </c>
      <c r="C5" s="159">
        <f t="shared" si="0"/>
        <v>1704</v>
      </c>
      <c r="D5" s="159">
        <f t="shared" si="1"/>
        <v>37204</v>
      </c>
    </row>
    <row r="6" spans="2:4" x14ac:dyDescent="0.35">
      <c r="B6" s="159">
        <v>310000</v>
      </c>
      <c r="C6" s="159">
        <f t="shared" si="0"/>
        <v>14880</v>
      </c>
      <c r="D6" s="159">
        <f t="shared" si="1"/>
        <v>324880</v>
      </c>
    </row>
    <row r="7" spans="2:4" x14ac:dyDescent="0.35">
      <c r="B7" s="159">
        <v>108000</v>
      </c>
      <c r="C7" s="159">
        <f t="shared" si="0"/>
        <v>5184</v>
      </c>
      <c r="D7" s="159">
        <f t="shared" si="1"/>
        <v>113184</v>
      </c>
    </row>
    <row r="8" spans="2:4" x14ac:dyDescent="0.35">
      <c r="B8" s="159">
        <v>132000</v>
      </c>
      <c r="C8" s="159">
        <f t="shared" si="0"/>
        <v>6336</v>
      </c>
      <c r="D8" s="159">
        <f t="shared" si="1"/>
        <v>138336</v>
      </c>
    </row>
    <row r="9" spans="2:4" x14ac:dyDescent="0.35">
      <c r="B9" s="159">
        <v>120000</v>
      </c>
      <c r="C9" s="159">
        <f t="shared" si="0"/>
        <v>5760</v>
      </c>
      <c r="D9" s="159">
        <f t="shared" si="1"/>
        <v>125760</v>
      </c>
    </row>
    <row r="10" spans="2:4" x14ac:dyDescent="0.35">
      <c r="B10" s="159">
        <v>300000</v>
      </c>
      <c r="C10" s="159">
        <f t="shared" si="0"/>
        <v>14400</v>
      </c>
      <c r="D10" s="159">
        <f t="shared" si="1"/>
        <v>314400</v>
      </c>
    </row>
    <row r="11" spans="2:4" x14ac:dyDescent="0.35">
      <c r="B11" s="159">
        <v>278000</v>
      </c>
      <c r="C11" s="159">
        <f t="shared" si="0"/>
        <v>13344</v>
      </c>
      <c r="D11" s="159">
        <f t="shared" si="1"/>
        <v>291344</v>
      </c>
    </row>
    <row r="12" spans="2:4" x14ac:dyDescent="0.35">
      <c r="B12" s="159">
        <v>270000</v>
      </c>
      <c r="C12" s="159">
        <f t="shared" si="0"/>
        <v>12960</v>
      </c>
      <c r="D12" s="159">
        <f t="shared" si="1"/>
        <v>282960</v>
      </c>
    </row>
    <row r="13" spans="2:4" x14ac:dyDescent="0.35">
      <c r="B13" s="159">
        <v>285000</v>
      </c>
      <c r="C13" s="159">
        <f t="shared" si="0"/>
        <v>13680</v>
      </c>
      <c r="D13" s="159">
        <f t="shared" si="1"/>
        <v>298680</v>
      </c>
    </row>
    <row r="14" spans="2:4" x14ac:dyDescent="0.35">
      <c r="B14" s="159">
        <v>505000</v>
      </c>
      <c r="C14" s="159">
        <f t="shared" si="0"/>
        <v>24240</v>
      </c>
      <c r="D14" s="159">
        <f t="shared" si="1"/>
        <v>529240</v>
      </c>
    </row>
    <row r="15" spans="2:4" x14ac:dyDescent="0.35">
      <c r="B15" s="159">
        <v>590000</v>
      </c>
      <c r="C15" s="159">
        <f t="shared" si="0"/>
        <v>28320</v>
      </c>
      <c r="D15" s="159">
        <f t="shared" si="1"/>
        <v>618320</v>
      </c>
    </row>
    <row r="16" spans="2:4" x14ac:dyDescent="0.35">
      <c r="B16" s="159">
        <v>830000</v>
      </c>
      <c r="C16" s="159">
        <f t="shared" si="0"/>
        <v>39840</v>
      </c>
      <c r="D16" s="159">
        <f t="shared" si="1"/>
        <v>869840</v>
      </c>
    </row>
    <row r="17" spans="2:4" x14ac:dyDescent="0.35">
      <c r="B17" s="159">
        <v>8250000</v>
      </c>
      <c r="C17" s="159">
        <f t="shared" si="0"/>
        <v>396000</v>
      </c>
      <c r="D17" s="159">
        <f t="shared" si="1"/>
        <v>8646000</v>
      </c>
    </row>
    <row r="18" spans="2:4" x14ac:dyDescent="0.35">
      <c r="B18" s="159">
        <v>6800000</v>
      </c>
      <c r="C18" s="159">
        <f t="shared" si="0"/>
        <v>326400</v>
      </c>
      <c r="D18" s="159">
        <f t="shared" si="1"/>
        <v>7126400</v>
      </c>
    </row>
    <row r="19" spans="2:4" x14ac:dyDescent="0.35">
      <c r="B19" s="159">
        <v>5230000</v>
      </c>
      <c r="C19" s="159">
        <f t="shared" si="0"/>
        <v>251040</v>
      </c>
      <c r="D19" s="159">
        <f t="shared" si="1"/>
        <v>5481040</v>
      </c>
    </row>
    <row r="20" spans="2:4" x14ac:dyDescent="0.35">
      <c r="B20" s="159">
        <v>5230000</v>
      </c>
      <c r="C20" s="159">
        <f t="shared" si="0"/>
        <v>251040</v>
      </c>
      <c r="D20" s="159">
        <f t="shared" si="1"/>
        <v>5481040</v>
      </c>
    </row>
    <row r="21" spans="2:4" x14ac:dyDescent="0.35">
      <c r="B21" s="159">
        <v>5450000</v>
      </c>
      <c r="C21" s="159">
        <f t="shared" si="0"/>
        <v>261600</v>
      </c>
      <c r="D21" s="159">
        <f t="shared" si="1"/>
        <v>5711600</v>
      </c>
    </row>
    <row r="22" spans="2:4" x14ac:dyDescent="0.35">
      <c r="B22" s="159">
        <v>5020000</v>
      </c>
      <c r="C22" s="159">
        <f t="shared" si="0"/>
        <v>240960</v>
      </c>
      <c r="D22" s="159">
        <f t="shared" si="1"/>
        <v>5260960</v>
      </c>
    </row>
    <row r="23" spans="2:4" x14ac:dyDescent="0.35">
      <c r="B23" s="159">
        <v>5020000</v>
      </c>
      <c r="C23" s="159">
        <f t="shared" si="0"/>
        <v>240960</v>
      </c>
      <c r="D23" s="159">
        <f t="shared" si="1"/>
        <v>5260960</v>
      </c>
    </row>
    <row r="24" spans="2:4" x14ac:dyDescent="0.35">
      <c r="B24" s="159">
        <v>7020000</v>
      </c>
      <c r="C24" s="159">
        <f t="shared" si="0"/>
        <v>336960</v>
      </c>
      <c r="D24" s="159">
        <f t="shared" si="1"/>
        <v>7356960</v>
      </c>
    </row>
    <row r="25" spans="2:4" x14ac:dyDescent="0.35">
      <c r="B25" s="159">
        <v>5200000</v>
      </c>
      <c r="C25" s="159">
        <f t="shared" si="0"/>
        <v>249600</v>
      </c>
      <c r="D25" s="159">
        <f t="shared" si="1"/>
        <v>5449600</v>
      </c>
    </row>
    <row r="26" spans="2:4" x14ac:dyDescent="0.35">
      <c r="B26" s="159">
        <v>210</v>
      </c>
      <c r="C26" s="159">
        <f>4.8%*B26</f>
        <v>10.08</v>
      </c>
      <c r="D26" s="159">
        <f>B26+C26</f>
        <v>220.08</v>
      </c>
    </row>
    <row r="27" spans="2:4" x14ac:dyDescent="0.35">
      <c r="B27" s="159">
        <v>255</v>
      </c>
      <c r="C27" s="159">
        <f t="shared" si="0"/>
        <v>12.24</v>
      </c>
      <c r="D27" s="159">
        <f t="shared" si="1"/>
        <v>267.24</v>
      </c>
    </row>
    <row r="28" spans="2:4" x14ac:dyDescent="0.35">
      <c r="B28" s="159">
        <v>272</v>
      </c>
      <c r="C28" s="159">
        <f>4.8%*B28</f>
        <v>13.056000000000001</v>
      </c>
      <c r="D28" s="159">
        <f>B28+C28</f>
        <v>285.05599999999998</v>
      </c>
    </row>
    <row r="29" spans="2:4" x14ac:dyDescent="0.35">
      <c r="B29" s="159">
        <v>145</v>
      </c>
      <c r="C29" s="159">
        <f t="shared" si="0"/>
        <v>6.96</v>
      </c>
      <c r="D29" s="159">
        <f t="shared" si="1"/>
        <v>151.96</v>
      </c>
    </row>
    <row r="30" spans="2:4" x14ac:dyDescent="0.35">
      <c r="B30" s="159">
        <v>410</v>
      </c>
      <c r="C30" s="159">
        <f>4.8%*B30</f>
        <v>19.68</v>
      </c>
      <c r="D30" s="159">
        <f>B30+C30</f>
        <v>429.68</v>
      </c>
    </row>
    <row r="31" spans="2:4" x14ac:dyDescent="0.35">
      <c r="B31" s="159">
        <v>2185</v>
      </c>
      <c r="C31" s="159">
        <f t="shared" si="0"/>
        <v>104.88</v>
      </c>
      <c r="D31" s="159">
        <f t="shared" si="1"/>
        <v>2289.88</v>
      </c>
    </row>
    <row r="32" spans="2:4" x14ac:dyDescent="0.35">
      <c r="B32" s="159">
        <v>3040</v>
      </c>
      <c r="C32" s="159">
        <f t="shared" si="0"/>
        <v>145.92000000000002</v>
      </c>
      <c r="D32" s="159">
        <f t="shared" si="1"/>
        <v>3185.92</v>
      </c>
    </row>
    <row r="33" spans="2:4" x14ac:dyDescent="0.35">
      <c r="B33" s="159">
        <v>2855</v>
      </c>
      <c r="C33" s="159">
        <f t="shared" si="0"/>
        <v>137.04</v>
      </c>
      <c r="D33" s="159">
        <f t="shared" si="1"/>
        <v>2992.04</v>
      </c>
    </row>
    <row r="34" spans="2:4" x14ac:dyDescent="0.35">
      <c r="B34" s="159">
        <v>9010</v>
      </c>
      <c r="C34" s="159">
        <f t="shared" si="0"/>
        <v>432.48</v>
      </c>
      <c r="D34" s="159">
        <f t="shared" si="1"/>
        <v>9442.48</v>
      </c>
    </row>
    <row r="35" spans="2:4" x14ac:dyDescent="0.35">
      <c r="B35" s="156">
        <f>SUM(B2:B34)</f>
        <v>57048182</v>
      </c>
      <c r="D35" s="156">
        <f>SUM(D2:D34)</f>
        <v>59786494.736000001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61FF2-B7B0-4E2A-A835-EA12B9B789AB}">
  <sheetPr>
    <pageSetUpPr fitToPage="1"/>
  </sheetPr>
  <dimension ref="A1:O54"/>
  <sheetViews>
    <sheetView topLeftCell="E40" zoomScale="55" zoomScaleNormal="55" workbookViewId="0">
      <selection activeCell="P49" sqref="P49"/>
    </sheetView>
  </sheetViews>
  <sheetFormatPr baseColWidth="10" defaultRowHeight="14.5" x14ac:dyDescent="0.35"/>
  <cols>
    <col min="1" max="1" width="6.81640625" style="4" customWidth="1"/>
    <col min="2" max="2" width="35.54296875" style="4" customWidth="1"/>
    <col min="3" max="3" width="68.1796875" style="4" customWidth="1"/>
    <col min="4" max="4" width="20" style="4" customWidth="1"/>
    <col min="5" max="5" width="13.7265625" style="4" customWidth="1"/>
    <col min="6" max="7" width="21.7265625" style="4" customWidth="1"/>
    <col min="8" max="9" width="21" style="4" customWidth="1"/>
    <col min="10" max="10" width="28.26953125" style="4" customWidth="1"/>
    <col min="11" max="11" width="26.26953125" customWidth="1"/>
    <col min="12" max="12" width="24.81640625" customWidth="1"/>
    <col min="13" max="13" width="10.81640625" customWidth="1"/>
    <col min="14" max="14" width="23.54296875" bestFit="1" customWidth="1"/>
  </cols>
  <sheetData>
    <row r="1" spans="1:15" s="4" customFormat="1" ht="96.75" customHeight="1" x14ac:dyDescent="0.35">
      <c r="A1" s="231" t="s">
        <v>10</v>
      </c>
      <c r="B1" s="232"/>
      <c r="C1" s="232"/>
      <c r="D1" s="232"/>
      <c r="E1" s="232"/>
      <c r="F1" s="232"/>
      <c r="G1" s="232"/>
      <c r="H1" s="232"/>
      <c r="I1" s="232"/>
      <c r="J1" s="232"/>
      <c r="K1" s="3"/>
      <c r="L1" s="3"/>
      <c r="M1" s="3"/>
    </row>
    <row r="2" spans="1:15" s="4" customFormat="1" ht="15" customHeight="1" x14ac:dyDescent="0.35">
      <c r="A2" s="233" t="s">
        <v>80</v>
      </c>
      <c r="B2" s="234"/>
      <c r="C2" s="234"/>
      <c r="D2" s="234"/>
      <c r="E2" s="234"/>
      <c r="F2" s="234"/>
      <c r="G2" s="234"/>
      <c r="H2" s="234"/>
      <c r="I2" s="234"/>
      <c r="J2" s="234"/>
      <c r="K2" s="3"/>
      <c r="L2" s="3"/>
      <c r="M2" s="3"/>
    </row>
    <row r="3" spans="1:15" s="4" customFormat="1" ht="43.5" customHeight="1" x14ac:dyDescent="0.35">
      <c r="A3" s="235" t="s">
        <v>1</v>
      </c>
      <c r="B3" s="236"/>
      <c r="C3" s="237" t="s">
        <v>61</v>
      </c>
      <c r="D3" s="237"/>
      <c r="E3" s="237"/>
      <c r="F3" s="237"/>
      <c r="G3" s="237"/>
      <c r="H3" s="237"/>
      <c r="I3" s="237"/>
      <c r="J3" s="238"/>
      <c r="K3" s="3"/>
      <c r="L3" s="3"/>
      <c r="M3" s="3"/>
    </row>
    <row r="4" spans="1:15" s="4" customFormat="1" ht="43.5" customHeight="1" x14ac:dyDescent="0.35">
      <c r="A4" s="223" t="s">
        <v>62</v>
      </c>
      <c r="B4" s="224"/>
      <c r="C4" s="225"/>
      <c r="D4" s="225"/>
      <c r="E4" s="225"/>
      <c r="F4" s="225"/>
      <c r="G4" s="225"/>
      <c r="H4" s="225"/>
      <c r="I4" s="225"/>
      <c r="J4" s="226"/>
      <c r="K4" s="3"/>
      <c r="L4" s="3"/>
      <c r="M4" s="3"/>
    </row>
    <row r="5" spans="1:15" s="4" customFormat="1" ht="43.5" customHeight="1" x14ac:dyDescent="0.35">
      <c r="A5" s="223" t="s">
        <v>63</v>
      </c>
      <c r="B5" s="224"/>
      <c r="C5" s="225"/>
      <c r="D5" s="225"/>
      <c r="E5" s="225"/>
      <c r="F5" s="225"/>
      <c r="G5" s="225"/>
      <c r="H5" s="225"/>
      <c r="I5" s="225"/>
      <c r="J5" s="226"/>
      <c r="K5" s="3"/>
      <c r="L5" s="3"/>
      <c r="M5" s="3"/>
    </row>
    <row r="6" spans="1:15" s="4" customFormat="1" ht="43.5" customHeight="1" x14ac:dyDescent="0.35">
      <c r="A6" s="223" t="s">
        <v>64</v>
      </c>
      <c r="B6" s="224"/>
      <c r="C6" s="225"/>
      <c r="D6" s="225"/>
      <c r="E6" s="225"/>
      <c r="F6" s="225"/>
      <c r="G6" s="225"/>
      <c r="H6" s="225"/>
      <c r="I6" s="225"/>
      <c r="J6" s="226"/>
      <c r="K6" s="3"/>
      <c r="L6" s="3"/>
      <c r="M6" s="3"/>
    </row>
    <row r="7" spans="1:15" s="4" customFormat="1" ht="43.5" customHeight="1" thickBot="1" x14ac:dyDescent="0.4">
      <c r="A7" s="227" t="s">
        <v>65</v>
      </c>
      <c r="B7" s="228"/>
      <c r="C7" s="229"/>
      <c r="D7" s="229"/>
      <c r="E7" s="229"/>
      <c r="F7" s="229"/>
      <c r="G7" s="229"/>
      <c r="H7" s="229"/>
      <c r="I7" s="229"/>
      <c r="J7" s="230"/>
      <c r="K7" s="3"/>
      <c r="L7" s="3"/>
      <c r="M7" s="3"/>
    </row>
    <row r="8" spans="1:15" s="4" customFormat="1" ht="219" customHeight="1" x14ac:dyDescent="0.35">
      <c r="A8" s="217" t="s">
        <v>11</v>
      </c>
      <c r="B8" s="218"/>
      <c r="C8" s="218"/>
      <c r="D8" s="218"/>
      <c r="E8" s="218"/>
      <c r="F8" s="218"/>
      <c r="G8" s="218"/>
      <c r="H8" s="218"/>
      <c r="I8" s="218"/>
      <c r="J8" s="219"/>
      <c r="K8" s="3"/>
      <c r="L8" s="3"/>
      <c r="M8" s="3"/>
    </row>
    <row r="9" spans="1:15" ht="10.5" customHeight="1" x14ac:dyDescent="0.35">
      <c r="A9" s="6"/>
      <c r="B9" s="3"/>
      <c r="C9" s="3"/>
      <c r="D9" s="3"/>
      <c r="E9" s="3"/>
      <c r="F9" s="3"/>
      <c r="G9" s="3"/>
      <c r="H9" s="3"/>
      <c r="I9" s="3"/>
      <c r="J9" s="7"/>
      <c r="K9" s="5"/>
      <c r="L9" s="5"/>
      <c r="M9" s="5"/>
    </row>
    <row r="10" spans="1:15" ht="26.15" customHeight="1" x14ac:dyDescent="0.35">
      <c r="A10" s="3"/>
      <c r="B10" s="3"/>
      <c r="C10" s="3"/>
      <c r="D10" s="3"/>
      <c r="E10" s="3"/>
      <c r="F10" s="3"/>
      <c r="G10" s="3"/>
      <c r="H10" s="3"/>
      <c r="I10" s="3"/>
      <c r="J10" s="3"/>
      <c r="K10" s="5"/>
      <c r="L10" s="5"/>
      <c r="M10" s="5"/>
    </row>
    <row r="11" spans="1:15" ht="26.15" customHeight="1" x14ac:dyDescent="0.35">
      <c r="A11" s="3"/>
      <c r="B11" s="3"/>
      <c r="C11" s="3"/>
      <c r="D11" s="3"/>
      <c r="E11" s="3"/>
      <c r="F11" s="3"/>
      <c r="G11" s="150"/>
      <c r="H11" s="3"/>
      <c r="I11" s="3"/>
      <c r="J11" s="3"/>
      <c r="K11" s="5"/>
      <c r="L11" s="5"/>
      <c r="M11" s="5"/>
    </row>
    <row r="12" spans="1:15" ht="84.75" customHeight="1" x14ac:dyDescent="0.35">
      <c r="A12" s="8" t="s">
        <v>3</v>
      </c>
      <c r="B12" s="8" t="s">
        <v>12</v>
      </c>
      <c r="C12" s="8" t="s">
        <v>3</v>
      </c>
      <c r="D12" s="8" t="s">
        <v>4</v>
      </c>
      <c r="E12" s="8" t="s">
        <v>13</v>
      </c>
      <c r="F12" s="32" t="s">
        <v>14</v>
      </c>
      <c r="G12" s="26" t="s">
        <v>8</v>
      </c>
      <c r="H12" s="33" t="s">
        <v>5</v>
      </c>
      <c r="I12" s="8" t="s">
        <v>6</v>
      </c>
      <c r="J12" s="9" t="s">
        <v>7</v>
      </c>
      <c r="K12" s="35" t="s">
        <v>82</v>
      </c>
      <c r="L12" s="35" t="s">
        <v>83</v>
      </c>
      <c r="M12" s="5"/>
    </row>
    <row r="13" spans="1:15" ht="39" x14ac:dyDescent="0.35">
      <c r="A13" s="15">
        <v>1</v>
      </c>
      <c r="B13" s="16" t="s">
        <v>15</v>
      </c>
      <c r="C13" s="252" t="s">
        <v>16</v>
      </c>
      <c r="D13" s="253" t="s">
        <v>17</v>
      </c>
      <c r="E13" s="254">
        <f>854</f>
        <v>854</v>
      </c>
      <c r="F13" s="255">
        <v>5</v>
      </c>
      <c r="G13" s="251">
        <v>11300</v>
      </c>
      <c r="H13" s="256">
        <v>0</v>
      </c>
      <c r="I13" s="257">
        <f>ROUND((G13+H13),0)</f>
        <v>11300</v>
      </c>
      <c r="J13" s="257">
        <f>ROUND(I13*E13*F13,0)</f>
        <v>48251000</v>
      </c>
      <c r="K13" s="36">
        <f>+E13*G13*F13</f>
        <v>48251000</v>
      </c>
      <c r="L13" s="36">
        <f>+E13*F13*H13</f>
        <v>0</v>
      </c>
      <c r="M13" s="5"/>
      <c r="N13" s="245"/>
      <c r="O13" s="246"/>
    </row>
    <row r="14" spans="1:15" ht="39" x14ac:dyDescent="0.35">
      <c r="A14" s="15">
        <v>2</v>
      </c>
      <c r="B14" s="16" t="s">
        <v>15</v>
      </c>
      <c r="C14" s="252" t="s">
        <v>18</v>
      </c>
      <c r="D14" s="253" t="s">
        <v>17</v>
      </c>
      <c r="E14" s="254">
        <f>1547</f>
        <v>1547</v>
      </c>
      <c r="F14" s="255">
        <v>5</v>
      </c>
      <c r="G14" s="251">
        <v>18200</v>
      </c>
      <c r="H14" s="256">
        <v>0</v>
      </c>
      <c r="I14" s="257">
        <f t="shared" ref="I14:I48" si="0">ROUND((G14+H14),0)</f>
        <v>18200</v>
      </c>
      <c r="J14" s="257">
        <f t="shared" ref="J14:J44" si="1">ROUND(I14*E14*F14,0)</f>
        <v>140777000</v>
      </c>
      <c r="K14" s="36">
        <f t="shared" ref="K14:K48" si="2">+E14*G14*F14</f>
        <v>140777000</v>
      </c>
      <c r="L14" s="36">
        <f t="shared" ref="L14:L48" si="3">+E14*F14*H14</f>
        <v>0</v>
      </c>
      <c r="M14" s="5"/>
      <c r="N14" s="245"/>
      <c r="O14" s="246"/>
    </row>
    <row r="15" spans="1:15" ht="39" x14ac:dyDescent="0.35">
      <c r="A15" s="15">
        <v>3</v>
      </c>
      <c r="B15" s="16" t="s">
        <v>15</v>
      </c>
      <c r="C15" s="252" t="s">
        <v>19</v>
      </c>
      <c r="D15" s="253" t="s">
        <v>17</v>
      </c>
      <c r="E15" s="254">
        <v>107</v>
      </c>
      <c r="F15" s="255">
        <v>5</v>
      </c>
      <c r="G15" s="251">
        <v>16800</v>
      </c>
      <c r="H15" s="256">
        <v>0</v>
      </c>
      <c r="I15" s="257">
        <f t="shared" si="0"/>
        <v>16800</v>
      </c>
      <c r="J15" s="257">
        <f t="shared" si="1"/>
        <v>8988000</v>
      </c>
      <c r="K15" s="36">
        <f t="shared" si="2"/>
        <v>8988000</v>
      </c>
      <c r="L15" s="36">
        <f t="shared" si="3"/>
        <v>0</v>
      </c>
      <c r="M15" s="5"/>
      <c r="N15" s="245"/>
      <c r="O15" s="246"/>
    </row>
    <row r="16" spans="1:15" ht="39" x14ac:dyDescent="0.35">
      <c r="A16" s="15">
        <v>4</v>
      </c>
      <c r="B16" s="16" t="s">
        <v>15</v>
      </c>
      <c r="C16" s="252" t="s">
        <v>20</v>
      </c>
      <c r="D16" s="253" t="s">
        <v>17</v>
      </c>
      <c r="E16" s="254">
        <v>160</v>
      </c>
      <c r="F16" s="255">
        <v>5</v>
      </c>
      <c r="G16" s="251">
        <v>35500</v>
      </c>
      <c r="H16" s="256">
        <v>0</v>
      </c>
      <c r="I16" s="257">
        <f t="shared" si="0"/>
        <v>35500</v>
      </c>
      <c r="J16" s="257">
        <f t="shared" si="1"/>
        <v>28400000</v>
      </c>
      <c r="K16" s="36">
        <f t="shared" si="2"/>
        <v>28400000</v>
      </c>
      <c r="L16" s="36">
        <f t="shared" si="3"/>
        <v>0</v>
      </c>
      <c r="M16" s="5"/>
      <c r="N16" s="245"/>
      <c r="O16" s="246"/>
    </row>
    <row r="17" spans="1:15" ht="39" x14ac:dyDescent="0.35">
      <c r="A17" s="15">
        <v>5</v>
      </c>
      <c r="B17" s="16" t="s">
        <v>15</v>
      </c>
      <c r="C17" s="252" t="s">
        <v>21</v>
      </c>
      <c r="D17" s="253" t="s">
        <v>17</v>
      </c>
      <c r="E17" s="254">
        <v>4</v>
      </c>
      <c r="F17" s="255">
        <v>5</v>
      </c>
      <c r="G17" s="251">
        <v>310000</v>
      </c>
      <c r="H17" s="256">
        <v>0</v>
      </c>
      <c r="I17" s="257">
        <f t="shared" si="0"/>
        <v>310000</v>
      </c>
      <c r="J17" s="257">
        <f t="shared" si="1"/>
        <v>6200000</v>
      </c>
      <c r="K17" s="36">
        <f t="shared" si="2"/>
        <v>6200000</v>
      </c>
      <c r="L17" s="36">
        <f t="shared" si="3"/>
        <v>0</v>
      </c>
      <c r="M17" s="5"/>
      <c r="N17" s="245"/>
      <c r="O17" s="246"/>
    </row>
    <row r="18" spans="1:15" ht="52" x14ac:dyDescent="0.35">
      <c r="A18" s="15">
        <v>6</v>
      </c>
      <c r="B18" s="16" t="s">
        <v>22</v>
      </c>
      <c r="C18" s="252" t="s">
        <v>23</v>
      </c>
      <c r="D18" s="253" t="s">
        <v>24</v>
      </c>
      <c r="E18" s="258">
        <f>144</f>
        <v>144</v>
      </c>
      <c r="F18" s="259">
        <v>5</v>
      </c>
      <c r="G18" s="251">
        <v>108000</v>
      </c>
      <c r="H18" s="256">
        <v>0</v>
      </c>
      <c r="I18" s="257">
        <f t="shared" si="0"/>
        <v>108000</v>
      </c>
      <c r="J18" s="257">
        <f t="shared" si="1"/>
        <v>77760000</v>
      </c>
      <c r="K18" s="36">
        <f t="shared" si="2"/>
        <v>77760000</v>
      </c>
      <c r="L18" s="36">
        <f t="shared" si="3"/>
        <v>0</v>
      </c>
      <c r="M18" s="5"/>
      <c r="N18" s="245"/>
      <c r="O18" s="246"/>
    </row>
    <row r="19" spans="1:15" ht="52" x14ac:dyDescent="0.35">
      <c r="A19" s="15">
        <v>7</v>
      </c>
      <c r="B19" s="16" t="s">
        <v>22</v>
      </c>
      <c r="C19" s="252" t="s">
        <v>25</v>
      </c>
      <c r="D19" s="253" t="s">
        <v>24</v>
      </c>
      <c r="E19" s="258">
        <f>474+80</f>
        <v>554</v>
      </c>
      <c r="F19" s="259">
        <v>5</v>
      </c>
      <c r="G19" s="251">
        <v>132000</v>
      </c>
      <c r="H19" s="256">
        <v>0</v>
      </c>
      <c r="I19" s="257">
        <f t="shared" si="0"/>
        <v>132000</v>
      </c>
      <c r="J19" s="257">
        <f t="shared" si="1"/>
        <v>365640000</v>
      </c>
      <c r="K19" s="36">
        <f t="shared" si="2"/>
        <v>365640000</v>
      </c>
      <c r="L19" s="36">
        <f t="shared" si="3"/>
        <v>0</v>
      </c>
      <c r="M19" s="5"/>
      <c r="N19" s="245"/>
      <c r="O19" s="246"/>
    </row>
    <row r="20" spans="1:15" ht="52" x14ac:dyDescent="0.35">
      <c r="A20" s="15">
        <v>8</v>
      </c>
      <c r="B20" s="16" t="s">
        <v>22</v>
      </c>
      <c r="C20" s="252" t="s">
        <v>26</v>
      </c>
      <c r="D20" s="253" t="s">
        <v>24</v>
      </c>
      <c r="E20" s="258">
        <f>22</f>
        <v>22</v>
      </c>
      <c r="F20" s="259">
        <v>5</v>
      </c>
      <c r="G20" s="251">
        <v>120000</v>
      </c>
      <c r="H20" s="256">
        <v>0</v>
      </c>
      <c r="I20" s="257">
        <f t="shared" si="0"/>
        <v>120000</v>
      </c>
      <c r="J20" s="257">
        <f t="shared" si="1"/>
        <v>13200000</v>
      </c>
      <c r="K20" s="36">
        <f t="shared" si="2"/>
        <v>13200000</v>
      </c>
      <c r="L20" s="36">
        <f t="shared" si="3"/>
        <v>0</v>
      </c>
      <c r="M20" s="5"/>
      <c r="N20" s="245"/>
      <c r="O20" s="246"/>
    </row>
    <row r="21" spans="1:15" ht="52" x14ac:dyDescent="0.35">
      <c r="A21" s="15">
        <v>9</v>
      </c>
      <c r="B21" s="16" t="s">
        <v>22</v>
      </c>
      <c r="C21" s="252" t="s">
        <v>27</v>
      </c>
      <c r="D21" s="253" t="s">
        <v>24</v>
      </c>
      <c r="E21" s="258">
        <v>79</v>
      </c>
      <c r="F21" s="259">
        <v>5</v>
      </c>
      <c r="G21" s="251">
        <v>300000</v>
      </c>
      <c r="H21" s="256">
        <v>0</v>
      </c>
      <c r="I21" s="257">
        <f t="shared" si="0"/>
        <v>300000</v>
      </c>
      <c r="J21" s="257">
        <f t="shared" si="1"/>
        <v>118500000</v>
      </c>
      <c r="K21" s="36">
        <f t="shared" si="2"/>
        <v>118500000</v>
      </c>
      <c r="L21" s="36">
        <f t="shared" si="3"/>
        <v>0</v>
      </c>
      <c r="M21" s="5"/>
      <c r="N21" s="245"/>
      <c r="O21" s="246"/>
    </row>
    <row r="22" spans="1:15" ht="39" x14ac:dyDescent="0.35">
      <c r="A22" s="15">
        <v>10</v>
      </c>
      <c r="B22" s="16" t="s">
        <v>28</v>
      </c>
      <c r="C22" s="252" t="s">
        <v>29</v>
      </c>
      <c r="D22" s="253" t="s">
        <v>30</v>
      </c>
      <c r="E22" s="260">
        <v>12</v>
      </c>
      <c r="F22" s="25">
        <v>5</v>
      </c>
      <c r="G22" s="251">
        <v>278000</v>
      </c>
      <c r="H22" s="256">
        <v>0</v>
      </c>
      <c r="I22" s="257">
        <f t="shared" si="0"/>
        <v>278000</v>
      </c>
      <c r="J22" s="257">
        <f t="shared" si="1"/>
        <v>16680000</v>
      </c>
      <c r="K22" s="36">
        <f t="shared" si="2"/>
        <v>16680000</v>
      </c>
      <c r="L22" s="36">
        <f t="shared" si="3"/>
        <v>0</v>
      </c>
      <c r="M22" s="5"/>
      <c r="N22" s="245"/>
      <c r="O22" s="246"/>
    </row>
    <row r="23" spans="1:15" ht="39" x14ac:dyDescent="0.35">
      <c r="A23" s="15">
        <v>11</v>
      </c>
      <c r="B23" s="16" t="s">
        <v>28</v>
      </c>
      <c r="C23" s="252" t="s">
        <v>31</v>
      </c>
      <c r="D23" s="253" t="s">
        <v>30</v>
      </c>
      <c r="E23" s="260">
        <v>1</v>
      </c>
      <c r="F23" s="25">
        <v>5</v>
      </c>
      <c r="G23" s="251">
        <v>270000</v>
      </c>
      <c r="H23" s="256">
        <v>0</v>
      </c>
      <c r="I23" s="257">
        <f t="shared" si="0"/>
        <v>270000</v>
      </c>
      <c r="J23" s="257">
        <f t="shared" si="1"/>
        <v>1350000</v>
      </c>
      <c r="K23" s="36">
        <f t="shared" si="2"/>
        <v>1350000</v>
      </c>
      <c r="L23" s="36">
        <f t="shared" si="3"/>
        <v>0</v>
      </c>
      <c r="M23" s="5"/>
      <c r="N23" s="245"/>
      <c r="O23" s="246"/>
    </row>
    <row r="24" spans="1:15" ht="39" x14ac:dyDescent="0.35">
      <c r="A24" s="15">
        <v>12</v>
      </c>
      <c r="B24" s="16" t="s">
        <v>28</v>
      </c>
      <c r="C24" s="252" t="s">
        <v>32</v>
      </c>
      <c r="D24" s="253" t="s">
        <v>30</v>
      </c>
      <c r="E24" s="260">
        <v>1</v>
      </c>
      <c r="F24" s="25">
        <v>5</v>
      </c>
      <c r="G24" s="251">
        <v>285000</v>
      </c>
      <c r="H24" s="256">
        <v>0</v>
      </c>
      <c r="I24" s="257">
        <f t="shared" si="0"/>
        <v>285000</v>
      </c>
      <c r="J24" s="257">
        <f t="shared" si="1"/>
        <v>1425000</v>
      </c>
      <c r="K24" s="36">
        <f t="shared" si="2"/>
        <v>1425000</v>
      </c>
      <c r="L24" s="36">
        <f t="shared" si="3"/>
        <v>0</v>
      </c>
      <c r="M24" s="5"/>
      <c r="N24" s="245"/>
      <c r="O24" s="246"/>
    </row>
    <row r="25" spans="1:15" ht="39" x14ac:dyDescent="0.35">
      <c r="A25" s="20">
        <v>13</v>
      </c>
      <c r="B25" s="220" t="s">
        <v>33</v>
      </c>
      <c r="C25" s="252" t="s">
        <v>34</v>
      </c>
      <c r="D25" s="253" t="s">
        <v>66</v>
      </c>
      <c r="E25" s="260">
        <v>1</v>
      </c>
      <c r="F25" s="25">
        <v>5</v>
      </c>
      <c r="G25" s="251">
        <v>505000</v>
      </c>
      <c r="H25" s="256">
        <f t="shared" ref="H25:H31" si="4">+ROUND(G25*0.19,0)</f>
        <v>95950</v>
      </c>
      <c r="I25" s="257">
        <f t="shared" si="0"/>
        <v>600950</v>
      </c>
      <c r="J25" s="257">
        <f t="shared" si="1"/>
        <v>3004750</v>
      </c>
      <c r="K25" s="36">
        <f t="shared" si="2"/>
        <v>2525000</v>
      </c>
      <c r="L25" s="36">
        <f t="shared" si="3"/>
        <v>479750</v>
      </c>
      <c r="M25" s="5"/>
      <c r="N25" s="245"/>
      <c r="O25" s="246"/>
    </row>
    <row r="26" spans="1:15" ht="39" x14ac:dyDescent="0.35">
      <c r="A26" s="20">
        <v>14</v>
      </c>
      <c r="B26" s="221"/>
      <c r="C26" s="252" t="s">
        <v>35</v>
      </c>
      <c r="D26" s="253" t="s">
        <v>66</v>
      </c>
      <c r="E26" s="260">
        <v>1</v>
      </c>
      <c r="F26" s="25">
        <v>5</v>
      </c>
      <c r="G26" s="251">
        <v>590000</v>
      </c>
      <c r="H26" s="256">
        <f t="shared" si="4"/>
        <v>112100</v>
      </c>
      <c r="I26" s="257">
        <f t="shared" si="0"/>
        <v>702100</v>
      </c>
      <c r="J26" s="257">
        <f t="shared" si="1"/>
        <v>3510500</v>
      </c>
      <c r="K26" s="36">
        <f t="shared" si="2"/>
        <v>2950000</v>
      </c>
      <c r="L26" s="36">
        <f t="shared" si="3"/>
        <v>560500</v>
      </c>
      <c r="M26" s="5"/>
      <c r="N26" s="245"/>
      <c r="O26" s="246"/>
    </row>
    <row r="27" spans="1:15" ht="39" x14ac:dyDescent="0.35">
      <c r="A27" s="20">
        <v>15</v>
      </c>
      <c r="B27" s="222"/>
      <c r="C27" s="252" t="s">
        <v>36</v>
      </c>
      <c r="D27" s="253" t="s">
        <v>66</v>
      </c>
      <c r="E27" s="260">
        <v>1</v>
      </c>
      <c r="F27" s="25">
        <v>5</v>
      </c>
      <c r="G27" s="251">
        <v>830000</v>
      </c>
      <c r="H27" s="256">
        <f t="shared" si="4"/>
        <v>157700</v>
      </c>
      <c r="I27" s="257">
        <f t="shared" si="0"/>
        <v>987700</v>
      </c>
      <c r="J27" s="257">
        <f t="shared" si="1"/>
        <v>4938500</v>
      </c>
      <c r="K27" s="36">
        <f t="shared" si="2"/>
        <v>4150000</v>
      </c>
      <c r="L27" s="36">
        <f t="shared" si="3"/>
        <v>788500</v>
      </c>
      <c r="M27" s="5"/>
      <c r="N27" s="245"/>
      <c r="O27" s="246"/>
    </row>
    <row r="28" spans="1:15" ht="39" x14ac:dyDescent="0.35">
      <c r="A28" s="220">
        <v>16</v>
      </c>
      <c r="B28" s="220" t="s">
        <v>37</v>
      </c>
      <c r="C28" s="261" t="s">
        <v>38</v>
      </c>
      <c r="D28" s="253" t="s">
        <v>39</v>
      </c>
      <c r="E28" s="260">
        <v>3</v>
      </c>
      <c r="F28" s="25">
        <v>5</v>
      </c>
      <c r="G28" s="251">
        <v>8250000</v>
      </c>
      <c r="H28" s="256">
        <f t="shared" si="4"/>
        <v>1567500</v>
      </c>
      <c r="I28" s="257">
        <f t="shared" si="0"/>
        <v>9817500</v>
      </c>
      <c r="J28" s="257">
        <f t="shared" si="1"/>
        <v>147262500</v>
      </c>
      <c r="K28" s="36">
        <f t="shared" si="2"/>
        <v>123750000</v>
      </c>
      <c r="L28" s="36">
        <f t="shared" si="3"/>
        <v>23512500</v>
      </c>
      <c r="M28" s="5"/>
      <c r="N28" s="245"/>
      <c r="O28" s="246"/>
    </row>
    <row r="29" spans="1:15" ht="39" x14ac:dyDescent="0.35">
      <c r="A29" s="221"/>
      <c r="B29" s="221"/>
      <c r="C29" s="261" t="s">
        <v>40</v>
      </c>
      <c r="D29" s="253" t="s">
        <v>39</v>
      </c>
      <c r="E29" s="260">
        <v>1</v>
      </c>
      <c r="F29" s="25">
        <v>5</v>
      </c>
      <c r="G29" s="251">
        <v>6800000</v>
      </c>
      <c r="H29" s="256">
        <f t="shared" si="4"/>
        <v>1292000</v>
      </c>
      <c r="I29" s="257">
        <f t="shared" si="0"/>
        <v>8092000</v>
      </c>
      <c r="J29" s="257">
        <f t="shared" si="1"/>
        <v>40460000</v>
      </c>
      <c r="K29" s="36">
        <f t="shared" si="2"/>
        <v>34000000</v>
      </c>
      <c r="L29" s="36">
        <f t="shared" si="3"/>
        <v>6460000</v>
      </c>
      <c r="M29" s="5"/>
      <c r="N29" s="245"/>
      <c r="O29" s="246"/>
    </row>
    <row r="30" spans="1:15" ht="39" x14ac:dyDescent="0.35">
      <c r="A30" s="222"/>
      <c r="B30" s="222"/>
      <c r="C30" s="261" t="s">
        <v>77</v>
      </c>
      <c r="D30" s="253" t="s">
        <v>39</v>
      </c>
      <c r="E30" s="260">
        <v>25</v>
      </c>
      <c r="F30" s="25">
        <v>5</v>
      </c>
      <c r="G30" s="251">
        <v>5230000</v>
      </c>
      <c r="H30" s="256">
        <f t="shared" si="4"/>
        <v>993700</v>
      </c>
      <c r="I30" s="257">
        <f t="shared" si="0"/>
        <v>6223700</v>
      </c>
      <c r="J30" s="257">
        <f t="shared" si="1"/>
        <v>777962500</v>
      </c>
      <c r="K30" s="36">
        <f t="shared" si="2"/>
        <v>653750000</v>
      </c>
      <c r="L30" s="36">
        <f t="shared" si="3"/>
        <v>124212500</v>
      </c>
      <c r="M30" s="5"/>
      <c r="N30" s="245"/>
      <c r="O30" s="246"/>
    </row>
    <row r="31" spans="1:15" ht="104" x14ac:dyDescent="0.35">
      <c r="A31" s="15">
        <v>17</v>
      </c>
      <c r="B31" s="16" t="s">
        <v>41</v>
      </c>
      <c r="C31" s="252" t="s">
        <v>78</v>
      </c>
      <c r="D31" s="253" t="s">
        <v>39</v>
      </c>
      <c r="E31" s="19">
        <v>49</v>
      </c>
      <c r="F31" s="25">
        <v>5</v>
      </c>
      <c r="G31" s="251">
        <v>5230000</v>
      </c>
      <c r="H31" s="256">
        <f t="shared" si="4"/>
        <v>993700</v>
      </c>
      <c r="I31" s="257">
        <f t="shared" si="0"/>
        <v>6223700</v>
      </c>
      <c r="J31" s="257">
        <f t="shared" si="1"/>
        <v>1524806500</v>
      </c>
      <c r="K31" s="36">
        <f t="shared" si="2"/>
        <v>1281350000</v>
      </c>
      <c r="L31" s="36">
        <f t="shared" si="3"/>
        <v>243456500</v>
      </c>
      <c r="M31" s="5"/>
      <c r="N31" s="245"/>
      <c r="O31" s="246"/>
    </row>
    <row r="32" spans="1:15" ht="26" x14ac:dyDescent="0.35">
      <c r="A32" s="15">
        <v>18</v>
      </c>
      <c r="B32" s="16" t="s">
        <v>42</v>
      </c>
      <c r="C32" s="252" t="s">
        <v>43</v>
      </c>
      <c r="D32" s="253" t="s">
        <v>44</v>
      </c>
      <c r="E32" s="19">
        <v>5</v>
      </c>
      <c r="F32" s="25">
        <v>5</v>
      </c>
      <c r="G32" s="251">
        <v>5450000</v>
      </c>
      <c r="H32" s="256">
        <v>0</v>
      </c>
      <c r="I32" s="257">
        <f t="shared" si="0"/>
        <v>5450000</v>
      </c>
      <c r="J32" s="257">
        <f t="shared" si="1"/>
        <v>136250000</v>
      </c>
      <c r="K32" s="36">
        <f t="shared" si="2"/>
        <v>136250000</v>
      </c>
      <c r="L32" s="36">
        <f t="shared" si="3"/>
        <v>0</v>
      </c>
      <c r="M32" s="5"/>
      <c r="N32" s="245"/>
      <c r="O32" s="246"/>
    </row>
    <row r="33" spans="1:15" ht="78" x14ac:dyDescent="0.35">
      <c r="A33" s="15">
        <v>19</v>
      </c>
      <c r="B33" s="37" t="s">
        <v>45</v>
      </c>
      <c r="C33" s="261" t="s">
        <v>46</v>
      </c>
      <c r="D33" s="22" t="s">
        <v>47</v>
      </c>
      <c r="E33" s="19">
        <v>41</v>
      </c>
      <c r="F33" s="25">
        <v>5</v>
      </c>
      <c r="G33" s="251">
        <v>5020000</v>
      </c>
      <c r="H33" s="256">
        <f>+ROUND(G33*0.19,0)</f>
        <v>953800</v>
      </c>
      <c r="I33" s="257">
        <f t="shared" si="0"/>
        <v>5973800</v>
      </c>
      <c r="J33" s="257">
        <f t="shared" si="1"/>
        <v>1224629000</v>
      </c>
      <c r="K33" s="36">
        <f t="shared" si="2"/>
        <v>1029100000</v>
      </c>
      <c r="L33" s="36">
        <f t="shared" si="3"/>
        <v>195529000</v>
      </c>
      <c r="M33" s="5"/>
      <c r="N33" s="245"/>
      <c r="O33" s="246"/>
    </row>
    <row r="34" spans="1:15" ht="65" x14ac:dyDescent="0.35">
      <c r="A34" s="15">
        <v>20</v>
      </c>
      <c r="B34" s="37" t="s">
        <v>45</v>
      </c>
      <c r="C34" s="261" t="s">
        <v>48</v>
      </c>
      <c r="D34" s="22" t="s">
        <v>47</v>
      </c>
      <c r="E34" s="19">
        <v>7</v>
      </c>
      <c r="F34" s="25">
        <v>5</v>
      </c>
      <c r="G34" s="251">
        <v>5020000</v>
      </c>
      <c r="H34" s="256">
        <f t="shared" ref="H34:H44" si="5">+ROUND(G34*0.19,0)</f>
        <v>953800</v>
      </c>
      <c r="I34" s="257">
        <f t="shared" si="0"/>
        <v>5973800</v>
      </c>
      <c r="J34" s="257">
        <f t="shared" si="1"/>
        <v>209083000</v>
      </c>
      <c r="K34" s="36">
        <f t="shared" si="2"/>
        <v>175700000</v>
      </c>
      <c r="L34" s="36">
        <f t="shared" si="3"/>
        <v>33383000</v>
      </c>
      <c r="M34" s="5"/>
      <c r="N34" s="245"/>
      <c r="O34" s="246"/>
    </row>
    <row r="35" spans="1:15" ht="26" x14ac:dyDescent="0.35">
      <c r="A35" s="220">
        <v>21</v>
      </c>
      <c r="B35" s="220" t="s">
        <v>49</v>
      </c>
      <c r="C35" s="261" t="s">
        <v>67</v>
      </c>
      <c r="D35" s="22" t="s">
        <v>50</v>
      </c>
      <c r="E35" s="19">
        <v>1</v>
      </c>
      <c r="F35" s="25">
        <v>5</v>
      </c>
      <c r="G35" s="251">
        <v>7020000</v>
      </c>
      <c r="H35" s="256">
        <f t="shared" si="5"/>
        <v>1333800</v>
      </c>
      <c r="I35" s="257">
        <f t="shared" si="0"/>
        <v>8353800</v>
      </c>
      <c r="J35" s="257">
        <f t="shared" si="1"/>
        <v>41769000</v>
      </c>
      <c r="K35" s="36">
        <f t="shared" si="2"/>
        <v>35100000</v>
      </c>
      <c r="L35" s="36">
        <f t="shared" si="3"/>
        <v>6669000</v>
      </c>
      <c r="M35" s="5"/>
      <c r="N35" s="245"/>
      <c r="O35" s="246"/>
    </row>
    <row r="36" spans="1:15" ht="26" x14ac:dyDescent="0.35">
      <c r="A36" s="222"/>
      <c r="B36" s="222"/>
      <c r="C36" s="261" t="s">
        <v>51</v>
      </c>
      <c r="D36" s="22" t="s">
        <v>50</v>
      </c>
      <c r="E36" s="19">
        <v>1</v>
      </c>
      <c r="F36" s="25">
        <v>5</v>
      </c>
      <c r="G36" s="251">
        <v>5200000</v>
      </c>
      <c r="H36" s="256">
        <f t="shared" si="5"/>
        <v>988000</v>
      </c>
      <c r="I36" s="257">
        <f t="shared" si="0"/>
        <v>6188000</v>
      </c>
      <c r="J36" s="257">
        <f t="shared" si="1"/>
        <v>30940000</v>
      </c>
      <c r="K36" s="36">
        <f t="shared" si="2"/>
        <v>26000000</v>
      </c>
      <c r="L36" s="36">
        <f t="shared" si="3"/>
        <v>4940000</v>
      </c>
      <c r="M36" s="5"/>
      <c r="N36" s="245"/>
      <c r="O36" s="246"/>
    </row>
    <row r="37" spans="1:15" ht="26" x14ac:dyDescent="0.35">
      <c r="A37" s="15">
        <v>22</v>
      </c>
      <c r="B37" s="37" t="s">
        <v>52</v>
      </c>
      <c r="C37" s="253" t="s">
        <v>68</v>
      </c>
      <c r="D37" s="253" t="s">
        <v>53</v>
      </c>
      <c r="E37" s="83">
        <v>66866</v>
      </c>
      <c r="F37" s="25">
        <v>5</v>
      </c>
      <c r="G37" s="251">
        <v>255</v>
      </c>
      <c r="H37" s="256">
        <f t="shared" si="5"/>
        <v>48</v>
      </c>
      <c r="I37" s="257">
        <f t="shared" si="0"/>
        <v>303</v>
      </c>
      <c r="J37" s="257">
        <f t="shared" si="1"/>
        <v>101301990</v>
      </c>
      <c r="K37" s="36">
        <f t="shared" si="2"/>
        <v>85254150</v>
      </c>
      <c r="L37" s="36">
        <f t="shared" si="3"/>
        <v>16047840</v>
      </c>
      <c r="M37" s="5"/>
      <c r="N37" s="245"/>
      <c r="O37" s="246"/>
    </row>
    <row r="38" spans="1:15" ht="39" x14ac:dyDescent="0.35">
      <c r="A38" s="15">
        <v>23</v>
      </c>
      <c r="B38" s="37" t="s">
        <v>52</v>
      </c>
      <c r="C38" s="253" t="s">
        <v>69</v>
      </c>
      <c r="D38" s="253" t="s">
        <v>53</v>
      </c>
      <c r="E38" s="83">
        <v>11161</v>
      </c>
      <c r="F38" s="25">
        <v>5</v>
      </c>
      <c r="G38" s="251">
        <v>255</v>
      </c>
      <c r="H38" s="256">
        <f t="shared" si="5"/>
        <v>48</v>
      </c>
      <c r="I38" s="257">
        <f t="shared" si="0"/>
        <v>303</v>
      </c>
      <c r="J38" s="257">
        <f t="shared" si="1"/>
        <v>16908915</v>
      </c>
      <c r="K38" s="36">
        <f t="shared" si="2"/>
        <v>14230275</v>
      </c>
      <c r="L38" s="36">
        <f t="shared" si="3"/>
        <v>2678640</v>
      </c>
      <c r="M38" s="5"/>
      <c r="N38" s="245"/>
      <c r="O38" s="246"/>
    </row>
    <row r="39" spans="1:15" ht="26" x14ac:dyDescent="0.35">
      <c r="A39" s="15">
        <v>24</v>
      </c>
      <c r="B39" s="37" t="s">
        <v>52</v>
      </c>
      <c r="C39" s="253" t="s">
        <v>70</v>
      </c>
      <c r="D39" s="253" t="s">
        <v>55</v>
      </c>
      <c r="E39" s="83">
        <v>65000</v>
      </c>
      <c r="F39" s="25">
        <v>5</v>
      </c>
      <c r="G39" s="251">
        <v>410</v>
      </c>
      <c r="H39" s="256">
        <f t="shared" si="5"/>
        <v>78</v>
      </c>
      <c r="I39" s="257">
        <f t="shared" si="0"/>
        <v>488</v>
      </c>
      <c r="J39" s="257">
        <f t="shared" si="1"/>
        <v>158600000</v>
      </c>
      <c r="K39" s="36">
        <f t="shared" si="2"/>
        <v>133250000</v>
      </c>
      <c r="L39" s="36">
        <f t="shared" si="3"/>
        <v>25350000</v>
      </c>
      <c r="M39" s="5"/>
      <c r="N39" s="245"/>
      <c r="O39" s="246"/>
    </row>
    <row r="40" spans="1:15" ht="26" x14ac:dyDescent="0.35">
      <c r="A40" s="15">
        <v>25</v>
      </c>
      <c r="B40" s="37" t="s">
        <v>52</v>
      </c>
      <c r="C40" s="253" t="s">
        <v>71</v>
      </c>
      <c r="D40" s="253" t="s">
        <v>73</v>
      </c>
      <c r="E40" s="83">
        <v>86659</v>
      </c>
      <c r="F40" s="25">
        <v>5</v>
      </c>
      <c r="G40" s="251">
        <v>272</v>
      </c>
      <c r="H40" s="256">
        <f t="shared" si="5"/>
        <v>52</v>
      </c>
      <c r="I40" s="257">
        <f t="shared" si="0"/>
        <v>324</v>
      </c>
      <c r="J40" s="257">
        <f t="shared" si="1"/>
        <v>140387580</v>
      </c>
      <c r="K40" s="36">
        <f t="shared" si="2"/>
        <v>117856240</v>
      </c>
      <c r="L40" s="36">
        <f t="shared" si="3"/>
        <v>22531340</v>
      </c>
      <c r="M40" s="5"/>
      <c r="N40" s="245"/>
      <c r="O40" s="246"/>
    </row>
    <row r="41" spans="1:15" ht="26" x14ac:dyDescent="0.35">
      <c r="A41" s="15">
        <v>26</v>
      </c>
      <c r="B41" s="37" t="s">
        <v>52</v>
      </c>
      <c r="C41" s="253" t="s">
        <v>72</v>
      </c>
      <c r="D41" s="253" t="s">
        <v>73</v>
      </c>
      <c r="E41" s="83">
        <v>30830</v>
      </c>
      <c r="F41" s="25">
        <v>5</v>
      </c>
      <c r="G41" s="251">
        <v>272</v>
      </c>
      <c r="H41" s="256">
        <f t="shared" si="5"/>
        <v>52</v>
      </c>
      <c r="I41" s="257">
        <f t="shared" si="0"/>
        <v>324</v>
      </c>
      <c r="J41" s="257">
        <f t="shared" si="1"/>
        <v>49944600</v>
      </c>
      <c r="K41" s="36">
        <f t="shared" si="2"/>
        <v>41928800</v>
      </c>
      <c r="L41" s="36">
        <f t="shared" si="3"/>
        <v>8015800</v>
      </c>
      <c r="M41" s="5"/>
      <c r="N41" s="245"/>
      <c r="O41" s="246"/>
    </row>
    <row r="42" spans="1:15" s="5" customFormat="1" ht="26" x14ac:dyDescent="0.35">
      <c r="A42" s="29"/>
      <c r="B42" s="37" t="s">
        <v>52</v>
      </c>
      <c r="C42" s="253" t="s">
        <v>74</v>
      </c>
      <c r="D42" s="253" t="s">
        <v>53</v>
      </c>
      <c r="E42" s="83">
        <v>20124</v>
      </c>
      <c r="F42" s="25">
        <v>5</v>
      </c>
      <c r="G42" s="251">
        <v>210</v>
      </c>
      <c r="H42" s="256">
        <f t="shared" si="5"/>
        <v>40</v>
      </c>
      <c r="I42" s="257">
        <f t="shared" si="0"/>
        <v>250</v>
      </c>
      <c r="J42" s="257">
        <f t="shared" si="1"/>
        <v>25155000</v>
      </c>
      <c r="K42" s="36">
        <f t="shared" si="2"/>
        <v>21130200</v>
      </c>
      <c r="L42" s="36">
        <f t="shared" si="3"/>
        <v>4024800</v>
      </c>
      <c r="N42" s="245"/>
      <c r="O42" s="246"/>
    </row>
    <row r="43" spans="1:15" s="5" customFormat="1" ht="26" x14ac:dyDescent="0.35">
      <c r="A43" s="29"/>
      <c r="B43" s="37" t="s">
        <v>52</v>
      </c>
      <c r="C43" s="253" t="s">
        <v>75</v>
      </c>
      <c r="D43" s="253" t="s">
        <v>76</v>
      </c>
      <c r="E43" s="83">
        <v>360550</v>
      </c>
      <c r="F43" s="25">
        <v>1</v>
      </c>
      <c r="G43" s="251">
        <v>255</v>
      </c>
      <c r="H43" s="256">
        <f t="shared" si="5"/>
        <v>48</v>
      </c>
      <c r="I43" s="257">
        <f t="shared" si="0"/>
        <v>303</v>
      </c>
      <c r="J43" s="257">
        <f t="shared" si="1"/>
        <v>109246650</v>
      </c>
      <c r="K43" s="36">
        <f t="shared" si="2"/>
        <v>91940250</v>
      </c>
      <c r="L43" s="36">
        <f t="shared" si="3"/>
        <v>17306400</v>
      </c>
      <c r="N43" s="245"/>
      <c r="O43" s="246"/>
    </row>
    <row r="44" spans="1:15" s="5" customFormat="1" x14ac:dyDescent="0.35">
      <c r="A44" s="29"/>
      <c r="B44" s="37" t="s">
        <v>54</v>
      </c>
      <c r="C44" s="253" t="s">
        <v>79</v>
      </c>
      <c r="D44" s="253" t="s">
        <v>53</v>
      </c>
      <c r="E44" s="83">
        <v>451385</v>
      </c>
      <c r="F44" s="25">
        <v>5</v>
      </c>
      <c r="G44" s="251">
        <v>145</v>
      </c>
      <c r="H44" s="256">
        <f t="shared" si="5"/>
        <v>28</v>
      </c>
      <c r="I44" s="257">
        <f t="shared" si="0"/>
        <v>173</v>
      </c>
      <c r="J44" s="257">
        <f t="shared" si="1"/>
        <v>390448025</v>
      </c>
      <c r="K44" s="36">
        <f t="shared" si="2"/>
        <v>327254125</v>
      </c>
      <c r="L44" s="36">
        <f t="shared" si="3"/>
        <v>63193900</v>
      </c>
      <c r="N44" s="245"/>
      <c r="O44" s="246"/>
    </row>
    <row r="45" spans="1:15" ht="26" x14ac:dyDescent="0.35">
      <c r="A45" s="15">
        <v>27</v>
      </c>
      <c r="B45" s="16" t="s">
        <v>56</v>
      </c>
      <c r="C45" s="253" t="s">
        <v>57</v>
      </c>
      <c r="D45" s="253" t="s">
        <v>55</v>
      </c>
      <c r="E45" s="83">
        <v>76646</v>
      </c>
      <c r="F45" s="259">
        <v>5</v>
      </c>
      <c r="G45" s="251">
        <v>2185</v>
      </c>
      <c r="H45" s="256">
        <v>0</v>
      </c>
      <c r="I45" s="257">
        <f t="shared" si="0"/>
        <v>2185</v>
      </c>
      <c r="J45" s="257">
        <f>ROUND(I45*E45*F45,0)</f>
        <v>837357550</v>
      </c>
      <c r="K45" s="36">
        <f t="shared" si="2"/>
        <v>837357550</v>
      </c>
      <c r="L45" s="36">
        <f t="shared" si="3"/>
        <v>0</v>
      </c>
      <c r="M45" s="5"/>
      <c r="N45" s="245"/>
      <c r="O45" s="246"/>
    </row>
    <row r="46" spans="1:15" ht="26" x14ac:dyDescent="0.35">
      <c r="A46" s="15">
        <v>28</v>
      </c>
      <c r="B46" s="16" t="s">
        <v>56</v>
      </c>
      <c r="C46" s="253" t="s">
        <v>58</v>
      </c>
      <c r="D46" s="253" t="s">
        <v>55</v>
      </c>
      <c r="E46" s="83">
        <v>109634</v>
      </c>
      <c r="F46" s="259">
        <v>5</v>
      </c>
      <c r="G46" s="251">
        <v>3040</v>
      </c>
      <c r="H46" s="256">
        <v>0</v>
      </c>
      <c r="I46" s="257">
        <f t="shared" si="0"/>
        <v>3040</v>
      </c>
      <c r="J46" s="257">
        <f>ROUND(I46*E46*F46,0)</f>
        <v>1666436800</v>
      </c>
      <c r="K46" s="36">
        <f t="shared" si="2"/>
        <v>1666436800</v>
      </c>
      <c r="L46" s="36">
        <f t="shared" si="3"/>
        <v>0</v>
      </c>
      <c r="M46" s="5"/>
      <c r="N46" s="245"/>
      <c r="O46" s="246"/>
    </row>
    <row r="47" spans="1:15" ht="26" x14ac:dyDescent="0.35">
      <c r="A47" s="15">
        <v>29</v>
      </c>
      <c r="B47" s="16" t="s">
        <v>56</v>
      </c>
      <c r="C47" s="253" t="s">
        <v>59</v>
      </c>
      <c r="D47" s="253" t="s">
        <v>55</v>
      </c>
      <c r="E47" s="83">
        <v>8186</v>
      </c>
      <c r="F47" s="259">
        <v>5</v>
      </c>
      <c r="G47" s="251">
        <v>2855</v>
      </c>
      <c r="H47" s="256">
        <v>0</v>
      </c>
      <c r="I47" s="257">
        <f t="shared" si="0"/>
        <v>2855</v>
      </c>
      <c r="J47" s="257">
        <f>ROUND(I47*E47*F47,0)</f>
        <v>116855150</v>
      </c>
      <c r="K47" s="36">
        <f t="shared" si="2"/>
        <v>116855150</v>
      </c>
      <c r="L47" s="36">
        <f t="shared" si="3"/>
        <v>0</v>
      </c>
      <c r="M47" s="5"/>
      <c r="N47" s="245"/>
      <c r="O47" s="246"/>
    </row>
    <row r="48" spans="1:15" ht="26.5" thickBot="1" x14ac:dyDescent="0.4">
      <c r="A48" s="15">
        <v>30</v>
      </c>
      <c r="B48" s="16" t="s">
        <v>56</v>
      </c>
      <c r="C48" s="253" t="s">
        <v>60</v>
      </c>
      <c r="D48" s="253" t="s">
        <v>55</v>
      </c>
      <c r="E48" s="83">
        <v>4907</v>
      </c>
      <c r="F48" s="259">
        <v>5</v>
      </c>
      <c r="G48" s="251">
        <v>9010</v>
      </c>
      <c r="H48" s="256">
        <v>0</v>
      </c>
      <c r="I48" s="257">
        <f t="shared" si="0"/>
        <v>9010</v>
      </c>
      <c r="J48" s="257">
        <f>ROUND(I48*E48*F48,0)</f>
        <v>221060350</v>
      </c>
      <c r="K48" s="36">
        <f t="shared" si="2"/>
        <v>221060350</v>
      </c>
      <c r="L48" s="36">
        <f t="shared" si="3"/>
        <v>0</v>
      </c>
      <c r="M48" s="5"/>
      <c r="N48" s="245"/>
      <c r="O48" s="246"/>
    </row>
    <row r="49" spans="1:13" ht="35.25" customHeight="1" thickBot="1" x14ac:dyDescent="0.4">
      <c r="A49" s="210" t="s">
        <v>9</v>
      </c>
      <c r="B49" s="211"/>
      <c r="C49" s="211"/>
      <c r="D49" s="211"/>
      <c r="E49" s="211"/>
      <c r="F49" s="211"/>
      <c r="G49" s="212"/>
      <c r="H49" s="211"/>
      <c r="I49" s="213"/>
      <c r="J49" s="158">
        <f>SUM(J13:J48)</f>
        <v>8805489860</v>
      </c>
      <c r="K49" s="14">
        <f t="shared" ref="K49:L49" si="6">SUM(K13:K48)</f>
        <v>8006349890</v>
      </c>
      <c r="L49" s="14">
        <f t="shared" si="6"/>
        <v>799139970</v>
      </c>
      <c r="M49" s="5"/>
    </row>
    <row r="50" spans="1:13" ht="242.25" customHeight="1" thickBot="1" x14ac:dyDescent="0.4">
      <c r="A50" s="214" t="s">
        <v>81</v>
      </c>
      <c r="B50" s="215"/>
      <c r="C50" s="215"/>
      <c r="D50" s="215"/>
      <c r="E50" s="215"/>
      <c r="F50" s="215"/>
      <c r="G50" s="215"/>
      <c r="H50" s="215"/>
      <c r="I50" s="215"/>
      <c r="J50" s="216"/>
      <c r="K50" s="5"/>
      <c r="L50" s="5"/>
      <c r="M50" s="5"/>
    </row>
    <row r="51" spans="1:13" ht="47.25" customHeight="1" thickBot="1" x14ac:dyDescent="0.4">
      <c r="A51" s="6"/>
      <c r="B51" s="13"/>
      <c r="C51" s="3"/>
      <c r="D51" s="3"/>
      <c r="E51" s="3"/>
      <c r="F51" s="3"/>
      <c r="G51" s="3"/>
      <c r="H51" s="3"/>
      <c r="I51" s="3"/>
      <c r="J51" s="7"/>
      <c r="K51" s="5"/>
      <c r="L51" s="5"/>
      <c r="M51" s="5"/>
    </row>
    <row r="52" spans="1:13" ht="15.75" customHeight="1" x14ac:dyDescent="0.35">
      <c r="A52" s="6"/>
      <c r="B52" s="2" t="s">
        <v>2</v>
      </c>
      <c r="C52" s="3"/>
      <c r="D52" s="3"/>
      <c r="E52" s="3"/>
      <c r="F52" s="3"/>
      <c r="G52" s="3"/>
      <c r="H52" s="3"/>
      <c r="I52" s="3"/>
      <c r="J52" s="7"/>
      <c r="K52" s="5"/>
      <c r="L52" s="5"/>
      <c r="M52" s="5"/>
    </row>
    <row r="53" spans="1:13" ht="15" thickBot="1" x14ac:dyDescent="0.4">
      <c r="A53" s="10"/>
      <c r="B53" s="1" t="s">
        <v>0</v>
      </c>
      <c r="C53" s="11"/>
      <c r="D53" s="11"/>
      <c r="E53" s="11"/>
      <c r="F53" s="11"/>
      <c r="G53" s="11"/>
      <c r="H53" s="11"/>
      <c r="I53" s="11"/>
      <c r="J53" s="12"/>
      <c r="K53" s="5"/>
      <c r="L53" s="5"/>
      <c r="M53" s="5"/>
    </row>
    <row r="54" spans="1:13" x14ac:dyDescent="0.35">
      <c r="A54" s="3"/>
      <c r="B54" s="3"/>
      <c r="C54" s="3"/>
      <c r="D54" s="3"/>
      <c r="E54" s="3"/>
      <c r="F54" s="3"/>
      <c r="G54" s="3"/>
      <c r="H54" s="3"/>
      <c r="I54" s="3"/>
      <c r="J54" s="3"/>
      <c r="K54" s="5"/>
    </row>
  </sheetData>
  <autoFilter ref="C12:J12" xr:uid="{724C8AE0-F851-481A-B35A-BD8D0941B70C}"/>
  <mergeCells count="20">
    <mergeCell ref="A1:J1"/>
    <mergeCell ref="A2:J2"/>
    <mergeCell ref="A3:B3"/>
    <mergeCell ref="C3:J3"/>
    <mergeCell ref="A4:B4"/>
    <mergeCell ref="C4:J4"/>
    <mergeCell ref="A5:B5"/>
    <mergeCell ref="C5:J5"/>
    <mergeCell ref="A6:B6"/>
    <mergeCell ref="C6:J6"/>
    <mergeCell ref="A7:B7"/>
    <mergeCell ref="C7:J7"/>
    <mergeCell ref="A49:I49"/>
    <mergeCell ref="A50:J50"/>
    <mergeCell ref="A8:J8"/>
    <mergeCell ref="B25:B27"/>
    <mergeCell ref="A28:A30"/>
    <mergeCell ref="B28:B30"/>
    <mergeCell ref="A35:A36"/>
    <mergeCell ref="B35:B36"/>
  </mergeCells>
  <phoneticPr fontId="14" type="noConversion"/>
  <printOptions horizontalCentered="1"/>
  <pageMargins left="0.70866141732283472" right="0.70866141732283472" top="0.74803149606299213" bottom="0.74803149606299213" header="0.31496062992125984" footer="0.31496062992125984"/>
  <pageSetup scale="5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3A00C-D9D0-46C3-8ABB-BB304C286E6C}">
  <sheetPr>
    <pageSetUpPr fitToPage="1"/>
  </sheetPr>
  <dimension ref="A1:T55"/>
  <sheetViews>
    <sheetView topLeftCell="B9" zoomScale="60" zoomScaleNormal="60" workbookViewId="0">
      <selection activeCell="C13" activeCellId="1" sqref="L49 C13:L49"/>
    </sheetView>
  </sheetViews>
  <sheetFormatPr baseColWidth="10" defaultRowHeight="14.5" x14ac:dyDescent="0.35"/>
  <cols>
    <col min="1" max="1" width="6.81640625" style="4" customWidth="1"/>
    <col min="2" max="2" width="35.54296875" style="4" customWidth="1"/>
    <col min="3" max="3" width="68.1796875" style="4" customWidth="1"/>
    <col min="4" max="4" width="20" style="4" customWidth="1"/>
    <col min="5" max="5" width="16.453125" style="4" customWidth="1"/>
    <col min="6" max="7" width="21.7265625" style="4" customWidth="1"/>
    <col min="8" max="9" width="21" style="4" customWidth="1"/>
    <col min="10" max="10" width="28.26953125" style="4" customWidth="1"/>
    <col min="11" max="11" width="26.26953125" customWidth="1"/>
    <col min="12" max="12" width="24.81640625" customWidth="1"/>
    <col min="13" max="13" width="10.81640625" customWidth="1"/>
    <col min="14" max="14" width="13.08984375" bestFit="1" customWidth="1"/>
    <col min="15" max="15" width="13.54296875" bestFit="1" customWidth="1"/>
    <col min="17" max="17" width="12.54296875" bestFit="1" customWidth="1"/>
    <col min="19" max="19" width="20.54296875" bestFit="1" customWidth="1"/>
  </cols>
  <sheetData>
    <row r="1" spans="1:20" s="4" customFormat="1" ht="96.75" customHeight="1" x14ac:dyDescent="0.35">
      <c r="A1" s="231" t="s">
        <v>10</v>
      </c>
      <c r="B1" s="232"/>
      <c r="C1" s="232"/>
      <c r="D1" s="232"/>
      <c r="E1" s="232"/>
      <c r="F1" s="232"/>
      <c r="G1" s="232"/>
      <c r="H1" s="232"/>
      <c r="I1" s="232"/>
      <c r="J1" s="232"/>
      <c r="K1" s="3"/>
      <c r="L1" s="3"/>
      <c r="M1" s="3"/>
    </row>
    <row r="2" spans="1:20" s="4" customFormat="1" ht="15" customHeight="1" x14ac:dyDescent="0.35">
      <c r="A2" s="233" t="s">
        <v>80</v>
      </c>
      <c r="B2" s="234"/>
      <c r="C2" s="234"/>
      <c r="D2" s="234"/>
      <c r="E2" s="234"/>
      <c r="F2" s="234"/>
      <c r="G2" s="234"/>
      <c r="H2" s="234"/>
      <c r="I2" s="234"/>
      <c r="J2" s="234"/>
      <c r="K2" s="3"/>
      <c r="L2" s="3"/>
      <c r="M2" s="3"/>
    </row>
    <row r="3" spans="1:20" s="4" customFormat="1" ht="43.5" customHeight="1" x14ac:dyDescent="0.35">
      <c r="A3" s="235" t="s">
        <v>1</v>
      </c>
      <c r="B3" s="236"/>
      <c r="C3" s="237" t="s">
        <v>61</v>
      </c>
      <c r="D3" s="237"/>
      <c r="E3" s="237"/>
      <c r="F3" s="237"/>
      <c r="G3" s="237"/>
      <c r="H3" s="237"/>
      <c r="I3" s="237"/>
      <c r="J3" s="238"/>
      <c r="K3" s="3"/>
      <c r="L3" s="3"/>
      <c r="M3" s="3"/>
    </row>
    <row r="4" spans="1:20" s="4" customFormat="1" ht="43.5" customHeight="1" x14ac:dyDescent="0.35">
      <c r="A4" s="223" t="s">
        <v>62</v>
      </c>
      <c r="B4" s="224"/>
      <c r="C4" s="225"/>
      <c r="D4" s="225"/>
      <c r="E4" s="225"/>
      <c r="F4" s="225"/>
      <c r="G4" s="225"/>
      <c r="H4" s="225"/>
      <c r="I4" s="225"/>
      <c r="J4" s="226"/>
      <c r="K4" s="3"/>
      <c r="L4" s="3"/>
      <c r="M4" s="3"/>
    </row>
    <row r="5" spans="1:20" s="4" customFormat="1" ht="43.5" customHeight="1" x14ac:dyDescent="0.35">
      <c r="A5" s="223" t="s">
        <v>63</v>
      </c>
      <c r="B5" s="224"/>
      <c r="C5" s="225"/>
      <c r="D5" s="225"/>
      <c r="E5" s="225"/>
      <c r="F5" s="225"/>
      <c r="G5" s="225"/>
      <c r="H5" s="225"/>
      <c r="I5" s="225"/>
      <c r="J5" s="226"/>
      <c r="K5" s="3"/>
      <c r="L5" s="3"/>
      <c r="M5" s="3"/>
    </row>
    <row r="6" spans="1:20" s="4" customFormat="1" ht="43.5" customHeight="1" x14ac:dyDescent="0.35">
      <c r="A6" s="223" t="s">
        <v>64</v>
      </c>
      <c r="B6" s="224"/>
      <c r="C6" s="225"/>
      <c r="D6" s="225"/>
      <c r="E6" s="225"/>
      <c r="F6" s="225"/>
      <c r="G6" s="225"/>
      <c r="H6" s="225"/>
      <c r="I6" s="225"/>
      <c r="J6" s="226"/>
      <c r="K6" s="3"/>
      <c r="L6" s="3"/>
      <c r="M6" s="3"/>
    </row>
    <row r="7" spans="1:20" s="4" customFormat="1" ht="43.5" customHeight="1" thickBot="1" x14ac:dyDescent="0.4">
      <c r="A7" s="227" t="s">
        <v>65</v>
      </c>
      <c r="B7" s="228"/>
      <c r="C7" s="229"/>
      <c r="D7" s="229"/>
      <c r="E7" s="229"/>
      <c r="F7" s="229"/>
      <c r="G7" s="229"/>
      <c r="H7" s="229"/>
      <c r="I7" s="229"/>
      <c r="J7" s="230"/>
      <c r="K7" s="3"/>
      <c r="L7" s="3"/>
      <c r="M7" s="3"/>
    </row>
    <row r="8" spans="1:20" s="4" customFormat="1" ht="219" customHeight="1" x14ac:dyDescent="0.35">
      <c r="A8" s="217" t="s">
        <v>11</v>
      </c>
      <c r="B8" s="218"/>
      <c r="C8" s="218"/>
      <c r="D8" s="218"/>
      <c r="E8" s="218"/>
      <c r="F8" s="218"/>
      <c r="G8" s="218"/>
      <c r="H8" s="218"/>
      <c r="I8" s="218"/>
      <c r="J8" s="219"/>
      <c r="K8" s="3"/>
      <c r="L8" s="3"/>
      <c r="M8" s="3"/>
    </row>
    <row r="9" spans="1:20" ht="10.5" customHeight="1" x14ac:dyDescent="0.35">
      <c r="A9" s="6"/>
      <c r="B9" s="3"/>
      <c r="C9" s="3"/>
      <c r="D9" s="3"/>
      <c r="E9" s="3"/>
      <c r="F9" s="3"/>
      <c r="G9" s="3"/>
      <c r="H9" s="3"/>
      <c r="I9" s="3"/>
      <c r="J9" s="7"/>
      <c r="K9" s="5"/>
      <c r="L9" s="5"/>
      <c r="M9" s="5"/>
    </row>
    <row r="10" spans="1:20" ht="26.15" customHeight="1" x14ac:dyDescent="0.35">
      <c r="A10" s="3"/>
      <c r="B10" s="3"/>
      <c r="C10" s="3"/>
      <c r="D10" s="3"/>
      <c r="E10" s="3"/>
      <c r="F10" s="3"/>
      <c r="G10" s="3"/>
      <c r="H10" s="3"/>
      <c r="I10" s="3"/>
      <c r="J10" s="3"/>
      <c r="K10" s="5"/>
      <c r="L10" s="5"/>
      <c r="M10" s="5"/>
    </row>
    <row r="11" spans="1:20" ht="26.15" customHeight="1" x14ac:dyDescent="0.35">
      <c r="A11" s="3"/>
      <c r="B11" s="3"/>
      <c r="C11" s="3"/>
      <c r="D11" s="3"/>
      <c r="E11" s="3"/>
      <c r="F11" s="3"/>
      <c r="G11" s="3"/>
      <c r="H11" s="3"/>
      <c r="I11" s="3"/>
      <c r="J11" s="3"/>
      <c r="K11" s="5"/>
      <c r="L11" s="5"/>
      <c r="M11" s="5"/>
    </row>
    <row r="12" spans="1:20" ht="84.75" customHeight="1" x14ac:dyDescent="0.35">
      <c r="A12" s="8" t="s">
        <v>3</v>
      </c>
      <c r="B12" s="8" t="s">
        <v>12</v>
      </c>
      <c r="C12" s="8" t="s">
        <v>3</v>
      </c>
      <c r="D12" s="8" t="s">
        <v>4</v>
      </c>
      <c r="E12" s="8" t="s">
        <v>13</v>
      </c>
      <c r="F12" s="32" t="s">
        <v>14</v>
      </c>
      <c r="G12" s="26" t="s">
        <v>8</v>
      </c>
      <c r="H12" s="33" t="s">
        <v>5</v>
      </c>
      <c r="I12" s="8" t="s">
        <v>6</v>
      </c>
      <c r="J12" s="9" t="s">
        <v>7</v>
      </c>
      <c r="K12" s="151" t="s">
        <v>82</v>
      </c>
      <c r="L12" s="151" t="s">
        <v>83</v>
      </c>
      <c r="M12" s="5"/>
    </row>
    <row r="13" spans="1:20" ht="39" x14ac:dyDescent="0.35">
      <c r="A13" s="15">
        <v>1</v>
      </c>
      <c r="B13" s="16" t="s">
        <v>15</v>
      </c>
      <c r="C13" s="252" t="s">
        <v>16</v>
      </c>
      <c r="D13" s="253" t="s">
        <v>17</v>
      </c>
      <c r="E13" s="254">
        <f>854</f>
        <v>854</v>
      </c>
      <c r="F13" s="255">
        <v>7</v>
      </c>
      <c r="G13" s="251">
        <v>11842.4</v>
      </c>
      <c r="H13" s="256">
        <v>0</v>
      </c>
      <c r="I13" s="257">
        <v>11842</v>
      </c>
      <c r="J13" s="257">
        <f t="shared" ref="J13:J49" si="0">ROUND(I13*E13*F13,0)</f>
        <v>70791476</v>
      </c>
      <c r="K13" s="152">
        <f t="shared" ref="K13:K49" si="1">+E13*G13*F13</f>
        <v>70793867.200000003</v>
      </c>
      <c r="L13" s="152">
        <f t="shared" ref="L13:L49" si="2">+E13*F13*H13</f>
        <v>0</v>
      </c>
      <c r="M13" s="5"/>
      <c r="N13" s="247"/>
      <c r="O13" s="248"/>
      <c r="P13" s="247"/>
      <c r="Q13" s="247"/>
      <c r="R13" s="247"/>
      <c r="S13" s="249"/>
      <c r="T13" s="249"/>
    </row>
    <row r="14" spans="1:20" ht="39" x14ac:dyDescent="0.35">
      <c r="A14" s="15">
        <v>2</v>
      </c>
      <c r="B14" s="16" t="s">
        <v>15</v>
      </c>
      <c r="C14" s="252" t="s">
        <v>18</v>
      </c>
      <c r="D14" s="253" t="s">
        <v>17</v>
      </c>
      <c r="E14" s="254">
        <f>1547</f>
        <v>1547</v>
      </c>
      <c r="F14" s="255">
        <v>7</v>
      </c>
      <c r="G14" s="251">
        <v>19073.599999999999</v>
      </c>
      <c r="H14" s="256">
        <v>0</v>
      </c>
      <c r="I14" s="257">
        <v>19074</v>
      </c>
      <c r="J14" s="257">
        <f t="shared" si="0"/>
        <v>206552346</v>
      </c>
      <c r="K14" s="152">
        <f t="shared" si="1"/>
        <v>206548014.40000001</v>
      </c>
      <c r="L14" s="152">
        <f t="shared" si="2"/>
        <v>0</v>
      </c>
      <c r="M14" s="5"/>
      <c r="N14" s="247"/>
      <c r="O14" s="248"/>
      <c r="P14" s="247"/>
      <c r="Q14" s="247"/>
      <c r="R14" s="247"/>
      <c r="S14" s="249"/>
      <c r="T14" s="249"/>
    </row>
    <row r="15" spans="1:20" ht="39" x14ac:dyDescent="0.35">
      <c r="A15" s="15">
        <v>3</v>
      </c>
      <c r="B15" s="16" t="s">
        <v>15</v>
      </c>
      <c r="C15" s="252" t="s">
        <v>19</v>
      </c>
      <c r="D15" s="253" t="s">
        <v>17</v>
      </c>
      <c r="E15" s="254">
        <v>107</v>
      </c>
      <c r="F15" s="255">
        <v>7</v>
      </c>
      <c r="G15" s="251">
        <v>17606.400000000001</v>
      </c>
      <c r="H15" s="256">
        <v>0</v>
      </c>
      <c r="I15" s="257">
        <v>17606</v>
      </c>
      <c r="J15" s="257">
        <f t="shared" si="0"/>
        <v>13186894</v>
      </c>
      <c r="K15" s="152">
        <f t="shared" si="1"/>
        <v>13187193.6</v>
      </c>
      <c r="L15" s="152">
        <f t="shared" si="2"/>
        <v>0</v>
      </c>
      <c r="M15" s="5"/>
      <c r="N15" s="247"/>
      <c r="O15" s="248"/>
      <c r="P15" s="247"/>
      <c r="Q15" s="247"/>
      <c r="R15" s="247"/>
      <c r="S15" s="249"/>
      <c r="T15" s="249"/>
    </row>
    <row r="16" spans="1:20" ht="39" x14ac:dyDescent="0.35">
      <c r="A16" s="15">
        <v>4</v>
      </c>
      <c r="B16" s="16" t="s">
        <v>15</v>
      </c>
      <c r="C16" s="252" t="s">
        <v>20</v>
      </c>
      <c r="D16" s="253" t="s">
        <v>17</v>
      </c>
      <c r="E16" s="254">
        <v>160</v>
      </c>
      <c r="F16" s="255">
        <v>7</v>
      </c>
      <c r="G16" s="251">
        <v>37204</v>
      </c>
      <c r="H16" s="256">
        <v>0</v>
      </c>
      <c r="I16" s="257">
        <v>37204</v>
      </c>
      <c r="J16" s="257">
        <f t="shared" si="0"/>
        <v>41668480</v>
      </c>
      <c r="K16" s="152">
        <f t="shared" si="1"/>
        <v>41668480</v>
      </c>
      <c r="L16" s="152">
        <f t="shared" si="2"/>
        <v>0</v>
      </c>
      <c r="M16" s="5"/>
      <c r="N16" s="247"/>
      <c r="O16" s="248"/>
      <c r="P16" s="247"/>
      <c r="Q16" s="247"/>
      <c r="R16" s="247"/>
      <c r="S16" s="249"/>
      <c r="T16" s="249"/>
    </row>
    <row r="17" spans="1:20" ht="39" x14ac:dyDescent="0.35">
      <c r="A17" s="15">
        <v>5</v>
      </c>
      <c r="B17" s="16" t="s">
        <v>15</v>
      </c>
      <c r="C17" s="252" t="s">
        <v>21</v>
      </c>
      <c r="D17" s="253" t="s">
        <v>17</v>
      </c>
      <c r="E17" s="254">
        <v>4</v>
      </c>
      <c r="F17" s="255">
        <v>7</v>
      </c>
      <c r="G17" s="251">
        <v>324880</v>
      </c>
      <c r="H17" s="256">
        <v>0</v>
      </c>
      <c r="I17" s="257">
        <v>324880</v>
      </c>
      <c r="J17" s="257">
        <f t="shared" si="0"/>
        <v>9096640</v>
      </c>
      <c r="K17" s="152">
        <f t="shared" si="1"/>
        <v>9096640</v>
      </c>
      <c r="L17" s="152">
        <f t="shared" si="2"/>
        <v>0</v>
      </c>
      <c r="M17" s="5"/>
      <c r="N17" s="247"/>
      <c r="O17" s="248"/>
      <c r="P17" s="247"/>
      <c r="Q17" s="247"/>
      <c r="R17" s="247"/>
      <c r="S17" s="249"/>
      <c r="T17" s="249"/>
    </row>
    <row r="18" spans="1:20" ht="52" x14ac:dyDescent="0.35">
      <c r="A18" s="15">
        <v>6</v>
      </c>
      <c r="B18" s="16" t="s">
        <v>22</v>
      </c>
      <c r="C18" s="252" t="s">
        <v>23</v>
      </c>
      <c r="D18" s="253" t="s">
        <v>24</v>
      </c>
      <c r="E18" s="258">
        <f>144</f>
        <v>144</v>
      </c>
      <c r="F18" s="259">
        <v>7</v>
      </c>
      <c r="G18" s="251">
        <v>113184</v>
      </c>
      <c r="H18" s="256">
        <v>0</v>
      </c>
      <c r="I18" s="257">
        <v>113184</v>
      </c>
      <c r="J18" s="257">
        <f t="shared" si="0"/>
        <v>114089472</v>
      </c>
      <c r="K18" s="152">
        <f t="shared" si="1"/>
        <v>114089472</v>
      </c>
      <c r="L18" s="152">
        <f t="shared" si="2"/>
        <v>0</v>
      </c>
      <c r="M18" s="5"/>
      <c r="N18" s="247"/>
      <c r="O18" s="248"/>
      <c r="P18" s="247"/>
      <c r="Q18" s="247"/>
      <c r="R18" s="247"/>
      <c r="S18" s="249"/>
      <c r="T18" s="249"/>
    </row>
    <row r="19" spans="1:20" ht="52" x14ac:dyDescent="0.35">
      <c r="A19" s="15">
        <v>7</v>
      </c>
      <c r="B19" s="16" t="s">
        <v>22</v>
      </c>
      <c r="C19" s="252" t="s">
        <v>25</v>
      </c>
      <c r="D19" s="253" t="s">
        <v>24</v>
      </c>
      <c r="E19" s="258">
        <f>474+80</f>
        <v>554</v>
      </c>
      <c r="F19" s="259">
        <v>7</v>
      </c>
      <c r="G19" s="251">
        <v>138336</v>
      </c>
      <c r="H19" s="256">
        <v>0</v>
      </c>
      <c r="I19" s="257">
        <v>138336</v>
      </c>
      <c r="J19" s="257">
        <f t="shared" si="0"/>
        <v>536467008</v>
      </c>
      <c r="K19" s="152">
        <f t="shared" si="1"/>
        <v>536467008</v>
      </c>
      <c r="L19" s="152">
        <f t="shared" si="2"/>
        <v>0</v>
      </c>
      <c r="M19" s="5"/>
      <c r="N19" s="247"/>
      <c r="O19" s="248"/>
      <c r="P19" s="247"/>
      <c r="Q19" s="247"/>
      <c r="R19" s="247"/>
      <c r="S19" s="249"/>
      <c r="T19" s="249"/>
    </row>
    <row r="20" spans="1:20" ht="52" x14ac:dyDescent="0.35">
      <c r="A20" s="15">
        <v>8</v>
      </c>
      <c r="B20" s="16" t="s">
        <v>22</v>
      </c>
      <c r="C20" s="252" t="s">
        <v>26</v>
      </c>
      <c r="D20" s="253" t="s">
        <v>24</v>
      </c>
      <c r="E20" s="258">
        <f>22</f>
        <v>22</v>
      </c>
      <c r="F20" s="259">
        <v>7</v>
      </c>
      <c r="G20" s="251">
        <v>125760</v>
      </c>
      <c r="H20" s="256">
        <v>0</v>
      </c>
      <c r="I20" s="257">
        <v>125760</v>
      </c>
      <c r="J20" s="257">
        <f t="shared" si="0"/>
        <v>19367040</v>
      </c>
      <c r="K20" s="152">
        <f t="shared" si="1"/>
        <v>19367040</v>
      </c>
      <c r="L20" s="152">
        <f t="shared" si="2"/>
        <v>0</v>
      </c>
      <c r="M20" s="5"/>
      <c r="N20" s="247"/>
      <c r="O20" s="248"/>
      <c r="P20" s="247"/>
      <c r="Q20" s="247"/>
      <c r="R20" s="247"/>
      <c r="S20" s="249"/>
      <c r="T20" s="249"/>
    </row>
    <row r="21" spans="1:20" ht="52" x14ac:dyDescent="0.35">
      <c r="A21" s="15">
        <v>9</v>
      </c>
      <c r="B21" s="16" t="s">
        <v>22</v>
      </c>
      <c r="C21" s="252" t="s">
        <v>27</v>
      </c>
      <c r="D21" s="253" t="s">
        <v>24</v>
      </c>
      <c r="E21" s="258">
        <v>79</v>
      </c>
      <c r="F21" s="259">
        <v>7</v>
      </c>
      <c r="G21" s="251">
        <v>314400</v>
      </c>
      <c r="H21" s="256">
        <v>0</v>
      </c>
      <c r="I21" s="257">
        <v>314400</v>
      </c>
      <c r="J21" s="257">
        <f t="shared" si="0"/>
        <v>173863200</v>
      </c>
      <c r="K21" s="152">
        <f t="shared" si="1"/>
        <v>173863200</v>
      </c>
      <c r="L21" s="152">
        <f t="shared" si="2"/>
        <v>0</v>
      </c>
      <c r="M21" s="5"/>
      <c r="N21" s="247"/>
      <c r="O21" s="248"/>
      <c r="P21" s="247"/>
      <c r="Q21" s="247"/>
      <c r="R21" s="247"/>
      <c r="S21" s="249"/>
      <c r="T21" s="249"/>
    </row>
    <row r="22" spans="1:20" ht="39" x14ac:dyDescent="0.35">
      <c r="A22" s="15">
        <v>10</v>
      </c>
      <c r="B22" s="16" t="s">
        <v>28</v>
      </c>
      <c r="C22" s="252" t="s">
        <v>29</v>
      </c>
      <c r="D22" s="253" t="s">
        <v>30</v>
      </c>
      <c r="E22" s="260">
        <v>12</v>
      </c>
      <c r="F22" s="25">
        <v>7</v>
      </c>
      <c r="G22" s="251">
        <v>291344</v>
      </c>
      <c r="H22" s="256">
        <v>0</v>
      </c>
      <c r="I22" s="257">
        <v>291344</v>
      </c>
      <c r="J22" s="257">
        <f t="shared" si="0"/>
        <v>24472896</v>
      </c>
      <c r="K22" s="152">
        <f t="shared" si="1"/>
        <v>24472896</v>
      </c>
      <c r="L22" s="152">
        <f t="shared" si="2"/>
        <v>0</v>
      </c>
      <c r="M22" s="5"/>
      <c r="N22" s="247"/>
      <c r="O22" s="248"/>
      <c r="P22" s="247"/>
      <c r="Q22" s="247"/>
      <c r="R22" s="247"/>
      <c r="S22" s="249"/>
      <c r="T22" s="249"/>
    </row>
    <row r="23" spans="1:20" ht="39" x14ac:dyDescent="0.35">
      <c r="A23" s="15">
        <v>11</v>
      </c>
      <c r="B23" s="16" t="s">
        <v>28</v>
      </c>
      <c r="C23" s="252" t="s">
        <v>31</v>
      </c>
      <c r="D23" s="253" t="s">
        <v>30</v>
      </c>
      <c r="E23" s="260">
        <v>1</v>
      </c>
      <c r="F23" s="25">
        <v>7</v>
      </c>
      <c r="G23" s="251">
        <v>282960</v>
      </c>
      <c r="H23" s="256">
        <v>0</v>
      </c>
      <c r="I23" s="257">
        <v>282960</v>
      </c>
      <c r="J23" s="257">
        <f t="shared" si="0"/>
        <v>1980720</v>
      </c>
      <c r="K23" s="152">
        <f t="shared" si="1"/>
        <v>1980720</v>
      </c>
      <c r="L23" s="152">
        <f t="shared" si="2"/>
        <v>0</v>
      </c>
      <c r="M23" s="5"/>
      <c r="N23" s="247"/>
      <c r="O23" s="248"/>
      <c r="P23" s="247"/>
      <c r="Q23" s="247"/>
      <c r="R23" s="247"/>
      <c r="S23" s="249"/>
      <c r="T23" s="249"/>
    </row>
    <row r="24" spans="1:20" ht="39" x14ac:dyDescent="0.35">
      <c r="A24" s="15">
        <v>12</v>
      </c>
      <c r="B24" s="16" t="s">
        <v>28</v>
      </c>
      <c r="C24" s="252" t="s">
        <v>32</v>
      </c>
      <c r="D24" s="253" t="s">
        <v>30</v>
      </c>
      <c r="E24" s="260">
        <v>1</v>
      </c>
      <c r="F24" s="25">
        <v>7</v>
      </c>
      <c r="G24" s="251">
        <v>298680</v>
      </c>
      <c r="H24" s="256">
        <v>0</v>
      </c>
      <c r="I24" s="257">
        <v>298680</v>
      </c>
      <c r="J24" s="257">
        <f t="shared" si="0"/>
        <v>2090760</v>
      </c>
      <c r="K24" s="152">
        <f t="shared" si="1"/>
        <v>2090760</v>
      </c>
      <c r="L24" s="152">
        <f t="shared" si="2"/>
        <v>0</v>
      </c>
      <c r="M24" s="5"/>
      <c r="N24" s="247"/>
      <c r="O24" s="248"/>
      <c r="P24" s="247"/>
      <c r="Q24" s="247"/>
      <c r="R24" s="247"/>
      <c r="S24" s="249"/>
      <c r="T24" s="249"/>
    </row>
    <row r="25" spans="1:20" ht="39" x14ac:dyDescent="0.35">
      <c r="A25" s="20">
        <v>13</v>
      </c>
      <c r="B25" s="220" t="s">
        <v>33</v>
      </c>
      <c r="C25" s="252" t="s">
        <v>34</v>
      </c>
      <c r="D25" s="253" t="s">
        <v>66</v>
      </c>
      <c r="E25" s="260">
        <v>1</v>
      </c>
      <c r="F25" s="25">
        <v>7</v>
      </c>
      <c r="G25" s="251">
        <v>529240</v>
      </c>
      <c r="H25" s="256">
        <v>100556</v>
      </c>
      <c r="I25" s="257">
        <v>629796</v>
      </c>
      <c r="J25" s="257">
        <f t="shared" si="0"/>
        <v>4408572</v>
      </c>
      <c r="K25" s="152">
        <f t="shared" si="1"/>
        <v>3704680</v>
      </c>
      <c r="L25" s="152">
        <f t="shared" si="2"/>
        <v>703892</v>
      </c>
      <c r="M25" s="5"/>
      <c r="N25" s="247"/>
      <c r="O25" s="248"/>
      <c r="P25" s="247"/>
      <c r="Q25" s="247"/>
      <c r="R25" s="247"/>
      <c r="S25" s="249"/>
      <c r="T25" s="249"/>
    </row>
    <row r="26" spans="1:20" ht="39" x14ac:dyDescent="0.35">
      <c r="A26" s="20">
        <v>14</v>
      </c>
      <c r="B26" s="221"/>
      <c r="C26" s="252" t="s">
        <v>35</v>
      </c>
      <c r="D26" s="253" t="s">
        <v>66</v>
      </c>
      <c r="E26" s="260">
        <v>1</v>
      </c>
      <c r="F26" s="25">
        <v>7</v>
      </c>
      <c r="G26" s="251">
        <v>618320</v>
      </c>
      <c r="H26" s="256">
        <v>117481</v>
      </c>
      <c r="I26" s="257">
        <v>735801</v>
      </c>
      <c r="J26" s="257">
        <f t="shared" si="0"/>
        <v>5150607</v>
      </c>
      <c r="K26" s="152">
        <f t="shared" si="1"/>
        <v>4328240</v>
      </c>
      <c r="L26" s="152">
        <f t="shared" si="2"/>
        <v>822367</v>
      </c>
      <c r="M26" s="5"/>
      <c r="N26" s="247"/>
      <c r="O26" s="248"/>
      <c r="P26" s="247"/>
      <c r="Q26" s="247"/>
      <c r="R26" s="247"/>
      <c r="S26" s="249"/>
      <c r="T26" s="249"/>
    </row>
    <row r="27" spans="1:20" ht="39" x14ac:dyDescent="0.35">
      <c r="A27" s="20">
        <v>15</v>
      </c>
      <c r="B27" s="222"/>
      <c r="C27" s="252" t="s">
        <v>36</v>
      </c>
      <c r="D27" s="253" t="s">
        <v>66</v>
      </c>
      <c r="E27" s="260">
        <v>1</v>
      </c>
      <c r="F27" s="25">
        <v>7</v>
      </c>
      <c r="G27" s="251">
        <v>869840</v>
      </c>
      <c r="H27" s="256">
        <v>165270</v>
      </c>
      <c r="I27" s="257">
        <v>1035110</v>
      </c>
      <c r="J27" s="257">
        <f t="shared" si="0"/>
        <v>7245770</v>
      </c>
      <c r="K27" s="152">
        <f t="shared" si="1"/>
        <v>6088880</v>
      </c>
      <c r="L27" s="152">
        <f t="shared" si="2"/>
        <v>1156890</v>
      </c>
      <c r="M27" s="5"/>
      <c r="N27" s="247"/>
      <c r="O27" s="248"/>
      <c r="P27" s="247"/>
      <c r="Q27" s="247"/>
      <c r="R27" s="247"/>
      <c r="S27" s="249"/>
      <c r="T27" s="249"/>
    </row>
    <row r="28" spans="1:20" ht="39" x14ac:dyDescent="0.35">
      <c r="A28" s="220">
        <v>16</v>
      </c>
      <c r="B28" s="220" t="s">
        <v>37</v>
      </c>
      <c r="C28" s="261" t="s">
        <v>38</v>
      </c>
      <c r="D28" s="253" t="s">
        <v>39</v>
      </c>
      <c r="E28" s="260">
        <v>3</v>
      </c>
      <c r="F28" s="25">
        <v>7</v>
      </c>
      <c r="G28" s="251">
        <v>8646000</v>
      </c>
      <c r="H28" s="256">
        <v>1642740</v>
      </c>
      <c r="I28" s="257">
        <v>10288740</v>
      </c>
      <c r="J28" s="257">
        <f t="shared" si="0"/>
        <v>216063540</v>
      </c>
      <c r="K28" s="152">
        <f t="shared" si="1"/>
        <v>181566000</v>
      </c>
      <c r="L28" s="152">
        <f t="shared" si="2"/>
        <v>34497540</v>
      </c>
      <c r="M28" s="5"/>
      <c r="N28" s="247"/>
      <c r="O28" s="248"/>
      <c r="P28" s="247"/>
      <c r="Q28" s="247"/>
      <c r="R28" s="247"/>
      <c r="S28" s="249"/>
      <c r="T28" s="249"/>
    </row>
    <row r="29" spans="1:20" ht="39" x14ac:dyDescent="0.35">
      <c r="A29" s="221"/>
      <c r="B29" s="221"/>
      <c r="C29" s="261" t="s">
        <v>40</v>
      </c>
      <c r="D29" s="253" t="s">
        <v>39</v>
      </c>
      <c r="E29" s="260">
        <v>1</v>
      </c>
      <c r="F29" s="25">
        <v>7</v>
      </c>
      <c r="G29" s="251">
        <v>7126400</v>
      </c>
      <c r="H29" s="256">
        <v>1354016</v>
      </c>
      <c r="I29" s="257">
        <v>8480416</v>
      </c>
      <c r="J29" s="257">
        <f t="shared" si="0"/>
        <v>59362912</v>
      </c>
      <c r="K29" s="152">
        <f t="shared" si="1"/>
        <v>49884800</v>
      </c>
      <c r="L29" s="152">
        <f t="shared" si="2"/>
        <v>9478112</v>
      </c>
      <c r="M29" s="5"/>
      <c r="N29" s="247"/>
      <c r="O29" s="248"/>
      <c r="P29" s="247"/>
      <c r="Q29" s="247"/>
      <c r="R29" s="247"/>
      <c r="S29" s="249"/>
      <c r="T29" s="249"/>
    </row>
    <row r="30" spans="1:20" ht="39" x14ac:dyDescent="0.35">
      <c r="A30" s="222"/>
      <c r="B30" s="222"/>
      <c r="C30" s="261" t="s">
        <v>77</v>
      </c>
      <c r="D30" s="253" t="s">
        <v>39</v>
      </c>
      <c r="E30" s="260">
        <v>25</v>
      </c>
      <c r="F30" s="25">
        <v>7</v>
      </c>
      <c r="G30" s="251">
        <v>5481040</v>
      </c>
      <c r="H30" s="256">
        <v>1041398</v>
      </c>
      <c r="I30" s="257">
        <v>6522438</v>
      </c>
      <c r="J30" s="257">
        <f t="shared" si="0"/>
        <v>1141426650</v>
      </c>
      <c r="K30" s="152">
        <f t="shared" si="1"/>
        <v>959182000</v>
      </c>
      <c r="L30" s="152">
        <f t="shared" si="2"/>
        <v>182244650</v>
      </c>
      <c r="M30" s="5"/>
      <c r="N30" s="247"/>
      <c r="O30" s="248"/>
      <c r="P30" s="247"/>
      <c r="Q30" s="247"/>
      <c r="R30" s="247"/>
      <c r="S30" s="249"/>
      <c r="T30" s="249"/>
    </row>
    <row r="31" spans="1:20" ht="104" x14ac:dyDescent="0.35">
      <c r="A31" s="15">
        <v>17</v>
      </c>
      <c r="B31" s="16" t="s">
        <v>41</v>
      </c>
      <c r="C31" s="252" t="s">
        <v>78</v>
      </c>
      <c r="D31" s="253" t="s">
        <v>39</v>
      </c>
      <c r="E31" s="19">
        <v>49</v>
      </c>
      <c r="F31" s="25">
        <v>7</v>
      </c>
      <c r="G31" s="251">
        <v>5481040</v>
      </c>
      <c r="H31" s="256">
        <v>1041398</v>
      </c>
      <c r="I31" s="257">
        <v>6522438</v>
      </c>
      <c r="J31" s="257">
        <f t="shared" si="0"/>
        <v>2237196234</v>
      </c>
      <c r="K31" s="152">
        <f t="shared" si="1"/>
        <v>1879996720</v>
      </c>
      <c r="L31" s="152">
        <f t="shared" si="2"/>
        <v>357199514</v>
      </c>
      <c r="M31" s="5"/>
      <c r="N31" s="247"/>
      <c r="O31" s="248"/>
      <c r="P31" s="247"/>
      <c r="Q31" s="247"/>
      <c r="R31" s="247"/>
      <c r="S31" s="249"/>
      <c r="T31" s="249"/>
    </row>
    <row r="32" spans="1:20" ht="26" x14ac:dyDescent="0.35">
      <c r="A32" s="15">
        <v>18</v>
      </c>
      <c r="B32" s="16" t="s">
        <v>42</v>
      </c>
      <c r="C32" s="252" t="s">
        <v>43</v>
      </c>
      <c r="D32" s="253" t="s">
        <v>44</v>
      </c>
      <c r="E32" s="19">
        <v>5</v>
      </c>
      <c r="F32" s="25">
        <v>7</v>
      </c>
      <c r="G32" s="251">
        <v>5711600</v>
      </c>
      <c r="H32" s="256">
        <v>0</v>
      </c>
      <c r="I32" s="257">
        <v>5711600</v>
      </c>
      <c r="J32" s="257">
        <f t="shared" si="0"/>
        <v>199906000</v>
      </c>
      <c r="K32" s="152">
        <f t="shared" si="1"/>
        <v>199906000</v>
      </c>
      <c r="L32" s="152">
        <f t="shared" si="2"/>
        <v>0</v>
      </c>
      <c r="M32" s="5"/>
      <c r="N32" s="247"/>
      <c r="O32" s="248"/>
      <c r="P32" s="247"/>
      <c r="Q32" s="247"/>
      <c r="R32" s="247"/>
      <c r="S32" s="249"/>
      <c r="T32" s="249"/>
    </row>
    <row r="33" spans="1:20" ht="78" x14ac:dyDescent="0.35">
      <c r="A33" s="15">
        <v>19</v>
      </c>
      <c r="B33" s="37" t="s">
        <v>45</v>
      </c>
      <c r="C33" s="261" t="s">
        <v>46</v>
      </c>
      <c r="D33" s="22" t="s">
        <v>47</v>
      </c>
      <c r="E33" s="19">
        <v>41</v>
      </c>
      <c r="F33" s="25">
        <v>3</v>
      </c>
      <c r="G33" s="251">
        <v>5260960</v>
      </c>
      <c r="H33" s="256">
        <v>999582</v>
      </c>
      <c r="I33" s="257">
        <v>6260542</v>
      </c>
      <c r="J33" s="257">
        <f t="shared" si="0"/>
        <v>770046666</v>
      </c>
      <c r="K33" s="152">
        <f t="shared" si="1"/>
        <v>647098080</v>
      </c>
      <c r="L33" s="152">
        <f t="shared" si="2"/>
        <v>122948586</v>
      </c>
      <c r="M33" s="5"/>
      <c r="N33" s="247"/>
      <c r="O33" s="248"/>
      <c r="P33" s="247"/>
      <c r="Q33" s="247"/>
      <c r="R33" s="247"/>
      <c r="S33" s="249"/>
      <c r="T33" s="249"/>
    </row>
    <row r="34" spans="1:20" ht="78" x14ac:dyDescent="0.35">
      <c r="A34" s="15">
        <v>19</v>
      </c>
      <c r="B34" s="37" t="s">
        <v>45</v>
      </c>
      <c r="C34" s="261" t="s">
        <v>46</v>
      </c>
      <c r="D34" s="22" t="s">
        <v>47</v>
      </c>
      <c r="E34" s="19">
        <v>20</v>
      </c>
      <c r="F34" s="25">
        <v>4</v>
      </c>
      <c r="G34" s="251">
        <v>5260960</v>
      </c>
      <c r="H34" s="256">
        <v>999582</v>
      </c>
      <c r="I34" s="257">
        <v>6260542</v>
      </c>
      <c r="J34" s="257">
        <f t="shared" si="0"/>
        <v>500843360</v>
      </c>
      <c r="K34" s="152">
        <f t="shared" si="1"/>
        <v>420876800</v>
      </c>
      <c r="L34" s="152">
        <f t="shared" si="2"/>
        <v>79966560</v>
      </c>
      <c r="M34" s="5"/>
      <c r="N34" s="247"/>
      <c r="O34" s="248"/>
      <c r="P34" s="247"/>
      <c r="Q34" s="247"/>
      <c r="R34" s="247"/>
      <c r="S34" s="249"/>
      <c r="T34" s="249"/>
    </row>
    <row r="35" spans="1:20" ht="65" x14ac:dyDescent="0.35">
      <c r="A35" s="15">
        <v>20</v>
      </c>
      <c r="B35" s="37" t="s">
        <v>45</v>
      </c>
      <c r="C35" s="261" t="s">
        <v>48</v>
      </c>
      <c r="D35" s="22" t="s">
        <v>47</v>
      </c>
      <c r="E35" s="19">
        <v>7</v>
      </c>
      <c r="F35" s="25">
        <v>7</v>
      </c>
      <c r="G35" s="251">
        <v>5260960</v>
      </c>
      <c r="H35" s="256">
        <v>999582</v>
      </c>
      <c r="I35" s="257">
        <v>6260542</v>
      </c>
      <c r="J35" s="257">
        <f t="shared" si="0"/>
        <v>306766558</v>
      </c>
      <c r="K35" s="152">
        <f t="shared" si="1"/>
        <v>257787040</v>
      </c>
      <c r="L35" s="152">
        <f t="shared" si="2"/>
        <v>48979518</v>
      </c>
      <c r="M35" s="5"/>
      <c r="N35" s="250"/>
      <c r="O35" s="248"/>
      <c r="P35" s="247"/>
      <c r="Q35" s="251"/>
      <c r="R35" s="247"/>
      <c r="S35" s="249"/>
      <c r="T35" s="249"/>
    </row>
    <row r="36" spans="1:20" ht="26" x14ac:dyDescent="0.35">
      <c r="A36" s="220">
        <v>21</v>
      </c>
      <c r="B36" s="220" t="s">
        <v>49</v>
      </c>
      <c r="C36" s="261" t="s">
        <v>67</v>
      </c>
      <c r="D36" s="22" t="s">
        <v>50</v>
      </c>
      <c r="E36" s="19">
        <v>1</v>
      </c>
      <c r="F36" s="25">
        <v>7</v>
      </c>
      <c r="G36" s="251">
        <v>7356960</v>
      </c>
      <c r="H36" s="256">
        <v>1397822</v>
      </c>
      <c r="I36" s="257">
        <v>8754782</v>
      </c>
      <c r="J36" s="257">
        <f t="shared" si="0"/>
        <v>61283474</v>
      </c>
      <c r="K36" s="152">
        <f t="shared" si="1"/>
        <v>51498720</v>
      </c>
      <c r="L36" s="152">
        <f t="shared" si="2"/>
        <v>9784754</v>
      </c>
      <c r="M36" s="5"/>
      <c r="N36" s="250"/>
      <c r="O36" s="248"/>
      <c r="P36" s="247"/>
      <c r="Q36" s="247"/>
      <c r="R36" s="247"/>
      <c r="S36" s="249"/>
      <c r="T36" s="249"/>
    </row>
    <row r="37" spans="1:20" ht="26" x14ac:dyDescent="0.35">
      <c r="A37" s="222"/>
      <c r="B37" s="222"/>
      <c r="C37" s="261" t="s">
        <v>51</v>
      </c>
      <c r="D37" s="22" t="s">
        <v>50</v>
      </c>
      <c r="E37" s="19">
        <v>1</v>
      </c>
      <c r="F37" s="25">
        <v>7</v>
      </c>
      <c r="G37" s="251">
        <v>5449600</v>
      </c>
      <c r="H37" s="256">
        <v>1035424</v>
      </c>
      <c r="I37" s="257">
        <v>6485024</v>
      </c>
      <c r="J37" s="257">
        <f t="shared" si="0"/>
        <v>45395168</v>
      </c>
      <c r="K37" s="152">
        <f t="shared" si="1"/>
        <v>38147200</v>
      </c>
      <c r="L37" s="152">
        <f t="shared" si="2"/>
        <v>7247968</v>
      </c>
      <c r="M37" s="5"/>
      <c r="N37" s="250"/>
      <c r="O37" s="248"/>
      <c r="P37" s="247"/>
      <c r="Q37" s="247"/>
      <c r="R37" s="247"/>
      <c r="S37" s="249"/>
      <c r="T37" s="249"/>
    </row>
    <row r="38" spans="1:20" ht="26" x14ac:dyDescent="0.35">
      <c r="A38" s="15">
        <v>22</v>
      </c>
      <c r="B38" s="37" t="s">
        <v>52</v>
      </c>
      <c r="C38" s="253" t="s">
        <v>68</v>
      </c>
      <c r="D38" s="253" t="s">
        <v>53</v>
      </c>
      <c r="E38" s="83">
        <v>66866</v>
      </c>
      <c r="F38" s="25">
        <v>7</v>
      </c>
      <c r="G38" s="251">
        <v>267.24</v>
      </c>
      <c r="H38" s="256">
        <v>51</v>
      </c>
      <c r="I38" s="257">
        <v>318</v>
      </c>
      <c r="J38" s="257">
        <f t="shared" si="0"/>
        <v>148843716</v>
      </c>
      <c r="K38" s="152">
        <f t="shared" si="1"/>
        <v>125084888.88</v>
      </c>
      <c r="L38" s="152">
        <f t="shared" si="2"/>
        <v>23871162</v>
      </c>
      <c r="M38" s="5"/>
      <c r="N38" s="250"/>
      <c r="O38" s="248"/>
      <c r="P38" s="247"/>
      <c r="Q38" s="247"/>
      <c r="R38" s="247"/>
      <c r="S38" s="249"/>
      <c r="T38" s="249"/>
    </row>
    <row r="39" spans="1:20" ht="39" x14ac:dyDescent="0.35">
      <c r="A39" s="15">
        <v>23</v>
      </c>
      <c r="B39" s="37" t="s">
        <v>52</v>
      </c>
      <c r="C39" s="253" t="s">
        <v>69</v>
      </c>
      <c r="D39" s="253" t="s">
        <v>53</v>
      </c>
      <c r="E39" s="83">
        <v>11161</v>
      </c>
      <c r="F39" s="25">
        <v>7</v>
      </c>
      <c r="G39" s="251">
        <v>267.24</v>
      </c>
      <c r="H39" s="256">
        <v>51</v>
      </c>
      <c r="I39" s="257">
        <v>318</v>
      </c>
      <c r="J39" s="257">
        <f t="shared" si="0"/>
        <v>24844386</v>
      </c>
      <c r="K39" s="152">
        <f t="shared" si="1"/>
        <v>20878659.48</v>
      </c>
      <c r="L39" s="152">
        <f t="shared" si="2"/>
        <v>3984477</v>
      </c>
      <c r="M39" s="5"/>
      <c r="N39" s="250"/>
      <c r="O39" s="248"/>
      <c r="P39" s="247"/>
      <c r="Q39" s="247"/>
      <c r="R39" s="247"/>
      <c r="S39" s="249"/>
      <c r="T39" s="249"/>
    </row>
    <row r="40" spans="1:20" ht="26" x14ac:dyDescent="0.35">
      <c r="A40" s="15">
        <v>24</v>
      </c>
      <c r="B40" s="37" t="s">
        <v>52</v>
      </c>
      <c r="C40" s="253" t="s">
        <v>70</v>
      </c>
      <c r="D40" s="253" t="s">
        <v>55</v>
      </c>
      <c r="E40" s="83">
        <v>65000</v>
      </c>
      <c r="F40" s="25">
        <v>7</v>
      </c>
      <c r="G40" s="251">
        <v>429.68</v>
      </c>
      <c r="H40" s="256">
        <v>82</v>
      </c>
      <c r="I40" s="257">
        <v>512</v>
      </c>
      <c r="J40" s="257">
        <f t="shared" si="0"/>
        <v>232960000</v>
      </c>
      <c r="K40" s="152">
        <f t="shared" si="1"/>
        <v>195504400</v>
      </c>
      <c r="L40" s="152">
        <f t="shared" si="2"/>
        <v>37310000</v>
      </c>
      <c r="M40" s="5"/>
      <c r="N40" s="250"/>
      <c r="O40" s="248"/>
      <c r="P40" s="247"/>
      <c r="Q40" s="247"/>
      <c r="R40" s="247"/>
      <c r="S40" s="249"/>
      <c r="T40" s="249"/>
    </row>
    <row r="41" spans="1:20" ht="26" x14ac:dyDescent="0.35">
      <c r="A41" s="15">
        <v>25</v>
      </c>
      <c r="B41" s="37" t="s">
        <v>52</v>
      </c>
      <c r="C41" s="253" t="s">
        <v>71</v>
      </c>
      <c r="D41" s="253" t="s">
        <v>73</v>
      </c>
      <c r="E41" s="83">
        <v>86659</v>
      </c>
      <c r="F41" s="25">
        <v>7</v>
      </c>
      <c r="G41" s="251">
        <v>285.05599999999998</v>
      </c>
      <c r="H41" s="256">
        <v>54</v>
      </c>
      <c r="I41" s="257">
        <v>339</v>
      </c>
      <c r="J41" s="257">
        <f t="shared" si="0"/>
        <v>205641807</v>
      </c>
      <c r="K41" s="152">
        <f t="shared" si="1"/>
        <v>172918675.32800001</v>
      </c>
      <c r="L41" s="152">
        <f t="shared" si="2"/>
        <v>32757102</v>
      </c>
      <c r="M41" s="5"/>
      <c r="N41" s="250"/>
      <c r="O41" s="248"/>
      <c r="P41" s="247"/>
      <c r="Q41" s="247"/>
      <c r="R41" s="247"/>
      <c r="S41" s="249"/>
      <c r="T41" s="249"/>
    </row>
    <row r="42" spans="1:20" ht="26" x14ac:dyDescent="0.35">
      <c r="A42" s="15">
        <v>26</v>
      </c>
      <c r="B42" s="37" t="s">
        <v>52</v>
      </c>
      <c r="C42" s="253" t="s">
        <v>72</v>
      </c>
      <c r="D42" s="253" t="s">
        <v>73</v>
      </c>
      <c r="E42" s="83">
        <v>30830</v>
      </c>
      <c r="F42" s="25">
        <v>7</v>
      </c>
      <c r="G42" s="251">
        <v>285.05599999999998</v>
      </c>
      <c r="H42" s="256">
        <v>54</v>
      </c>
      <c r="I42" s="257">
        <v>339</v>
      </c>
      <c r="J42" s="257">
        <f t="shared" si="0"/>
        <v>73159590</v>
      </c>
      <c r="K42" s="152">
        <f t="shared" si="1"/>
        <v>61517935.359999992</v>
      </c>
      <c r="L42" s="152">
        <f t="shared" si="2"/>
        <v>11653740</v>
      </c>
      <c r="M42" s="5"/>
      <c r="N42" s="250"/>
      <c r="O42" s="248"/>
      <c r="P42" s="247"/>
      <c r="Q42" s="247"/>
      <c r="R42" s="247"/>
      <c r="S42" s="249"/>
      <c r="T42" s="249"/>
    </row>
    <row r="43" spans="1:20" s="5" customFormat="1" ht="26" x14ac:dyDescent="0.35">
      <c r="A43" s="29"/>
      <c r="B43" s="37" t="s">
        <v>52</v>
      </c>
      <c r="C43" s="253" t="s">
        <v>74</v>
      </c>
      <c r="D43" s="253" t="s">
        <v>53</v>
      </c>
      <c r="E43" s="83">
        <v>20124</v>
      </c>
      <c r="F43" s="25">
        <v>7</v>
      </c>
      <c r="G43" s="251">
        <v>220.08</v>
      </c>
      <c r="H43" s="256">
        <v>42</v>
      </c>
      <c r="I43" s="257">
        <v>262</v>
      </c>
      <c r="J43" s="257">
        <f t="shared" si="0"/>
        <v>36907416</v>
      </c>
      <c r="K43" s="152">
        <f t="shared" si="1"/>
        <v>31002229.439999998</v>
      </c>
      <c r="L43" s="152">
        <f t="shared" si="2"/>
        <v>5916456</v>
      </c>
      <c r="N43" s="250"/>
      <c r="O43" s="248"/>
      <c r="P43" s="247"/>
      <c r="Q43" s="247"/>
      <c r="R43" s="247"/>
      <c r="S43" s="249"/>
      <c r="T43" s="249"/>
    </row>
    <row r="44" spans="1:20" s="5" customFormat="1" ht="26" x14ac:dyDescent="0.35">
      <c r="A44" s="29"/>
      <c r="B44" s="37" t="s">
        <v>52</v>
      </c>
      <c r="C44" s="253" t="s">
        <v>75</v>
      </c>
      <c r="D44" s="253" t="s">
        <v>76</v>
      </c>
      <c r="E44" s="83">
        <v>360550</v>
      </c>
      <c r="F44" s="25">
        <v>1</v>
      </c>
      <c r="G44" s="251">
        <v>267.24</v>
      </c>
      <c r="H44" s="256">
        <v>51</v>
      </c>
      <c r="I44" s="257">
        <v>318</v>
      </c>
      <c r="J44" s="257">
        <f t="shared" si="0"/>
        <v>114654900</v>
      </c>
      <c r="K44" s="152">
        <f t="shared" si="1"/>
        <v>96353382</v>
      </c>
      <c r="L44" s="152">
        <f t="shared" si="2"/>
        <v>18388050</v>
      </c>
      <c r="N44" s="250"/>
      <c r="O44" s="248"/>
      <c r="P44" s="247"/>
      <c r="Q44" s="247"/>
      <c r="R44" s="247"/>
      <c r="S44" s="249"/>
      <c r="T44" s="249"/>
    </row>
    <row r="45" spans="1:20" s="5" customFormat="1" ht="34.5" customHeight="1" x14ac:dyDescent="0.35">
      <c r="A45" s="29"/>
      <c r="B45" s="37" t="s">
        <v>54</v>
      </c>
      <c r="C45" s="253" t="s">
        <v>79</v>
      </c>
      <c r="D45" s="253" t="s">
        <v>53</v>
      </c>
      <c r="E45" s="83">
        <v>451385</v>
      </c>
      <c r="F45" s="25">
        <v>7</v>
      </c>
      <c r="G45" s="251">
        <v>151.96</v>
      </c>
      <c r="H45" s="256">
        <v>29</v>
      </c>
      <c r="I45" s="257">
        <v>181</v>
      </c>
      <c r="J45" s="257">
        <f t="shared" si="0"/>
        <v>571904795</v>
      </c>
      <c r="K45" s="152">
        <f t="shared" si="1"/>
        <v>480147252.20000005</v>
      </c>
      <c r="L45" s="152">
        <f t="shared" si="2"/>
        <v>91631155</v>
      </c>
      <c r="N45" s="250"/>
      <c r="O45" s="248"/>
      <c r="P45" s="247"/>
      <c r="Q45" s="247"/>
      <c r="R45" s="247"/>
      <c r="S45" s="249"/>
      <c r="T45" s="249"/>
    </row>
    <row r="46" spans="1:20" ht="26" x14ac:dyDescent="0.35">
      <c r="A46" s="15">
        <v>27</v>
      </c>
      <c r="B46" s="16" t="s">
        <v>56</v>
      </c>
      <c r="C46" s="253" t="s">
        <v>57</v>
      </c>
      <c r="D46" s="253" t="s">
        <v>55</v>
      </c>
      <c r="E46" s="83">
        <v>76646</v>
      </c>
      <c r="F46" s="259">
        <v>7</v>
      </c>
      <c r="G46" s="251">
        <v>2289.88</v>
      </c>
      <c r="H46" s="256">
        <v>0</v>
      </c>
      <c r="I46" s="257">
        <v>2290</v>
      </c>
      <c r="J46" s="257">
        <f t="shared" si="0"/>
        <v>1228635380</v>
      </c>
      <c r="K46" s="152">
        <f t="shared" si="1"/>
        <v>1228570997.3600001</v>
      </c>
      <c r="L46" s="152">
        <f t="shared" si="2"/>
        <v>0</v>
      </c>
      <c r="M46" s="5"/>
      <c r="N46" s="250"/>
      <c r="O46" s="248"/>
      <c r="P46" s="247"/>
      <c r="Q46" s="247"/>
      <c r="R46" s="247"/>
      <c r="S46" s="249"/>
      <c r="T46" s="249"/>
    </row>
    <row r="47" spans="1:20" ht="26" x14ac:dyDescent="0.35">
      <c r="A47" s="15">
        <v>28</v>
      </c>
      <c r="B47" s="16" t="s">
        <v>56</v>
      </c>
      <c r="C47" s="253" t="s">
        <v>58</v>
      </c>
      <c r="D47" s="253" t="s">
        <v>55</v>
      </c>
      <c r="E47" s="83">
        <v>109634</v>
      </c>
      <c r="F47" s="259">
        <v>7</v>
      </c>
      <c r="G47" s="251">
        <v>3185.92</v>
      </c>
      <c r="H47" s="256">
        <v>0</v>
      </c>
      <c r="I47" s="257">
        <v>3186</v>
      </c>
      <c r="J47" s="257">
        <f t="shared" si="0"/>
        <v>2445057468</v>
      </c>
      <c r="K47" s="152">
        <f t="shared" si="1"/>
        <v>2444996072.96</v>
      </c>
      <c r="L47" s="152">
        <f t="shared" si="2"/>
        <v>0</v>
      </c>
      <c r="M47" s="5"/>
      <c r="N47" s="250"/>
      <c r="O47" s="248"/>
      <c r="P47" s="247"/>
      <c r="Q47" s="247"/>
      <c r="R47" s="247"/>
      <c r="S47" s="249"/>
      <c r="T47" s="249"/>
    </row>
    <row r="48" spans="1:20" ht="26" x14ac:dyDescent="0.35">
      <c r="A48" s="15">
        <v>29</v>
      </c>
      <c r="B48" s="16" t="s">
        <v>56</v>
      </c>
      <c r="C48" s="253" t="s">
        <v>59</v>
      </c>
      <c r="D48" s="253" t="s">
        <v>55</v>
      </c>
      <c r="E48" s="83">
        <v>8186</v>
      </c>
      <c r="F48" s="259">
        <v>7</v>
      </c>
      <c r="G48" s="251">
        <v>2992.04</v>
      </c>
      <c r="H48" s="256">
        <v>0</v>
      </c>
      <c r="I48" s="257">
        <v>2992</v>
      </c>
      <c r="J48" s="257">
        <f t="shared" si="0"/>
        <v>171447584</v>
      </c>
      <c r="K48" s="152">
        <f t="shared" si="1"/>
        <v>171449876.08000001</v>
      </c>
      <c r="L48" s="152">
        <f t="shared" si="2"/>
        <v>0</v>
      </c>
      <c r="M48" s="5"/>
      <c r="N48" s="250"/>
      <c r="O48" s="248"/>
      <c r="P48" s="247"/>
      <c r="Q48" s="247"/>
      <c r="R48" s="247"/>
      <c r="S48" s="249"/>
      <c r="T48" s="249"/>
    </row>
    <row r="49" spans="1:20" ht="26.5" thickBot="1" x14ac:dyDescent="0.4">
      <c r="A49" s="15">
        <v>30</v>
      </c>
      <c r="B49" s="16" t="s">
        <v>56</v>
      </c>
      <c r="C49" s="253" t="s">
        <v>60</v>
      </c>
      <c r="D49" s="253" t="s">
        <v>55</v>
      </c>
      <c r="E49" s="83">
        <v>4907</v>
      </c>
      <c r="F49" s="259">
        <v>7</v>
      </c>
      <c r="G49" s="251">
        <v>9442.48</v>
      </c>
      <c r="H49" s="256">
        <v>0</v>
      </c>
      <c r="I49" s="257">
        <v>9442</v>
      </c>
      <c r="J49" s="257">
        <f t="shared" si="0"/>
        <v>324323258</v>
      </c>
      <c r="K49" s="152">
        <f t="shared" si="1"/>
        <v>324339745.51999998</v>
      </c>
      <c r="L49" s="152">
        <f t="shared" si="2"/>
        <v>0</v>
      </c>
      <c r="M49" s="5"/>
      <c r="N49" s="250"/>
      <c r="O49" s="248"/>
      <c r="P49" s="247"/>
      <c r="Q49" s="247"/>
      <c r="R49" s="247"/>
      <c r="S49" s="249"/>
      <c r="T49" s="249"/>
    </row>
    <row r="50" spans="1:20" ht="35.25" customHeight="1" thickBot="1" x14ac:dyDescent="0.4">
      <c r="A50" s="210" t="s">
        <v>9</v>
      </c>
      <c r="B50" s="211"/>
      <c r="C50" s="211"/>
      <c r="D50" s="211"/>
      <c r="E50" s="211"/>
      <c r="F50" s="211"/>
      <c r="G50" s="212"/>
      <c r="H50" s="211"/>
      <c r="I50" s="213"/>
      <c r="J50" s="158">
        <f>SUM(J13:J49)</f>
        <v>12347102743</v>
      </c>
      <c r="K50" s="153">
        <f>SUM(K13:K49)</f>
        <v>11266454565.808001</v>
      </c>
      <c r="L50" s="153">
        <f>SUM(L13:L49)</f>
        <v>1080542493</v>
      </c>
      <c r="M50" s="5"/>
    </row>
    <row r="51" spans="1:20" ht="242.25" customHeight="1" thickBot="1" x14ac:dyDescent="0.4">
      <c r="A51" s="214" t="s">
        <v>81</v>
      </c>
      <c r="B51" s="215"/>
      <c r="C51" s="215"/>
      <c r="D51" s="215"/>
      <c r="E51" s="215"/>
      <c r="F51" s="215"/>
      <c r="G51" s="215"/>
      <c r="H51" s="215"/>
      <c r="I51" s="215"/>
      <c r="J51" s="216"/>
      <c r="K51" s="5"/>
      <c r="L51" s="5"/>
      <c r="M51" s="5"/>
    </row>
    <row r="52" spans="1:20" ht="47.25" customHeight="1" thickBot="1" x14ac:dyDescent="0.4">
      <c r="A52" s="6"/>
      <c r="B52" s="13"/>
      <c r="C52" s="3"/>
      <c r="D52" s="3"/>
      <c r="E52" s="3"/>
      <c r="F52" s="3"/>
      <c r="G52" s="3"/>
      <c r="H52" s="3"/>
      <c r="I52" s="3"/>
      <c r="J52" s="7"/>
      <c r="K52" s="5"/>
      <c r="L52" s="5"/>
      <c r="M52" s="5"/>
    </row>
    <row r="53" spans="1:20" ht="15.75" customHeight="1" x14ac:dyDescent="0.35">
      <c r="A53" s="6"/>
      <c r="B53" s="2" t="s">
        <v>2</v>
      </c>
      <c r="C53" s="3"/>
      <c r="D53" s="3"/>
      <c r="E53" s="3"/>
      <c r="F53" s="3"/>
      <c r="G53" s="3"/>
      <c r="H53" s="3"/>
      <c r="I53" s="3"/>
      <c r="J53" s="7"/>
      <c r="K53" s="5"/>
      <c r="L53" s="5"/>
      <c r="M53" s="5"/>
    </row>
    <row r="54" spans="1:20" ht="15" thickBot="1" x14ac:dyDescent="0.4">
      <c r="A54" s="10"/>
      <c r="B54" s="1" t="s">
        <v>0</v>
      </c>
      <c r="C54" s="11"/>
      <c r="D54" s="11"/>
      <c r="E54" s="11"/>
      <c r="F54" s="11"/>
      <c r="G54" s="11"/>
      <c r="H54" s="11"/>
      <c r="I54" s="11"/>
      <c r="J54" s="12"/>
      <c r="K54" s="5"/>
      <c r="L54" s="5"/>
      <c r="M54" s="5"/>
    </row>
    <row r="55" spans="1:20" x14ac:dyDescent="0.35">
      <c r="A55" s="3"/>
      <c r="B55" s="3"/>
      <c r="C55" s="3"/>
      <c r="D55" s="3"/>
      <c r="E55" s="3"/>
      <c r="F55" s="3"/>
      <c r="G55" s="3"/>
      <c r="H55" s="3"/>
      <c r="I55" s="3"/>
      <c r="J55" s="3"/>
      <c r="K55" s="5"/>
    </row>
  </sheetData>
  <autoFilter ref="C12:J51" xr:uid="{724C8AE0-F851-481A-B35A-BD8D0941B70C}"/>
  <mergeCells count="20">
    <mergeCell ref="A50:I50"/>
    <mergeCell ref="A51:J51"/>
    <mergeCell ref="A8:J8"/>
    <mergeCell ref="B25:B27"/>
    <mergeCell ref="A28:A30"/>
    <mergeCell ref="B28:B30"/>
    <mergeCell ref="A36:A37"/>
    <mergeCell ref="B36:B37"/>
    <mergeCell ref="A5:B5"/>
    <mergeCell ref="C5:J5"/>
    <mergeCell ref="A6:B6"/>
    <mergeCell ref="C6:J6"/>
    <mergeCell ref="A7:B7"/>
    <mergeCell ref="C7:J7"/>
    <mergeCell ref="A1:J1"/>
    <mergeCell ref="A2:J2"/>
    <mergeCell ref="A3:B3"/>
    <mergeCell ref="C3:J3"/>
    <mergeCell ref="A4:B4"/>
    <mergeCell ref="C4:J4"/>
  </mergeCells>
  <printOptions horizontalCentered="1"/>
  <pageMargins left="0.70866141732283472" right="0.70866141732283472" top="0.74803149606299213" bottom="0.74803149606299213" header="0.31496062992125984" footer="0.31496062992125984"/>
  <pageSetup scale="5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9890D-FA5D-4DA7-9729-88C9007DBE97}">
  <dimension ref="A2:AE40"/>
  <sheetViews>
    <sheetView zoomScale="60" zoomScaleNormal="60" workbookViewId="0">
      <selection activeCell="AD4" sqref="AD4:AE39"/>
    </sheetView>
  </sheetViews>
  <sheetFormatPr baseColWidth="10" defaultRowHeight="14.5" x14ac:dyDescent="0.35"/>
  <cols>
    <col min="3" max="3" width="38.7265625" customWidth="1"/>
    <col min="4" max="4" width="28.54296875" customWidth="1"/>
    <col min="7" max="11" width="12.81640625" bestFit="1" customWidth="1"/>
    <col min="12" max="13" width="13.81640625" bestFit="1" customWidth="1"/>
    <col min="14" max="14" width="12.81640625" bestFit="1" customWidth="1"/>
    <col min="15" max="15" width="11.7265625" bestFit="1" customWidth="1"/>
    <col min="16" max="16" width="11.26953125" bestFit="1" customWidth="1"/>
    <col min="17" max="17" width="12.81640625" bestFit="1" customWidth="1"/>
    <col min="18" max="18" width="13.81640625" bestFit="1" customWidth="1"/>
    <col min="20" max="20" width="12.81640625" bestFit="1" customWidth="1"/>
    <col min="21" max="21" width="11.26953125" bestFit="1" customWidth="1"/>
    <col min="24" max="24" width="12.81640625" bestFit="1" customWidth="1"/>
    <col min="25" max="25" width="14.453125" bestFit="1" customWidth="1"/>
    <col min="26" max="26" width="14.7265625" bestFit="1" customWidth="1"/>
    <col min="27" max="27" width="29" customWidth="1"/>
  </cols>
  <sheetData>
    <row r="2" spans="1:31" ht="47.15" customHeight="1" x14ac:dyDescent="0.35">
      <c r="G2" s="55" t="s">
        <v>155</v>
      </c>
      <c r="H2" s="55" t="s">
        <v>156</v>
      </c>
      <c r="I2" s="55" t="s">
        <v>157</v>
      </c>
      <c r="J2" s="55" t="s">
        <v>158</v>
      </c>
      <c r="K2" s="55" t="s">
        <v>159</v>
      </c>
      <c r="L2" s="55" t="s">
        <v>160</v>
      </c>
      <c r="M2" s="55" t="s">
        <v>161</v>
      </c>
      <c r="N2" s="240" t="s">
        <v>90</v>
      </c>
      <c r="O2" s="240" t="s">
        <v>91</v>
      </c>
      <c r="P2" s="240" t="s">
        <v>92</v>
      </c>
      <c r="Q2" s="240" t="s">
        <v>93</v>
      </c>
      <c r="R2" s="243" t="s">
        <v>94</v>
      </c>
      <c r="S2" s="56"/>
      <c r="T2" s="244" t="s">
        <v>95</v>
      </c>
      <c r="U2" s="240" t="s">
        <v>96</v>
      </c>
      <c r="V2" s="240" t="s">
        <v>92</v>
      </c>
      <c r="X2" s="242" t="s">
        <v>97</v>
      </c>
      <c r="Y2" s="242"/>
      <c r="Z2" s="242"/>
      <c r="AA2" s="242"/>
    </row>
    <row r="3" spans="1:31" ht="52" x14ac:dyDescent="0.35">
      <c r="A3" s="8" t="s">
        <v>3</v>
      </c>
      <c r="B3" s="8" t="s">
        <v>12</v>
      </c>
      <c r="C3" s="8" t="s">
        <v>3</v>
      </c>
      <c r="D3" s="8" t="s">
        <v>4</v>
      </c>
      <c r="E3" s="8" t="s">
        <v>13</v>
      </c>
      <c r="F3" s="32" t="s">
        <v>14</v>
      </c>
      <c r="G3" s="57" t="s">
        <v>98</v>
      </c>
      <c r="H3" s="57" t="s">
        <v>98</v>
      </c>
      <c r="I3" s="57" t="s">
        <v>98</v>
      </c>
      <c r="J3" s="57" t="s">
        <v>98</v>
      </c>
      <c r="K3" s="57" t="s">
        <v>98</v>
      </c>
      <c r="L3" s="57" t="s">
        <v>98</v>
      </c>
      <c r="M3" s="57" t="s">
        <v>98</v>
      </c>
      <c r="N3" s="241"/>
      <c r="O3" s="241"/>
      <c r="P3" s="241"/>
      <c r="Q3" s="241"/>
      <c r="R3" s="241"/>
      <c r="S3" s="58"/>
      <c r="T3" s="241"/>
      <c r="U3" s="241"/>
      <c r="V3" s="241"/>
      <c r="X3" s="59" t="s">
        <v>99</v>
      </c>
      <c r="Y3" s="60" t="s">
        <v>100</v>
      </c>
      <c r="Z3" s="60" t="s">
        <v>6</v>
      </c>
      <c r="AA3" s="60" t="s">
        <v>101</v>
      </c>
    </row>
    <row r="4" spans="1:31" ht="26" x14ac:dyDescent="0.35">
      <c r="A4" s="15">
        <v>1</v>
      </c>
      <c r="B4" s="16" t="s">
        <v>15</v>
      </c>
      <c r="C4" s="17" t="s">
        <v>16</v>
      </c>
      <c r="D4" s="16" t="s">
        <v>17</v>
      </c>
      <c r="E4" s="18">
        <v>854</v>
      </c>
      <c r="F4" s="23">
        <v>12</v>
      </c>
      <c r="G4" s="61">
        <f>'[1]Grupo Kriterion'!G11</f>
        <v>14900</v>
      </c>
      <c r="H4" s="61">
        <f>'[1]Lan Solutions'!G11</f>
        <v>13700</v>
      </c>
      <c r="I4" s="61">
        <f>[1]Digicom!G11</f>
        <v>13100</v>
      </c>
      <c r="J4" s="61">
        <f>'[1]Servicios postales'!G11</f>
        <v>13225</v>
      </c>
      <c r="K4" s="61">
        <f>[1]Rottor!G11</f>
        <v>13000</v>
      </c>
      <c r="L4" s="61">
        <f>'[1]Indra Colombia'!G11</f>
        <v>14430</v>
      </c>
      <c r="M4" s="61">
        <f>'[1]TK Logistica'!G11</f>
        <v>14000</v>
      </c>
      <c r="N4" s="61">
        <f>AVERAGE(G4:M4)</f>
        <v>13765</v>
      </c>
      <c r="O4" s="61">
        <f>STDEV(G4:M4)</f>
        <v>719.83215636239345</v>
      </c>
      <c r="P4" s="62">
        <f>O4/N4</f>
        <v>5.2294381137841878E-2</v>
      </c>
      <c r="Q4" s="63">
        <f>N4-O4</f>
        <v>13045.167843637606</v>
      </c>
      <c r="R4" s="38">
        <f>N4+O4</f>
        <v>14484.832156362394</v>
      </c>
      <c r="S4" s="64"/>
      <c r="T4" s="38">
        <f>N4</f>
        <v>13765</v>
      </c>
      <c r="U4" s="38">
        <f>O4</f>
        <v>719.83215636239345</v>
      </c>
      <c r="V4" s="65">
        <f>U4/T4</f>
        <v>5.2294381137841878E-2</v>
      </c>
      <c r="W4" s="66"/>
      <c r="X4" s="38">
        <f>+ROUND(AVERAGE(G4,H4,I4,J4,K4,L4,M4),0)</f>
        <v>13765</v>
      </c>
      <c r="Y4" s="39">
        <v>0</v>
      </c>
      <c r="Z4" s="38">
        <f>Y4+X4</f>
        <v>13765</v>
      </c>
      <c r="AA4" s="39">
        <f>ROUND(Z4*E4*F4,0)</f>
        <v>141063720</v>
      </c>
      <c r="AD4" s="247"/>
      <c r="AE4" s="262"/>
    </row>
    <row r="5" spans="1:31" ht="26" x14ac:dyDescent="0.35">
      <c r="A5" s="15">
        <v>2</v>
      </c>
      <c r="B5" s="16" t="s">
        <v>15</v>
      </c>
      <c r="C5" s="17" t="s">
        <v>18</v>
      </c>
      <c r="D5" s="16" t="s">
        <v>17</v>
      </c>
      <c r="E5" s="18">
        <v>1547</v>
      </c>
      <c r="F5" s="23">
        <v>12</v>
      </c>
      <c r="G5" s="61">
        <f>'[1]Grupo Kriterion'!G12</f>
        <v>24000</v>
      </c>
      <c r="H5" s="61">
        <f>'[1]Lan Solutions'!G12</f>
        <v>25000</v>
      </c>
      <c r="I5" s="61">
        <f>[1]Digicom!G12</f>
        <v>21300</v>
      </c>
      <c r="J5" s="61">
        <f>'[1]Servicios postales'!G12</f>
        <v>20700</v>
      </c>
      <c r="K5" s="61">
        <f>[1]Rottor!G12</f>
        <v>19200</v>
      </c>
      <c r="L5" s="61">
        <f>'[1]Indra Colombia'!G12</f>
        <v>22200</v>
      </c>
      <c r="M5" s="61">
        <f>'[1]TK Logistica'!G12</f>
        <v>23000</v>
      </c>
      <c r="N5" s="61">
        <f t="shared" ref="N5:N39" si="0">AVERAGE(G5:M5)</f>
        <v>22200</v>
      </c>
      <c r="O5" s="61">
        <f t="shared" ref="O5:O39" si="1">STDEV(G5:M5)</f>
        <v>1990.8122295518815</v>
      </c>
      <c r="P5" s="62">
        <f t="shared" ref="P5:P39" si="2">O5/N5</f>
        <v>8.9676226556391056E-2</v>
      </c>
      <c r="Q5" s="63">
        <f t="shared" ref="Q5:Q39" si="3">N5-O5</f>
        <v>20209.187770448119</v>
      </c>
      <c r="R5" s="38">
        <f t="shared" ref="R5:R39" si="4">N5+O5</f>
        <v>24190.812229551881</v>
      </c>
      <c r="S5" s="64"/>
      <c r="T5" s="38">
        <f t="shared" ref="T5:U7" si="5">N5</f>
        <v>22200</v>
      </c>
      <c r="U5" s="38">
        <f t="shared" si="5"/>
        <v>1990.8122295518815</v>
      </c>
      <c r="V5" s="65">
        <f t="shared" ref="V5:V39" si="6">U5/T5</f>
        <v>8.9676226556391056E-2</v>
      </c>
      <c r="W5" s="66"/>
      <c r="X5" s="38">
        <f t="shared" ref="X5:X6" si="7">+ROUND(AVERAGE(G5,H5,I5,J5,K5,L5,M5),0)</f>
        <v>22200</v>
      </c>
      <c r="Y5" s="39">
        <v>0</v>
      </c>
      <c r="Z5" s="38">
        <f t="shared" ref="Z5:Z39" si="8">Y5+X5</f>
        <v>22200</v>
      </c>
      <c r="AA5" s="39">
        <f t="shared" ref="AA5:AA39" si="9">ROUND(Z5*E5*F5,0)</f>
        <v>412120800</v>
      </c>
      <c r="AD5" s="247"/>
      <c r="AE5" s="262"/>
    </row>
    <row r="6" spans="1:31" ht="26" x14ac:dyDescent="0.35">
      <c r="A6" s="15">
        <v>3</v>
      </c>
      <c r="B6" s="16" t="s">
        <v>15</v>
      </c>
      <c r="C6" s="17" t="s">
        <v>19</v>
      </c>
      <c r="D6" s="16" t="s">
        <v>17</v>
      </c>
      <c r="E6" s="18">
        <v>107</v>
      </c>
      <c r="F6" s="23">
        <v>12</v>
      </c>
      <c r="G6" s="61">
        <f>'[1]Grupo Kriterion'!G13</f>
        <v>20800</v>
      </c>
      <c r="H6" s="61">
        <f>'[1]Lan Solutions'!G13</f>
        <v>22100</v>
      </c>
      <c r="I6" s="61">
        <f>[1]Digicom!G13</f>
        <v>19900</v>
      </c>
      <c r="J6" s="61">
        <f>'[1]Servicios postales'!G13</f>
        <v>18400</v>
      </c>
      <c r="K6" s="61">
        <f>[1]Rottor!G13</f>
        <v>17900</v>
      </c>
      <c r="L6" s="61">
        <f>'[1]Indra Colombia'!G13</f>
        <v>19980</v>
      </c>
      <c r="M6" s="61">
        <f>'[1]TK Logistica'!G13</f>
        <v>21000</v>
      </c>
      <c r="N6" s="61">
        <f t="shared" si="0"/>
        <v>20011.428571428572</v>
      </c>
      <c r="O6" s="61">
        <f t="shared" si="1"/>
        <v>1473.628498767906</v>
      </c>
      <c r="P6" s="62">
        <f t="shared" si="2"/>
        <v>7.3639345312502436E-2</v>
      </c>
      <c r="Q6" s="63">
        <f t="shared" si="3"/>
        <v>18537.800072660666</v>
      </c>
      <c r="R6" s="38">
        <f t="shared" si="4"/>
        <v>21485.057070196479</v>
      </c>
      <c r="S6" s="64"/>
      <c r="T6" s="38">
        <f t="shared" si="5"/>
        <v>20011.428571428572</v>
      </c>
      <c r="U6" s="38">
        <f t="shared" si="5"/>
        <v>1473.628498767906</v>
      </c>
      <c r="V6" s="65">
        <f t="shared" si="6"/>
        <v>7.3639345312502436E-2</v>
      </c>
      <c r="W6" s="66"/>
      <c r="X6" s="38">
        <f t="shared" si="7"/>
        <v>20011</v>
      </c>
      <c r="Y6" s="39">
        <v>0</v>
      </c>
      <c r="Z6" s="38">
        <f t="shared" si="8"/>
        <v>20011</v>
      </c>
      <c r="AA6" s="39">
        <f t="shared" si="9"/>
        <v>25694124</v>
      </c>
      <c r="AD6" s="247"/>
      <c r="AE6" s="262"/>
    </row>
    <row r="7" spans="1:31" ht="26" x14ac:dyDescent="0.35">
      <c r="A7" s="15">
        <v>4</v>
      </c>
      <c r="B7" s="16" t="s">
        <v>15</v>
      </c>
      <c r="C7" s="17" t="s">
        <v>20</v>
      </c>
      <c r="D7" s="16" t="s">
        <v>17</v>
      </c>
      <c r="E7" s="18">
        <v>160</v>
      </c>
      <c r="F7" s="23">
        <v>12</v>
      </c>
      <c r="G7" s="61">
        <f>'[1]Grupo Kriterion'!G14</f>
        <v>47000</v>
      </c>
      <c r="H7" s="61">
        <f>'[1]Lan Solutions'!G14</f>
        <v>45000</v>
      </c>
      <c r="I7" s="61">
        <f>[1]Digicom!G14</f>
        <v>44800</v>
      </c>
      <c r="J7" s="61">
        <f>'[1]Servicios postales'!G14</f>
        <v>39100</v>
      </c>
      <c r="K7" s="61">
        <f>[1]Rottor!G14</f>
        <v>38000</v>
      </c>
      <c r="L7" s="61">
        <f>'[1]Indra Colombia'!G14</f>
        <v>46620</v>
      </c>
      <c r="M7" s="61">
        <f>'[1]TK Logistica'!G14</f>
        <v>42000</v>
      </c>
      <c r="N7" s="61">
        <f t="shared" si="0"/>
        <v>43217.142857142855</v>
      </c>
      <c r="O7" s="61">
        <f t="shared" si="1"/>
        <v>3587.5791015005939</v>
      </c>
      <c r="P7" s="62">
        <f t="shared" si="2"/>
        <v>8.3012870919291812E-2</v>
      </c>
      <c r="Q7" s="63">
        <f t="shared" si="3"/>
        <v>39629.563755642259</v>
      </c>
      <c r="R7" s="38">
        <f t="shared" si="4"/>
        <v>46804.721958643451</v>
      </c>
      <c r="S7" s="67"/>
      <c r="T7" s="38">
        <f t="shared" si="5"/>
        <v>43217.142857142855</v>
      </c>
      <c r="U7" s="38">
        <f t="shared" si="5"/>
        <v>3587.5791015005939</v>
      </c>
      <c r="V7" s="65">
        <f t="shared" si="6"/>
        <v>8.3012870919291812E-2</v>
      </c>
      <c r="W7" s="66"/>
      <c r="X7" s="38">
        <f>+ROUND(AVERAGE(G7,H7,I7,J7,K7,L7,M7),0)</f>
        <v>43217</v>
      </c>
      <c r="Y7" s="39">
        <v>0</v>
      </c>
      <c r="Z7" s="38">
        <f t="shared" si="8"/>
        <v>43217</v>
      </c>
      <c r="AA7" s="39">
        <f t="shared" si="9"/>
        <v>82976640</v>
      </c>
      <c r="AD7" s="247"/>
      <c r="AE7" s="262"/>
    </row>
    <row r="8" spans="1:31" ht="26" x14ac:dyDescent="0.35">
      <c r="A8" s="15">
        <v>5</v>
      </c>
      <c r="B8" s="16" t="s">
        <v>15</v>
      </c>
      <c r="C8" s="17" t="s">
        <v>21</v>
      </c>
      <c r="D8" s="16" t="s">
        <v>17</v>
      </c>
      <c r="E8" s="18">
        <v>4</v>
      </c>
      <c r="F8" s="23">
        <v>12</v>
      </c>
      <c r="G8" s="61">
        <f>'[1]Grupo Kriterion'!G15</f>
        <v>450000</v>
      </c>
      <c r="H8" s="61">
        <f>'[1]Lan Solutions'!G15</f>
        <v>500000</v>
      </c>
      <c r="I8" s="61">
        <f>[1]Digicom!G15</f>
        <v>783100</v>
      </c>
      <c r="J8" s="61">
        <f>'[1]Servicios postales'!G15</f>
        <v>345000</v>
      </c>
      <c r="K8" s="61">
        <f>[1]Rottor!G15</f>
        <v>330000</v>
      </c>
      <c r="L8" s="61">
        <f>'[1]Indra Colombia'!G15</f>
        <v>444222</v>
      </c>
      <c r="M8" s="61">
        <f>'[1]TK Logistica'!G15</f>
        <v>400000</v>
      </c>
      <c r="N8" s="61">
        <f t="shared" si="0"/>
        <v>464617.42857142858</v>
      </c>
      <c r="O8" s="61">
        <f t="shared" si="1"/>
        <v>152707.95152715218</v>
      </c>
      <c r="P8" s="62">
        <f t="shared" si="2"/>
        <v>0.32867460869190235</v>
      </c>
      <c r="Q8" s="63">
        <f t="shared" si="3"/>
        <v>311909.47704427643</v>
      </c>
      <c r="R8" s="38">
        <f t="shared" si="4"/>
        <v>617325.38009858073</v>
      </c>
      <c r="S8" s="68"/>
      <c r="T8" s="38">
        <f>AVERAGE(G8,H8,J8,K8,L8,M8)</f>
        <v>411537</v>
      </c>
      <c r="U8" s="38">
        <f>STDEV(G8,H8,J8,K8,L8,M8)</f>
        <v>65699.2710309635</v>
      </c>
      <c r="V8" s="65">
        <f t="shared" si="6"/>
        <v>0.15964365544522971</v>
      </c>
      <c r="W8" s="66"/>
      <c r="X8" s="38">
        <f>+ROUND(GEOMEAN(G8,H8,J8,K8,L8,M8),0)</f>
        <v>407095</v>
      </c>
      <c r="Y8" s="39">
        <v>0</v>
      </c>
      <c r="Z8" s="38">
        <f t="shared" si="8"/>
        <v>407095</v>
      </c>
      <c r="AA8" s="39">
        <f t="shared" si="9"/>
        <v>19540560</v>
      </c>
      <c r="AD8" s="247"/>
      <c r="AE8" s="262"/>
    </row>
    <row r="9" spans="1:31" ht="91" x14ac:dyDescent="0.35">
      <c r="A9" s="15">
        <v>6</v>
      </c>
      <c r="B9" s="16" t="s">
        <v>22</v>
      </c>
      <c r="C9" s="17" t="s">
        <v>23</v>
      </c>
      <c r="D9" s="16" t="s">
        <v>24</v>
      </c>
      <c r="E9" s="15">
        <v>144</v>
      </c>
      <c r="F9" s="24">
        <v>12</v>
      </c>
      <c r="G9" s="61">
        <f>'[1]Grupo Kriterion'!G16</f>
        <v>146000</v>
      </c>
      <c r="H9" s="61">
        <f>'[1]Lan Solutions'!G16</f>
        <v>140000</v>
      </c>
      <c r="I9" s="61">
        <f>[1]Digicom!G16</f>
        <v>129900</v>
      </c>
      <c r="J9" s="61">
        <f>'[1]Servicios postales'!G16</f>
        <v>126500</v>
      </c>
      <c r="K9" s="61">
        <f>[1]Rottor!G16</f>
        <v>124000</v>
      </c>
      <c r="L9" s="61">
        <f>'[1]Indra Colombia'!G16</f>
        <v>333000</v>
      </c>
      <c r="M9" s="61">
        <f>'[1]TK Logistica'!G16</f>
        <v>135000</v>
      </c>
      <c r="N9" s="61">
        <f t="shared" si="0"/>
        <v>162057.14285714287</v>
      </c>
      <c r="O9" s="61">
        <f t="shared" si="1"/>
        <v>75767.888034066636</v>
      </c>
      <c r="P9" s="62">
        <f t="shared" si="2"/>
        <v>0.46753809611994573</v>
      </c>
      <c r="Q9" s="63">
        <f t="shared" si="3"/>
        <v>86289.254823076233</v>
      </c>
      <c r="R9" s="38">
        <f t="shared" si="4"/>
        <v>237825.03089120949</v>
      </c>
      <c r="S9" s="68"/>
      <c r="T9" s="38">
        <f t="shared" ref="T9:T11" si="10">AVERAGEIFS(G9:M9,G9:M9,"&gt;"&amp;Q9,G9:M9,"&lt;"&amp;R9)</f>
        <v>133566.66666666666</v>
      </c>
      <c r="U9" s="38">
        <f>STDEV(G9,H9,I9,J9:K9,M9)</f>
        <v>8401.5871516438292</v>
      </c>
      <c r="V9" s="65">
        <f t="shared" si="6"/>
        <v>6.2901825442803816E-2</v>
      </c>
      <c r="W9" s="66"/>
      <c r="X9" s="38">
        <f>+ROUND(AVERAGE(G9,H9,I9,J9,K9,M9),0)</f>
        <v>133567</v>
      </c>
      <c r="Y9" s="39">
        <v>0</v>
      </c>
      <c r="Z9" s="38">
        <f t="shared" si="8"/>
        <v>133567</v>
      </c>
      <c r="AA9" s="39">
        <f>ROUND(Z9*E9*F9,0)</f>
        <v>230803776</v>
      </c>
      <c r="AD9" s="247"/>
      <c r="AE9" s="262"/>
    </row>
    <row r="10" spans="1:31" ht="91" x14ac:dyDescent="0.35">
      <c r="A10" s="15">
        <v>7</v>
      </c>
      <c r="B10" s="16" t="s">
        <v>22</v>
      </c>
      <c r="C10" s="17" t="s">
        <v>25</v>
      </c>
      <c r="D10" s="16" t="s">
        <v>24</v>
      </c>
      <c r="E10" s="15">
        <v>554</v>
      </c>
      <c r="F10" s="24">
        <v>12</v>
      </c>
      <c r="G10" s="61">
        <f>'[1]Grupo Kriterion'!G17</f>
        <v>190000</v>
      </c>
      <c r="H10" s="61">
        <f>'[1]Lan Solutions'!G17</f>
        <v>180000</v>
      </c>
      <c r="I10" s="61">
        <f>[1]Digicom!G17</f>
        <v>177200</v>
      </c>
      <c r="J10" s="61">
        <f>'[1]Servicios postales'!G17</f>
        <v>149500</v>
      </c>
      <c r="K10" s="61">
        <f>[1]Rottor!G17</f>
        <v>147000</v>
      </c>
      <c r="L10" s="61">
        <f>'[1]Indra Colombia'!G17</f>
        <v>333000</v>
      </c>
      <c r="M10" s="61">
        <f>'[1]TK Logistica'!G17</f>
        <v>160000</v>
      </c>
      <c r="N10" s="61">
        <f t="shared" si="0"/>
        <v>190957.14285714287</v>
      </c>
      <c r="O10" s="61">
        <f t="shared" si="1"/>
        <v>64673.123143566045</v>
      </c>
      <c r="P10" s="62">
        <f t="shared" si="2"/>
        <v>0.33867873270364501</v>
      </c>
      <c r="Q10" s="63">
        <f t="shared" si="3"/>
        <v>126284.01971357682</v>
      </c>
      <c r="R10" s="38">
        <f t="shared" si="4"/>
        <v>255630.26600070891</v>
      </c>
      <c r="S10" s="68"/>
      <c r="T10" s="38">
        <f t="shared" si="10"/>
        <v>167283.33333333334</v>
      </c>
      <c r="U10" s="38">
        <f>STDEV(G10,H10,I10,J10,K10,M10)</f>
        <v>17645.443226699255</v>
      </c>
      <c r="V10" s="65">
        <f t="shared" si="6"/>
        <v>0.10548237457427072</v>
      </c>
      <c r="W10" s="66"/>
      <c r="X10" s="38">
        <f>+ROUND(GEOMEAN(G10,H10,J10,K10,I10,M10),0)</f>
        <v>166505</v>
      </c>
      <c r="Y10" s="39">
        <v>0</v>
      </c>
      <c r="Z10" s="38">
        <f t="shared" si="8"/>
        <v>166505</v>
      </c>
      <c r="AA10" s="39">
        <f t="shared" si="9"/>
        <v>1106925240</v>
      </c>
      <c r="AD10" s="247"/>
      <c r="AE10" s="262"/>
    </row>
    <row r="11" spans="1:31" ht="91" x14ac:dyDescent="0.35">
      <c r="A11" s="15">
        <v>8</v>
      </c>
      <c r="B11" s="16" t="s">
        <v>22</v>
      </c>
      <c r="C11" s="17" t="s">
        <v>26</v>
      </c>
      <c r="D11" s="16" t="s">
        <v>24</v>
      </c>
      <c r="E11" s="15">
        <v>22</v>
      </c>
      <c r="F11" s="24">
        <v>12</v>
      </c>
      <c r="G11" s="61">
        <f>'[1]Grupo Kriterion'!G18</f>
        <v>180000</v>
      </c>
      <c r="H11" s="61">
        <f>'[1]Lan Solutions'!G18</f>
        <v>174000</v>
      </c>
      <c r="I11" s="61">
        <f>[1]Digicom!G18</f>
        <v>139700</v>
      </c>
      <c r="J11" s="61">
        <f>'[1]Servicios postales'!G18</f>
        <v>138000</v>
      </c>
      <c r="K11" s="61">
        <f>[1]Rottor!G18</f>
        <v>135000</v>
      </c>
      <c r="L11" s="61">
        <f>'[1]Indra Colombia'!G18</f>
        <v>333000</v>
      </c>
      <c r="M11" s="61">
        <f>'[1]TK Logistica'!G18</f>
        <v>155000</v>
      </c>
      <c r="N11" s="61">
        <f t="shared" si="0"/>
        <v>179242.85714285713</v>
      </c>
      <c r="O11" s="61">
        <f t="shared" si="1"/>
        <v>70094.076239076894</v>
      </c>
      <c r="P11" s="62">
        <f t="shared" si="2"/>
        <v>0.39105645466927419</v>
      </c>
      <c r="Q11" s="63">
        <f t="shared" si="3"/>
        <v>109148.78090378024</v>
      </c>
      <c r="R11" s="38">
        <f t="shared" si="4"/>
        <v>249336.93338193401</v>
      </c>
      <c r="S11" s="68"/>
      <c r="T11" s="38">
        <f t="shared" si="10"/>
        <v>153616.66666666666</v>
      </c>
      <c r="U11" s="38">
        <f>STDEV(G11,H11,I11,J11,K11,M11)</f>
        <v>19481.315835093603</v>
      </c>
      <c r="V11" s="65">
        <f t="shared" si="6"/>
        <v>0.12681772269779931</v>
      </c>
      <c r="W11" s="66"/>
      <c r="X11" s="38">
        <f>+ROUND(GEOMEAN(G11,H11,J11,K11,I11,M11),0)</f>
        <v>152614</v>
      </c>
      <c r="Y11" s="39">
        <v>0</v>
      </c>
      <c r="Z11" s="38">
        <f t="shared" si="8"/>
        <v>152614</v>
      </c>
      <c r="AA11" s="39">
        <f t="shared" si="9"/>
        <v>40290096</v>
      </c>
      <c r="AD11" s="247"/>
      <c r="AE11" s="262"/>
    </row>
    <row r="12" spans="1:31" ht="91" x14ac:dyDescent="0.35">
      <c r="A12" s="15">
        <v>9</v>
      </c>
      <c r="B12" s="16" t="s">
        <v>22</v>
      </c>
      <c r="C12" s="17" t="s">
        <v>27</v>
      </c>
      <c r="D12" s="16" t="s">
        <v>24</v>
      </c>
      <c r="E12" s="15">
        <v>79</v>
      </c>
      <c r="F12" s="24">
        <v>12</v>
      </c>
      <c r="G12" s="61">
        <f>'[1]Grupo Kriterion'!G19</f>
        <v>420000</v>
      </c>
      <c r="H12" s="61">
        <f>'[1]Lan Solutions'!G19</f>
        <v>390000</v>
      </c>
      <c r="I12" s="61">
        <f>[1]Digicom!G19</f>
        <v>347200</v>
      </c>
      <c r="J12" s="61">
        <f>'[1]Servicios postales'!G19</f>
        <v>345000</v>
      </c>
      <c r="K12" s="61">
        <f>[1]Rottor!G19</f>
        <v>320000</v>
      </c>
      <c r="L12" s="61">
        <f>'[1]Indra Colombia'!G19</f>
        <v>333000</v>
      </c>
      <c r="M12" s="61">
        <f>'[1]TK Logistica'!G19</f>
        <v>400000</v>
      </c>
      <c r="N12" s="61">
        <f t="shared" si="0"/>
        <v>365028.57142857142</v>
      </c>
      <c r="O12" s="61">
        <f t="shared" si="1"/>
        <v>37949.163991042638</v>
      </c>
      <c r="P12" s="62">
        <f t="shared" si="2"/>
        <v>0.10396217436494148</v>
      </c>
      <c r="Q12" s="63">
        <f t="shared" si="3"/>
        <v>327079.40743752877</v>
      </c>
      <c r="R12" s="38">
        <f t="shared" si="4"/>
        <v>402977.73541961407</v>
      </c>
      <c r="S12" s="69"/>
      <c r="T12" s="38">
        <f t="shared" ref="T12:U39" si="11">N12</f>
        <v>365028.57142857142</v>
      </c>
      <c r="U12" s="38">
        <f t="shared" si="11"/>
        <v>37949.163991042638</v>
      </c>
      <c r="V12" s="65">
        <f t="shared" si="6"/>
        <v>0.10396217436494148</v>
      </c>
      <c r="W12" s="66"/>
      <c r="X12" s="38">
        <f t="shared" ref="X12:X14" si="12">+ROUND(AVERAGE(G12,H12,I12,J12,K12,L12,M12),0)</f>
        <v>365029</v>
      </c>
      <c r="Y12" s="39">
        <v>0</v>
      </c>
      <c r="Z12" s="38">
        <f t="shared" si="8"/>
        <v>365029</v>
      </c>
      <c r="AA12" s="39">
        <f t="shared" si="9"/>
        <v>346047492</v>
      </c>
      <c r="AD12" s="247"/>
      <c r="AE12" s="262"/>
    </row>
    <row r="13" spans="1:31" ht="91" x14ac:dyDescent="0.35">
      <c r="A13" s="15">
        <v>10</v>
      </c>
      <c r="B13" s="16" t="s">
        <v>28</v>
      </c>
      <c r="C13" s="17" t="s">
        <v>29</v>
      </c>
      <c r="D13" s="16" t="s">
        <v>30</v>
      </c>
      <c r="E13" s="15">
        <v>12</v>
      </c>
      <c r="F13" s="25">
        <v>12</v>
      </c>
      <c r="G13" s="61">
        <f>'[1]Grupo Kriterion'!G20</f>
        <v>360000</v>
      </c>
      <c r="H13" s="61">
        <f>'[1]Lan Solutions'!G20</f>
        <v>345000</v>
      </c>
      <c r="I13" s="61">
        <f>[1]Digicom!G20</f>
        <v>320000</v>
      </c>
      <c r="J13" s="61">
        <f>'[1]Servicios postales'!G20</f>
        <v>322000</v>
      </c>
      <c r="K13" s="61">
        <f>[1]Rottor!G20</f>
        <v>310000</v>
      </c>
      <c r="L13" s="61">
        <f>'[1]Indra Colombia'!G20</f>
        <v>321900</v>
      </c>
      <c r="M13" s="61">
        <f>'[1]TK Logistica'!G20</f>
        <v>350000</v>
      </c>
      <c r="N13" s="61">
        <f t="shared" si="0"/>
        <v>332700</v>
      </c>
      <c r="O13" s="61">
        <f t="shared" si="1"/>
        <v>18724.226730806982</v>
      </c>
      <c r="P13" s="62">
        <f t="shared" si="2"/>
        <v>5.6279611454183899E-2</v>
      </c>
      <c r="Q13" s="63">
        <f t="shared" si="3"/>
        <v>313975.77326919301</v>
      </c>
      <c r="R13" s="38">
        <f t="shared" si="4"/>
        <v>351424.22673080699</v>
      </c>
      <c r="S13" s="64"/>
      <c r="T13" s="38">
        <f t="shared" si="11"/>
        <v>332700</v>
      </c>
      <c r="U13" s="38">
        <f t="shared" si="11"/>
        <v>18724.226730806982</v>
      </c>
      <c r="V13" s="65">
        <f t="shared" si="6"/>
        <v>5.6279611454183899E-2</v>
      </c>
      <c r="W13" s="66"/>
      <c r="X13" s="38">
        <f t="shared" si="12"/>
        <v>332700</v>
      </c>
      <c r="Y13" s="39">
        <v>0</v>
      </c>
      <c r="Z13" s="38">
        <f t="shared" si="8"/>
        <v>332700</v>
      </c>
      <c r="AA13" s="39">
        <f t="shared" si="9"/>
        <v>47908800</v>
      </c>
      <c r="AD13" s="247"/>
      <c r="AE13" s="262"/>
    </row>
    <row r="14" spans="1:31" ht="91" x14ac:dyDescent="0.35">
      <c r="A14" s="15">
        <v>11</v>
      </c>
      <c r="B14" s="16" t="s">
        <v>28</v>
      </c>
      <c r="C14" s="17" t="s">
        <v>31</v>
      </c>
      <c r="D14" s="16" t="s">
        <v>30</v>
      </c>
      <c r="E14" s="15">
        <v>1</v>
      </c>
      <c r="F14" s="25">
        <v>12</v>
      </c>
      <c r="G14" s="61">
        <f>'[1]Grupo Kriterion'!G21</f>
        <v>355000</v>
      </c>
      <c r="H14" s="61">
        <f>'[1]Lan Solutions'!G21</f>
        <v>330000</v>
      </c>
      <c r="I14" s="61">
        <f>[1]Digicom!G21</f>
        <v>312500</v>
      </c>
      <c r="J14" s="61">
        <f>'[1]Servicios postales'!G21</f>
        <v>316250</v>
      </c>
      <c r="K14" s="61">
        <f>[1]Rottor!G21</f>
        <v>300000</v>
      </c>
      <c r="L14" s="61">
        <f>'[1]Indra Colombia'!G21</f>
        <v>321900</v>
      </c>
      <c r="M14" s="61">
        <f>'[1]TK Logistica'!G21</f>
        <v>340000</v>
      </c>
      <c r="N14" s="61">
        <f t="shared" si="0"/>
        <v>325092.85714285716</v>
      </c>
      <c r="O14" s="61">
        <f t="shared" si="1"/>
        <v>18336.494316240598</v>
      </c>
      <c r="P14" s="62">
        <f t="shared" si="2"/>
        <v>5.6403867120903554E-2</v>
      </c>
      <c r="Q14" s="63">
        <f t="shared" si="3"/>
        <v>306756.36282661656</v>
      </c>
      <c r="R14" s="38">
        <f t="shared" si="4"/>
        <v>343429.35145909776</v>
      </c>
      <c r="S14" s="64"/>
      <c r="T14" s="38">
        <f t="shared" si="11"/>
        <v>325092.85714285716</v>
      </c>
      <c r="U14" s="38">
        <f t="shared" si="11"/>
        <v>18336.494316240598</v>
      </c>
      <c r="V14" s="65">
        <f t="shared" si="6"/>
        <v>5.6403867120903554E-2</v>
      </c>
      <c r="W14" s="66"/>
      <c r="X14" s="38">
        <f t="shared" si="12"/>
        <v>325093</v>
      </c>
      <c r="Y14" s="39">
        <v>0</v>
      </c>
      <c r="Z14" s="38">
        <f t="shared" si="8"/>
        <v>325093</v>
      </c>
      <c r="AA14" s="39">
        <f t="shared" si="9"/>
        <v>3901116</v>
      </c>
      <c r="AD14" s="247"/>
      <c r="AE14" s="262"/>
    </row>
    <row r="15" spans="1:31" ht="91" x14ac:dyDescent="0.35">
      <c r="A15" s="15">
        <v>12</v>
      </c>
      <c r="B15" s="16" t="s">
        <v>28</v>
      </c>
      <c r="C15" s="17" t="s">
        <v>32</v>
      </c>
      <c r="D15" s="16" t="s">
        <v>30</v>
      </c>
      <c r="E15" s="15">
        <v>1</v>
      </c>
      <c r="F15" s="25">
        <v>12</v>
      </c>
      <c r="G15" s="61">
        <f>'[1]Grupo Kriterion'!G22</f>
        <v>405000</v>
      </c>
      <c r="H15" s="61">
        <f>'[1]Lan Solutions'!G22</f>
        <v>430000</v>
      </c>
      <c r="I15" s="61">
        <f>[1]Digicom!G22</f>
        <v>345500</v>
      </c>
      <c r="J15" s="61">
        <f>'[1]Servicios postales'!G22</f>
        <v>333500</v>
      </c>
      <c r="K15" s="61">
        <f>[1]Rottor!G22</f>
        <v>320000</v>
      </c>
      <c r="L15" s="61">
        <f>'[1]Indra Colombia'!G22</f>
        <v>321900</v>
      </c>
      <c r="M15" s="61">
        <f>'[1]TK Logistica'!G22</f>
        <v>450000</v>
      </c>
      <c r="N15" s="61">
        <f t="shared" si="0"/>
        <v>372271.42857142858</v>
      </c>
      <c r="O15" s="61">
        <f t="shared" si="1"/>
        <v>54673.26324891999</v>
      </c>
      <c r="P15" s="62">
        <f t="shared" si="2"/>
        <v>0.14686397894870867</v>
      </c>
      <c r="Q15" s="63">
        <f t="shared" si="3"/>
        <v>317598.1653225086</v>
      </c>
      <c r="R15" s="38">
        <f t="shared" si="4"/>
        <v>426944.69182034855</v>
      </c>
      <c r="S15" s="64"/>
      <c r="T15" s="38">
        <f t="shared" si="11"/>
        <v>372271.42857142858</v>
      </c>
      <c r="U15" s="38">
        <f>O15</f>
        <v>54673.26324891999</v>
      </c>
      <c r="V15" s="65">
        <f t="shared" si="6"/>
        <v>0.14686397894870867</v>
      </c>
      <c r="W15" s="66"/>
      <c r="X15" s="38">
        <f>+ROUND(GEOMEAN(G15,J15,K15,L15,I15,H15,M15),0)</f>
        <v>368923</v>
      </c>
      <c r="Y15" s="39">
        <v>0</v>
      </c>
      <c r="Z15" s="38">
        <f t="shared" si="8"/>
        <v>368923</v>
      </c>
      <c r="AA15" s="39">
        <f t="shared" si="9"/>
        <v>4427076</v>
      </c>
      <c r="AD15" s="247"/>
      <c r="AE15" s="262"/>
    </row>
    <row r="16" spans="1:31" ht="52" x14ac:dyDescent="0.35">
      <c r="A16" s="20">
        <v>13</v>
      </c>
      <c r="B16" s="220" t="s">
        <v>33</v>
      </c>
      <c r="C16" s="17" t="s">
        <v>34</v>
      </c>
      <c r="D16" s="16" t="s">
        <v>66</v>
      </c>
      <c r="E16" s="15">
        <v>1</v>
      </c>
      <c r="F16" s="25">
        <v>12</v>
      </c>
      <c r="G16" s="61">
        <f>'[1]Grupo Kriterion'!G23</f>
        <v>680000</v>
      </c>
      <c r="H16" s="61">
        <f>'[1]Lan Solutions'!G23</f>
        <v>850000</v>
      </c>
      <c r="I16" s="61">
        <f>[1]Digicom!G23</f>
        <v>651300</v>
      </c>
      <c r="J16" s="61">
        <f>'[1]Servicios postales'!G23</f>
        <v>575000</v>
      </c>
      <c r="K16" s="61">
        <f>[1]Rottor!G23</f>
        <v>550000</v>
      </c>
      <c r="L16" s="61">
        <f>'[1]Indra Colombia'!G23</f>
        <v>999000</v>
      </c>
      <c r="M16" s="61">
        <f>'[1]TK Logistica'!G23</f>
        <v>705000</v>
      </c>
      <c r="N16" s="61">
        <f t="shared" si="0"/>
        <v>715757.14285714284</v>
      </c>
      <c r="O16" s="61">
        <f t="shared" si="1"/>
        <v>158684.52830635218</v>
      </c>
      <c r="P16" s="62">
        <f t="shared" si="2"/>
        <v>0.22170163426231268</v>
      </c>
      <c r="Q16" s="63">
        <f t="shared" si="3"/>
        <v>557072.61455079063</v>
      </c>
      <c r="R16" s="38">
        <f t="shared" si="4"/>
        <v>874441.67116349505</v>
      </c>
      <c r="S16" s="64"/>
      <c r="T16" s="38">
        <f t="shared" si="11"/>
        <v>715757.14285714284</v>
      </c>
      <c r="U16" s="38">
        <f t="shared" si="11"/>
        <v>158684.52830635218</v>
      </c>
      <c r="V16" s="65">
        <f t="shared" si="6"/>
        <v>0.22170163426231268</v>
      </c>
      <c r="W16" s="66"/>
      <c r="X16" s="38">
        <f t="shared" ref="X16:X18" si="13">+ROUND(GEOMEAN(G16,J16,K16,L16,I16,H16,M16),0)</f>
        <v>701800</v>
      </c>
      <c r="Y16" s="39">
        <f>+ROUND(X16*0.19,0)</f>
        <v>133342</v>
      </c>
      <c r="Z16" s="38">
        <f t="shared" si="8"/>
        <v>835142</v>
      </c>
      <c r="AA16" s="39">
        <f t="shared" si="9"/>
        <v>10021704</v>
      </c>
      <c r="AD16" s="247"/>
      <c r="AE16" s="262"/>
    </row>
    <row r="17" spans="1:31" ht="52" x14ac:dyDescent="0.35">
      <c r="A17" s="20">
        <v>14</v>
      </c>
      <c r="B17" s="221"/>
      <c r="C17" s="17" t="s">
        <v>35</v>
      </c>
      <c r="D17" s="16" t="s">
        <v>66</v>
      </c>
      <c r="E17" s="15">
        <v>1</v>
      </c>
      <c r="F17" s="25">
        <v>12</v>
      </c>
      <c r="G17" s="61">
        <f>'[1]Grupo Kriterion'!G24</f>
        <v>880000</v>
      </c>
      <c r="H17" s="61">
        <f>'[1]Lan Solutions'!G24</f>
        <v>905000</v>
      </c>
      <c r="I17" s="61">
        <f>[1]Digicom!G24</f>
        <v>672100</v>
      </c>
      <c r="J17" s="61">
        <f>'[1]Servicios postales'!G24</f>
        <v>690000</v>
      </c>
      <c r="K17" s="61">
        <f>[1]Rottor!G24</f>
        <v>640000</v>
      </c>
      <c r="L17" s="61">
        <f>'[1]Indra Colombia'!G24</f>
        <v>999000</v>
      </c>
      <c r="M17" s="61">
        <f>'[1]TK Logistica'!G24</f>
        <v>795000</v>
      </c>
      <c r="N17" s="61">
        <f t="shared" si="0"/>
        <v>797300</v>
      </c>
      <c r="O17" s="61">
        <f t="shared" si="1"/>
        <v>136050.46857692185</v>
      </c>
      <c r="P17" s="62">
        <f t="shared" si="2"/>
        <v>0.17063899232023311</v>
      </c>
      <c r="Q17" s="63">
        <f t="shared" si="3"/>
        <v>661249.53142307815</v>
      </c>
      <c r="R17" s="38">
        <f t="shared" si="4"/>
        <v>933350.46857692185</v>
      </c>
      <c r="S17" s="64"/>
      <c r="T17" s="38">
        <f t="shared" si="11"/>
        <v>797300</v>
      </c>
      <c r="U17" s="38">
        <f t="shared" si="11"/>
        <v>136050.46857692185</v>
      </c>
      <c r="V17" s="65">
        <f t="shared" si="6"/>
        <v>0.17063899232023311</v>
      </c>
      <c r="W17" s="66"/>
      <c r="X17" s="38">
        <f t="shared" si="13"/>
        <v>787441</v>
      </c>
      <c r="Y17" s="39">
        <f t="shared" ref="Y17:Y21" si="14">+ROUND(X17*0.19,0)</f>
        <v>149614</v>
      </c>
      <c r="Z17" s="38">
        <f t="shared" si="8"/>
        <v>937055</v>
      </c>
      <c r="AA17" s="39">
        <f t="shared" si="9"/>
        <v>11244660</v>
      </c>
      <c r="AD17" s="247"/>
      <c r="AE17" s="262"/>
    </row>
    <row r="18" spans="1:31" ht="52" x14ac:dyDescent="0.35">
      <c r="A18" s="20">
        <v>15</v>
      </c>
      <c r="B18" s="222"/>
      <c r="C18" s="17" t="s">
        <v>36</v>
      </c>
      <c r="D18" s="16" t="s">
        <v>66</v>
      </c>
      <c r="E18" s="15">
        <v>1</v>
      </c>
      <c r="F18" s="25">
        <v>12</v>
      </c>
      <c r="G18" s="61">
        <f>'[1]Grupo Kriterion'!G25</f>
        <v>1200000</v>
      </c>
      <c r="H18" s="61">
        <f>'[1]Lan Solutions'!G25</f>
        <v>1100000</v>
      </c>
      <c r="I18" s="61">
        <f>[1]Digicom!G25</f>
        <v>958000</v>
      </c>
      <c r="J18" s="61">
        <f>'[1]Servicios postales'!G25</f>
        <v>977500</v>
      </c>
      <c r="K18" s="61">
        <f>[1]Rottor!G25</f>
        <v>880000</v>
      </c>
      <c r="L18" s="61">
        <f>'[1]Indra Colombia'!G25</f>
        <v>999000</v>
      </c>
      <c r="M18" s="61">
        <f>'[1]TK Logistica'!G25</f>
        <v>950000</v>
      </c>
      <c r="N18" s="61">
        <f t="shared" si="0"/>
        <v>1009214.2857142857</v>
      </c>
      <c r="O18" s="61">
        <f t="shared" si="1"/>
        <v>106908.78399475927</v>
      </c>
      <c r="P18" s="62">
        <f t="shared" si="2"/>
        <v>0.10593268992332294</v>
      </c>
      <c r="Q18" s="63">
        <f t="shared" si="3"/>
        <v>902305.50171952636</v>
      </c>
      <c r="R18" s="38">
        <f t="shared" si="4"/>
        <v>1116123.0697090449</v>
      </c>
      <c r="S18" s="64"/>
      <c r="T18" s="38">
        <f t="shared" si="11"/>
        <v>1009214.2857142857</v>
      </c>
      <c r="U18" s="38">
        <f t="shared" si="11"/>
        <v>106908.78399475927</v>
      </c>
      <c r="V18" s="65">
        <f t="shared" si="6"/>
        <v>0.10593268992332294</v>
      </c>
      <c r="W18" s="66"/>
      <c r="X18" s="38">
        <f t="shared" si="13"/>
        <v>1004559</v>
      </c>
      <c r="Y18" s="39">
        <f t="shared" si="14"/>
        <v>190866</v>
      </c>
      <c r="Z18" s="38">
        <f t="shared" si="8"/>
        <v>1195425</v>
      </c>
      <c r="AA18" s="39">
        <f t="shared" si="9"/>
        <v>14345100</v>
      </c>
      <c r="AD18" s="247"/>
      <c r="AE18" s="262"/>
    </row>
    <row r="19" spans="1:31" ht="65" x14ac:dyDescent="0.35">
      <c r="A19" s="220">
        <v>16</v>
      </c>
      <c r="B19" s="220" t="s">
        <v>37</v>
      </c>
      <c r="C19" s="27" t="s">
        <v>38</v>
      </c>
      <c r="D19" s="28" t="s">
        <v>39</v>
      </c>
      <c r="E19" s="29">
        <v>3</v>
      </c>
      <c r="F19" s="25">
        <v>12</v>
      </c>
      <c r="G19" s="61">
        <f>'[1]Grupo Kriterion'!G26</f>
        <v>9300000</v>
      </c>
      <c r="H19" s="61">
        <f>'[1]Lan Solutions'!G26</f>
        <v>9700000</v>
      </c>
      <c r="I19" s="61">
        <f>[1]Digicom!G26</f>
        <v>9944000</v>
      </c>
      <c r="J19" s="61">
        <f>'[1]Servicios postales'!G26</f>
        <v>9200000</v>
      </c>
      <c r="K19" s="61">
        <f>[1]Rottor!G26</f>
        <v>8900000</v>
      </c>
      <c r="L19" s="61">
        <f>'[1]Indra Colombia'!G26</f>
        <v>11100000</v>
      </c>
      <c r="M19" s="61">
        <f>'[1]TK Logistica'!G26</f>
        <v>10000000</v>
      </c>
      <c r="N19" s="61">
        <f t="shared" si="0"/>
        <v>9734857.1428571437</v>
      </c>
      <c r="O19" s="61">
        <f t="shared" si="1"/>
        <v>724687.38744634541</v>
      </c>
      <c r="P19" s="62">
        <f t="shared" si="2"/>
        <v>7.4442529234039934E-2</v>
      </c>
      <c r="Q19" s="63">
        <f t="shared" si="3"/>
        <v>9010169.7554107979</v>
      </c>
      <c r="R19" s="38">
        <f t="shared" si="4"/>
        <v>10459544.530303489</v>
      </c>
      <c r="S19" s="64"/>
      <c r="T19" s="38">
        <f t="shared" si="11"/>
        <v>9734857.1428571437</v>
      </c>
      <c r="U19" s="38">
        <f t="shared" si="11"/>
        <v>724687.38744634541</v>
      </c>
      <c r="V19" s="65">
        <f t="shared" si="6"/>
        <v>7.4442529234039934E-2</v>
      </c>
      <c r="W19" s="66"/>
      <c r="X19" s="38">
        <f t="shared" ref="X19:X27" si="15">+ROUND(AVERAGE(G19,H19,I19,J19,K19,L19,M19),0)</f>
        <v>9734857</v>
      </c>
      <c r="Y19" s="39">
        <f t="shared" si="14"/>
        <v>1849623</v>
      </c>
      <c r="Z19" s="38">
        <f t="shared" si="8"/>
        <v>11584480</v>
      </c>
      <c r="AA19" s="39">
        <f t="shared" si="9"/>
        <v>417041280</v>
      </c>
      <c r="AD19" s="247"/>
      <c r="AE19" s="262"/>
    </row>
    <row r="20" spans="1:31" ht="26" x14ac:dyDescent="0.35">
      <c r="A20" s="221"/>
      <c r="B20" s="221"/>
      <c r="C20" s="27" t="s">
        <v>40</v>
      </c>
      <c r="D20" s="28" t="s">
        <v>39</v>
      </c>
      <c r="E20" s="29">
        <v>1</v>
      </c>
      <c r="F20" s="25">
        <v>12</v>
      </c>
      <c r="G20" s="61">
        <f>'[1]Grupo Kriterion'!G27</f>
        <v>8900000</v>
      </c>
      <c r="H20" s="61">
        <f>'[1]Lan Solutions'!G27</f>
        <v>9100000</v>
      </c>
      <c r="I20" s="61">
        <f>[1]Digicom!G27</f>
        <v>8021900</v>
      </c>
      <c r="J20" s="61">
        <f>'[1]Servicios postales'!G27</f>
        <v>7820000</v>
      </c>
      <c r="K20" s="61">
        <f>[1]Rottor!G27</f>
        <v>7500000</v>
      </c>
      <c r="L20" s="61">
        <f>'[1]Indra Colombia'!G27</f>
        <v>8880000</v>
      </c>
      <c r="M20" s="61">
        <f>'[1]TK Logistica'!G27</f>
        <v>9000000</v>
      </c>
      <c r="N20" s="61">
        <f t="shared" si="0"/>
        <v>8460271.4285714291</v>
      </c>
      <c r="O20" s="61">
        <f t="shared" si="1"/>
        <v>657562.5565026385</v>
      </c>
      <c r="P20" s="62">
        <f t="shared" si="2"/>
        <v>7.7723576844350981E-2</v>
      </c>
      <c r="Q20" s="63">
        <f t="shared" si="3"/>
        <v>7802708.8720687907</v>
      </c>
      <c r="R20" s="38">
        <f t="shared" si="4"/>
        <v>9117833.9850740675</v>
      </c>
      <c r="S20" s="64"/>
      <c r="T20" s="38">
        <f t="shared" si="11"/>
        <v>8460271.4285714291</v>
      </c>
      <c r="U20" s="38">
        <f t="shared" si="11"/>
        <v>657562.5565026385</v>
      </c>
      <c r="V20" s="65">
        <f t="shared" si="6"/>
        <v>7.7723576844350981E-2</v>
      </c>
      <c r="W20" s="66"/>
      <c r="X20" s="38">
        <f t="shared" si="15"/>
        <v>8460271</v>
      </c>
      <c r="Y20" s="39">
        <f t="shared" si="14"/>
        <v>1607451</v>
      </c>
      <c r="Z20" s="38">
        <f t="shared" si="8"/>
        <v>10067722</v>
      </c>
      <c r="AA20" s="39">
        <f t="shared" si="9"/>
        <v>120812664</v>
      </c>
      <c r="AD20" s="247"/>
      <c r="AE20" s="262"/>
    </row>
    <row r="21" spans="1:31" ht="52" x14ac:dyDescent="0.35">
      <c r="A21" s="222"/>
      <c r="B21" s="222"/>
      <c r="C21" s="27" t="s">
        <v>77</v>
      </c>
      <c r="D21" s="28" t="s">
        <v>39</v>
      </c>
      <c r="E21" s="29">
        <v>25</v>
      </c>
      <c r="F21" s="25">
        <v>12</v>
      </c>
      <c r="G21" s="61">
        <f>'[1]Grupo Kriterion'!G28</f>
        <v>6300000</v>
      </c>
      <c r="H21" s="61">
        <f>'[1]Lan Solutions'!G28</f>
        <v>6700000</v>
      </c>
      <c r="I21" s="61">
        <f>[1]Digicom!G28</f>
        <v>6012800</v>
      </c>
      <c r="J21" s="61">
        <f>'[1]Servicios postales'!G28</f>
        <v>5980000</v>
      </c>
      <c r="K21" s="61">
        <f>[1]Rottor!G28</f>
        <v>5600000</v>
      </c>
      <c r="L21" s="61">
        <f>'[1]Indra Colombia'!G28</f>
        <v>6660000</v>
      </c>
      <c r="M21" s="61">
        <f>'[1]TK Logistica'!G28</f>
        <v>6100000</v>
      </c>
      <c r="N21" s="61">
        <f t="shared" si="0"/>
        <v>6193257.1428571427</v>
      </c>
      <c r="O21" s="61">
        <f t="shared" si="1"/>
        <v>392582.38565148273</v>
      </c>
      <c r="P21" s="62">
        <f t="shared" si="2"/>
        <v>6.3388678460454206E-2</v>
      </c>
      <c r="Q21" s="63">
        <f t="shared" si="3"/>
        <v>5800674.7572056595</v>
      </c>
      <c r="R21" s="38">
        <f t="shared" si="4"/>
        <v>6585839.5285086259</v>
      </c>
      <c r="S21" s="64"/>
      <c r="T21" s="38">
        <f t="shared" si="11"/>
        <v>6193257.1428571427</v>
      </c>
      <c r="U21" s="38">
        <f t="shared" si="11"/>
        <v>392582.38565148273</v>
      </c>
      <c r="V21" s="65">
        <f t="shared" si="6"/>
        <v>6.3388678460454206E-2</v>
      </c>
      <c r="W21" s="66"/>
      <c r="X21" s="38">
        <f t="shared" si="15"/>
        <v>6193257</v>
      </c>
      <c r="Y21" s="39">
        <f t="shared" si="14"/>
        <v>1176719</v>
      </c>
      <c r="Z21" s="38">
        <f t="shared" si="8"/>
        <v>7369976</v>
      </c>
      <c r="AA21" s="39">
        <f t="shared" si="9"/>
        <v>2210992800</v>
      </c>
      <c r="AD21" s="247"/>
      <c r="AE21" s="262"/>
    </row>
    <row r="22" spans="1:31" ht="195" x14ac:dyDescent="0.35">
      <c r="A22" s="15">
        <v>17</v>
      </c>
      <c r="B22" s="16" t="s">
        <v>41</v>
      </c>
      <c r="C22" s="30" t="s">
        <v>78</v>
      </c>
      <c r="D22" s="28" t="s">
        <v>39</v>
      </c>
      <c r="E22" s="31">
        <v>49</v>
      </c>
      <c r="F22" s="25">
        <v>12</v>
      </c>
      <c r="G22" s="61">
        <f>'[1]Grupo Kriterion'!G29</f>
        <v>6400000</v>
      </c>
      <c r="H22" s="61">
        <f>'[1]Lan Solutions'!G29</f>
        <v>6800000</v>
      </c>
      <c r="I22" s="61">
        <f>[1]Digicom!G29</f>
        <v>6012800</v>
      </c>
      <c r="J22" s="61">
        <f>'[1]Servicios postales'!G29</f>
        <v>5980000</v>
      </c>
      <c r="K22" s="61">
        <f>[1]Rottor!G29</f>
        <v>5700000</v>
      </c>
      <c r="L22" s="61">
        <f>'[1]Indra Colombia'!G29</f>
        <v>6660000</v>
      </c>
      <c r="M22" s="61">
        <f>'[1]TK Logistica'!G29</f>
        <v>6200000</v>
      </c>
      <c r="N22" s="61">
        <f t="shared" si="0"/>
        <v>6250400</v>
      </c>
      <c r="O22" s="61">
        <f t="shared" si="1"/>
        <v>393120.57522682106</v>
      </c>
      <c r="P22" s="62">
        <f t="shared" si="2"/>
        <v>6.2895266739220065E-2</v>
      </c>
      <c r="Q22" s="63">
        <f t="shared" si="3"/>
        <v>5857279.424773179</v>
      </c>
      <c r="R22" s="38">
        <f t="shared" si="4"/>
        <v>6643520.575226821</v>
      </c>
      <c r="S22" s="64"/>
      <c r="T22" s="38">
        <f t="shared" si="11"/>
        <v>6250400</v>
      </c>
      <c r="U22" s="38">
        <f t="shared" si="11"/>
        <v>393120.57522682106</v>
      </c>
      <c r="V22" s="65">
        <f t="shared" si="6"/>
        <v>6.2895266739220065E-2</v>
      </c>
      <c r="W22" s="66"/>
      <c r="X22" s="38">
        <f t="shared" si="15"/>
        <v>6250400</v>
      </c>
      <c r="Y22" s="39">
        <f>+ROUND(X22*0.19,0)</f>
        <v>1187576</v>
      </c>
      <c r="Z22" s="38">
        <f t="shared" si="8"/>
        <v>7437976</v>
      </c>
      <c r="AA22" s="39">
        <f t="shared" si="9"/>
        <v>4373529888</v>
      </c>
      <c r="AD22" s="263"/>
      <c r="AE22" s="262"/>
    </row>
    <row r="23" spans="1:31" ht="26" x14ac:dyDescent="0.35">
      <c r="A23" s="15">
        <v>18</v>
      </c>
      <c r="B23" s="16" t="s">
        <v>42</v>
      </c>
      <c r="C23" s="17" t="s">
        <v>43</v>
      </c>
      <c r="D23" s="16" t="s">
        <v>44</v>
      </c>
      <c r="E23" s="19">
        <v>5</v>
      </c>
      <c r="F23" s="25">
        <v>12</v>
      </c>
      <c r="G23" s="61">
        <f>'[1]Grupo Kriterion'!G30</f>
        <v>6900000</v>
      </c>
      <c r="H23" s="61">
        <f>'[1]Lan Solutions'!G30</f>
        <v>7000000</v>
      </c>
      <c r="I23" s="61">
        <f>[1]Digicom!G30</f>
        <v>6432800</v>
      </c>
      <c r="J23" s="61">
        <f>'[1]Servicios postales'!G30</f>
        <v>6210000</v>
      </c>
      <c r="K23" s="61">
        <f>[1]Rottor!G30</f>
        <v>6000000</v>
      </c>
      <c r="L23" s="61">
        <f>'[1]Indra Colombia'!G30</f>
        <v>7770000</v>
      </c>
      <c r="M23" s="61">
        <f>'[1]TK Logistica'!G30</f>
        <v>6500000</v>
      </c>
      <c r="N23" s="61">
        <f t="shared" si="0"/>
        <v>6687542.8571428573</v>
      </c>
      <c r="O23" s="61">
        <f t="shared" si="1"/>
        <v>593760.55459290673</v>
      </c>
      <c r="P23" s="62">
        <f t="shared" si="2"/>
        <v>8.8786055996444291E-2</v>
      </c>
      <c r="Q23" s="63">
        <f t="shared" si="3"/>
        <v>6093782.3025499508</v>
      </c>
      <c r="R23" s="38">
        <f t="shared" si="4"/>
        <v>7281303.4117357638</v>
      </c>
      <c r="S23" s="64"/>
      <c r="T23" s="38">
        <f t="shared" si="11"/>
        <v>6687542.8571428573</v>
      </c>
      <c r="U23" s="38">
        <f t="shared" si="11"/>
        <v>593760.55459290673</v>
      </c>
      <c r="V23" s="65">
        <f t="shared" si="6"/>
        <v>8.8786055996444291E-2</v>
      </c>
      <c r="W23" s="66"/>
      <c r="X23" s="38">
        <f t="shared" si="15"/>
        <v>6687543</v>
      </c>
      <c r="Y23" s="39">
        <v>0</v>
      </c>
      <c r="Z23" s="38">
        <f t="shared" si="8"/>
        <v>6687543</v>
      </c>
      <c r="AA23" s="39">
        <f t="shared" si="9"/>
        <v>401252580</v>
      </c>
      <c r="AD23" s="247"/>
      <c r="AE23" s="262"/>
    </row>
    <row r="24" spans="1:31" ht="156" x14ac:dyDescent="0.35">
      <c r="A24" s="15">
        <v>19</v>
      </c>
      <c r="B24" s="16" t="s">
        <v>45</v>
      </c>
      <c r="C24" s="21" t="s">
        <v>46</v>
      </c>
      <c r="D24" s="22" t="s">
        <v>47</v>
      </c>
      <c r="E24" s="19">
        <v>41</v>
      </c>
      <c r="F24" s="25">
        <v>12</v>
      </c>
      <c r="G24" s="61">
        <f>'[1]Grupo Kriterion'!G31</f>
        <v>6500000</v>
      </c>
      <c r="H24" s="61">
        <f>'[1]Lan Solutions'!G31</f>
        <v>6600000</v>
      </c>
      <c r="I24" s="61">
        <f>[1]Digicom!G31</f>
        <v>7019200</v>
      </c>
      <c r="J24" s="61">
        <f>'[1]Servicios postales'!G31</f>
        <v>5865000</v>
      </c>
      <c r="K24" s="61">
        <f>[1]Rottor!G31</f>
        <v>5500000</v>
      </c>
      <c r="L24" s="61">
        <f>'[1]Indra Colombia'!G31</f>
        <v>7215000</v>
      </c>
      <c r="M24" s="61">
        <f>'[1]TK Logistica'!G31</f>
        <v>6150000</v>
      </c>
      <c r="N24" s="61">
        <f t="shared" si="0"/>
        <v>6407028.5714285718</v>
      </c>
      <c r="O24" s="61">
        <f t="shared" si="1"/>
        <v>613190.13286876946</v>
      </c>
      <c r="P24" s="62">
        <f t="shared" si="2"/>
        <v>9.5705852726055002E-2</v>
      </c>
      <c r="Q24" s="63">
        <f t="shared" si="3"/>
        <v>5793838.4385598022</v>
      </c>
      <c r="R24" s="38">
        <f t="shared" si="4"/>
        <v>7020218.7042973414</v>
      </c>
      <c r="S24" s="64"/>
      <c r="T24" s="38">
        <f t="shared" si="11"/>
        <v>6407028.5714285718</v>
      </c>
      <c r="U24" s="38">
        <f t="shared" si="11"/>
        <v>613190.13286876946</v>
      </c>
      <c r="V24" s="65">
        <f t="shared" si="6"/>
        <v>9.5705852726055002E-2</v>
      </c>
      <c r="W24" s="66"/>
      <c r="X24" s="38">
        <f t="shared" si="15"/>
        <v>6407029</v>
      </c>
      <c r="Y24" s="39">
        <f>+ROUND(X24*0.19,0)</f>
        <v>1217336</v>
      </c>
      <c r="Z24" s="38">
        <f t="shared" si="8"/>
        <v>7624365</v>
      </c>
      <c r="AA24" s="39">
        <f t="shared" si="9"/>
        <v>3751187580</v>
      </c>
      <c r="AD24" s="247"/>
      <c r="AE24" s="262"/>
    </row>
    <row r="25" spans="1:31" ht="130" x14ac:dyDescent="0.35">
      <c r="A25" s="15">
        <v>20</v>
      </c>
      <c r="B25" s="16" t="s">
        <v>45</v>
      </c>
      <c r="C25" s="21" t="s">
        <v>48</v>
      </c>
      <c r="D25" s="22" t="s">
        <v>47</v>
      </c>
      <c r="E25" s="19">
        <v>7</v>
      </c>
      <c r="F25" s="25">
        <v>12</v>
      </c>
      <c r="G25" s="61">
        <f>'[1]Grupo Kriterion'!G32</f>
        <v>6500000</v>
      </c>
      <c r="H25" s="61">
        <f>'[1]Lan Solutions'!G32</f>
        <v>6600000</v>
      </c>
      <c r="I25" s="61">
        <f>[1]Digicom!G32</f>
        <v>7019200</v>
      </c>
      <c r="J25" s="61">
        <f>'[1]Servicios postales'!G32</f>
        <v>5865000</v>
      </c>
      <c r="K25" s="61">
        <f>[1]Rottor!G32</f>
        <v>5500000</v>
      </c>
      <c r="L25" s="61">
        <f>'[1]Indra Colombia'!G32</f>
        <v>7215000</v>
      </c>
      <c r="M25" s="61">
        <f>'[1]TK Logistica'!G32</f>
        <v>6150000</v>
      </c>
      <c r="N25" s="61">
        <f t="shared" si="0"/>
        <v>6407028.5714285718</v>
      </c>
      <c r="O25" s="61">
        <f t="shared" si="1"/>
        <v>613190.13286876946</v>
      </c>
      <c r="P25" s="62">
        <f t="shared" si="2"/>
        <v>9.5705852726055002E-2</v>
      </c>
      <c r="Q25" s="63">
        <f t="shared" si="3"/>
        <v>5793838.4385598022</v>
      </c>
      <c r="R25" s="38">
        <f t="shared" si="4"/>
        <v>7020218.7042973414</v>
      </c>
      <c r="S25" s="64"/>
      <c r="T25" s="38">
        <f t="shared" si="11"/>
        <v>6407028.5714285718</v>
      </c>
      <c r="U25" s="38">
        <f t="shared" si="11"/>
        <v>613190.13286876946</v>
      </c>
      <c r="V25" s="65">
        <f t="shared" si="6"/>
        <v>9.5705852726055002E-2</v>
      </c>
      <c r="W25" s="66"/>
      <c r="X25" s="38">
        <f t="shared" si="15"/>
        <v>6407029</v>
      </c>
      <c r="Y25" s="39">
        <f t="shared" ref="Y25:Y35" si="16">+ROUND(X25*0.19,0)</f>
        <v>1217336</v>
      </c>
      <c r="Z25" s="38">
        <f t="shared" si="8"/>
        <v>7624365</v>
      </c>
      <c r="AA25" s="39">
        <f t="shared" si="9"/>
        <v>640446660</v>
      </c>
      <c r="AD25" s="247"/>
      <c r="AE25" s="262"/>
    </row>
    <row r="26" spans="1:31" ht="39" x14ac:dyDescent="0.35">
      <c r="A26" s="220">
        <v>21</v>
      </c>
      <c r="B26" s="220" t="s">
        <v>49</v>
      </c>
      <c r="C26" s="21" t="s">
        <v>67</v>
      </c>
      <c r="D26" s="22" t="s">
        <v>50</v>
      </c>
      <c r="E26" s="19">
        <v>1</v>
      </c>
      <c r="F26" s="25">
        <v>12</v>
      </c>
      <c r="G26" s="61">
        <f>'[1]Grupo Kriterion'!G33</f>
        <v>9000000</v>
      </c>
      <c r="H26" s="61">
        <f>'[1]Lan Solutions'!G33</f>
        <v>9100000</v>
      </c>
      <c r="I26" s="61">
        <f>[1]Digicom!G33</f>
        <v>8027200</v>
      </c>
      <c r="J26" s="61">
        <f>'[1]Servicios postales'!G33</f>
        <v>8050000</v>
      </c>
      <c r="K26" s="61">
        <f>[1]Rottor!G33</f>
        <v>7800000</v>
      </c>
      <c r="L26" s="61">
        <f>'[1]Indra Colombia'!G33</f>
        <v>8880000</v>
      </c>
      <c r="M26" s="61">
        <f>'[1]TK Logistica'!G33</f>
        <v>9500000</v>
      </c>
      <c r="N26" s="61">
        <f t="shared" si="0"/>
        <v>8622457.1428571437</v>
      </c>
      <c r="O26" s="61">
        <f t="shared" si="1"/>
        <v>653894.68789488031</v>
      </c>
      <c r="P26" s="62">
        <f t="shared" si="2"/>
        <v>7.583623520084036E-2</v>
      </c>
      <c r="Q26" s="63">
        <f t="shared" si="3"/>
        <v>7968562.4549622629</v>
      </c>
      <c r="R26" s="38">
        <f t="shared" si="4"/>
        <v>9276351.8307520244</v>
      </c>
      <c r="S26" s="64"/>
      <c r="T26" s="38">
        <f t="shared" si="11"/>
        <v>8622457.1428571437</v>
      </c>
      <c r="U26" s="38">
        <f t="shared" si="11"/>
        <v>653894.68789488031</v>
      </c>
      <c r="V26" s="65">
        <f t="shared" si="6"/>
        <v>7.583623520084036E-2</v>
      </c>
      <c r="W26" s="66"/>
      <c r="X26" s="38">
        <f t="shared" si="15"/>
        <v>8622457</v>
      </c>
      <c r="Y26" s="39">
        <f t="shared" si="16"/>
        <v>1638267</v>
      </c>
      <c r="Z26" s="38">
        <f t="shared" si="8"/>
        <v>10260724</v>
      </c>
      <c r="AA26" s="39">
        <f t="shared" si="9"/>
        <v>123128688</v>
      </c>
      <c r="AD26" s="247"/>
      <c r="AE26" s="262"/>
    </row>
    <row r="27" spans="1:31" ht="39" x14ac:dyDescent="0.35">
      <c r="A27" s="222"/>
      <c r="B27" s="222"/>
      <c r="C27" s="21" t="s">
        <v>51</v>
      </c>
      <c r="D27" s="22" t="s">
        <v>50</v>
      </c>
      <c r="E27" s="19">
        <v>1</v>
      </c>
      <c r="F27" s="25">
        <v>12</v>
      </c>
      <c r="G27" s="61">
        <f>'[1]Grupo Kriterion'!G34</f>
        <v>7000000</v>
      </c>
      <c r="H27" s="61">
        <f>'[1]Lan Solutions'!G34</f>
        <v>6800000</v>
      </c>
      <c r="I27" s="61">
        <f>[1]Digicom!G34</f>
        <v>6012800</v>
      </c>
      <c r="J27" s="61">
        <f>'[1]Servicios postales'!G34</f>
        <v>5980000</v>
      </c>
      <c r="K27" s="61">
        <f>[1]Rottor!G34</f>
        <v>5900000</v>
      </c>
      <c r="L27" s="61">
        <f>'[1]Indra Colombia'!G34</f>
        <v>6105000</v>
      </c>
      <c r="M27" s="61">
        <f>'[1]TK Logistica'!G34</f>
        <v>6500000</v>
      </c>
      <c r="N27" s="61">
        <f t="shared" si="0"/>
        <v>6328257.1428571427</v>
      </c>
      <c r="O27" s="61">
        <f t="shared" si="1"/>
        <v>439188.56564177095</v>
      </c>
      <c r="P27" s="62">
        <f t="shared" si="2"/>
        <v>6.9401188309405809E-2</v>
      </c>
      <c r="Q27" s="63">
        <f t="shared" si="3"/>
        <v>5889068.5772153717</v>
      </c>
      <c r="R27" s="38">
        <f t="shared" si="4"/>
        <v>6767445.7084989138</v>
      </c>
      <c r="S27" s="64"/>
      <c r="T27" s="38">
        <f t="shared" si="11"/>
        <v>6328257.1428571427</v>
      </c>
      <c r="U27" s="38">
        <f t="shared" si="11"/>
        <v>439188.56564177095</v>
      </c>
      <c r="V27" s="65">
        <f t="shared" si="6"/>
        <v>6.9401188309405809E-2</v>
      </c>
      <c r="W27" s="66"/>
      <c r="X27" s="38">
        <f t="shared" si="15"/>
        <v>6328257</v>
      </c>
      <c r="Y27" s="39">
        <f t="shared" si="16"/>
        <v>1202369</v>
      </c>
      <c r="Z27" s="38">
        <f t="shared" si="8"/>
        <v>7530626</v>
      </c>
      <c r="AA27" s="39">
        <f t="shared" si="9"/>
        <v>90367512</v>
      </c>
      <c r="AD27" s="247"/>
      <c r="AE27" s="262"/>
    </row>
    <row r="28" spans="1:31" ht="39" x14ac:dyDescent="0.35">
      <c r="A28" s="15">
        <v>22</v>
      </c>
      <c r="B28" s="16" t="s">
        <v>52</v>
      </c>
      <c r="C28" s="16" t="s">
        <v>68</v>
      </c>
      <c r="D28" s="16" t="s">
        <v>53</v>
      </c>
      <c r="E28" s="83">
        <v>66866</v>
      </c>
      <c r="F28" s="25">
        <v>12</v>
      </c>
      <c r="G28" s="61">
        <f>'[1]Grupo Kriterion'!G35</f>
        <v>350</v>
      </c>
      <c r="H28" s="61">
        <f>'[1]Lan Solutions'!G35</f>
        <v>370</v>
      </c>
      <c r="I28" s="61">
        <f>[1]Digicom!G35</f>
        <v>363</v>
      </c>
      <c r="J28" s="61">
        <f>'[1]Servicios postales'!G35</f>
        <v>287</v>
      </c>
      <c r="K28" s="61">
        <f>[1]Rottor!G35</f>
        <v>286</v>
      </c>
      <c r="L28" s="61">
        <f>'[1]Indra Colombia'!G35</f>
        <v>389</v>
      </c>
      <c r="M28" s="61">
        <f>'[1]TK Logistica'!G35</f>
        <v>389</v>
      </c>
      <c r="N28" s="61">
        <f t="shared" si="0"/>
        <v>347.71428571428572</v>
      </c>
      <c r="O28" s="61">
        <f t="shared" si="1"/>
        <v>44.044349943037567</v>
      </c>
      <c r="P28" s="62">
        <f t="shared" si="2"/>
        <v>0.12666822087151314</v>
      </c>
      <c r="Q28" s="63">
        <f t="shared" si="3"/>
        <v>303.66993577124816</v>
      </c>
      <c r="R28" s="38">
        <f t="shared" si="4"/>
        <v>391.75863565732328</v>
      </c>
      <c r="S28" s="64"/>
      <c r="T28" s="38">
        <f t="shared" si="11"/>
        <v>347.71428571428572</v>
      </c>
      <c r="U28" s="38">
        <f t="shared" si="11"/>
        <v>44.044349943037567</v>
      </c>
      <c r="V28" s="65">
        <f t="shared" si="6"/>
        <v>0.12666822087151314</v>
      </c>
      <c r="W28" s="66"/>
      <c r="X28" s="38">
        <f t="shared" ref="X28:X29" si="17">+ROUND(GEOMEAN(G28,J28,K28,L28,I28,H28,M28),0)</f>
        <v>345</v>
      </c>
      <c r="Y28" s="39">
        <f t="shared" si="16"/>
        <v>66</v>
      </c>
      <c r="Z28" s="38">
        <f t="shared" si="8"/>
        <v>411</v>
      </c>
      <c r="AA28" s="39">
        <f t="shared" si="9"/>
        <v>329783112</v>
      </c>
      <c r="AD28" s="247"/>
      <c r="AE28" s="262"/>
    </row>
    <row r="29" spans="1:31" ht="65" x14ac:dyDescent="0.35">
      <c r="A29" s="15">
        <v>23</v>
      </c>
      <c r="B29" s="16" t="s">
        <v>52</v>
      </c>
      <c r="C29" s="16" t="s">
        <v>69</v>
      </c>
      <c r="D29" s="16" t="s">
        <v>53</v>
      </c>
      <c r="E29" s="83">
        <v>11161</v>
      </c>
      <c r="F29" s="25">
        <v>12</v>
      </c>
      <c r="G29" s="61">
        <f>'[1]Grupo Kriterion'!G36</f>
        <v>350</v>
      </c>
      <c r="H29" s="61">
        <f>'[1]Lan Solutions'!G36</f>
        <v>370</v>
      </c>
      <c r="I29" s="61">
        <f>[1]Digicom!G36</f>
        <v>363</v>
      </c>
      <c r="J29" s="61">
        <f>'[1]Servicios postales'!G36</f>
        <v>287</v>
      </c>
      <c r="K29" s="61">
        <f>[1]Rottor!G36</f>
        <v>286</v>
      </c>
      <c r="L29" s="61">
        <f>'[1]Indra Colombia'!G36</f>
        <v>389</v>
      </c>
      <c r="M29" s="61">
        <f>'[1]TK Logistica'!G36</f>
        <v>389</v>
      </c>
      <c r="N29" s="61">
        <f t="shared" si="0"/>
        <v>347.71428571428572</v>
      </c>
      <c r="O29" s="61">
        <f t="shared" si="1"/>
        <v>44.044349943037567</v>
      </c>
      <c r="P29" s="62">
        <f t="shared" si="2"/>
        <v>0.12666822087151314</v>
      </c>
      <c r="Q29" s="63">
        <f t="shared" si="3"/>
        <v>303.66993577124816</v>
      </c>
      <c r="R29" s="38">
        <f t="shared" si="4"/>
        <v>391.75863565732328</v>
      </c>
      <c r="S29" s="64"/>
      <c r="T29" s="38">
        <f t="shared" si="11"/>
        <v>347.71428571428572</v>
      </c>
      <c r="U29" s="38">
        <f t="shared" si="11"/>
        <v>44.044349943037567</v>
      </c>
      <c r="V29" s="65">
        <f t="shared" si="6"/>
        <v>0.12666822087151314</v>
      </c>
      <c r="W29" s="66"/>
      <c r="X29" s="38">
        <f t="shared" si="17"/>
        <v>345</v>
      </c>
      <c r="Y29" s="39">
        <f t="shared" si="16"/>
        <v>66</v>
      </c>
      <c r="Z29" s="38">
        <f t="shared" si="8"/>
        <v>411</v>
      </c>
      <c r="AA29" s="39">
        <f t="shared" si="9"/>
        <v>55046052</v>
      </c>
      <c r="AD29" s="247"/>
      <c r="AE29" s="262"/>
    </row>
    <row r="30" spans="1:31" ht="52" x14ac:dyDescent="0.35">
      <c r="A30" s="15">
        <v>24</v>
      </c>
      <c r="B30" s="16" t="s">
        <v>52</v>
      </c>
      <c r="C30" s="16" t="s">
        <v>70</v>
      </c>
      <c r="D30" s="16" t="s">
        <v>55</v>
      </c>
      <c r="E30" s="83">
        <v>65000</v>
      </c>
      <c r="F30" s="25">
        <v>12</v>
      </c>
      <c r="G30" s="61">
        <f>'[1]Grupo Kriterion'!G37</f>
        <v>470</v>
      </c>
      <c r="H30" s="61">
        <f>'[1]Lan Solutions'!G37</f>
        <v>450</v>
      </c>
      <c r="I30" s="61">
        <f>[1]Digicom!G37</f>
        <v>487</v>
      </c>
      <c r="J30" s="61">
        <f>'[1]Servicios postales'!G37</f>
        <v>517</v>
      </c>
      <c r="K30" s="61">
        <f>[1]Rottor!G37</f>
        <v>500</v>
      </c>
      <c r="L30" s="61">
        <f>'[1]Indra Colombia'!G37</f>
        <v>444</v>
      </c>
      <c r="M30" s="61">
        <f>'[1]TK Logistica'!G37</f>
        <v>440</v>
      </c>
      <c r="N30" s="61">
        <f t="shared" si="0"/>
        <v>472.57142857142856</v>
      </c>
      <c r="O30" s="61">
        <f t="shared" si="1"/>
        <v>29.798529845487021</v>
      </c>
      <c r="P30" s="62">
        <f t="shared" si="2"/>
        <v>6.3056139334464675E-2</v>
      </c>
      <c r="Q30" s="63">
        <f t="shared" si="3"/>
        <v>442.77289872594156</v>
      </c>
      <c r="R30" s="38">
        <f t="shared" si="4"/>
        <v>502.36995841691555</v>
      </c>
      <c r="S30" s="64"/>
      <c r="T30" s="38">
        <f t="shared" si="11"/>
        <v>472.57142857142856</v>
      </c>
      <c r="U30" s="38">
        <f t="shared" si="11"/>
        <v>29.798529845487021</v>
      </c>
      <c r="V30" s="65">
        <f t="shared" si="6"/>
        <v>6.3056139334464675E-2</v>
      </c>
      <c r="W30" s="66"/>
      <c r="X30" s="38">
        <f t="shared" ref="X30:X32" si="18">+ROUND(AVERAGE(G30,H30,I30,J30,K30,L30,M30),0)</f>
        <v>473</v>
      </c>
      <c r="Y30" s="39">
        <f t="shared" si="16"/>
        <v>90</v>
      </c>
      <c r="Z30" s="38">
        <f t="shared" si="8"/>
        <v>563</v>
      </c>
      <c r="AA30" s="39">
        <f t="shared" si="9"/>
        <v>439140000</v>
      </c>
      <c r="AD30" s="247"/>
      <c r="AE30" s="262"/>
    </row>
    <row r="31" spans="1:31" ht="52" x14ac:dyDescent="0.35">
      <c r="A31" s="15">
        <v>25</v>
      </c>
      <c r="B31" s="16" t="s">
        <v>52</v>
      </c>
      <c r="C31" s="16" t="s">
        <v>71</v>
      </c>
      <c r="D31" s="16" t="s">
        <v>73</v>
      </c>
      <c r="E31" s="83">
        <v>86659</v>
      </c>
      <c r="F31" s="25">
        <v>12</v>
      </c>
      <c r="G31" s="61">
        <f>'[1]Grupo Kriterion'!G38</f>
        <v>370</v>
      </c>
      <c r="H31" s="61">
        <f>'[1]Lan Solutions'!G38</f>
        <v>390</v>
      </c>
      <c r="I31" s="61">
        <f>[1]Digicom!G38</f>
        <v>360</v>
      </c>
      <c r="J31" s="61">
        <f>'[1]Servicios postales'!G38</f>
        <v>340</v>
      </c>
      <c r="K31" s="61">
        <f>[1]Rottor!G38</f>
        <v>330</v>
      </c>
      <c r="L31" s="61">
        <f>'[1]Indra Colombia'!G38</f>
        <v>344</v>
      </c>
      <c r="M31" s="61">
        <f>'[1]TK Logistica'!G38</f>
        <v>370</v>
      </c>
      <c r="N31" s="61">
        <f t="shared" si="0"/>
        <v>357.71428571428572</v>
      </c>
      <c r="O31" s="61">
        <f t="shared" si="1"/>
        <v>20.894291770036823</v>
      </c>
      <c r="P31" s="62">
        <f t="shared" si="2"/>
        <v>5.841056006000709E-2</v>
      </c>
      <c r="Q31" s="63">
        <f t="shared" si="3"/>
        <v>336.81999394424889</v>
      </c>
      <c r="R31" s="38">
        <f t="shared" si="4"/>
        <v>378.60857748432255</v>
      </c>
      <c r="S31" s="64"/>
      <c r="T31" s="38">
        <f t="shared" si="11"/>
        <v>357.71428571428572</v>
      </c>
      <c r="U31" s="38">
        <f t="shared" si="11"/>
        <v>20.894291770036823</v>
      </c>
      <c r="V31" s="65">
        <f t="shared" si="6"/>
        <v>5.841056006000709E-2</v>
      </c>
      <c r="W31" s="66"/>
      <c r="X31" s="38">
        <f t="shared" si="18"/>
        <v>358</v>
      </c>
      <c r="Y31" s="39">
        <f t="shared" si="16"/>
        <v>68</v>
      </c>
      <c r="Z31" s="38">
        <f t="shared" si="8"/>
        <v>426</v>
      </c>
      <c r="AA31" s="39">
        <f t="shared" si="9"/>
        <v>443000808</v>
      </c>
      <c r="AD31" s="247"/>
      <c r="AE31" s="262"/>
    </row>
    <row r="32" spans="1:31" ht="52" x14ac:dyDescent="0.35">
      <c r="A32" s="15">
        <v>26</v>
      </c>
      <c r="B32" s="16" t="s">
        <v>52</v>
      </c>
      <c r="C32" s="16" t="s">
        <v>72</v>
      </c>
      <c r="D32" s="16" t="s">
        <v>73</v>
      </c>
      <c r="E32" s="83">
        <v>30830</v>
      </c>
      <c r="F32" s="25">
        <v>12</v>
      </c>
      <c r="G32" s="61">
        <f>'[1]Grupo Kriterion'!G39</f>
        <v>370</v>
      </c>
      <c r="H32" s="61">
        <f>'[1]Lan Solutions'!G39</f>
        <v>390</v>
      </c>
      <c r="I32" s="61">
        <f>[1]Digicom!G39</f>
        <v>360</v>
      </c>
      <c r="J32" s="61">
        <f>'[1]Servicios postales'!G39</f>
        <v>340</v>
      </c>
      <c r="K32" s="61">
        <f>[1]Rottor!G39</f>
        <v>330</v>
      </c>
      <c r="L32" s="61">
        <f>'[1]Indra Colombia'!G39</f>
        <v>344</v>
      </c>
      <c r="M32" s="61">
        <f>'[1]TK Logistica'!G39</f>
        <v>370</v>
      </c>
      <c r="N32" s="61">
        <f t="shared" si="0"/>
        <v>357.71428571428572</v>
      </c>
      <c r="O32" s="61">
        <f t="shared" si="1"/>
        <v>20.894291770036823</v>
      </c>
      <c r="P32" s="62">
        <f t="shared" si="2"/>
        <v>5.841056006000709E-2</v>
      </c>
      <c r="Q32" s="63">
        <f t="shared" si="3"/>
        <v>336.81999394424889</v>
      </c>
      <c r="R32" s="38">
        <f t="shared" si="4"/>
        <v>378.60857748432255</v>
      </c>
      <c r="S32" s="64"/>
      <c r="T32" s="38">
        <f t="shared" si="11"/>
        <v>357.71428571428572</v>
      </c>
      <c r="U32" s="38">
        <f t="shared" si="11"/>
        <v>20.894291770036823</v>
      </c>
      <c r="V32" s="65">
        <f t="shared" si="6"/>
        <v>5.841056006000709E-2</v>
      </c>
      <c r="W32" s="66"/>
      <c r="X32" s="38">
        <f t="shared" si="18"/>
        <v>358</v>
      </c>
      <c r="Y32" s="39">
        <f t="shared" si="16"/>
        <v>68</v>
      </c>
      <c r="Z32" s="38">
        <f t="shared" si="8"/>
        <v>426</v>
      </c>
      <c r="AA32" s="39">
        <f t="shared" si="9"/>
        <v>157602960</v>
      </c>
      <c r="AD32" s="247"/>
      <c r="AE32" s="262"/>
    </row>
    <row r="33" spans="1:31" ht="39" x14ac:dyDescent="0.35">
      <c r="A33" s="29"/>
      <c r="B33" s="28" t="s">
        <v>52</v>
      </c>
      <c r="C33" s="28" t="s">
        <v>74</v>
      </c>
      <c r="D33" s="28" t="s">
        <v>53</v>
      </c>
      <c r="E33" s="83">
        <v>20124</v>
      </c>
      <c r="F33" s="34">
        <v>12</v>
      </c>
      <c r="G33" s="61">
        <f>'[1]Grupo Kriterion'!G40</f>
        <v>300</v>
      </c>
      <c r="H33" s="61">
        <f>'[1]Lan Solutions'!G40</f>
        <v>260</v>
      </c>
      <c r="I33" s="61">
        <f>[1]Digicom!G40</f>
        <v>396</v>
      </c>
      <c r="J33" s="61">
        <f>'[1]Servicios postales'!G40</f>
        <v>276</v>
      </c>
      <c r="K33" s="61">
        <f>[1]Rottor!G40</f>
        <v>250</v>
      </c>
      <c r="L33" s="61">
        <f>'[1]Indra Colombia'!G40</f>
        <v>222</v>
      </c>
      <c r="M33" s="61">
        <f>'[1]TK Logistica'!G40</f>
        <v>250</v>
      </c>
      <c r="N33" s="61">
        <f t="shared" si="0"/>
        <v>279.14285714285717</v>
      </c>
      <c r="O33" s="61">
        <f t="shared" si="1"/>
        <v>56.907611006579721</v>
      </c>
      <c r="P33" s="62">
        <f t="shared" si="2"/>
        <v>0.20386554608293656</v>
      </c>
      <c r="Q33" s="63">
        <f t="shared" si="3"/>
        <v>222.23524613627745</v>
      </c>
      <c r="R33" s="38">
        <f t="shared" si="4"/>
        <v>336.05046814943688</v>
      </c>
      <c r="S33" s="64"/>
      <c r="T33" s="38">
        <f t="shared" si="11"/>
        <v>279.14285714285717</v>
      </c>
      <c r="U33" s="38">
        <f t="shared" si="11"/>
        <v>56.907611006579721</v>
      </c>
      <c r="V33" s="65">
        <f t="shared" si="6"/>
        <v>0.20386554608293656</v>
      </c>
      <c r="W33" s="66"/>
      <c r="X33" s="38">
        <f t="shared" ref="X33:X35" si="19">+ROUND(GEOMEAN(G33,J33,K33,L33,I33,H33,M33),0)</f>
        <v>275</v>
      </c>
      <c r="Y33" s="39">
        <f t="shared" si="16"/>
        <v>52</v>
      </c>
      <c r="Z33" s="38">
        <f t="shared" si="8"/>
        <v>327</v>
      </c>
      <c r="AA33" s="39">
        <f t="shared" si="9"/>
        <v>78966576</v>
      </c>
      <c r="AD33" s="247"/>
      <c r="AE33" s="262"/>
    </row>
    <row r="34" spans="1:31" ht="39" x14ac:dyDescent="0.35">
      <c r="A34" s="29"/>
      <c r="B34" s="28" t="s">
        <v>52</v>
      </c>
      <c r="C34" s="28" t="s">
        <v>75</v>
      </c>
      <c r="D34" s="28" t="s">
        <v>76</v>
      </c>
      <c r="E34" s="83">
        <v>360550</v>
      </c>
      <c r="F34" s="34">
        <v>2</v>
      </c>
      <c r="G34" s="61">
        <f>'[1]Grupo Kriterion'!G41</f>
        <v>350</v>
      </c>
      <c r="H34" s="61">
        <f>'[1]Lan Solutions'!G41</f>
        <v>370</v>
      </c>
      <c r="I34" s="61">
        <f>[1]Digicom!G41</f>
        <v>363</v>
      </c>
      <c r="J34" s="61">
        <f>'[1]Servicios postales'!G41</f>
        <v>287</v>
      </c>
      <c r="K34" s="61">
        <f>[1]Rottor!G41</f>
        <v>286</v>
      </c>
      <c r="L34" s="61">
        <f>'[1]Indra Colombia'!G41</f>
        <v>389</v>
      </c>
      <c r="M34" s="61">
        <f>'[1]TK Logistica'!G41</f>
        <v>389</v>
      </c>
      <c r="N34" s="61">
        <f t="shared" si="0"/>
        <v>347.71428571428572</v>
      </c>
      <c r="O34" s="61">
        <f t="shared" si="1"/>
        <v>44.044349943037567</v>
      </c>
      <c r="P34" s="62">
        <f t="shared" si="2"/>
        <v>0.12666822087151314</v>
      </c>
      <c r="Q34" s="63">
        <f t="shared" si="3"/>
        <v>303.66993577124816</v>
      </c>
      <c r="R34" s="38">
        <f t="shared" si="4"/>
        <v>391.75863565732328</v>
      </c>
      <c r="S34" s="64"/>
      <c r="T34" s="38">
        <f t="shared" si="11"/>
        <v>347.71428571428572</v>
      </c>
      <c r="U34" s="38">
        <f t="shared" si="11"/>
        <v>44.044349943037567</v>
      </c>
      <c r="V34" s="65">
        <f t="shared" si="6"/>
        <v>0.12666822087151314</v>
      </c>
      <c r="W34" s="66"/>
      <c r="X34" s="38">
        <f t="shared" si="19"/>
        <v>345</v>
      </c>
      <c r="Y34" s="39">
        <f t="shared" si="16"/>
        <v>66</v>
      </c>
      <c r="Z34" s="38">
        <f t="shared" si="8"/>
        <v>411</v>
      </c>
      <c r="AA34" s="39">
        <f t="shared" si="9"/>
        <v>296372100</v>
      </c>
      <c r="AD34" s="247"/>
      <c r="AE34" s="262"/>
    </row>
    <row r="35" spans="1:31" ht="26" x14ac:dyDescent="0.35">
      <c r="A35" s="29"/>
      <c r="B35" s="28" t="s">
        <v>54</v>
      </c>
      <c r="C35" s="28" t="s">
        <v>79</v>
      </c>
      <c r="D35" s="28" t="s">
        <v>53</v>
      </c>
      <c r="E35" s="83">
        <v>451385</v>
      </c>
      <c r="F35" s="34">
        <v>12</v>
      </c>
      <c r="G35" s="61">
        <f>'[1]Grupo Kriterion'!G42</f>
        <v>195</v>
      </c>
      <c r="H35" s="61">
        <f>'[1]Lan Solutions'!G42</f>
        <v>200</v>
      </c>
      <c r="I35" s="61">
        <f>[1]Digicom!G42</f>
        <v>258</v>
      </c>
      <c r="J35" s="61">
        <f>'[1]Servicios postales'!G42</f>
        <v>184</v>
      </c>
      <c r="K35" s="61">
        <f>[1]Rottor!G42</f>
        <v>170</v>
      </c>
      <c r="L35" s="61">
        <f>'[1]Indra Colombia'!G42</f>
        <v>231</v>
      </c>
      <c r="M35" s="61">
        <f>'[1]TK Logistica'!G42</f>
        <v>240</v>
      </c>
      <c r="N35" s="61">
        <f t="shared" si="0"/>
        <v>211.14285714285714</v>
      </c>
      <c r="O35" s="61">
        <f t="shared" si="1"/>
        <v>32.240908648426668</v>
      </c>
      <c r="P35" s="62">
        <f t="shared" si="2"/>
        <v>0.15269713162313037</v>
      </c>
      <c r="Q35" s="63">
        <f t="shared" si="3"/>
        <v>178.90194849443048</v>
      </c>
      <c r="R35" s="38">
        <f t="shared" si="4"/>
        <v>243.38376579128379</v>
      </c>
      <c r="S35" s="64"/>
      <c r="T35" s="38">
        <f t="shared" si="11"/>
        <v>211.14285714285714</v>
      </c>
      <c r="U35" s="38">
        <f t="shared" si="11"/>
        <v>32.240908648426668</v>
      </c>
      <c r="V35" s="65">
        <f t="shared" si="6"/>
        <v>0.15269713162313037</v>
      </c>
      <c r="W35" s="66"/>
      <c r="X35" s="38">
        <f t="shared" si="19"/>
        <v>209</v>
      </c>
      <c r="Y35" s="39">
        <f t="shared" si="16"/>
        <v>40</v>
      </c>
      <c r="Z35" s="38">
        <f>Y35+X35</f>
        <v>249</v>
      </c>
      <c r="AA35" s="39">
        <f t="shared" si="9"/>
        <v>1348738380</v>
      </c>
      <c r="AD35" s="247"/>
      <c r="AE35" s="262"/>
    </row>
    <row r="36" spans="1:31" ht="26" x14ac:dyDescent="0.35">
      <c r="A36" s="15">
        <v>27</v>
      </c>
      <c r="B36" s="16" t="s">
        <v>56</v>
      </c>
      <c r="C36" s="16" t="s">
        <v>57</v>
      </c>
      <c r="D36" s="16" t="s">
        <v>55</v>
      </c>
      <c r="E36" s="85">
        <v>76646</v>
      </c>
      <c r="F36" s="24">
        <v>12</v>
      </c>
      <c r="G36" s="61">
        <f>'[1]Grupo Kriterion'!G43</f>
        <v>2600</v>
      </c>
      <c r="H36" s="61">
        <f>'[1]Lan Solutions'!G43</f>
        <v>2700</v>
      </c>
      <c r="I36" s="61">
        <f>[1]Digicom!G43</f>
        <v>2500</v>
      </c>
      <c r="J36" s="61">
        <f>'[1]Servicios postales'!G43</f>
        <v>2530</v>
      </c>
      <c r="K36" s="61">
        <f>[1]Rottor!G43</f>
        <v>2400</v>
      </c>
      <c r="L36" s="61">
        <f>'[1]Indra Colombia'!G43</f>
        <v>2664</v>
      </c>
      <c r="M36" s="61">
        <f>'[1]TK Logistica'!G43</f>
        <v>2500</v>
      </c>
      <c r="N36" s="61">
        <f t="shared" si="0"/>
        <v>2556.2857142857142</v>
      </c>
      <c r="O36" s="61">
        <f t="shared" si="1"/>
        <v>104.57806380198204</v>
      </c>
      <c r="P36" s="62">
        <f t="shared" si="2"/>
        <v>4.0910162435110892E-2</v>
      </c>
      <c r="Q36" s="63">
        <f t="shared" si="3"/>
        <v>2451.7076504837323</v>
      </c>
      <c r="R36" s="38">
        <f t="shared" si="4"/>
        <v>2660.8637780876961</v>
      </c>
      <c r="S36" s="64"/>
      <c r="T36" s="38">
        <f t="shared" si="11"/>
        <v>2556.2857142857142</v>
      </c>
      <c r="U36" s="38">
        <f t="shared" si="11"/>
        <v>104.57806380198204</v>
      </c>
      <c r="V36" s="65">
        <f t="shared" si="6"/>
        <v>4.0910162435110892E-2</v>
      </c>
      <c r="W36" s="66"/>
      <c r="X36" s="38">
        <f t="shared" ref="X36:X39" si="20">+ROUND(AVERAGE(G36,H36,I36,J36,K36,L36,M36),0)</f>
        <v>2556</v>
      </c>
      <c r="Y36" s="39">
        <v>0</v>
      </c>
      <c r="Z36" s="38">
        <f t="shared" si="8"/>
        <v>2556</v>
      </c>
      <c r="AA36" s="39">
        <f t="shared" si="9"/>
        <v>2350886112</v>
      </c>
      <c r="AD36" s="247"/>
      <c r="AE36" s="262"/>
    </row>
    <row r="37" spans="1:31" ht="26" x14ac:dyDescent="0.35">
      <c r="A37" s="15">
        <v>28</v>
      </c>
      <c r="B37" s="16" t="s">
        <v>56</v>
      </c>
      <c r="C37" s="16" t="s">
        <v>58</v>
      </c>
      <c r="D37" s="16" t="s">
        <v>55</v>
      </c>
      <c r="E37" s="85">
        <v>109634</v>
      </c>
      <c r="F37" s="24">
        <v>12</v>
      </c>
      <c r="G37" s="61">
        <f>'[1]Grupo Kriterion'!G44</f>
        <v>3500</v>
      </c>
      <c r="H37" s="61">
        <f>'[1]Lan Solutions'!G44</f>
        <v>3800</v>
      </c>
      <c r="I37" s="61">
        <f>[1]Digicom!G44</f>
        <v>3900</v>
      </c>
      <c r="J37" s="61">
        <f>'[1]Servicios postales'!G44</f>
        <v>3450</v>
      </c>
      <c r="K37" s="61">
        <f>[1]Rottor!G44</f>
        <v>3400</v>
      </c>
      <c r="L37" s="61">
        <f>'[1]Indra Colombia'!G44</f>
        <v>3885</v>
      </c>
      <c r="M37" s="61">
        <f>'[1]TK Logistica'!G44</f>
        <v>3600</v>
      </c>
      <c r="N37" s="61">
        <f t="shared" si="0"/>
        <v>3647.8571428571427</v>
      </c>
      <c r="O37" s="61">
        <f t="shared" si="1"/>
        <v>211.22375858429416</v>
      </c>
      <c r="P37" s="62">
        <f t="shared" si="2"/>
        <v>5.7903517136873278E-2</v>
      </c>
      <c r="Q37" s="63">
        <f t="shared" si="3"/>
        <v>3436.6333842728486</v>
      </c>
      <c r="R37" s="38">
        <f t="shared" si="4"/>
        <v>3859.0809014414367</v>
      </c>
      <c r="S37" s="64"/>
      <c r="T37" s="38">
        <f t="shared" si="11"/>
        <v>3647.8571428571427</v>
      </c>
      <c r="U37" s="38">
        <f t="shared" si="11"/>
        <v>211.22375858429416</v>
      </c>
      <c r="V37" s="65">
        <f t="shared" si="6"/>
        <v>5.7903517136873278E-2</v>
      </c>
      <c r="W37" s="66"/>
      <c r="X37" s="38">
        <f t="shared" si="20"/>
        <v>3648</v>
      </c>
      <c r="Y37" s="39">
        <v>0</v>
      </c>
      <c r="Z37" s="38">
        <f t="shared" si="8"/>
        <v>3648</v>
      </c>
      <c r="AA37" s="39">
        <f t="shared" si="9"/>
        <v>4799337984</v>
      </c>
      <c r="AD37" s="247"/>
      <c r="AE37" s="262"/>
    </row>
    <row r="38" spans="1:31" ht="26" x14ac:dyDescent="0.35">
      <c r="A38" s="15">
        <v>29</v>
      </c>
      <c r="B38" s="16" t="s">
        <v>56</v>
      </c>
      <c r="C38" s="16" t="s">
        <v>59</v>
      </c>
      <c r="D38" s="16" t="s">
        <v>55</v>
      </c>
      <c r="E38" s="85">
        <v>8186</v>
      </c>
      <c r="F38" s="24">
        <v>12</v>
      </c>
      <c r="G38" s="61">
        <f>'[1]Grupo Kriterion'!G45</f>
        <v>3200</v>
      </c>
      <c r="H38" s="61">
        <f>'[1]Lan Solutions'!G45</f>
        <v>3700</v>
      </c>
      <c r="I38" s="61">
        <f>[1]Digicom!G45</f>
        <v>3700</v>
      </c>
      <c r="J38" s="61">
        <f>'[1]Servicios postales'!G45</f>
        <v>3105</v>
      </c>
      <c r="K38" s="61">
        <f>[1]Rottor!G45</f>
        <v>3100</v>
      </c>
      <c r="L38" s="61">
        <f>'[1]Indra Colombia'!G45</f>
        <v>3330</v>
      </c>
      <c r="M38" s="61">
        <f>'[1]TK Logistica'!G45</f>
        <v>3550</v>
      </c>
      <c r="N38" s="61">
        <f t="shared" si="0"/>
        <v>3383.5714285714284</v>
      </c>
      <c r="O38" s="61">
        <f t="shared" si="1"/>
        <v>265.37260417688003</v>
      </c>
      <c r="P38" s="62">
        <f t="shared" si="2"/>
        <v>7.8429733132284574E-2</v>
      </c>
      <c r="Q38" s="63">
        <f t="shared" si="3"/>
        <v>3118.1988243945484</v>
      </c>
      <c r="R38" s="38">
        <f t="shared" si="4"/>
        <v>3648.9440327483085</v>
      </c>
      <c r="S38" s="64"/>
      <c r="T38" s="38">
        <f t="shared" si="11"/>
        <v>3383.5714285714284</v>
      </c>
      <c r="U38" s="38">
        <f t="shared" si="11"/>
        <v>265.37260417688003</v>
      </c>
      <c r="V38" s="65">
        <f t="shared" si="6"/>
        <v>7.8429733132284574E-2</v>
      </c>
      <c r="W38" s="66"/>
      <c r="X38" s="38">
        <f t="shared" si="20"/>
        <v>3384</v>
      </c>
      <c r="Y38" s="39">
        <v>0</v>
      </c>
      <c r="Z38" s="38">
        <f t="shared" si="8"/>
        <v>3384</v>
      </c>
      <c r="AA38" s="39">
        <f t="shared" si="9"/>
        <v>332417088</v>
      </c>
      <c r="AD38" s="247"/>
      <c r="AE38" s="262"/>
    </row>
    <row r="39" spans="1:31" ht="26.5" thickBot="1" x14ac:dyDescent="0.4">
      <c r="A39" s="15">
        <v>30</v>
      </c>
      <c r="B39" s="16" t="s">
        <v>56</v>
      </c>
      <c r="C39" s="16" t="s">
        <v>60</v>
      </c>
      <c r="D39" s="16" t="s">
        <v>55</v>
      </c>
      <c r="E39" s="85">
        <v>4907</v>
      </c>
      <c r="F39" s="24">
        <v>12</v>
      </c>
      <c r="G39" s="61">
        <f>'[1]Grupo Kriterion'!G46</f>
        <v>11000</v>
      </c>
      <c r="H39" s="61">
        <f>'[1]Lan Solutions'!G46</f>
        <v>11500</v>
      </c>
      <c r="I39" s="61">
        <f>[1]Digicom!G46</f>
        <v>10200</v>
      </c>
      <c r="J39" s="61">
        <f>'[1]Servicios postales'!G46</f>
        <v>10350</v>
      </c>
      <c r="K39" s="61">
        <f>[1]Rottor!G46</f>
        <v>10200</v>
      </c>
      <c r="L39" s="61">
        <f>'[1]Indra Colombia'!G46</f>
        <v>10878</v>
      </c>
      <c r="M39" s="61">
        <f>'[1]TK Logistica'!G46</f>
        <v>10000</v>
      </c>
      <c r="N39" s="61">
        <f t="shared" si="0"/>
        <v>10589.714285714286</v>
      </c>
      <c r="O39" s="61">
        <f t="shared" si="1"/>
        <v>546.05302376408895</v>
      </c>
      <c r="P39" s="62">
        <f t="shared" si="2"/>
        <v>5.1564471810228558E-2</v>
      </c>
      <c r="Q39" s="63">
        <f t="shared" si="3"/>
        <v>10043.661261950198</v>
      </c>
      <c r="R39" s="38">
        <f t="shared" si="4"/>
        <v>11135.767309478375</v>
      </c>
      <c r="S39" s="67"/>
      <c r="T39" s="38">
        <f t="shared" si="11"/>
        <v>10589.714285714286</v>
      </c>
      <c r="U39" s="38">
        <f t="shared" si="11"/>
        <v>546.05302376408895</v>
      </c>
      <c r="V39" s="65">
        <f t="shared" si="6"/>
        <v>5.1564471810228558E-2</v>
      </c>
      <c r="W39" s="66"/>
      <c r="X39" s="38">
        <f t="shared" si="20"/>
        <v>10590</v>
      </c>
      <c r="Y39" s="39">
        <v>0</v>
      </c>
      <c r="Z39" s="38">
        <f t="shared" si="8"/>
        <v>10590</v>
      </c>
      <c r="AA39" s="39">
        <f t="shared" si="9"/>
        <v>623581560</v>
      </c>
      <c r="AD39" s="247"/>
      <c r="AE39" s="262"/>
    </row>
    <row r="40" spans="1:31" ht="20.5" thickBot="1" x14ac:dyDescent="0.4">
      <c r="R40" s="210" t="s">
        <v>9</v>
      </c>
      <c r="S40" s="211"/>
      <c r="T40" s="211"/>
      <c r="U40" s="211"/>
      <c r="V40" s="211"/>
      <c r="W40" s="211"/>
      <c r="X40" s="212"/>
      <c r="Y40" s="212"/>
      <c r="Z40" s="239"/>
      <c r="AA40" s="136">
        <f>SUM(AA4:AA39)</f>
        <v>25880943288</v>
      </c>
    </row>
  </sheetData>
  <mergeCells count="15">
    <mergeCell ref="A26:A27"/>
    <mergeCell ref="B26:B27"/>
    <mergeCell ref="R40:Z40"/>
    <mergeCell ref="U2:U3"/>
    <mergeCell ref="V2:V3"/>
    <mergeCell ref="X2:AA2"/>
    <mergeCell ref="B16:B18"/>
    <mergeCell ref="A19:A21"/>
    <mergeCell ref="B19:B21"/>
    <mergeCell ref="N2:N3"/>
    <mergeCell ref="O2:O3"/>
    <mergeCell ref="P2:P3"/>
    <mergeCell ref="Q2:Q3"/>
    <mergeCell ref="R2:R3"/>
    <mergeCell ref="T2:T3"/>
  </mergeCells>
  <phoneticPr fontId="1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ANALISIS</vt:lpstr>
      <vt:lpstr>ADICION </vt:lpstr>
      <vt:lpstr>COMPARATIVO</vt:lpstr>
      <vt:lpstr>INCREMENTO</vt:lpstr>
      <vt:lpstr>COT  2025</vt:lpstr>
      <vt:lpstr>COT 2026 </vt:lpstr>
      <vt:lpstr>COPIA - Estudio de mercado</vt:lpstr>
      <vt:lpstr>'COT  2025'!Área_de_impresión</vt:lpstr>
      <vt:lpstr>'COT 2026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FNA</dc:creator>
  <cp:lastModifiedBy>Jersair Tarazona Capacho</cp:lastModifiedBy>
  <cp:lastPrinted>2023-02-27T15:00:31Z</cp:lastPrinted>
  <dcterms:created xsi:type="dcterms:W3CDTF">2015-10-13T15:22:35Z</dcterms:created>
  <dcterms:modified xsi:type="dcterms:W3CDTF">2025-08-08T23:40:51Z</dcterms:modified>
</cp:coreProperties>
</file>