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SEBASTIAN\Documents\PATÍA 2025\MP-SI-SAMC-008-2025\ENVIAR REVISADO JURIDICA\PARA CARGUE\"/>
    </mc:Choice>
  </mc:AlternateContent>
  <bookViews>
    <workbookView xWindow="0" yWindow="0" windowWidth="14964" windowHeight="7020"/>
  </bookViews>
  <sheets>
    <sheet name="PRESUPUESTO CASA DE LA CULTURA" sheetId="4" r:id="rId1"/>
    <sheet name="ANALISIS" sheetId="3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Adm">'PRESUPUESTO CASA DE LA CULTURA'!$F$41</definedName>
    <definedName name="_xlnm.Print_Area" localSheetId="0">'PRESUPUESTO CASA DE LA CULTURA'!$A$1:$AE$78</definedName>
    <definedName name="Imprev">'PRESUPUESTO CASA DE LA CULTURA'!$F$42</definedName>
    <definedName name="IvaSUtl">'PRESUPUESTO CASA DE LA CULTURA'!$F$46</definedName>
    <definedName name="SbtPpto">'PRESUPUESTO CASA DE LA CULTURA'!#REF!</definedName>
    <definedName name="TtlCD">'PRESUPUESTO CASA DE LA CULTURA'!$G$40</definedName>
    <definedName name="Utilidad">'PRESUPUESTO CASA DE LA CULTURA'!$F$43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370" i="3" l="1"/>
  <c r="V370" i="3"/>
  <c r="H309" i="3"/>
  <c r="H310" i="3"/>
  <c r="H311" i="3" s="1"/>
  <c r="I309" i="3"/>
  <c r="H308" i="3"/>
  <c r="H214" i="3"/>
  <c r="C229" i="3" l="1"/>
  <c r="C360" i="3"/>
  <c r="C341" i="3"/>
  <c r="C318" i="3"/>
  <c r="C295" i="3"/>
  <c r="C273" i="3"/>
  <c r="C251" i="3"/>
  <c r="C205" i="3"/>
  <c r="C185" i="3"/>
  <c r="C127" i="3"/>
  <c r="C108" i="3"/>
  <c r="C158" i="3"/>
  <c r="E21" i="4"/>
  <c r="E28" i="4"/>
  <c r="E19" i="4"/>
  <c r="E20" i="4" s="1"/>
  <c r="E22" i="4"/>
  <c r="F18" i="4"/>
  <c r="G18" i="4" s="1"/>
  <c r="F17" i="4"/>
  <c r="G17" i="4" s="1"/>
  <c r="G406" i="3"/>
  <c r="G405" i="3"/>
  <c r="G380" i="3"/>
  <c r="G379" i="3"/>
  <c r="G378" i="3"/>
  <c r="G349" i="3"/>
  <c r="G330" i="3"/>
  <c r="G305" i="3"/>
  <c r="G284" i="3"/>
  <c r="G262" i="3"/>
  <c r="G239" i="3"/>
  <c r="G217" i="3"/>
  <c r="G194" i="3"/>
  <c r="G172" i="3"/>
  <c r="G171" i="3"/>
  <c r="G170" i="3"/>
  <c r="G145" i="3"/>
  <c r="G144" i="3"/>
  <c r="G143" i="3"/>
  <c r="G113" i="3"/>
  <c r="G88" i="3"/>
  <c r="G66" i="3"/>
  <c r="G34" i="3"/>
  <c r="G21" i="3"/>
  <c r="H379" i="3" l="1"/>
  <c r="H380" i="3"/>
  <c r="H378" i="3"/>
  <c r="H375" i="3" l="1"/>
  <c r="C373" i="3"/>
  <c r="J414" i="3"/>
  <c r="H414" i="3"/>
  <c r="H410" i="3"/>
  <c r="H409" i="3"/>
  <c r="H406" i="3"/>
  <c r="H405" i="3"/>
  <c r="H402" i="3"/>
  <c r="H401" i="3"/>
  <c r="H400" i="3"/>
  <c r="H399" i="3"/>
  <c r="H398" i="3"/>
  <c r="H397" i="3"/>
  <c r="I393" i="3"/>
  <c r="I400" i="3" s="1"/>
  <c r="J399" i="3" l="1"/>
  <c r="J410" i="3"/>
  <c r="J400" i="3"/>
  <c r="J401" i="3"/>
  <c r="I409" i="3"/>
  <c r="H407" i="3"/>
  <c r="I401" i="3"/>
  <c r="J402" i="3"/>
  <c r="H403" i="3"/>
  <c r="I398" i="3"/>
  <c r="I405" i="3"/>
  <c r="J398" i="3"/>
  <c r="J406" i="3"/>
  <c r="H411" i="3"/>
  <c r="I399" i="3"/>
  <c r="J415" i="3"/>
  <c r="I402" i="3"/>
  <c r="I406" i="3"/>
  <c r="I410" i="3"/>
  <c r="J405" i="3"/>
  <c r="J409" i="3"/>
  <c r="I397" i="3"/>
  <c r="J397" i="3"/>
  <c r="J411" i="3" l="1"/>
  <c r="J407" i="3"/>
  <c r="G416" i="3"/>
  <c r="J403" i="3"/>
  <c r="I416" i="3" l="1"/>
  <c r="H374" i="3"/>
  <c r="I372" i="3"/>
  <c r="H372" i="3"/>
  <c r="I371" i="3"/>
  <c r="H371" i="3"/>
  <c r="I370" i="3"/>
  <c r="H370" i="3"/>
  <c r="H367" i="3"/>
  <c r="H368" i="3"/>
  <c r="H369" i="3"/>
  <c r="H366" i="3"/>
  <c r="H365" i="3"/>
  <c r="I390" i="3"/>
  <c r="H385" i="3"/>
  <c r="I384" i="3"/>
  <c r="I383" i="3"/>
  <c r="H381" i="3"/>
  <c r="I380" i="3"/>
  <c r="I379" i="3"/>
  <c r="I378" i="3"/>
  <c r="I369" i="3"/>
  <c r="I368" i="3"/>
  <c r="I367" i="3"/>
  <c r="I375" i="3" s="1"/>
  <c r="I366" i="3"/>
  <c r="I374" i="3" s="1"/>
  <c r="I365" i="3"/>
  <c r="H352" i="3"/>
  <c r="H353" i="3" s="1"/>
  <c r="H346" i="3"/>
  <c r="H347" i="3" s="1"/>
  <c r="I349" i="3"/>
  <c r="H349" i="3"/>
  <c r="H350" i="3" s="1"/>
  <c r="I183" i="3"/>
  <c r="H178" i="3"/>
  <c r="I177" i="3"/>
  <c r="I176" i="3"/>
  <c r="I175" i="3"/>
  <c r="H173" i="3"/>
  <c r="I172" i="3"/>
  <c r="I171" i="3"/>
  <c r="I170" i="3"/>
  <c r="I167" i="3"/>
  <c r="H167" i="3"/>
  <c r="I166" i="3"/>
  <c r="H166" i="3"/>
  <c r="I165" i="3"/>
  <c r="H165" i="3"/>
  <c r="I164" i="3"/>
  <c r="H164" i="3"/>
  <c r="I163" i="3"/>
  <c r="H163" i="3"/>
  <c r="H333" i="3"/>
  <c r="H334" i="3" s="1"/>
  <c r="H330" i="3"/>
  <c r="H331" i="3" s="1"/>
  <c r="H324" i="3"/>
  <c r="H325" i="3"/>
  <c r="H326" i="3"/>
  <c r="H327" i="3"/>
  <c r="H323" i="3"/>
  <c r="Q358" i="3"/>
  <c r="P358" i="3"/>
  <c r="N358" i="3"/>
  <c r="M358" i="3"/>
  <c r="L358" i="3"/>
  <c r="Q357" i="3"/>
  <c r="P357" i="3"/>
  <c r="N357" i="3"/>
  <c r="M357" i="3"/>
  <c r="L357" i="3"/>
  <c r="Q356" i="3"/>
  <c r="P356" i="3"/>
  <c r="N356" i="3"/>
  <c r="M356" i="3"/>
  <c r="L356" i="3"/>
  <c r="Q355" i="3"/>
  <c r="P355" i="3"/>
  <c r="N355" i="3"/>
  <c r="M355" i="3"/>
  <c r="L355" i="3"/>
  <c r="Q354" i="3"/>
  <c r="P354" i="3"/>
  <c r="N354" i="3"/>
  <c r="M354" i="3"/>
  <c r="L354" i="3"/>
  <c r="Q353" i="3"/>
  <c r="P353" i="3"/>
  <c r="N353" i="3"/>
  <c r="M353" i="3"/>
  <c r="L353" i="3"/>
  <c r="AD352" i="3"/>
  <c r="AC352" i="3"/>
  <c r="AB352" i="3"/>
  <c r="Q352" i="3"/>
  <c r="P352" i="3"/>
  <c r="N352" i="3"/>
  <c r="M352" i="3"/>
  <c r="L352" i="3"/>
  <c r="Q351" i="3"/>
  <c r="P351" i="3"/>
  <c r="N351" i="3"/>
  <c r="M351" i="3"/>
  <c r="L351" i="3"/>
  <c r="Q350" i="3"/>
  <c r="P350" i="3"/>
  <c r="N350" i="3"/>
  <c r="M350" i="3"/>
  <c r="L350" i="3"/>
  <c r="Q348" i="3"/>
  <c r="P348" i="3"/>
  <c r="N348" i="3"/>
  <c r="M348" i="3"/>
  <c r="L348" i="3"/>
  <c r="Q347" i="3"/>
  <c r="P347" i="3"/>
  <c r="N347" i="3"/>
  <c r="M347" i="3"/>
  <c r="L347" i="3"/>
  <c r="AD346" i="3"/>
  <c r="AC346" i="3"/>
  <c r="AB346" i="3"/>
  <c r="Q346" i="3"/>
  <c r="P346" i="3"/>
  <c r="N346" i="3"/>
  <c r="M346" i="3"/>
  <c r="L346" i="3"/>
  <c r="Q345" i="3"/>
  <c r="P345" i="3"/>
  <c r="N345" i="3"/>
  <c r="M345" i="3"/>
  <c r="L345" i="3"/>
  <c r="Q344" i="3"/>
  <c r="P344" i="3"/>
  <c r="N344" i="3"/>
  <c r="M344" i="3"/>
  <c r="L344" i="3"/>
  <c r="Q343" i="3"/>
  <c r="P343" i="3"/>
  <c r="N343" i="3"/>
  <c r="M343" i="3"/>
  <c r="L343" i="3"/>
  <c r="AD342" i="3"/>
  <c r="AC342" i="3"/>
  <c r="AB342" i="3"/>
  <c r="Q342" i="3"/>
  <c r="P342" i="3"/>
  <c r="N342" i="3"/>
  <c r="M342" i="3"/>
  <c r="L342" i="3"/>
  <c r="I342" i="3"/>
  <c r="I346" i="3" s="1"/>
  <c r="Q341" i="3"/>
  <c r="P341" i="3"/>
  <c r="N341" i="3"/>
  <c r="M341" i="3"/>
  <c r="L341" i="3"/>
  <c r="H358" i="3" l="1"/>
  <c r="F30" i="4" s="1"/>
  <c r="I373" i="3"/>
  <c r="H168" i="3"/>
  <c r="H183" i="3" s="1"/>
  <c r="H328" i="3"/>
  <c r="H339" i="3" s="1"/>
  <c r="I352" i="3"/>
  <c r="F24" i="4" l="1"/>
  <c r="G24" i="4" s="1"/>
  <c r="Q339" i="3"/>
  <c r="P339" i="3"/>
  <c r="N339" i="3"/>
  <c r="M339" i="3"/>
  <c r="L339" i="3"/>
  <c r="Q338" i="3"/>
  <c r="P338" i="3"/>
  <c r="N338" i="3"/>
  <c r="M338" i="3"/>
  <c r="L338" i="3"/>
  <c r="Q337" i="3"/>
  <c r="P337" i="3"/>
  <c r="N337" i="3"/>
  <c r="M337" i="3"/>
  <c r="L337" i="3"/>
  <c r="Q336" i="3"/>
  <c r="P336" i="3"/>
  <c r="N336" i="3"/>
  <c r="M336" i="3"/>
  <c r="L336" i="3"/>
  <c r="Q335" i="3"/>
  <c r="P335" i="3"/>
  <c r="N335" i="3"/>
  <c r="M335" i="3"/>
  <c r="L335" i="3"/>
  <c r="Q334" i="3"/>
  <c r="P334" i="3"/>
  <c r="N334" i="3"/>
  <c r="M334" i="3"/>
  <c r="L334" i="3"/>
  <c r="AD333" i="3"/>
  <c r="AC333" i="3"/>
  <c r="AB333" i="3"/>
  <c r="Q333" i="3"/>
  <c r="P333" i="3"/>
  <c r="N333" i="3"/>
  <c r="M333" i="3"/>
  <c r="L333" i="3"/>
  <c r="Q332" i="3"/>
  <c r="P332" i="3"/>
  <c r="N332" i="3"/>
  <c r="M332" i="3"/>
  <c r="L332" i="3"/>
  <c r="Q331" i="3"/>
  <c r="P331" i="3"/>
  <c r="N331" i="3"/>
  <c r="M331" i="3"/>
  <c r="L331" i="3"/>
  <c r="AD330" i="3"/>
  <c r="AC330" i="3"/>
  <c r="AB330" i="3"/>
  <c r="Q330" i="3"/>
  <c r="P330" i="3"/>
  <c r="N330" i="3"/>
  <c r="M330" i="3"/>
  <c r="L330" i="3"/>
  <c r="Q329" i="3"/>
  <c r="P329" i="3"/>
  <c r="N329" i="3"/>
  <c r="M329" i="3"/>
  <c r="L329" i="3"/>
  <c r="Q328" i="3"/>
  <c r="P328" i="3"/>
  <c r="N328" i="3"/>
  <c r="M328" i="3"/>
  <c r="L328" i="3"/>
  <c r="AD327" i="3"/>
  <c r="AC327" i="3"/>
  <c r="AB327" i="3"/>
  <c r="Q327" i="3"/>
  <c r="P327" i="3"/>
  <c r="N327" i="3"/>
  <c r="M327" i="3"/>
  <c r="L327" i="3"/>
  <c r="AD326" i="3"/>
  <c r="AC326" i="3"/>
  <c r="AB326" i="3"/>
  <c r="Q326" i="3"/>
  <c r="P326" i="3"/>
  <c r="N326" i="3"/>
  <c r="M326" i="3"/>
  <c r="L326" i="3"/>
  <c r="AD325" i="3"/>
  <c r="AC325" i="3"/>
  <c r="AB325" i="3"/>
  <c r="Q325" i="3"/>
  <c r="P325" i="3"/>
  <c r="N325" i="3"/>
  <c r="M325" i="3"/>
  <c r="L325" i="3"/>
  <c r="AD324" i="3"/>
  <c r="AC324" i="3"/>
  <c r="AB324" i="3"/>
  <c r="Q324" i="3"/>
  <c r="P324" i="3"/>
  <c r="N324" i="3"/>
  <c r="M324" i="3"/>
  <c r="L324" i="3"/>
  <c r="AD323" i="3"/>
  <c r="AC323" i="3"/>
  <c r="AB323" i="3"/>
  <c r="Q323" i="3"/>
  <c r="P323" i="3"/>
  <c r="N323" i="3"/>
  <c r="M323" i="3"/>
  <c r="L323" i="3"/>
  <c r="Q322" i="3"/>
  <c r="P322" i="3"/>
  <c r="N322" i="3"/>
  <c r="M322" i="3"/>
  <c r="L322" i="3"/>
  <c r="Q321" i="3"/>
  <c r="P321" i="3"/>
  <c r="N321" i="3"/>
  <c r="M321" i="3"/>
  <c r="L321" i="3"/>
  <c r="Q320" i="3"/>
  <c r="P320" i="3"/>
  <c r="N320" i="3"/>
  <c r="M320" i="3"/>
  <c r="L320" i="3"/>
  <c r="AD319" i="3"/>
  <c r="AC319" i="3"/>
  <c r="AB319" i="3"/>
  <c r="Q319" i="3"/>
  <c r="P319" i="3"/>
  <c r="N319" i="3"/>
  <c r="M319" i="3"/>
  <c r="L319" i="3"/>
  <c r="I319" i="3"/>
  <c r="I323" i="3" s="1"/>
  <c r="Q318" i="3"/>
  <c r="P318" i="3"/>
  <c r="N318" i="3"/>
  <c r="M318" i="3"/>
  <c r="L318" i="3"/>
  <c r="I324" i="3" l="1"/>
  <c r="I325" i="3"/>
  <c r="I333" i="3"/>
  <c r="I326" i="3"/>
  <c r="I327" i="3"/>
  <c r="I330" i="3"/>
  <c r="I316" i="3" l="1"/>
  <c r="I310" i="3"/>
  <c r="I305" i="3"/>
  <c r="H305" i="3"/>
  <c r="H306" i="3" s="1"/>
  <c r="I302" i="3"/>
  <c r="H302" i="3"/>
  <c r="I301" i="3"/>
  <c r="H301" i="3"/>
  <c r="I300" i="3"/>
  <c r="H300" i="3"/>
  <c r="AH32" i="4"/>
  <c r="AG32" i="4"/>
  <c r="S32" i="4"/>
  <c r="R32" i="4"/>
  <c r="Q32" i="4"/>
  <c r="P32" i="4"/>
  <c r="K32" i="4"/>
  <c r="I32" i="4"/>
  <c r="L32" i="4" s="1"/>
  <c r="H32" i="4"/>
  <c r="M32" i="4" s="1"/>
  <c r="H303" i="3" l="1"/>
  <c r="T32" i="4"/>
  <c r="AH33" i="4" l="1"/>
  <c r="AG33" i="4"/>
  <c r="S33" i="4"/>
  <c r="R33" i="4"/>
  <c r="Q33" i="4"/>
  <c r="P33" i="4"/>
  <c r="K33" i="4"/>
  <c r="I33" i="4"/>
  <c r="L33" i="4" s="1"/>
  <c r="H33" i="4"/>
  <c r="M33" i="4" s="1"/>
  <c r="T33" i="4" l="1"/>
  <c r="H31" i="4" l="1"/>
  <c r="M31" i="4" s="1"/>
  <c r="I31" i="4"/>
  <c r="K31" i="4"/>
  <c r="L31" i="4"/>
  <c r="P31" i="4"/>
  <c r="Q31" i="4"/>
  <c r="R31" i="4"/>
  <c r="S31" i="4"/>
  <c r="AG31" i="4"/>
  <c r="AH31" i="4"/>
  <c r="H17" i="4"/>
  <c r="M17" i="4" s="1"/>
  <c r="I17" i="4"/>
  <c r="L17" i="4" s="1"/>
  <c r="K17" i="4"/>
  <c r="P17" i="4"/>
  <c r="Q17" i="4"/>
  <c r="R17" i="4"/>
  <c r="AG17" i="4"/>
  <c r="AH17" i="4"/>
  <c r="H18" i="4"/>
  <c r="M18" i="4" s="1"/>
  <c r="I18" i="4"/>
  <c r="L18" i="4" s="1"/>
  <c r="K18" i="4"/>
  <c r="P18" i="4"/>
  <c r="Q18" i="4"/>
  <c r="R18" i="4"/>
  <c r="AG18" i="4"/>
  <c r="AH18" i="4"/>
  <c r="I293" i="3"/>
  <c r="I308" i="3" s="1"/>
  <c r="H316" i="3" s="1"/>
  <c r="F29" i="4" s="1"/>
  <c r="I287" i="3"/>
  <c r="H287" i="3"/>
  <c r="H288" i="3" s="1"/>
  <c r="I284" i="3"/>
  <c r="H284" i="3"/>
  <c r="H285" i="3" s="1"/>
  <c r="I278" i="3"/>
  <c r="H278" i="3"/>
  <c r="I281" i="3"/>
  <c r="H281" i="3"/>
  <c r="I279" i="3"/>
  <c r="H279" i="3"/>
  <c r="I280" i="3"/>
  <c r="H280" i="3"/>
  <c r="AH30" i="4"/>
  <c r="AG30" i="4"/>
  <c r="S30" i="4"/>
  <c r="R30" i="4"/>
  <c r="Q30" i="4"/>
  <c r="P30" i="4"/>
  <c r="K30" i="4"/>
  <c r="I30" i="4"/>
  <c r="L30" i="4" s="1"/>
  <c r="H30" i="4"/>
  <c r="M30" i="4" s="1"/>
  <c r="H265" i="3"/>
  <c r="H266" i="3" s="1"/>
  <c r="H262" i="3"/>
  <c r="H263" i="3" s="1"/>
  <c r="H257" i="3"/>
  <c r="H258" i="3"/>
  <c r="H259" i="3"/>
  <c r="H256" i="3"/>
  <c r="AH29" i="4"/>
  <c r="AG29" i="4"/>
  <c r="K29" i="4"/>
  <c r="I29" i="4"/>
  <c r="H29" i="4"/>
  <c r="I271" i="3"/>
  <c r="I265" i="3"/>
  <c r="I262" i="3"/>
  <c r="I259" i="3"/>
  <c r="I258" i="3"/>
  <c r="I257" i="3"/>
  <c r="I256" i="3"/>
  <c r="P29" i="4" l="1"/>
  <c r="H260" i="3"/>
  <c r="T31" i="4"/>
  <c r="S29" i="4"/>
  <c r="R29" i="4"/>
  <c r="M29" i="4"/>
  <c r="T18" i="4"/>
  <c r="T17" i="4"/>
  <c r="L29" i="4"/>
  <c r="Q29" i="4"/>
  <c r="H282" i="3"/>
  <c r="H293" i="3" s="1"/>
  <c r="F28" i="4" s="1"/>
  <c r="H271" i="3"/>
  <c r="F27" i="4" s="1"/>
  <c r="T30" i="4"/>
  <c r="T29" i="4" l="1"/>
  <c r="G29" i="4"/>
  <c r="N29" i="4" s="1"/>
  <c r="G30" i="4" l="1"/>
  <c r="N30" i="4" s="1"/>
  <c r="C79" i="3"/>
  <c r="C57" i="3"/>
  <c r="C29" i="3"/>
  <c r="H243" i="3" l="1"/>
  <c r="H242" i="3"/>
  <c r="H239" i="3"/>
  <c r="H240" i="3" s="1"/>
  <c r="H235" i="3"/>
  <c r="H236" i="3"/>
  <c r="H234" i="3"/>
  <c r="I249" i="3"/>
  <c r="I243" i="3"/>
  <c r="I242" i="3"/>
  <c r="I239" i="3"/>
  <c r="I236" i="3"/>
  <c r="I235" i="3"/>
  <c r="I234" i="3"/>
  <c r="H244" i="3" l="1"/>
  <c r="H237" i="3"/>
  <c r="H249" i="3" l="1"/>
  <c r="F32" i="4" s="1"/>
  <c r="G32" i="4" s="1"/>
  <c r="N32" i="4" s="1"/>
  <c r="G38" i="3" l="1"/>
  <c r="E38" i="3"/>
  <c r="E116" i="3"/>
  <c r="I116" i="3" s="1"/>
  <c r="G116" i="3"/>
  <c r="H116" i="3" l="1"/>
  <c r="H137" i="3"/>
  <c r="I137" i="3"/>
  <c r="I136" i="3"/>
  <c r="H136" i="3"/>
  <c r="H221" i="3" l="1"/>
  <c r="H220" i="3"/>
  <c r="H217" i="3"/>
  <c r="H218" i="3" s="1"/>
  <c r="H211" i="3"/>
  <c r="H212" i="3"/>
  <c r="H213" i="3"/>
  <c r="H210" i="3"/>
  <c r="H222" i="3" l="1"/>
  <c r="H215" i="3"/>
  <c r="AH28" i="4"/>
  <c r="AG28" i="4"/>
  <c r="S28" i="4"/>
  <c r="R28" i="4"/>
  <c r="Q28" i="4"/>
  <c r="P28" i="4"/>
  <c r="K28" i="4"/>
  <c r="I28" i="4"/>
  <c r="L28" i="4" s="1"/>
  <c r="H28" i="4"/>
  <c r="M28" i="4" s="1"/>
  <c r="I227" i="3"/>
  <c r="I221" i="3"/>
  <c r="I220" i="3"/>
  <c r="I217" i="3"/>
  <c r="I214" i="3"/>
  <c r="I213" i="3"/>
  <c r="I212" i="3"/>
  <c r="I211" i="3"/>
  <c r="I210" i="3"/>
  <c r="H227" i="3" l="1"/>
  <c r="F26" i="4" s="1"/>
  <c r="T28" i="4"/>
  <c r="G28" i="4" l="1"/>
  <c r="N28" i="4" s="1"/>
  <c r="F36" i="4"/>
  <c r="S36" i="4"/>
  <c r="R36" i="4"/>
  <c r="Q36" i="4"/>
  <c r="L36" i="4"/>
  <c r="M36" i="4"/>
  <c r="AH34" i="4"/>
  <c r="AG34" i="4"/>
  <c r="T36" i="4" l="1"/>
  <c r="P36" i="4"/>
  <c r="H151" i="3"/>
  <c r="H146" i="3"/>
  <c r="H140" i="3"/>
  <c r="H138" i="3"/>
  <c r="H134" i="3"/>
  <c r="H133" i="3"/>
  <c r="H132" i="3"/>
  <c r="H135" i="3"/>
  <c r="H139" i="3"/>
  <c r="J201" i="3"/>
  <c r="H201" i="3"/>
  <c r="I197" i="3"/>
  <c r="G197" i="3"/>
  <c r="H197" i="3" s="1"/>
  <c r="I194" i="3"/>
  <c r="H194" i="3"/>
  <c r="J194" i="3" s="1"/>
  <c r="J195" i="3" s="1"/>
  <c r="I191" i="3"/>
  <c r="G191" i="3"/>
  <c r="H191" i="3" s="1"/>
  <c r="J191" i="3" s="1"/>
  <c r="I190" i="3"/>
  <c r="H190" i="3"/>
  <c r="AH25" i="4"/>
  <c r="AG25" i="4"/>
  <c r="K25" i="4"/>
  <c r="I25" i="4"/>
  <c r="H25" i="4"/>
  <c r="I156" i="3"/>
  <c r="I150" i="3"/>
  <c r="I149" i="3"/>
  <c r="I148" i="3"/>
  <c r="I145" i="3"/>
  <c r="I144" i="3"/>
  <c r="I143" i="3"/>
  <c r="I140" i="3"/>
  <c r="I139" i="3"/>
  <c r="I138" i="3"/>
  <c r="I135" i="3"/>
  <c r="I134" i="3"/>
  <c r="I133" i="3"/>
  <c r="I132" i="3"/>
  <c r="AH26" i="4"/>
  <c r="AG26" i="4"/>
  <c r="K26" i="4"/>
  <c r="I26" i="4"/>
  <c r="H26" i="4"/>
  <c r="J123" i="3"/>
  <c r="H123" i="3"/>
  <c r="I119" i="3"/>
  <c r="G119" i="3"/>
  <c r="H119" i="3" s="1"/>
  <c r="J119" i="3" s="1"/>
  <c r="I118" i="3"/>
  <c r="G118" i="3"/>
  <c r="H118" i="3" s="1"/>
  <c r="I113" i="3"/>
  <c r="H113" i="3"/>
  <c r="H141" i="3" l="1"/>
  <c r="H156" i="3" s="1"/>
  <c r="F23" i="4" s="1"/>
  <c r="G23" i="4" s="1"/>
  <c r="H192" i="3"/>
  <c r="J190" i="3"/>
  <c r="J192" i="3" s="1"/>
  <c r="J197" i="3"/>
  <c r="J198" i="3" s="1"/>
  <c r="H198" i="3"/>
  <c r="H195" i="3"/>
  <c r="J118" i="3"/>
  <c r="J120" i="3" s="1"/>
  <c r="H120" i="3"/>
  <c r="H114" i="3"/>
  <c r="J113" i="3"/>
  <c r="J114" i="3" s="1"/>
  <c r="H203" i="3" l="1"/>
  <c r="F25" i="4" s="1"/>
  <c r="H125" i="3"/>
  <c r="F22" i="4" s="1"/>
  <c r="G22" i="4" s="1"/>
  <c r="G125" i="3"/>
  <c r="G26" i="4"/>
  <c r="G203" i="3"/>
  <c r="G27" i="4" l="1"/>
  <c r="R25" i="4"/>
  <c r="Q25" i="4"/>
  <c r="S25" i="4"/>
  <c r="P25" i="4"/>
  <c r="M25" i="4"/>
  <c r="L25" i="4"/>
  <c r="Q26" i="4"/>
  <c r="N26" i="4"/>
  <c r="S26" i="4"/>
  <c r="P26" i="4"/>
  <c r="R26" i="4"/>
  <c r="M26" i="4"/>
  <c r="L26" i="4"/>
  <c r="I98" i="3"/>
  <c r="I92" i="3"/>
  <c r="H92" i="3"/>
  <c r="I91" i="3"/>
  <c r="H91" i="3"/>
  <c r="I88" i="3"/>
  <c r="H88" i="3"/>
  <c r="H89" i="3" s="1"/>
  <c r="I85" i="3"/>
  <c r="H85" i="3"/>
  <c r="H84" i="3"/>
  <c r="I84" i="3"/>
  <c r="T25" i="4" l="1"/>
  <c r="T26" i="4"/>
  <c r="H86" i="3"/>
  <c r="H93" i="3"/>
  <c r="H98" i="3" l="1"/>
  <c r="F21" i="4" s="1"/>
  <c r="H25" i="3"/>
  <c r="H26" i="3" s="1"/>
  <c r="H21" i="3"/>
  <c r="H17" i="3"/>
  <c r="H16" i="3"/>
  <c r="C15" i="3"/>
  <c r="I11" i="3"/>
  <c r="I25" i="3" s="1"/>
  <c r="H11" i="3"/>
  <c r="G21" i="4" l="1"/>
  <c r="I15" i="3"/>
  <c r="I16" i="3"/>
  <c r="J17" i="3"/>
  <c r="J16" i="3"/>
  <c r="I17" i="3"/>
  <c r="J25" i="3"/>
  <c r="J26" i="3" s="1"/>
  <c r="H69" i="3" l="1"/>
  <c r="H70" i="3"/>
  <c r="I70" i="3"/>
  <c r="F45" i="4"/>
  <c r="H66" i="3"/>
  <c r="H67" i="3" s="1"/>
  <c r="H63" i="3"/>
  <c r="G62" i="3"/>
  <c r="E62" i="3"/>
  <c r="I62" i="3" s="1"/>
  <c r="H41" i="3"/>
  <c r="H35" i="3"/>
  <c r="H34" i="3"/>
  <c r="H38" i="3"/>
  <c r="H39" i="3" s="1"/>
  <c r="I35" i="3"/>
  <c r="I47" i="3"/>
  <c r="I41" i="3"/>
  <c r="I34" i="3"/>
  <c r="I76" i="3"/>
  <c r="I38" i="3" s="1"/>
  <c r="I69" i="3"/>
  <c r="I66" i="3"/>
  <c r="I63" i="3"/>
  <c r="G15" i="3" l="1"/>
  <c r="H15" i="3" s="1"/>
  <c r="H18" i="3" s="1"/>
  <c r="H71" i="3"/>
  <c r="H62" i="3"/>
  <c r="H64" i="3" s="1"/>
  <c r="H36" i="3"/>
  <c r="H47" i="3" s="1"/>
  <c r="F19" i="4" s="1"/>
  <c r="G19" i="4" s="1"/>
  <c r="N17" i="4" l="1"/>
  <c r="J15" i="3"/>
  <c r="H76" i="3"/>
  <c r="F20" i="4" s="1"/>
  <c r="G20" i="4" s="1"/>
  <c r="J18" i="3"/>
  <c r="I27" i="3" s="1"/>
  <c r="N18" i="4" l="1"/>
  <c r="K27" i="4"/>
  <c r="R16" i="4"/>
  <c r="G2" i="4"/>
  <c r="C6" i="3"/>
  <c r="C4" i="3"/>
  <c r="I3" i="3"/>
  <c r="D3" i="3"/>
  <c r="A2" i="3"/>
  <c r="F1" i="3"/>
  <c r="P27" i="4"/>
  <c r="R27" i="4"/>
  <c r="H3" i="3"/>
  <c r="G3" i="3"/>
  <c r="F3" i="3"/>
  <c r="I71" i="4"/>
  <c r="C65" i="4"/>
  <c r="F58" i="4"/>
  <c r="AH56" i="4"/>
  <c r="AG56" i="4"/>
  <c r="T56" i="4"/>
  <c r="S56" i="4"/>
  <c r="R56" i="4"/>
  <c r="Q56" i="4"/>
  <c r="P56" i="4"/>
  <c r="N56" i="4"/>
  <c r="G56" i="4"/>
  <c r="F56" i="4"/>
  <c r="AH55" i="4"/>
  <c r="AG55" i="4"/>
  <c r="AH54" i="4"/>
  <c r="AG54" i="4"/>
  <c r="AH53" i="4"/>
  <c r="AG53" i="4"/>
  <c r="N53" i="4"/>
  <c r="G53" i="4"/>
  <c r="G48" i="4"/>
  <c r="L47" i="4"/>
  <c r="K47" i="4"/>
  <c r="J47" i="4"/>
  <c r="H47" i="4"/>
  <c r="M42" i="4"/>
  <c r="AH27" i="4"/>
  <c r="AG27" i="4"/>
  <c r="AH16" i="4"/>
  <c r="AG16" i="4"/>
  <c r="AH15" i="4"/>
  <c r="AG15" i="4"/>
  <c r="AH14" i="4"/>
  <c r="AG14" i="4"/>
  <c r="N12" i="4"/>
  <c r="G12" i="4"/>
  <c r="G9" i="4"/>
  <c r="AH4" i="4"/>
  <c r="AG4" i="4"/>
  <c r="B2" i="4"/>
  <c r="O1" i="4" s="1"/>
  <c r="DE1" i="4"/>
  <c r="DG1" i="4" s="1"/>
  <c r="CX1" i="4"/>
  <c r="CW1" i="4"/>
  <c r="CJ1" i="4"/>
  <c r="CC1" i="4"/>
  <c r="CB1" i="4"/>
  <c r="BV1" i="4"/>
  <c r="DH1" i="4" s="1"/>
  <c r="F1" i="4"/>
  <c r="J416" i="3" l="1"/>
  <c r="H416" i="3"/>
  <c r="J203" i="3"/>
  <c r="J125" i="3"/>
  <c r="F49" i="3"/>
  <c r="F101" i="3"/>
  <c r="F50" i="3"/>
  <c r="F102" i="3"/>
  <c r="F52" i="3"/>
  <c r="F104" i="3"/>
  <c r="F51" i="3"/>
  <c r="F103" i="3"/>
  <c r="J27" i="3"/>
  <c r="H27" i="3"/>
  <c r="F16" i="4" s="1"/>
  <c r="P16" i="4"/>
  <c r="Q16" i="4"/>
  <c r="BW1" i="4"/>
  <c r="CD1" i="4" s="1"/>
  <c r="U53" i="4"/>
  <c r="G58" i="4"/>
  <c r="H6" i="3"/>
  <c r="E3" i="3"/>
  <c r="DI1" i="4"/>
  <c r="I415" i="3" l="1"/>
  <c r="G373" i="3"/>
  <c r="H373" i="3" s="1"/>
  <c r="H376" i="3" s="1"/>
  <c r="H390" i="3" s="1"/>
  <c r="F31" i="4" s="1"/>
  <c r="G25" i="4"/>
  <c r="G16" i="4"/>
  <c r="S27" i="4"/>
  <c r="Q27" i="4"/>
  <c r="G31" i="4" l="1"/>
  <c r="N31" i="4" s="1"/>
  <c r="G33" i="4"/>
  <c r="N33" i="4" s="1"/>
  <c r="N25" i="4"/>
  <c r="T27" i="4"/>
  <c r="N27" i="4"/>
  <c r="H27" i="4"/>
  <c r="M27" i="4" s="1"/>
  <c r="G36" i="4" l="1"/>
  <c r="G40" i="4" s="1"/>
  <c r="G38" i="4"/>
  <c r="G39" i="4"/>
  <c r="N36" i="4" l="1"/>
  <c r="S16" i="4"/>
  <c r="I27" i="4"/>
  <c r="L27" i="4" s="1"/>
  <c r="T16" i="4" l="1"/>
  <c r="H16" i="4"/>
  <c r="M16" i="4" s="1"/>
  <c r="G42" i="4" l="1"/>
  <c r="G44" i="4"/>
  <c r="G41" i="4"/>
  <c r="N16" i="4"/>
  <c r="N14" i="4" l="1"/>
  <c r="U14" i="4" s="1"/>
  <c r="N42" i="4" l="1"/>
  <c r="N41" i="4"/>
  <c r="I16" i="4"/>
  <c r="L16" i="4" s="1"/>
  <c r="G43" i="4"/>
  <c r="M45" i="4"/>
  <c r="N40" i="4"/>
  <c r="N43" i="4" l="1"/>
  <c r="G45" i="4"/>
  <c r="N45" i="4" s="1"/>
  <c r="G46" i="4"/>
  <c r="N46" i="4" s="1"/>
  <c r="G47" i="4" l="1"/>
  <c r="G63" i="4" s="1"/>
  <c r="AO63" i="4" s="1"/>
  <c r="N47" i="4" l="1"/>
  <c r="I47" i="4"/>
  <c r="G61" i="4"/>
  <c r="G49" i="4" s="1"/>
  <c r="G1" i="4" s="1"/>
  <c r="H1" i="3" s="1"/>
</calcChain>
</file>

<file path=xl/sharedStrings.xml><?xml version="1.0" encoding="utf-8"?>
<sst xmlns="http://schemas.openxmlformats.org/spreadsheetml/2006/main" count="1136" uniqueCount="333">
  <si>
    <t>2015.1</t>
  </si>
  <si>
    <t>2022.1</t>
  </si>
  <si>
    <t>www.sagut.com</t>
  </si>
  <si>
    <t>Unit  CD</t>
  </si>
  <si>
    <t>Unit  CT</t>
  </si>
  <si>
    <t>Decimales</t>
  </si>
  <si>
    <t>Durac</t>
  </si>
  <si>
    <t>CT</t>
  </si>
  <si>
    <t>CD</t>
  </si>
  <si>
    <t>CASA</t>
  </si>
  <si>
    <t>DOBLECLIC AQUÍ PARA OCULTAR</t>
  </si>
  <si>
    <t>C1</t>
  </si>
  <si>
    <t>C2</t>
  </si>
  <si>
    <t>C3</t>
  </si>
  <si>
    <t>C4</t>
  </si>
  <si>
    <t>C5</t>
  </si>
  <si>
    <t>C6</t>
  </si>
  <si>
    <t xml:space="preserve"> </t>
  </si>
  <si>
    <t xml:space="preserve">Inicio  </t>
  </si>
  <si>
    <t>Precios Base</t>
  </si>
  <si>
    <t>Fin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</si>
  <si>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</si>
  <si>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</si>
  <si>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</si>
  <si>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</si>
  <si>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</si>
  <si>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</si>
  <si>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</si>
  <si>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</si>
  <si>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</si>
  <si>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</si>
  <si>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</si>
  <si>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</si>
  <si>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</si>
  <si>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</si>
  <si>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</si>
  <si>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</si>
  <si>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</si>
  <si>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</si>
  <si>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</si>
  <si>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</si>
  <si>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</si>
  <si>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</si>
  <si>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</si>
  <si>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</si>
  <si>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</si>
  <si>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</si>
  <si>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</si>
  <si>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</si>
  <si>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</si>
  <si>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</si>
  <si>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</si>
  <si>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</si>
  <si>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</si>
  <si>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</si>
  <si>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</si>
  <si>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</si>
  <si>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</si>
  <si>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</si>
  <si>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</si>
  <si>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</si>
  <si>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</si>
  <si>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</si>
  <si>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</si>
  <si>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</si>
  <si>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</si>
  <si>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</si>
  <si>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</si>
  <si>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ALCALDIA MUNICIPAL DE PATIA</t>
  </si>
  <si>
    <t>PRESUPUESTO</t>
  </si>
  <si>
    <t>ITEMS POR COMPONENTES</t>
  </si>
  <si>
    <t>DE OBRA</t>
  </si>
  <si>
    <t>Otros</t>
  </si>
  <si>
    <t>Equipo</t>
  </si>
  <si>
    <t>M. de Obra</t>
  </si>
  <si>
    <t>Materiales</t>
  </si>
  <si>
    <t>Unit CD</t>
  </si>
  <si>
    <t>Obra:</t>
  </si>
  <si>
    <t>FECHA:</t>
  </si>
  <si>
    <t>ENCAB</t>
  </si>
  <si>
    <t>ITEM</t>
  </si>
  <si>
    <t>DESCRIPCION</t>
  </si>
  <si>
    <t>UND</t>
  </si>
  <si>
    <t>CANT.</t>
  </si>
  <si>
    <t>VR. UNIT</t>
  </si>
  <si>
    <t>C.D.</t>
  </si>
  <si>
    <t>C.T.</t>
  </si>
  <si>
    <t>DURAC</t>
  </si>
  <si>
    <t>VR. TOTAL</t>
  </si>
  <si>
    <t>VR. C.D.</t>
  </si>
  <si>
    <t>CAP</t>
  </si>
  <si>
    <t>.</t>
  </si>
  <si>
    <t>COD</t>
  </si>
  <si>
    <t>IM0141</t>
  </si>
  <si>
    <t>SEÑALIZACION CON CINTA</t>
  </si>
  <si>
    <t>ML</t>
  </si>
  <si>
    <t>081007-1P</t>
  </si>
  <si>
    <t>M3</t>
  </si>
  <si>
    <t>080104-2P</t>
  </si>
  <si>
    <t>080207-3P</t>
  </si>
  <si>
    <t>STCAP</t>
  </si>
  <si>
    <t>SUBTTL</t>
  </si>
  <si>
    <t>ADMINISTRACION</t>
  </si>
  <si>
    <t>IMPREVISTOS</t>
  </si>
  <si>
    <t>UTILIDAD</t>
  </si>
  <si>
    <t>TOTAL AIU</t>
  </si>
  <si>
    <t>IVA SOBRE LA UTILIDAD</t>
  </si>
  <si>
    <t>COSTIND</t>
  </si>
  <si>
    <t>COSTOS INDIRECTOS</t>
  </si>
  <si>
    <t>TTLOC</t>
  </si>
  <si>
    <t>COSTO TOTAL      OBRA CIVIL</t>
  </si>
  <si>
    <t>TTLSM</t>
  </si>
  <si>
    <t>COSTO TOTAL   SUMINISTRO</t>
  </si>
  <si>
    <t>TTLCD</t>
  </si>
  <si>
    <t>VALOR COSTOS DIRECTOS</t>
  </si>
  <si>
    <t>ADM</t>
  </si>
  <si>
    <t>IMPR</t>
  </si>
  <si>
    <t>UTL</t>
  </si>
  <si>
    <t>TTLAIU</t>
  </si>
  <si>
    <t>IVA</t>
  </si>
  <si>
    <t>TTLPPTO</t>
  </si>
  <si>
    <t>VALOR TOTAL PRESUPUESTO</t>
  </si>
  <si>
    <t>IVAMANT</t>
  </si>
  <si>
    <t>IVA SOBRE COSTOS DIRECTOS + INDIRECTOS</t>
  </si>
  <si>
    <t>OUT_AIU</t>
  </si>
  <si>
    <t>ITEMS  POR  FUERA  DE   AIU:</t>
  </si>
  <si>
    <t>#</t>
  </si>
  <si>
    <t>ESCRIBA AQUÍ EL NOMBRE DEL CAPITULO</t>
  </si>
  <si>
    <t>STOUTAIU</t>
  </si>
  <si>
    <t>INTERV</t>
  </si>
  <si>
    <t>INTERVENTORIA</t>
  </si>
  <si>
    <t>SUBTTLF</t>
  </si>
  <si>
    <t>TOTAL</t>
  </si>
  <si>
    <t>TTLPPTOF</t>
  </si>
  <si>
    <t>VRLTR</t>
  </si>
  <si>
    <t>PLAZO DE ENTREGA:              (DIAS CALENDARIO)</t>
  </si>
  <si>
    <t>JUAN FERNANDO IBARRA ESPINOSA</t>
  </si>
  <si>
    <t>Secretario de infraestructura y Vivieda Municipal</t>
  </si>
  <si>
    <t>Aplicación SAGUT
Cel. 310 824 6976</t>
  </si>
  <si>
    <t>Vr. Presup.</t>
  </si>
  <si>
    <t>MODIF</t>
  </si>
  <si>
    <t>ANALISIS  DE  PRECIOS  UNITARIOS</t>
  </si>
  <si>
    <t>CANT. TOTAL</t>
  </si>
  <si>
    <t>CODIGO</t>
  </si>
  <si>
    <t>DESP.%</t>
  </si>
  <si>
    <t>PRECIO UNIT</t>
  </si>
  <si>
    <t>VALOR TOTAL</t>
  </si>
  <si>
    <t>G1</t>
  </si>
  <si>
    <t>MATERIALES</t>
  </si>
  <si>
    <t>STG1</t>
  </si>
  <si>
    <t>SUBTOTAL MATERIALES</t>
  </si>
  <si>
    <t>G2</t>
  </si>
  <si>
    <t>MANO DE OBRA</t>
  </si>
  <si>
    <t>STG2</t>
  </si>
  <si>
    <t>SUBTOTAL MANO DE OBRA</t>
  </si>
  <si>
    <t>G3</t>
  </si>
  <si>
    <t>EQUIPO</t>
  </si>
  <si>
    <t>HERRAMIENTA MENOR</t>
  </si>
  <si>
    <t>GLB</t>
  </si>
  <si>
    <t>STG3</t>
  </si>
  <si>
    <t>SUBTOTAL EQUIPO</t>
  </si>
  <si>
    <t>G4</t>
  </si>
  <si>
    <t>OTROS</t>
  </si>
  <si>
    <t>STG4</t>
  </si>
  <si>
    <t>SUBTOTAL OTROS</t>
  </si>
  <si>
    <t>COSTO DIRECTO</t>
  </si>
  <si>
    <t>EM_AIU</t>
  </si>
  <si>
    <t>IMP</t>
  </si>
  <si>
    <t>STAIU</t>
  </si>
  <si>
    <t>TOTAL COSTOS INDIRECTOS</t>
  </si>
  <si>
    <t>TTL</t>
  </si>
  <si>
    <t>VALOR TOTAL ITEM</t>
  </si>
  <si>
    <t>calima</t>
  </si>
  <si>
    <t>ITEM 180816</t>
  </si>
  <si>
    <t>Unidad: M2</t>
  </si>
  <si>
    <t>CUBIERTA</t>
  </si>
  <si>
    <t>HC</t>
  </si>
  <si>
    <t>ANDAMIO METALICO TUBULAR</t>
  </si>
  <si>
    <t>U/D</t>
  </si>
  <si>
    <t>ITEM 240505</t>
  </si>
  <si>
    <t>DESMONTE DE CUBIERTA H&lt;= 4M (INCLUYE ACARREO MENOR A 2KM Y DISPOSICION)</t>
  </si>
  <si>
    <t>M.O. CARGUE Y DESCARGUE 1 AYUDANTE-1 OFI</t>
  </si>
  <si>
    <t>TRANSPORTE</t>
  </si>
  <si>
    <t>ACARREO DE MATERIAL SOBRANTE &lt; 2KM</t>
  </si>
  <si>
    <t>SUBTOTAL TRANSPORTE</t>
  </si>
  <si>
    <t>M2</t>
  </si>
  <si>
    <t>SUMINISTRO E INSTALACION DE TEJA ZINC TRAPEZOIDAL</t>
  </si>
  <si>
    <t>TEJA ZINC TRAPEZOIDAL UTIL 6M X 0,8M</t>
  </si>
  <si>
    <t>TORNILLO ZIN 3/4</t>
  </si>
  <si>
    <t>ESLINGAS, ARNES Y LINEA DE VIDA</t>
  </si>
  <si>
    <t>ITEM IM0141</t>
  </si>
  <si>
    <t>Unidad: ML</t>
  </si>
  <si>
    <t>ME0109</t>
  </si>
  <si>
    <t>BASICO</t>
  </si>
  <si>
    <t>HIERROS</t>
  </si>
  <si>
    <t>HIERRO de 60000 PSI 420 MPA</t>
  </si>
  <si>
    <t>KLS</t>
  </si>
  <si>
    <t>VARIOS</t>
  </si>
  <si>
    <t>CINTA SEGURIDAD PREVENTIVA ROLLO 500M - 7CM</t>
  </si>
  <si>
    <t>ROL</t>
  </si>
  <si>
    <t>DIA</t>
  </si>
  <si>
    <t>CANAL GALVANIZADO PINTADO</t>
  </si>
  <si>
    <t>ITEM 100543</t>
  </si>
  <si>
    <t>Unidad:  M2</t>
  </si>
  <si>
    <t>TOTAL ITEM</t>
  </si>
  <si>
    <t>Unidad:</t>
  </si>
  <si>
    <t>SUBTOTAL  MANO DE OBRA</t>
  </si>
  <si>
    <t>ITEM 180437</t>
  </si>
  <si>
    <t>ALUMINIOS</t>
  </si>
  <si>
    <t>PINTURAS</t>
  </si>
  <si>
    <t>ESTUCO PLASTICO PASTA</t>
  </si>
  <si>
    <t>VINILO ACRILTEX TIPO 2</t>
  </si>
  <si>
    <t>GLN</t>
  </si>
  <si>
    <t>PUNTILLA 1.1/2 AC</t>
  </si>
  <si>
    <t>LBS</t>
  </si>
  <si>
    <t>OTROS MATERIALES</t>
  </si>
  <si>
    <t>ELECTRICOS</t>
  </si>
  <si>
    <t>ALAMBRE GALVANIZADO # 18</t>
  </si>
  <si>
    <t>KG</t>
  </si>
  <si>
    <t>M.O. ALB. ACABADOS 1 AYUDANTE-1 OFI</t>
  </si>
  <si>
    <t>M.O. PINTURA 1 AYUDANTE-1 OFI</t>
  </si>
  <si>
    <t>CRUCETA ANDAMIO</t>
  </si>
  <si>
    <t>ITEM 170659</t>
  </si>
  <si>
    <t>Unidad:  UND</t>
  </si>
  <si>
    <t>CINTA AISLANTE # 33</t>
  </si>
  <si>
    <t>M.O. ELECTRICAS 1 AYUDANTE-1 OFI</t>
  </si>
  <si>
    <t>ITEM 290304</t>
  </si>
  <si>
    <t>BROCHA CERDA MONA 4</t>
  </si>
  <si>
    <t>AGUA</t>
  </si>
  <si>
    <t>LTS</t>
  </si>
  <si>
    <t>RODILLO FELPA</t>
  </si>
  <si>
    <t>CINTA ENMASCARAR</t>
  </si>
  <si>
    <t>VINILO TIPO 1</t>
  </si>
  <si>
    <t>M.O. 1 AYUDANTE-1 OFI</t>
  </si>
  <si>
    <t>Placa Fibrocemento 6mm 244x122cm 26.61kg aprox</t>
  </si>
  <si>
    <t>Omega 2-5/16 x 3/4" x 0.35mm x 2.44m</t>
  </si>
  <si>
    <t>Vigueta  1-1/2 x 3/4" x 0.35mm x 2.44m</t>
  </si>
  <si>
    <t>Angulo 30 x 20 x 0.38mm 2.44m</t>
  </si>
  <si>
    <t>Panel Led 24w Incrustar Luz Blanca Retilap Color Blanco</t>
  </si>
  <si>
    <t>SUMINISTRO E INTALACION DE PANEL LED 24W LUZ COLOR BLANCO</t>
  </si>
  <si>
    <t>ITEM 290115</t>
  </si>
  <si>
    <t>ACRONAL</t>
  </si>
  <si>
    <t>LIJA 400 AGUA</t>
  </si>
  <si>
    <t>PLI</t>
  </si>
  <si>
    <t>M.O. ALB. ACABADOS 2 AYUDANTE-1 OFI</t>
  </si>
  <si>
    <t>REALIZACION DE RASQUETEO, LIJADO Y RESANE DE DE PAREDES</t>
  </si>
  <si>
    <t>DESMONTE DE CIELO FALSO PANEL + ESTRUCTURA  (INCLUYE ACARREO MENOR A 2KM Y DISPOSICION)</t>
  </si>
  <si>
    <t>ITEM 170304</t>
  </si>
  <si>
    <t>SOLDADURA PVC ,1/ 4 GLN</t>
  </si>
  <si>
    <t>CABLE COBRE THW # 10</t>
  </si>
  <si>
    <t>LIMPIADOR PVC 760-G 1/4 GL</t>
  </si>
  <si>
    <t>TUBO PVC ,1/2" X 3 MTS</t>
  </si>
  <si>
    <t>CAJA PLASTICA 2X4</t>
  </si>
  <si>
    <t>Unidad: UND</t>
  </si>
  <si>
    <t>,</t>
  </si>
  <si>
    <t>TOMA O INTERRUPTOR 10A</t>
  </si>
  <si>
    <t>INSTALACION O CAMBIO DE PUNTO ELECTRICO (INTERRUPTOR Y/O TOMA) #10 1/2"</t>
  </si>
  <si>
    <t>APLICACIÓN DE PINTURA VINILO MURO TIPO 1 COLOR BLANCO</t>
  </si>
  <si>
    <t>SUMINISTRO E INSTALACION DE COFRE ELECTRICO EXTERIORES DOBLE FONDO 80X70X30</t>
  </si>
  <si>
    <t>TORNILLO DE 3/4" + CINTA MALLA</t>
  </si>
  <si>
    <t>CABLE ALUMINIOTHW # 10</t>
  </si>
  <si>
    <t>REPARACIÓN Y/O INSTALACION DE ACOMETIDA ELECTRICA EN ALUMINIO .1F(2# 10) ,1/2" - 3/4"</t>
  </si>
  <si>
    <t>CIELO FALSO ETERBOARD 244X122x4MM PERFILERIA  ALUMINIO</t>
  </si>
  <si>
    <t>CINTA ASFÁLTICA IMPERMEABILIZANTE</t>
  </si>
  <si>
    <t>LAMINA METALICA SOLAPA</t>
  </si>
  <si>
    <t>TORNILLO AUTOPERFORANTE CON ARANDELA DE NEOPRENO</t>
  </si>
  <si>
    <t>ITEM 190546-9P</t>
  </si>
  <si>
    <t>3,1: ENCHAPE  CERAMICA 30-40 (50X60) PARA  PISO EN CERAMICA  TIPO 5</t>
  </si>
  <si>
    <t>ITEM:   3,1</t>
  </si>
  <si>
    <t>CERAMICO ANTIDESLIZANTE</t>
  </si>
  <si>
    <t>PEGANTE PORCELANATO B.ABSO</t>
  </si>
  <si>
    <t>EMBOQUILLADOR</t>
  </si>
  <si>
    <t>COFRE METALICO ELECTRICO DOBLE FONDO 80X70X30</t>
  </si>
  <si>
    <t>PREPARADOR DE SUPERFICIE WIPE</t>
  </si>
  <si>
    <t xml:space="preserve">REPARACIONES DE CIELO FALSO BOARD 122 X 244 X 4MM </t>
  </si>
  <si>
    <t>Tubo rectangular 76 x 38 x 1.1mm x 6m</t>
  </si>
  <si>
    <t>Tubo Rectangular 50 x 25 x 1.1mm C18 x 6m</t>
  </si>
  <si>
    <t>Tubo cuadrado 100 x 100 x 2.0mm x 6m</t>
  </si>
  <si>
    <t>Soldadura</t>
  </si>
  <si>
    <t>KLG</t>
  </si>
  <si>
    <t>Pintura negro anticorrosiva</t>
  </si>
  <si>
    <t>Bisagras reforzadas</t>
  </si>
  <si>
    <t>und</t>
  </si>
  <si>
    <t>juego de cerradura de puerta exterior</t>
  </si>
  <si>
    <t>ITEM ME0105</t>
  </si>
  <si>
    <t>MEZCLA CONCRETO 1:2:3 3100 PSI - 22,0 Mpa</t>
  </si>
  <si>
    <t>Unidad: M3</t>
  </si>
  <si>
    <t>ITEM:  BASICO</t>
  </si>
  <si>
    <t>CEMENTOS</t>
  </si>
  <si>
    <t>CEMENTO GRIS</t>
  </si>
  <si>
    <t>AGREGADOS</t>
  </si>
  <si>
    <t>ARENA GRUESA</t>
  </si>
  <si>
    <t>GRAVA TRITURADA .3/4</t>
  </si>
  <si>
    <t>ADITIVOS</t>
  </si>
  <si>
    <t>GASOLINA CORRIENTE</t>
  </si>
  <si>
    <t>ACEITE MOTOR 4 TIEMPOS</t>
  </si>
  <si>
    <t>M.O. ALBANILERIA 4 AYUDANTE</t>
  </si>
  <si>
    <t>MANO OBRA OFICIAL ALBANILERIA</t>
  </si>
  <si>
    <t>HRS</t>
  </si>
  <si>
    <t>MEZCLADORA DE 9 PIES CUBICOS</t>
  </si>
  <si>
    <t>Acero de refuerzo</t>
  </si>
  <si>
    <t>Tornilleria y accesorios</t>
  </si>
  <si>
    <t>M.O. METALISTERIA 2 AYUDANTE-1 OFI</t>
  </si>
  <si>
    <t>M.O. ALBAÑILERIA 1 AYUDANTE 1 - OFI</t>
  </si>
  <si>
    <t xml:space="preserve">M.O. ALBAÑILERIA 1 AYUDANTE 1 </t>
  </si>
  <si>
    <t xml:space="preserve">M.O. ALBAÑILERIA 1 AYUDANTE </t>
  </si>
  <si>
    <t xml:space="preserve">M.O. ALBAÑILERIA 2 AYUDANTE </t>
  </si>
  <si>
    <t>M.O. ALBAÑILERIA 2 AYUDANTE 1 - OFI</t>
  </si>
  <si>
    <t>OBRAS</t>
  </si>
  <si>
    <t>PREPARACION DE SUPERFICIE, SUMINISTRO E INSTALACION DE ENCHAPE (50X50) PARA  PISO EN CERAMICA  TIPO 5 COLOR BEIGE</t>
  </si>
  <si>
    <t>REALIZAR OBRAS DE ADECUACIÓN DE LA CASA DE LA CULTURA, PROPIEDAD DEL MUNICIPIO DE PATÍA CAUCA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</si>
  <si>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</si>
  <si>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</si>
  <si>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</si>
  <si>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</si>
  <si>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</si>
  <si>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</si>
  <si>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</si>
  <si>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</si>
  <si>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</si>
  <si>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</si>
  <si>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</si>
  <si>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</si>
  <si>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</si>
  <si>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</si>
  <si>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</si>
  <si>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</si>
  <si>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</si>
  <si>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NOVENTA Y NUEVE MILLONES TRESCIENTOS VEINTE MIL OCHOCIENTOS DIECISIETE PESOS M/CTE</t>
  </si>
  <si>
    <t>SUMINISTRO E INSTALACION DE CANALES METALICOS GALVANIZADO</t>
  </si>
  <si>
    <t>KIT DE SEGURIDAD TRABAJO EN ALTURAS</t>
  </si>
  <si>
    <t>REPARACIÓN DE CUBIERTA Y CANAL DE AGUAS LLUVIAS CON SELLADO DE GOTERAS Y REPOSICIÓN DE ELEMENTOS DETERIORADOS (INCLUYE ANDAMIO Y EQUIPO DE SEGURIDAD TRABAJO EN ALTURAS)</t>
  </si>
  <si>
    <t>CONSTRUCCION DE PORTON DE 7.00 X 2.50 M COLOR NEGRO PERFILERIA METALICA SEGÚN ESPECIFICACIONES, ZAPATA Y DADO EN CONCRETO REFORZADO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</si>
</sst>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 * #,##0.00_ ;_ * \-#,##0.00_ ;_ * &quot;-&quot;??_ ;_ @_ "/>
    <numFmt numFmtId="165" formatCode="_ * #,##0_ ;_ * \-#,##0_ ;_ * &quot;-&quot;??_ ;_ @_ "/>
    <numFmt numFmtId="166" formatCode="#,##0_ ;\-#,##0\ "/>
    <numFmt numFmtId="167" formatCode="d\-mmm\-yyyy"/>
    <numFmt numFmtId="168" formatCode="0.0%"/>
    <numFmt numFmtId="169" formatCode="_(* #,##0.00_);_(* \(#,##0.00\);_(* &quot;-&quot;??_);_(@_)"/>
    <numFmt numFmtId="170" formatCode="0.000"/>
    <numFmt numFmtId="171" formatCode="#,##0.000"/>
  </numFmts>
  <fonts count="4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8"/>
      <color theme="1" tint="0.34998626667073579"/>
      <name val="Arial Narrow"/>
      <family val="2"/>
    </font>
    <font>
      <b/>
      <sz val="11"/>
      <color theme="0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sz val="9"/>
      <name val="Arial Narrow"/>
      <family val="2"/>
    </font>
    <font>
      <sz val="9"/>
      <color indexed="22"/>
      <name val="Arial Narrow"/>
      <family val="2"/>
    </font>
    <font>
      <b/>
      <sz val="9"/>
      <color theme="3" tint="-0.249977111117893"/>
      <name val="Arial Narrow"/>
      <family val="2"/>
    </font>
    <font>
      <b/>
      <sz val="11"/>
      <color indexed="10"/>
      <name val="Arial Narrow"/>
      <family val="2"/>
    </font>
    <font>
      <sz val="10"/>
      <color indexed="9"/>
      <name val="Arial Narrow"/>
      <family val="2"/>
    </font>
    <font>
      <sz val="8"/>
      <color rgb="FF000000"/>
      <name val="Arial Narrow"/>
      <family val="2"/>
    </font>
    <font>
      <b/>
      <sz val="9"/>
      <color indexed="8"/>
      <name val="Arial Narrow"/>
      <family val="2"/>
    </font>
    <font>
      <sz val="9"/>
      <color indexed="8"/>
      <name val="Arial Narrow"/>
      <family val="2"/>
    </font>
    <font>
      <sz val="9"/>
      <color theme="0" tint="-0.499984740745262"/>
      <name val="Arial Narrow"/>
      <family val="2"/>
    </font>
    <font>
      <sz val="10"/>
      <color indexed="22"/>
      <name val="Arial Narrow"/>
      <family val="2"/>
    </font>
    <font>
      <sz val="11"/>
      <color theme="1"/>
      <name val="Arial Narrow"/>
      <family val="2"/>
    </font>
    <font>
      <u/>
      <sz val="9"/>
      <color indexed="12"/>
      <name val="Arial Narrow"/>
      <family val="2"/>
    </font>
    <font>
      <sz val="10"/>
      <color theme="1"/>
      <name val="Arial Narrow"/>
      <family val="2"/>
    </font>
    <font>
      <sz val="9"/>
      <color theme="1"/>
      <name val="Arial Narrow"/>
      <family val="2"/>
    </font>
    <font>
      <b/>
      <sz val="8"/>
      <color indexed="12"/>
      <name val="Arial Narrow"/>
      <family val="2"/>
    </font>
    <font>
      <u/>
      <sz val="8"/>
      <color rgb="FF000000"/>
      <name val="Arial Narrow"/>
      <family val="2"/>
    </font>
    <font>
      <sz val="8"/>
      <name val="Arial Narrow"/>
      <family val="2"/>
    </font>
    <font>
      <sz val="8"/>
      <color indexed="22"/>
      <name val="Arial Narrow"/>
      <family val="2"/>
    </font>
    <font>
      <b/>
      <sz val="11"/>
      <color indexed="8"/>
      <name val="Arial Narrow"/>
      <family val="2"/>
    </font>
    <font>
      <b/>
      <sz val="14"/>
      <name val="Arial Narrow"/>
      <family val="2"/>
    </font>
    <font>
      <b/>
      <sz val="12"/>
      <name val="Arial Narrow"/>
      <family val="2"/>
    </font>
    <font>
      <b/>
      <sz val="9"/>
      <name val="Arial Narrow"/>
      <family val="2"/>
    </font>
    <font>
      <b/>
      <sz val="11"/>
      <name val="Arial Narrow"/>
      <family val="2"/>
    </font>
    <font>
      <b/>
      <sz val="10"/>
      <color indexed="9"/>
      <name val="Arial Narrow"/>
      <family val="2"/>
    </font>
    <font>
      <sz val="10"/>
      <color indexed="8"/>
      <name val="Arial Narrow"/>
      <family val="2"/>
    </font>
    <font>
      <u/>
      <sz val="10"/>
      <color indexed="12"/>
      <name val="Arial Narrow"/>
      <family val="2"/>
    </font>
    <font>
      <b/>
      <sz val="10"/>
      <color indexed="8"/>
      <name val="Arial Narrow"/>
      <family val="2"/>
    </font>
    <font>
      <sz val="9"/>
      <color indexed="10"/>
      <name val="Arial Narrow"/>
      <family val="2"/>
    </font>
    <font>
      <sz val="11"/>
      <name val="Arial Narrow"/>
      <family val="2"/>
    </font>
    <font>
      <sz val="9"/>
      <color rgb="FF000000"/>
      <name val="Arial Narrow"/>
      <family val="2"/>
    </font>
    <font>
      <b/>
      <sz val="9"/>
      <color indexed="12"/>
      <name val="Arial Narrow"/>
      <family val="2"/>
    </font>
    <font>
      <sz val="9"/>
      <color theme="1" tint="4.9989318521683403E-2"/>
      <name val="Arial Narrow"/>
      <family val="2"/>
    </font>
    <font>
      <sz val="8"/>
      <name val="Calibri"/>
      <family val="2"/>
      <scheme val="minor"/>
    </font>
    <font>
      <sz val="9"/>
      <name val="Arial"/>
      <family val="2"/>
    </font>
    <font>
      <sz val="9"/>
      <color indexed="22"/>
      <name val="Arial"/>
      <family val="2"/>
    </font>
    <font>
      <sz val="10"/>
      <name val="Arial"/>
      <family val="2"/>
    </font>
  </fonts>
  <fills count="2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270">
        <stop position="0">
          <color theme="0"/>
        </stop>
        <stop position="1">
          <color rgb="FFD8ECBC"/>
        </stop>
      </gradientFill>
    </fill>
    <fill>
      <patternFill patternType="solid">
        <fgColor indexed="42"/>
        <bgColor indexed="64"/>
      </patternFill>
    </fill>
    <fill>
      <gradientFill degree="270">
        <stop position="0">
          <color theme="0"/>
        </stop>
        <stop position="1">
          <color theme="7" tint="0.80001220740379042"/>
        </stop>
      </gradientFill>
    </fill>
    <fill>
      <patternFill patternType="solid">
        <fgColor rgb="FFDEDEDE"/>
        <bgColor auto="1"/>
      </patternFill>
    </fill>
    <fill>
      <patternFill patternType="solid">
        <fgColor rgb="FFDEDEDE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E0E0E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E8EFD9"/>
        <bgColor indexed="64"/>
      </patternFill>
    </fill>
    <fill>
      <patternFill patternType="solid">
        <fgColor rgb="FFDFE9C9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</fills>
  <borders count="12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ck">
        <color indexed="10"/>
      </top>
      <bottom/>
      <diagonal/>
    </border>
    <border>
      <left/>
      <right/>
      <top style="thick">
        <color indexed="10"/>
      </top>
      <bottom/>
      <diagonal/>
    </border>
    <border>
      <left/>
      <right style="thin">
        <color indexed="64"/>
      </right>
      <top style="thick">
        <color indexed="10"/>
      </top>
      <bottom/>
      <diagonal/>
    </border>
    <border>
      <left/>
      <right style="thick">
        <color indexed="12"/>
      </right>
      <top/>
      <bottom/>
      <diagonal/>
    </border>
    <border>
      <left style="thick">
        <color indexed="12"/>
      </left>
      <right style="thick">
        <color indexed="10"/>
      </right>
      <top/>
      <bottom/>
      <diagonal/>
    </border>
    <border>
      <left style="thick">
        <color indexed="10"/>
      </left>
      <right style="hair">
        <color auto="1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auto="1"/>
      </left>
      <right style="thick">
        <color indexed="1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rgb="FF0066FF"/>
      </left>
      <right style="thick">
        <color rgb="FFC00000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/>
      <bottom style="double">
        <color auto="1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indexed="12"/>
      </bottom>
      <diagonal/>
    </border>
    <border>
      <left/>
      <right style="thick">
        <color indexed="12"/>
      </right>
      <top/>
      <bottom style="thick">
        <color indexed="12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auto="1"/>
      </right>
      <top style="double">
        <color indexed="64"/>
      </top>
      <bottom style="thin">
        <color auto="1"/>
      </bottom>
      <diagonal/>
    </border>
    <border>
      <left style="thin">
        <color auto="1"/>
      </left>
      <right style="double">
        <color indexed="64"/>
      </right>
      <top style="double">
        <color auto="1"/>
      </top>
      <bottom style="thin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auto="1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auto="1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auto="1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auto="1"/>
      </left>
      <right style="thin">
        <color auto="1"/>
      </right>
      <top style="double">
        <color auto="1"/>
      </top>
      <bottom/>
      <diagonal/>
    </border>
    <border>
      <left style="double">
        <color indexed="64"/>
      </left>
      <right style="thin">
        <color auto="1"/>
      </right>
      <top/>
      <bottom style="hair">
        <color auto="1"/>
      </bottom>
      <diagonal/>
    </border>
    <border>
      <left style="double">
        <color auto="1"/>
      </left>
      <right style="thin">
        <color auto="1"/>
      </right>
      <top style="hair">
        <color indexed="64"/>
      </top>
      <bottom/>
      <diagonal/>
    </border>
  </borders>
  <cellStyleXfs count="7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0" fontId="1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608">
    <xf numFmtId="0" fontId="0" fillId="0" borderId="0" xfId="0"/>
    <xf numFmtId="165" fontId="3" fillId="4" borderId="0" xfId="1" applyNumberFormat="1" applyFont="1" applyFill="1" applyAlignment="1" applyProtection="1">
      <alignment horizontal="center" vertical="center"/>
      <protection hidden="1"/>
    </xf>
    <xf numFmtId="0" fontId="5" fillId="0" borderId="19" xfId="0" applyFont="1" applyBorder="1" applyAlignment="1" applyProtection="1">
      <alignment vertical="top" wrapText="1"/>
      <protection hidden="1"/>
    </xf>
    <xf numFmtId="167" fontId="6" fillId="0" borderId="57" xfId="1" applyNumberFormat="1" applyFont="1" applyBorder="1" applyAlignment="1" applyProtection="1">
      <alignment horizontal="centerContinuous" vertical="top"/>
      <protection locked="0"/>
    </xf>
    <xf numFmtId="167" fontId="6" fillId="0" borderId="58" xfId="1" applyNumberFormat="1" applyFont="1" applyBorder="1" applyAlignment="1" applyProtection="1">
      <alignment horizontal="centerContinuous" vertical="top"/>
      <protection locked="0"/>
    </xf>
    <xf numFmtId="167" fontId="5" fillId="0" borderId="0" xfId="1" applyNumberFormat="1" applyFont="1" applyAlignment="1" applyProtection="1">
      <alignment horizontal="center" vertical="top"/>
      <protection hidden="1"/>
    </xf>
    <xf numFmtId="0" fontId="5" fillId="0" borderId="61" xfId="0" applyFont="1" applyBorder="1" applyAlignment="1" applyProtection="1">
      <alignment vertical="top" wrapText="1"/>
      <protection hidden="1"/>
    </xf>
    <xf numFmtId="0" fontId="5" fillId="0" borderId="25" xfId="0" applyFont="1" applyBorder="1" applyAlignment="1" applyProtection="1">
      <alignment vertical="top" wrapText="1"/>
      <protection hidden="1"/>
    </xf>
    <xf numFmtId="0" fontId="5" fillId="9" borderId="74" xfId="0" applyFont="1" applyFill="1" applyBorder="1" applyAlignment="1" applyProtection="1">
      <alignment vertical="top" wrapText="1"/>
      <protection hidden="1"/>
    </xf>
    <xf numFmtId="0" fontId="5" fillId="0" borderId="0" xfId="0" applyFont="1" applyAlignment="1" applyProtection="1">
      <alignment vertical="top" wrapText="1"/>
      <protection hidden="1"/>
    </xf>
    <xf numFmtId="49" fontId="8" fillId="2" borderId="0" xfId="0" applyNumberFormat="1" applyFont="1" applyFill="1" applyAlignment="1">
      <alignment horizontal="center"/>
    </xf>
    <xf numFmtId="0" fontId="9" fillId="3" borderId="0" xfId="0" applyFont="1" applyFill="1" applyAlignment="1" applyProtection="1">
      <alignment horizontal="center" vertical="center"/>
      <protection hidden="1"/>
    </xf>
    <xf numFmtId="0" fontId="10" fillId="3" borderId="0" xfId="0" applyFont="1" applyFill="1" applyAlignment="1" applyProtection="1">
      <alignment horizontal="left" vertical="center"/>
      <protection hidden="1"/>
    </xf>
    <xf numFmtId="0" fontId="11" fillId="3" borderId="0" xfId="0" applyFont="1" applyFill="1" applyAlignment="1" applyProtection="1">
      <alignment vertical="center"/>
      <protection hidden="1"/>
    </xf>
    <xf numFmtId="0" fontId="12" fillId="3" borderId="1" xfId="3" applyFont="1" applyFill="1" applyBorder="1" applyAlignment="1" applyProtection="1">
      <alignment horizontal="center" wrapText="1"/>
      <protection hidden="1"/>
    </xf>
    <xf numFmtId="165" fontId="6" fillId="4" borderId="2" xfId="1" applyNumberFormat="1" applyFont="1" applyFill="1" applyBorder="1" applyAlignment="1" applyProtection="1">
      <alignment vertical="center"/>
      <protection hidden="1"/>
    </xf>
    <xf numFmtId="165" fontId="13" fillId="4" borderId="0" xfId="1" applyNumberFormat="1" applyFont="1" applyFill="1" applyAlignment="1" applyProtection="1">
      <alignment horizontal="center" vertical="center"/>
      <protection hidden="1"/>
    </xf>
    <xf numFmtId="165" fontId="14" fillId="4" borderId="0" xfId="1" applyNumberFormat="1" applyFont="1" applyFill="1" applyAlignment="1" applyProtection="1">
      <alignment horizontal="center" vertical="center"/>
      <protection hidden="1"/>
    </xf>
    <xf numFmtId="165" fontId="13" fillId="4" borderId="1" xfId="1" applyNumberFormat="1" applyFont="1" applyFill="1" applyBorder="1" applyAlignment="1" applyProtection="1">
      <alignment horizontal="center" vertical="center"/>
      <protection hidden="1"/>
    </xf>
    <xf numFmtId="165" fontId="5" fillId="4" borderId="0" xfId="1" applyNumberFormat="1" applyFont="1" applyFill="1" applyAlignment="1" applyProtection="1">
      <alignment horizontal="left"/>
      <protection hidden="1"/>
    </xf>
    <xf numFmtId="165" fontId="5" fillId="4" borderId="6" xfId="1" applyNumberFormat="1" applyFont="1" applyFill="1" applyBorder="1" applyAlignment="1" applyProtection="1">
      <alignment horizontal="left"/>
      <protection hidden="1"/>
    </xf>
    <xf numFmtId="0" fontId="16" fillId="4" borderId="7" xfId="0" applyFont="1" applyFill="1" applyBorder="1" applyProtection="1">
      <protection hidden="1"/>
    </xf>
    <xf numFmtId="0" fontId="16" fillId="4" borderId="8" xfId="0" applyFont="1" applyFill="1" applyBorder="1" applyProtection="1">
      <protection hidden="1"/>
    </xf>
    <xf numFmtId="0" fontId="16" fillId="4" borderId="9" xfId="0" applyFont="1" applyFill="1" applyBorder="1" applyProtection="1">
      <protection hidden="1"/>
    </xf>
    <xf numFmtId="0" fontId="16" fillId="4" borderId="10" xfId="0" applyFont="1" applyFill="1" applyBorder="1" applyProtection="1">
      <protection hidden="1"/>
    </xf>
    <xf numFmtId="0" fontId="16" fillId="4" borderId="11" xfId="0" applyFont="1" applyFill="1" applyBorder="1" applyProtection="1">
      <protection hidden="1"/>
    </xf>
    <xf numFmtId="0" fontId="5" fillId="4" borderId="0" xfId="0" applyFont="1" applyFill="1" applyProtection="1">
      <protection hidden="1"/>
    </xf>
    <xf numFmtId="0" fontId="17" fillId="0" borderId="16" xfId="0" applyFont="1" applyBorder="1" applyProtection="1">
      <protection hidden="1"/>
    </xf>
    <xf numFmtId="0" fontId="18" fillId="0" borderId="0" xfId="3" applyFont="1" applyAlignment="1" applyProtection="1">
      <alignment horizontal="center"/>
    </xf>
    <xf numFmtId="0" fontId="17" fillId="0" borderId="0" xfId="0" applyFont="1" applyProtection="1">
      <protection hidden="1"/>
    </xf>
    <xf numFmtId="49" fontId="17" fillId="7" borderId="17" xfId="0" applyNumberFormat="1" applyFont="1" applyFill="1" applyBorder="1" applyAlignment="1">
      <alignment horizontal="center" vertical="top" wrapText="1"/>
    </xf>
    <xf numFmtId="0" fontId="5" fillId="0" borderId="18" xfId="0" applyFont="1" applyBorder="1" applyAlignment="1" applyProtection="1">
      <alignment horizontal="center" vertical="top" wrapText="1"/>
      <protection locked="0" hidden="1"/>
    </xf>
    <xf numFmtId="0" fontId="17" fillId="0" borderId="19" xfId="0" applyFont="1" applyBorder="1" applyAlignment="1" applyProtection="1">
      <alignment horizontal="center" vertical="top" wrapText="1"/>
      <protection hidden="1"/>
    </xf>
    <xf numFmtId="0" fontId="17" fillId="0" borderId="19" xfId="0" applyFont="1" applyBorder="1" applyAlignment="1" applyProtection="1">
      <alignment horizontal="right" vertical="top" wrapText="1"/>
      <protection hidden="1"/>
    </xf>
    <xf numFmtId="4" fontId="17" fillId="0" borderId="19" xfId="1" applyNumberFormat="1" applyFont="1" applyBorder="1" applyAlignment="1" applyProtection="1">
      <alignment horizontal="right" vertical="top" wrapText="1"/>
      <protection hidden="1"/>
    </xf>
    <xf numFmtId="4" fontId="17" fillId="0" borderId="20" xfId="1" applyNumberFormat="1" applyFont="1" applyBorder="1" applyAlignment="1" applyProtection="1">
      <alignment horizontal="right" vertical="top" wrapText="1"/>
      <protection hidden="1"/>
    </xf>
    <xf numFmtId="165" fontId="17" fillId="0" borderId="21" xfId="1" applyNumberFormat="1" applyFont="1" applyBorder="1" applyAlignment="1" applyProtection="1">
      <alignment horizontal="right" vertical="top" wrapText="1"/>
      <protection hidden="1"/>
    </xf>
    <xf numFmtId="165" fontId="17" fillId="0" borderId="19" xfId="1" applyNumberFormat="1" applyFont="1" applyBorder="1" applyAlignment="1" applyProtection="1">
      <alignment horizontal="right" vertical="top" wrapText="1"/>
      <protection hidden="1"/>
    </xf>
    <xf numFmtId="166" fontId="17" fillId="0" borderId="22" xfId="1" applyNumberFormat="1" applyFont="1" applyBorder="1" applyAlignment="1" applyProtection="1">
      <alignment horizontal="right" vertical="top" wrapText="1"/>
      <protection hidden="1"/>
    </xf>
    <xf numFmtId="166" fontId="17" fillId="0" borderId="23" xfId="1" applyNumberFormat="1" applyFont="1" applyBorder="1" applyAlignment="1" applyProtection="1">
      <alignment horizontal="right" vertical="top" wrapText="1"/>
      <protection hidden="1"/>
    </xf>
    <xf numFmtId="165" fontId="17" fillId="0" borderId="1" xfId="1" applyNumberFormat="1" applyFont="1" applyBorder="1" applyAlignment="1" applyProtection="1">
      <alignment horizontal="right" vertical="top" wrapText="1"/>
      <protection hidden="1"/>
    </xf>
    <xf numFmtId="165" fontId="17" fillId="0" borderId="0" xfId="1" applyNumberFormat="1" applyFont="1" applyAlignment="1" applyProtection="1">
      <alignment horizontal="right" vertical="top"/>
      <protection hidden="1"/>
    </xf>
    <xf numFmtId="3" fontId="17" fillId="0" borderId="24" xfId="1" applyNumberFormat="1" applyFont="1" applyBorder="1" applyAlignment="1" applyProtection="1">
      <alignment horizontal="right" vertical="top"/>
      <protection hidden="1"/>
    </xf>
    <xf numFmtId="3" fontId="17" fillId="0" borderId="25" xfId="1" applyNumberFormat="1" applyFont="1" applyBorder="1" applyAlignment="1" applyProtection="1">
      <alignment horizontal="right" vertical="top"/>
      <protection hidden="1"/>
    </xf>
    <xf numFmtId="3" fontId="17" fillId="0" borderId="26" xfId="1" applyNumberFormat="1" applyFont="1" applyBorder="1" applyAlignment="1" applyProtection="1">
      <alignment horizontal="right" vertical="top"/>
      <protection hidden="1"/>
    </xf>
    <xf numFmtId="3" fontId="6" fillId="0" borderId="27" xfId="1" applyNumberFormat="1" applyFont="1" applyBorder="1" applyAlignment="1" applyProtection="1">
      <alignment horizontal="right" vertical="top"/>
      <protection hidden="1"/>
    </xf>
    <xf numFmtId="43" fontId="11" fillId="0" borderId="0" xfId="1" applyFont="1" applyAlignment="1" applyProtection="1">
      <alignment vertical="top"/>
      <protection hidden="1"/>
    </xf>
    <xf numFmtId="0" fontId="17" fillId="0" borderId="0" xfId="0" applyFont="1"/>
    <xf numFmtId="0" fontId="16" fillId="2" borderId="7" xfId="0" applyFont="1" applyFill="1" applyBorder="1" applyProtection="1">
      <protection hidden="1"/>
    </xf>
    <xf numFmtId="0" fontId="16" fillId="2" borderId="8" xfId="0" applyFont="1" applyFill="1" applyBorder="1" applyProtection="1">
      <protection hidden="1"/>
    </xf>
    <xf numFmtId="0" fontId="16" fillId="2" borderId="9" xfId="0" applyFont="1" applyFill="1" applyBorder="1" applyProtection="1">
      <protection hidden="1"/>
    </xf>
    <xf numFmtId="0" fontId="16" fillId="2" borderId="10" xfId="0" applyFont="1" applyFill="1" applyBorder="1" applyProtection="1">
      <protection hidden="1"/>
    </xf>
    <xf numFmtId="0" fontId="16" fillId="2" borderId="11" xfId="0" applyFont="1" applyFill="1" applyBorder="1" applyProtection="1">
      <protection hidden="1"/>
    </xf>
    <xf numFmtId="2" fontId="17" fillId="0" borderId="17" xfId="0" applyNumberFormat="1" applyFont="1" applyBorder="1"/>
    <xf numFmtId="0" fontId="19" fillId="0" borderId="25" xfId="4" applyFont="1" applyBorder="1" applyAlignment="1">
      <alignment vertical="top"/>
    </xf>
    <xf numFmtId="2" fontId="17" fillId="0" borderId="28" xfId="0" applyNumberFormat="1" applyFont="1" applyBorder="1"/>
    <xf numFmtId="4" fontId="17" fillId="0" borderId="19" xfId="0" applyNumberFormat="1" applyFont="1" applyBorder="1"/>
    <xf numFmtId="4" fontId="17" fillId="0" borderId="29" xfId="1" applyNumberFormat="1" applyFont="1" applyBorder="1" applyAlignment="1" applyProtection="1">
      <alignment horizontal="right" vertical="top"/>
      <protection hidden="1"/>
    </xf>
    <xf numFmtId="0" fontId="17" fillId="5" borderId="30" xfId="0" applyFont="1" applyFill="1" applyBorder="1"/>
    <xf numFmtId="0" fontId="20" fillId="3" borderId="0" xfId="0" quotePrefix="1" applyFont="1" applyFill="1" applyAlignment="1" applyProtection="1">
      <alignment horizontal="center" vertical="center"/>
      <protection hidden="1"/>
    </xf>
    <xf numFmtId="0" fontId="21" fillId="3" borderId="0" xfId="0" applyFont="1" applyFill="1" applyAlignment="1" applyProtection="1">
      <alignment horizontal="left" vertical="center"/>
      <protection hidden="1"/>
    </xf>
    <xf numFmtId="0" fontId="17" fillId="3" borderId="0" xfId="0" applyFont="1" applyFill="1" applyProtection="1">
      <protection hidden="1"/>
    </xf>
    <xf numFmtId="0" fontId="22" fillId="3" borderId="1" xfId="3" applyFont="1" applyFill="1" applyBorder="1" applyAlignment="1" applyProtection="1">
      <alignment vertical="top" wrapText="1"/>
      <protection hidden="1"/>
    </xf>
    <xf numFmtId="165" fontId="23" fillId="4" borderId="1" xfId="0" applyNumberFormat="1" applyFont="1" applyFill="1" applyBorder="1" applyAlignment="1" applyProtection="1">
      <alignment horizontal="right" vertical="center"/>
      <protection hidden="1"/>
    </xf>
    <xf numFmtId="164" fontId="24" fillId="4" borderId="0" xfId="0" applyNumberFormat="1" applyFont="1" applyFill="1" applyAlignment="1" applyProtection="1">
      <alignment horizontal="right" vertical="center"/>
      <protection hidden="1"/>
    </xf>
    <xf numFmtId="166" fontId="25" fillId="4" borderId="1" xfId="0" applyNumberFormat="1" applyFont="1" applyFill="1" applyBorder="1" applyAlignment="1" applyProtection="1">
      <alignment horizontal="center" vertical="center"/>
      <protection hidden="1"/>
    </xf>
    <xf numFmtId="164" fontId="7" fillId="4" borderId="0" xfId="0" applyNumberFormat="1" applyFont="1" applyFill="1" applyAlignment="1" applyProtection="1">
      <alignment horizontal="right" vertical="center"/>
      <protection hidden="1"/>
    </xf>
    <xf numFmtId="164" fontId="7" fillId="4" borderId="6" xfId="0" applyNumberFormat="1" applyFont="1" applyFill="1" applyBorder="1" applyAlignment="1" applyProtection="1">
      <alignment horizontal="right" vertical="center"/>
      <protection hidden="1"/>
    </xf>
    <xf numFmtId="0" fontId="17" fillId="4" borderId="0" xfId="0" applyFont="1" applyFill="1" applyProtection="1">
      <protection hidden="1"/>
    </xf>
    <xf numFmtId="0" fontId="18" fillId="0" borderId="0" xfId="3" applyFont="1" applyAlignment="1" applyProtection="1">
      <alignment horizontal="center" wrapText="1"/>
      <protection hidden="1"/>
    </xf>
    <xf numFmtId="0" fontId="17" fillId="0" borderId="0" xfId="0" applyFont="1" applyAlignment="1">
      <alignment horizontal="center"/>
    </xf>
    <xf numFmtId="0" fontId="22" fillId="3" borderId="34" xfId="3" applyFont="1" applyFill="1" applyBorder="1" applyAlignment="1" applyProtection="1">
      <alignment vertical="top" wrapText="1"/>
      <protection hidden="1"/>
    </xf>
    <xf numFmtId="0" fontId="12" fillId="3" borderId="0" xfId="0" applyFont="1" applyFill="1" applyAlignment="1" applyProtection="1">
      <alignment horizontal="center" wrapText="1"/>
      <protection hidden="1"/>
    </xf>
    <xf numFmtId="165" fontId="23" fillId="4" borderId="0" xfId="0" applyNumberFormat="1" applyFont="1" applyFill="1" applyAlignment="1" applyProtection="1">
      <alignment horizontal="right" vertical="center"/>
      <protection hidden="1"/>
    </xf>
    <xf numFmtId="166" fontId="25" fillId="4" borderId="0" xfId="0" applyNumberFormat="1" applyFont="1" applyFill="1" applyAlignment="1" applyProtection="1">
      <alignment horizontal="center" vertical="center"/>
      <protection hidden="1"/>
    </xf>
    <xf numFmtId="165" fontId="15" fillId="4" borderId="0" xfId="1" applyNumberFormat="1" applyFont="1" applyFill="1" applyAlignment="1" applyProtection="1">
      <alignment horizontal="center" vertical="center"/>
      <protection hidden="1"/>
    </xf>
    <xf numFmtId="164" fontId="7" fillId="0" borderId="0" xfId="0" applyNumberFormat="1" applyFont="1" applyAlignment="1" applyProtection="1">
      <alignment horizontal="right" vertical="center"/>
      <protection hidden="1"/>
    </xf>
    <xf numFmtId="164" fontId="7" fillId="0" borderId="6" xfId="0" applyNumberFormat="1" applyFont="1" applyBorder="1" applyAlignment="1" applyProtection="1">
      <alignment horizontal="right" vertical="center"/>
      <protection hidden="1"/>
    </xf>
    <xf numFmtId="49" fontId="17" fillId="0" borderId="0" xfId="0" applyNumberFormat="1" applyFont="1" applyAlignment="1">
      <alignment vertical="top"/>
    </xf>
    <xf numFmtId="0" fontId="26" fillId="0" borderId="38" xfId="0" applyFont="1" applyBorder="1" applyAlignment="1" applyProtection="1">
      <alignment horizontal="centerContinuous" vertical="center" wrapText="1"/>
      <protection locked="0"/>
    </xf>
    <xf numFmtId="0" fontId="26" fillId="0" borderId="36" xfId="0" applyFont="1" applyBorder="1" applyAlignment="1" applyProtection="1">
      <alignment horizontal="centerContinuous" vertical="center" wrapText="1"/>
      <protection locked="0"/>
    </xf>
    <xf numFmtId="0" fontId="26" fillId="0" borderId="39" xfId="0" applyFont="1" applyBorder="1" applyAlignment="1" applyProtection="1">
      <alignment horizontal="centerContinuous" vertical="center" wrapText="1"/>
      <protection locked="0"/>
    </xf>
    <xf numFmtId="0" fontId="26" fillId="0" borderId="0" xfId="0" applyFont="1" applyAlignment="1" applyProtection="1">
      <alignment horizontal="center" vertical="center" wrapText="1"/>
      <protection hidden="1"/>
    </xf>
    <xf numFmtId="0" fontId="26" fillId="8" borderId="40" xfId="0" applyFont="1" applyFill="1" applyBorder="1" applyAlignment="1" applyProtection="1">
      <alignment horizontal="centerContinuous" vertical="center"/>
      <protection locked="0"/>
    </xf>
    <xf numFmtId="0" fontId="26" fillId="8" borderId="41" xfId="0" applyFont="1" applyFill="1" applyBorder="1" applyAlignment="1" applyProtection="1">
      <alignment horizontal="centerContinuous" vertical="center"/>
      <protection locked="0"/>
    </xf>
    <xf numFmtId="0" fontId="26" fillId="8" borderId="42" xfId="0" applyFont="1" applyFill="1" applyBorder="1" applyAlignment="1" applyProtection="1">
      <alignment horizontal="centerContinuous" vertical="center"/>
      <protection locked="0"/>
    </xf>
    <xf numFmtId="0" fontId="27" fillId="0" borderId="0" xfId="0" applyFont="1" applyAlignment="1" applyProtection="1">
      <alignment horizontal="center" vertical="top"/>
      <protection hidden="1"/>
    </xf>
    <xf numFmtId="0" fontId="27" fillId="0" borderId="6" xfId="0" applyFont="1" applyBorder="1" applyAlignment="1" applyProtection="1">
      <alignment horizontal="center" vertical="top"/>
      <protection hidden="1"/>
    </xf>
    <xf numFmtId="0" fontId="17" fillId="0" borderId="0" xfId="0" applyFont="1" applyProtection="1">
      <protection locked="0"/>
    </xf>
    <xf numFmtId="0" fontId="17" fillId="0" borderId="0" xfId="0" applyFont="1" applyAlignment="1" applyProtection="1">
      <alignment horizontal="center"/>
      <protection hidden="1"/>
    </xf>
    <xf numFmtId="0" fontId="26" fillId="0" borderId="46" xfId="0" applyFont="1" applyBorder="1" applyAlignment="1" applyProtection="1">
      <alignment horizontal="centerContinuous" vertical="center" wrapText="1"/>
      <protection locked="0"/>
    </xf>
    <xf numFmtId="0" fontId="26" fillId="0" borderId="44" xfId="0" applyFont="1" applyBorder="1" applyAlignment="1" applyProtection="1">
      <alignment horizontal="centerContinuous" vertical="center" wrapText="1"/>
      <protection locked="0"/>
    </xf>
    <xf numFmtId="0" fontId="26" fillId="0" borderId="47" xfId="0" applyFont="1" applyBorder="1" applyAlignment="1" applyProtection="1">
      <alignment horizontal="centerContinuous" vertical="center" wrapText="1"/>
      <protection locked="0"/>
    </xf>
    <xf numFmtId="0" fontId="28" fillId="9" borderId="48" xfId="0" applyFont="1" applyFill="1" applyBorder="1" applyAlignment="1">
      <alignment horizontal="center" vertical="center"/>
    </xf>
    <xf numFmtId="0" fontId="28" fillId="9" borderId="49" xfId="0" applyFont="1" applyFill="1" applyBorder="1" applyAlignment="1">
      <alignment horizontal="center" vertical="center"/>
    </xf>
    <xf numFmtId="0" fontId="28" fillId="9" borderId="50" xfId="0" applyFont="1" applyFill="1" applyBorder="1" applyAlignment="1">
      <alignment horizontal="center" vertical="center"/>
    </xf>
    <xf numFmtId="0" fontId="5" fillId="0" borderId="12" xfId="0" applyFont="1" applyBorder="1" applyAlignment="1" applyProtection="1">
      <alignment horizontal="right" vertical="top"/>
      <protection locked="0"/>
    </xf>
    <xf numFmtId="15" fontId="5" fillId="0" borderId="55" xfId="0" applyNumberFormat="1" applyFont="1" applyBorder="1" applyAlignment="1" applyProtection="1">
      <alignment horizontal="center" vertical="top" wrapText="1"/>
      <protection locked="0"/>
    </xf>
    <xf numFmtId="15" fontId="5" fillId="0" borderId="0" xfId="0" applyNumberFormat="1" applyFont="1" applyAlignment="1" applyProtection="1">
      <alignment horizontal="center" vertical="top" wrapText="1"/>
      <protection hidden="1"/>
    </xf>
    <xf numFmtId="15" fontId="5" fillId="0" borderId="53" xfId="0" applyNumberFormat="1" applyFont="1" applyBorder="1" applyAlignment="1" applyProtection="1">
      <alignment horizontal="center" vertical="top" wrapText="1"/>
      <protection hidden="1"/>
    </xf>
    <xf numFmtId="43" fontId="7" fillId="0" borderId="0" xfId="1" applyFont="1" applyAlignment="1" applyProtection="1">
      <alignment horizontal="center" vertical="top"/>
      <protection hidden="1"/>
    </xf>
    <xf numFmtId="43" fontId="7" fillId="0" borderId="6" xfId="1" applyFont="1" applyBorder="1" applyAlignment="1" applyProtection="1">
      <alignment horizontal="center" vertical="top"/>
      <protection hidden="1"/>
    </xf>
    <xf numFmtId="167" fontId="17" fillId="0" borderId="0" xfId="1" applyNumberFormat="1" applyFont="1" applyAlignment="1" applyProtection="1">
      <alignment horizontal="center" vertical="top"/>
      <protection hidden="1"/>
    </xf>
    <xf numFmtId="167" fontId="17" fillId="0" borderId="6" xfId="1" applyNumberFormat="1" applyFont="1" applyBorder="1" applyAlignment="1" applyProtection="1">
      <alignment horizontal="center" vertical="top"/>
      <protection hidden="1"/>
    </xf>
    <xf numFmtId="0" fontId="17" fillId="0" borderId="0" xfId="0" applyFont="1" applyAlignment="1" applyProtection="1">
      <alignment vertical="top"/>
      <protection locked="0"/>
    </xf>
    <xf numFmtId="0" fontId="17" fillId="0" borderId="0" xfId="0" applyFont="1" applyAlignment="1" applyProtection="1">
      <alignment vertical="top" wrapText="1"/>
      <protection locked="0"/>
    </xf>
    <xf numFmtId="0" fontId="17" fillId="0" borderId="0" xfId="0" applyFont="1" applyAlignment="1" applyProtection="1">
      <alignment horizontal="center" vertical="top"/>
      <protection locked="0"/>
    </xf>
    <xf numFmtId="0" fontId="17" fillId="0" borderId="0" xfId="0" applyFont="1" applyAlignment="1" applyProtection="1">
      <alignment horizontal="right" vertical="top"/>
      <protection locked="0"/>
    </xf>
    <xf numFmtId="165" fontId="17" fillId="0" borderId="0" xfId="1" applyNumberFormat="1" applyFont="1" applyAlignment="1" applyProtection="1">
      <alignment vertical="top"/>
      <protection locked="0"/>
    </xf>
    <xf numFmtId="43" fontId="17" fillId="0" borderId="0" xfId="1" applyFont="1" applyAlignment="1" applyProtection="1">
      <alignment vertical="top"/>
      <protection hidden="1"/>
    </xf>
    <xf numFmtId="43" fontId="17" fillId="0" borderId="6" xfId="1" applyFont="1" applyBorder="1" applyAlignment="1" applyProtection="1">
      <alignment vertical="top"/>
      <protection hidden="1"/>
    </xf>
    <xf numFmtId="0" fontId="5" fillId="0" borderId="0" xfId="0" applyFont="1" applyProtection="1">
      <protection locked="0"/>
    </xf>
    <xf numFmtId="49" fontId="17" fillId="2" borderId="0" xfId="0" applyNumberFormat="1" applyFont="1" applyFill="1" applyAlignment="1">
      <alignment vertical="top"/>
    </xf>
    <xf numFmtId="0" fontId="6" fillId="10" borderId="15" xfId="0" applyFont="1" applyFill="1" applyBorder="1" applyAlignment="1" applyProtection="1">
      <alignment horizontal="center" vertical="center"/>
      <protection hidden="1"/>
    </xf>
    <xf numFmtId="4" fontId="6" fillId="10" borderId="15" xfId="0" applyNumberFormat="1" applyFont="1" applyFill="1" applyBorder="1" applyAlignment="1" applyProtection="1">
      <alignment horizontal="center" vertical="center"/>
      <protection hidden="1"/>
    </xf>
    <xf numFmtId="4" fontId="6" fillId="10" borderId="15" xfId="1" applyNumberFormat="1" applyFont="1" applyFill="1" applyBorder="1" applyAlignment="1" applyProtection="1">
      <alignment horizontal="center" vertical="center" wrapText="1"/>
      <protection hidden="1"/>
    </xf>
    <xf numFmtId="165" fontId="23" fillId="0" borderId="15" xfId="1" applyNumberFormat="1" applyFont="1" applyBorder="1" applyAlignment="1" applyProtection="1">
      <alignment horizontal="center" vertical="center"/>
      <protection hidden="1"/>
    </xf>
    <xf numFmtId="166" fontId="23" fillId="0" borderId="15" xfId="1" applyNumberFormat="1" applyFont="1" applyBorder="1" applyAlignment="1" applyProtection="1">
      <alignment horizontal="center" vertical="center"/>
      <protection hidden="1"/>
    </xf>
    <xf numFmtId="43" fontId="6" fillId="11" borderId="15" xfId="1" applyFont="1" applyFill="1" applyBorder="1" applyAlignment="1" applyProtection="1">
      <alignment horizontal="center" vertical="center" wrapText="1"/>
      <protection hidden="1"/>
    </xf>
    <xf numFmtId="43" fontId="28" fillId="12" borderId="15" xfId="1" applyFont="1" applyFill="1" applyBorder="1" applyAlignment="1" applyProtection="1">
      <alignment horizontal="center" vertical="center" wrapText="1"/>
      <protection hidden="1"/>
    </xf>
    <xf numFmtId="43" fontId="6" fillId="12" borderId="15" xfId="1" applyFont="1" applyFill="1" applyBorder="1" applyAlignment="1" applyProtection="1">
      <alignment horizontal="center" vertical="center" wrapText="1"/>
      <protection hidden="1"/>
    </xf>
    <xf numFmtId="0" fontId="17" fillId="0" borderId="0" xfId="0" applyFont="1" applyAlignment="1">
      <alignment vertical="top"/>
    </xf>
    <xf numFmtId="0" fontId="17" fillId="0" borderId="0" xfId="0" applyFont="1" applyAlignment="1">
      <alignment vertical="top" wrapText="1"/>
    </xf>
    <xf numFmtId="0" fontId="17" fillId="0" borderId="0" xfId="0" applyFont="1" applyAlignment="1">
      <alignment horizontal="center" vertical="top"/>
    </xf>
    <xf numFmtId="0" fontId="17" fillId="0" borderId="0" xfId="0" applyFont="1" applyAlignment="1" applyProtection="1">
      <alignment horizontal="right" vertical="top"/>
      <protection hidden="1"/>
    </xf>
    <xf numFmtId="4" fontId="17" fillId="0" borderId="0" xfId="0" applyNumberFormat="1" applyFont="1" applyAlignment="1">
      <alignment vertical="top"/>
    </xf>
    <xf numFmtId="4" fontId="17" fillId="0" borderId="0" xfId="1" applyNumberFormat="1" applyFont="1" applyAlignment="1">
      <alignment vertical="top"/>
    </xf>
    <xf numFmtId="166" fontId="17" fillId="0" borderId="0" xfId="0" applyNumberFormat="1" applyFont="1"/>
    <xf numFmtId="49" fontId="17" fillId="7" borderId="59" xfId="0" applyNumberFormat="1" applyFont="1" applyFill="1" applyBorder="1" applyAlignment="1">
      <alignment horizontal="center" vertical="top"/>
    </xf>
    <xf numFmtId="0" fontId="29" fillId="5" borderId="40" xfId="0" applyFont="1" applyFill="1" applyBorder="1" applyAlignment="1" applyProtection="1">
      <alignment horizontal="center" vertical="top" wrapText="1"/>
      <protection locked="0" hidden="1"/>
    </xf>
    <xf numFmtId="0" fontId="29" fillId="5" borderId="41" xfId="0" applyFont="1" applyFill="1" applyBorder="1" applyAlignment="1" applyProtection="1">
      <alignment vertical="top"/>
      <protection locked="0"/>
    </xf>
    <xf numFmtId="0" fontId="6" fillId="5" borderId="41" xfId="0" applyFont="1" applyFill="1" applyBorder="1" applyAlignment="1" applyProtection="1">
      <alignment vertical="top" wrapText="1"/>
      <protection hidden="1"/>
    </xf>
    <xf numFmtId="4" fontId="6" fillId="5" borderId="41" xfId="0" applyNumberFormat="1" applyFont="1" applyFill="1" applyBorder="1" applyAlignment="1" applyProtection="1">
      <alignment vertical="top" wrapText="1"/>
      <protection hidden="1"/>
    </xf>
    <xf numFmtId="4" fontId="29" fillId="5" borderId="42" xfId="0" applyNumberFormat="1" applyFont="1" applyFill="1" applyBorder="1" applyAlignment="1" applyProtection="1">
      <alignment horizontal="right" vertical="top" wrapText="1"/>
      <protection hidden="1"/>
    </xf>
    <xf numFmtId="0" fontId="17" fillId="0" borderId="17" xfId="0" applyFont="1" applyBorder="1" applyProtection="1">
      <protection hidden="1"/>
    </xf>
    <xf numFmtId="0" fontId="17" fillId="0" borderId="21" xfId="0" applyFont="1" applyBorder="1" applyProtection="1">
      <protection hidden="1"/>
    </xf>
    <xf numFmtId="166" fontId="17" fillId="0" borderId="21" xfId="0" applyNumberFormat="1" applyFont="1" applyBorder="1" applyProtection="1">
      <protection hidden="1"/>
    </xf>
    <xf numFmtId="3" fontId="29" fillId="0" borderId="44" xfId="0" applyNumberFormat="1" applyFont="1" applyBorder="1" applyAlignment="1" applyProtection="1">
      <alignment horizontal="right" vertical="top" wrapText="1"/>
      <protection hidden="1"/>
    </xf>
    <xf numFmtId="43" fontId="11" fillId="13" borderId="60" xfId="1" applyFont="1" applyFill="1" applyBorder="1" applyAlignment="1" applyProtection="1">
      <alignment vertical="top"/>
      <protection hidden="1"/>
    </xf>
    <xf numFmtId="43" fontId="11" fillId="13" borderId="61" xfId="1" applyFont="1" applyFill="1" applyBorder="1" applyAlignment="1" applyProtection="1">
      <alignment vertical="top"/>
      <protection hidden="1"/>
    </xf>
    <xf numFmtId="43" fontId="11" fillId="13" borderId="62" xfId="1" applyFont="1" applyFill="1" applyBorder="1" applyAlignment="1" applyProtection="1">
      <alignment vertical="top"/>
      <protection hidden="1"/>
    </xf>
    <xf numFmtId="43" fontId="30" fillId="13" borderId="63" xfId="1" applyFont="1" applyFill="1" applyBorder="1" applyAlignment="1" applyProtection="1">
      <alignment vertical="top"/>
      <protection hidden="1"/>
    </xf>
    <xf numFmtId="0" fontId="16" fillId="0" borderId="0" xfId="0" applyFont="1" applyProtection="1">
      <protection hidden="1"/>
    </xf>
    <xf numFmtId="49" fontId="17" fillId="7" borderId="64" xfId="0" applyNumberFormat="1" applyFont="1" applyFill="1" applyBorder="1" applyAlignment="1">
      <alignment horizontal="center" vertical="top"/>
    </xf>
    <xf numFmtId="0" fontId="5" fillId="0" borderId="65" xfId="0" applyFont="1" applyBorder="1" applyAlignment="1" applyProtection="1">
      <alignment horizontal="center" vertical="top"/>
      <protection locked="0" hidden="1"/>
    </xf>
    <xf numFmtId="0" fontId="17" fillId="0" borderId="61" xfId="0" applyFont="1" applyBorder="1" applyAlignment="1" applyProtection="1">
      <alignment horizontal="center" vertical="top"/>
      <protection hidden="1"/>
    </xf>
    <xf numFmtId="165" fontId="17" fillId="0" borderId="21" xfId="1" applyNumberFormat="1" applyFont="1" applyFill="1" applyBorder="1" applyAlignment="1" applyProtection="1">
      <alignment horizontal="right" vertical="top"/>
      <protection hidden="1"/>
    </xf>
    <xf numFmtId="165" fontId="17" fillId="0" borderId="19" xfId="1" applyNumberFormat="1" applyFont="1" applyFill="1" applyBorder="1" applyAlignment="1" applyProtection="1">
      <alignment horizontal="right" vertical="top"/>
      <protection hidden="1"/>
    </xf>
    <xf numFmtId="165" fontId="17" fillId="0" borderId="19" xfId="1" applyNumberFormat="1" applyFont="1" applyBorder="1" applyAlignment="1" applyProtection="1">
      <alignment horizontal="right" vertical="top"/>
      <protection hidden="1"/>
    </xf>
    <xf numFmtId="166" fontId="17" fillId="0" borderId="22" xfId="1" applyNumberFormat="1" applyFont="1" applyBorder="1" applyAlignment="1" applyProtection="1">
      <alignment horizontal="right" vertical="top"/>
      <protection hidden="1"/>
    </xf>
    <xf numFmtId="166" fontId="17" fillId="0" borderId="23" xfId="1" applyNumberFormat="1" applyFont="1" applyBorder="1" applyAlignment="1" applyProtection="1">
      <alignment horizontal="right" vertical="top"/>
      <protection hidden="1"/>
    </xf>
    <xf numFmtId="165" fontId="17" fillId="0" borderId="67" xfId="1" applyNumberFormat="1" applyFont="1" applyBorder="1" applyAlignment="1" applyProtection="1">
      <alignment horizontal="right" vertical="top"/>
      <protection hidden="1"/>
    </xf>
    <xf numFmtId="49" fontId="17" fillId="7" borderId="17" xfId="0" applyNumberFormat="1" applyFont="1" applyFill="1" applyBorder="1" applyAlignment="1">
      <alignment horizontal="center" vertical="top"/>
    </xf>
    <xf numFmtId="0" fontId="5" fillId="0" borderId="18" xfId="0" applyFont="1" applyBorder="1" applyAlignment="1" applyProtection="1">
      <alignment horizontal="center" vertical="top"/>
      <protection locked="0" hidden="1"/>
    </xf>
    <xf numFmtId="0" fontId="17" fillId="0" borderId="19" xfId="0" applyFont="1" applyBorder="1" applyAlignment="1" applyProtection="1">
      <alignment horizontal="center" vertical="top"/>
      <protection hidden="1"/>
    </xf>
    <xf numFmtId="0" fontId="17" fillId="0" borderId="19" xfId="0" applyFont="1" applyBorder="1" applyAlignment="1" applyProtection="1">
      <alignment horizontal="right" vertical="top"/>
      <protection hidden="1"/>
    </xf>
    <xf numFmtId="4" fontId="17" fillId="0" borderId="19" xfId="1" applyNumberFormat="1" applyFont="1" applyBorder="1" applyAlignment="1" applyProtection="1">
      <alignment horizontal="right" vertical="top"/>
      <protection hidden="1"/>
    </xf>
    <xf numFmtId="165" fontId="17" fillId="0" borderId="1" xfId="1" applyNumberFormat="1" applyFont="1" applyBorder="1" applyAlignment="1" applyProtection="1">
      <alignment horizontal="right" vertical="top"/>
      <protection hidden="1"/>
    </xf>
    <xf numFmtId="49" fontId="17" fillId="7" borderId="17" xfId="0" quotePrefix="1" applyNumberFormat="1" applyFont="1" applyFill="1" applyBorder="1" applyAlignment="1">
      <alignment horizontal="center" vertical="top" wrapText="1"/>
    </xf>
    <xf numFmtId="49" fontId="17" fillId="7" borderId="17" xfId="0" quotePrefix="1" applyNumberFormat="1" applyFont="1" applyFill="1" applyBorder="1" applyAlignment="1">
      <alignment horizontal="center" vertical="top"/>
    </xf>
    <xf numFmtId="49" fontId="17" fillId="7" borderId="68" xfId="0" applyNumberFormat="1" applyFont="1" applyFill="1" applyBorder="1" applyAlignment="1">
      <alignment horizontal="center" vertical="top"/>
    </xf>
    <xf numFmtId="0" fontId="5" fillId="0" borderId="69" xfId="0" applyFont="1" applyBorder="1" applyAlignment="1" applyProtection="1">
      <alignment horizontal="center" vertical="top"/>
      <protection locked="0" hidden="1"/>
    </xf>
    <xf numFmtId="0" fontId="17" fillId="0" borderId="25" xfId="0" applyFont="1" applyBorder="1" applyAlignment="1" applyProtection="1">
      <alignment horizontal="center" vertical="top"/>
      <protection hidden="1"/>
    </xf>
    <xf numFmtId="165" fontId="17" fillId="0" borderId="25" xfId="1" applyNumberFormat="1" applyFont="1" applyBorder="1" applyAlignment="1" applyProtection="1">
      <alignment horizontal="right" vertical="top"/>
      <protection hidden="1"/>
    </xf>
    <xf numFmtId="165" fontId="17" fillId="0" borderId="71" xfId="1" applyNumberFormat="1" applyFont="1" applyBorder="1" applyAlignment="1" applyProtection="1">
      <alignment horizontal="right" vertical="top"/>
      <protection hidden="1"/>
    </xf>
    <xf numFmtId="49" fontId="17" fillId="7" borderId="72" xfId="0" applyNumberFormat="1" applyFont="1" applyFill="1" applyBorder="1" applyAlignment="1">
      <alignment horizontal="center" vertical="top"/>
    </xf>
    <xf numFmtId="0" fontId="5" fillId="9" borderId="73" xfId="0" applyFont="1" applyFill="1" applyBorder="1" applyAlignment="1" applyProtection="1">
      <alignment horizontal="center" vertical="top"/>
      <protection locked="0" hidden="1"/>
    </xf>
    <xf numFmtId="0" fontId="17" fillId="9" borderId="74" xfId="0" applyFont="1" applyFill="1" applyBorder="1" applyAlignment="1" applyProtection="1">
      <alignment horizontal="center" vertical="top"/>
      <protection hidden="1"/>
    </xf>
    <xf numFmtId="165" fontId="29" fillId="0" borderId="15" xfId="1" applyNumberFormat="1" applyFont="1" applyBorder="1" applyAlignment="1" applyProtection="1">
      <alignment horizontal="right" vertical="top"/>
      <protection hidden="1"/>
    </xf>
    <xf numFmtId="3" fontId="17" fillId="13" borderId="76" xfId="1" applyNumberFormat="1" applyFont="1" applyFill="1" applyBorder="1" applyAlignment="1" applyProtection="1">
      <alignment horizontal="right" vertical="top"/>
      <protection hidden="1"/>
    </xf>
    <xf numFmtId="3" fontId="17" fillId="13" borderId="77" xfId="1" applyNumberFormat="1" applyFont="1" applyFill="1" applyBorder="1" applyAlignment="1" applyProtection="1">
      <alignment horizontal="right" vertical="top"/>
      <protection hidden="1"/>
    </xf>
    <xf numFmtId="3" fontId="17" fillId="13" borderId="78" xfId="1" applyNumberFormat="1" applyFont="1" applyFill="1" applyBorder="1" applyAlignment="1" applyProtection="1">
      <alignment horizontal="right" vertical="top"/>
      <protection hidden="1"/>
    </xf>
    <xf numFmtId="3" fontId="6" fillId="13" borderId="79" xfId="1" applyNumberFormat="1" applyFont="1" applyFill="1" applyBorder="1" applyAlignment="1" applyProtection="1">
      <alignment horizontal="right" vertical="top"/>
      <protection hidden="1"/>
    </xf>
    <xf numFmtId="0" fontId="17" fillId="0" borderId="0" xfId="0" applyFont="1" applyAlignment="1">
      <alignment horizontal="right" vertical="top"/>
    </xf>
    <xf numFmtId="166" fontId="29" fillId="5" borderId="42" xfId="0" applyNumberFormat="1" applyFont="1" applyFill="1" applyBorder="1" applyAlignment="1" applyProtection="1">
      <alignment horizontal="right" vertical="top" wrapText="1"/>
      <protection hidden="1"/>
    </xf>
    <xf numFmtId="0" fontId="17" fillId="0" borderId="61" xfId="0" applyFont="1" applyBorder="1" applyAlignment="1" applyProtection="1">
      <alignment horizontal="right" vertical="top"/>
      <protection locked="0" hidden="1"/>
    </xf>
    <xf numFmtId="165" fontId="17" fillId="0" borderId="61" xfId="1" applyNumberFormat="1" applyFont="1" applyBorder="1" applyAlignment="1" applyProtection="1">
      <alignment horizontal="right" vertical="top"/>
      <protection hidden="1"/>
    </xf>
    <xf numFmtId="166" fontId="17" fillId="0" borderId="66" xfId="1" applyNumberFormat="1" applyFont="1" applyBorder="1" applyAlignment="1" applyProtection="1">
      <alignment horizontal="right" vertical="top"/>
      <protection hidden="1"/>
    </xf>
    <xf numFmtId="165" fontId="17" fillId="0" borderId="80" xfId="1" applyNumberFormat="1" applyFont="1" applyBorder="1" applyAlignment="1" applyProtection="1">
      <alignment horizontal="right" vertical="top"/>
      <protection hidden="1"/>
    </xf>
    <xf numFmtId="165" fontId="17" fillId="0" borderId="62" xfId="1" applyNumberFormat="1" applyFont="1" applyBorder="1" applyAlignment="1" applyProtection="1">
      <alignment horizontal="right" vertical="top"/>
      <protection hidden="1"/>
    </xf>
    <xf numFmtId="165" fontId="17" fillId="0" borderId="63" xfId="1" applyNumberFormat="1" applyFont="1" applyBorder="1" applyAlignment="1" applyProtection="1">
      <alignment horizontal="right" vertical="top"/>
      <protection hidden="1"/>
    </xf>
    <xf numFmtId="0" fontId="17" fillId="0" borderId="25" xfId="0" applyFont="1" applyBorder="1" applyAlignment="1" applyProtection="1">
      <alignment horizontal="right" vertical="top"/>
      <protection locked="0" hidden="1"/>
    </xf>
    <xf numFmtId="166" fontId="17" fillId="0" borderId="29" xfId="1" applyNumberFormat="1" applyFont="1" applyBorder="1" applyAlignment="1" applyProtection="1">
      <alignment horizontal="right" vertical="top"/>
      <protection hidden="1"/>
    </xf>
    <xf numFmtId="165" fontId="17" fillId="0" borderId="70" xfId="1" applyNumberFormat="1" applyFont="1" applyBorder="1" applyAlignment="1" applyProtection="1">
      <alignment horizontal="right" vertical="top"/>
      <protection hidden="1"/>
    </xf>
    <xf numFmtId="165" fontId="17" fillId="0" borderId="26" xfId="1" applyNumberFormat="1" applyFont="1" applyBorder="1" applyAlignment="1" applyProtection="1">
      <alignment horizontal="right" vertical="top"/>
      <protection hidden="1"/>
    </xf>
    <xf numFmtId="165" fontId="17" fillId="0" borderId="27" xfId="1" applyNumberFormat="1" applyFont="1" applyBorder="1" applyAlignment="1" applyProtection="1">
      <alignment horizontal="right" vertical="top"/>
      <protection hidden="1"/>
    </xf>
    <xf numFmtId="0" fontId="17" fillId="9" borderId="74" xfId="0" applyFont="1" applyFill="1" applyBorder="1" applyAlignment="1" applyProtection="1">
      <alignment horizontal="right" vertical="top"/>
      <protection locked="0" hidden="1"/>
    </xf>
    <xf numFmtId="165" fontId="6" fillId="9" borderId="74" xfId="1" applyNumberFormat="1" applyFont="1" applyFill="1" applyBorder="1" applyAlignment="1" applyProtection="1">
      <alignment horizontal="right" vertical="top"/>
      <protection hidden="1"/>
    </xf>
    <xf numFmtId="166" fontId="29" fillId="9" borderId="75" xfId="1" applyNumberFormat="1" applyFont="1" applyFill="1" applyBorder="1" applyAlignment="1" applyProtection="1">
      <alignment horizontal="right" vertical="top"/>
      <protection hidden="1"/>
    </xf>
    <xf numFmtId="43" fontId="17" fillId="0" borderId="0" xfId="1" applyFont="1" applyAlignment="1">
      <alignment vertical="top"/>
    </xf>
    <xf numFmtId="49" fontId="7" fillId="2" borderId="0" xfId="0" applyNumberFormat="1" applyFont="1" applyFill="1" applyAlignment="1">
      <alignment horizontal="center" vertical="center"/>
    </xf>
    <xf numFmtId="0" fontId="17" fillId="0" borderId="0" xfId="0" applyFont="1" applyAlignment="1" applyProtection="1">
      <alignment vertical="center"/>
      <protection hidden="1"/>
    </xf>
    <xf numFmtId="0" fontId="17" fillId="14" borderId="12" xfId="0" applyFont="1" applyFill="1" applyBorder="1" applyAlignment="1" applyProtection="1">
      <alignment vertical="center"/>
      <protection hidden="1"/>
    </xf>
    <xf numFmtId="0" fontId="17" fillId="14" borderId="13" xfId="0" applyFont="1" applyFill="1" applyBorder="1" applyAlignment="1" applyProtection="1">
      <alignment vertical="center"/>
      <protection hidden="1"/>
    </xf>
    <xf numFmtId="4" fontId="29" fillId="14" borderId="13" xfId="0" applyNumberFormat="1" applyFont="1" applyFill="1" applyBorder="1" applyAlignment="1" applyProtection="1">
      <alignment horizontal="right" vertical="center"/>
      <protection hidden="1"/>
    </xf>
    <xf numFmtId="4" fontId="29" fillId="14" borderId="14" xfId="1" applyNumberFormat="1" applyFont="1" applyFill="1" applyBorder="1" applyAlignment="1" applyProtection="1">
      <alignment horizontal="right" vertical="center"/>
      <protection hidden="1"/>
    </xf>
    <xf numFmtId="165" fontId="29" fillId="15" borderId="24" xfId="1" applyNumberFormat="1" applyFont="1" applyFill="1" applyBorder="1" applyAlignment="1" applyProtection="1">
      <alignment horizontal="right" vertical="center"/>
      <protection hidden="1"/>
    </xf>
    <xf numFmtId="165" fontId="29" fillId="15" borderId="25" xfId="1" applyNumberFormat="1" applyFont="1" applyFill="1" applyBorder="1" applyAlignment="1" applyProtection="1">
      <alignment horizontal="right" vertical="center"/>
      <protection hidden="1"/>
    </xf>
    <xf numFmtId="166" fontId="28" fillId="15" borderId="25" xfId="1" applyNumberFormat="1" applyFont="1" applyFill="1" applyBorder="1" applyAlignment="1" applyProtection="1">
      <alignment horizontal="right" vertical="center"/>
      <protection hidden="1"/>
    </xf>
    <xf numFmtId="166" fontId="28" fillId="15" borderId="27" xfId="1" applyNumberFormat="1" applyFont="1" applyFill="1" applyBorder="1" applyAlignment="1" applyProtection="1">
      <alignment horizontal="right" vertical="center"/>
      <protection hidden="1"/>
    </xf>
    <xf numFmtId="3" fontId="29" fillId="15" borderId="14" xfId="1" applyNumberFormat="1" applyFont="1" applyFill="1" applyBorder="1" applyAlignment="1" applyProtection="1">
      <alignment horizontal="right" vertical="center"/>
      <protection hidden="1"/>
    </xf>
    <xf numFmtId="43" fontId="17" fillId="0" borderId="0" xfId="1" applyFont="1" applyAlignment="1" applyProtection="1">
      <alignment vertical="center"/>
      <protection hidden="1"/>
    </xf>
    <xf numFmtId="3" fontId="29" fillId="8" borderId="48" xfId="1" applyNumberFormat="1" applyFont="1" applyFill="1" applyBorder="1" applyAlignment="1" applyProtection="1">
      <alignment horizontal="right" vertical="center"/>
      <protection hidden="1"/>
    </xf>
    <xf numFmtId="3" fontId="29" fillId="8" borderId="49" xfId="1" applyNumberFormat="1" applyFont="1" applyFill="1" applyBorder="1" applyAlignment="1" applyProtection="1">
      <alignment horizontal="right" vertical="center"/>
      <protection hidden="1"/>
    </xf>
    <xf numFmtId="0" fontId="31" fillId="0" borderId="0" xfId="0" applyFont="1" applyAlignment="1" applyProtection="1">
      <alignment vertical="center"/>
      <protection hidden="1"/>
    </xf>
    <xf numFmtId="0" fontId="31" fillId="0" borderId="6" xfId="0" applyFont="1" applyBorder="1" applyAlignment="1" applyProtection="1">
      <alignment vertical="center"/>
      <protection hidden="1"/>
    </xf>
    <xf numFmtId="0" fontId="16" fillId="2" borderId="7" xfId="0" applyFont="1" applyFill="1" applyBorder="1" applyAlignment="1" applyProtection="1">
      <alignment vertical="center"/>
      <protection hidden="1"/>
    </xf>
    <xf numFmtId="0" fontId="16" fillId="2" borderId="8" xfId="0" applyFont="1" applyFill="1" applyBorder="1" applyAlignment="1" applyProtection="1">
      <alignment vertical="center"/>
      <protection hidden="1"/>
    </xf>
    <xf numFmtId="0" fontId="16" fillId="2" borderId="9" xfId="0" applyFont="1" applyFill="1" applyBorder="1" applyAlignment="1" applyProtection="1">
      <alignment vertical="center"/>
      <protection hidden="1"/>
    </xf>
    <xf numFmtId="0" fontId="16" fillId="2" borderId="10" xfId="0" applyFont="1" applyFill="1" applyBorder="1" applyAlignment="1" applyProtection="1">
      <alignment vertical="center"/>
      <protection hidden="1"/>
    </xf>
    <xf numFmtId="0" fontId="16" fillId="2" borderId="11" xfId="0" applyFont="1" applyFill="1" applyBorder="1" applyAlignment="1" applyProtection="1">
      <alignment vertical="center"/>
      <protection hidden="1"/>
    </xf>
    <xf numFmtId="0" fontId="17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top"/>
      <protection hidden="1"/>
    </xf>
    <xf numFmtId="0" fontId="17" fillId="0" borderId="0" xfId="0" applyFont="1" applyAlignment="1" applyProtection="1">
      <alignment horizontal="center" vertical="top"/>
      <protection hidden="1"/>
    </xf>
    <xf numFmtId="166" fontId="17" fillId="0" borderId="0" xfId="0" applyNumberFormat="1" applyFont="1" applyProtection="1">
      <protection hidden="1"/>
    </xf>
    <xf numFmtId="49" fontId="7" fillId="2" borderId="0" xfId="0" applyNumberFormat="1" applyFont="1" applyFill="1" applyAlignment="1">
      <alignment horizontal="center" vertical="top"/>
    </xf>
    <xf numFmtId="43" fontId="17" fillId="0" borderId="52" xfId="1" applyFont="1" applyBorder="1" applyAlignment="1" applyProtection="1">
      <alignment vertical="top"/>
      <protection hidden="1"/>
    </xf>
    <xf numFmtId="43" fontId="17" fillId="0" borderId="53" xfId="1" applyFont="1" applyBorder="1" applyAlignment="1" applyProtection="1">
      <alignment vertical="top"/>
      <protection hidden="1"/>
    </xf>
    <xf numFmtId="166" fontId="17" fillId="0" borderId="53" xfId="1" applyNumberFormat="1" applyFont="1" applyBorder="1" applyAlignment="1" applyProtection="1">
      <alignment vertical="top"/>
      <protection hidden="1"/>
    </xf>
    <xf numFmtId="166" fontId="17" fillId="0" borderId="54" xfId="1" applyNumberFormat="1" applyFont="1" applyBorder="1" applyAlignment="1" applyProtection="1">
      <alignment vertical="top"/>
      <protection hidden="1"/>
    </xf>
    <xf numFmtId="43" fontId="17" fillId="11" borderId="14" xfId="1" applyFont="1" applyFill="1" applyBorder="1" applyAlignment="1" applyProtection="1">
      <alignment vertical="top"/>
      <protection hidden="1"/>
    </xf>
    <xf numFmtId="49" fontId="7" fillId="2" borderId="0" xfId="0" applyNumberFormat="1" applyFont="1" applyFill="1" applyAlignment="1">
      <alignment horizontal="center"/>
    </xf>
    <xf numFmtId="165" fontId="6" fillId="0" borderId="34" xfId="1" applyNumberFormat="1" applyFont="1" applyBorder="1" applyAlignment="1" applyProtection="1">
      <alignment vertical="top"/>
      <protection hidden="1"/>
    </xf>
    <xf numFmtId="165" fontId="6" fillId="0" borderId="0" xfId="1" applyNumberFormat="1" applyFont="1" applyAlignment="1" applyProtection="1">
      <alignment vertical="top"/>
      <protection hidden="1"/>
    </xf>
    <xf numFmtId="166" fontId="6" fillId="0" borderId="0" xfId="1" applyNumberFormat="1" applyFont="1" applyAlignment="1" applyProtection="1">
      <alignment vertical="top"/>
      <protection hidden="1"/>
    </xf>
    <xf numFmtId="166" fontId="6" fillId="0" borderId="84" xfId="1" applyNumberFormat="1" applyFont="1" applyBorder="1" applyAlignment="1" applyProtection="1">
      <alignment vertical="top"/>
      <protection hidden="1"/>
    </xf>
    <xf numFmtId="165" fontId="6" fillId="0" borderId="63" xfId="1" applyNumberFormat="1" applyFont="1" applyBorder="1" applyAlignment="1" applyProtection="1">
      <alignment vertical="top"/>
      <protection hidden="1"/>
    </xf>
    <xf numFmtId="0" fontId="17" fillId="0" borderId="6" xfId="0" applyFont="1" applyBorder="1" applyProtection="1">
      <protection hidden="1"/>
    </xf>
    <xf numFmtId="165" fontId="17" fillId="0" borderId="34" xfId="1" applyNumberFormat="1" applyFont="1" applyBorder="1" applyProtection="1">
      <protection hidden="1"/>
    </xf>
    <xf numFmtId="165" fontId="17" fillId="0" borderId="0" xfId="1" applyNumberFormat="1" applyFont="1" applyProtection="1">
      <protection hidden="1"/>
    </xf>
    <xf numFmtId="166" fontId="17" fillId="0" borderId="0" xfId="1" applyNumberFormat="1" applyFont="1" applyProtection="1">
      <protection hidden="1"/>
    </xf>
    <xf numFmtId="166" fontId="17" fillId="0" borderId="84" xfId="1" applyNumberFormat="1" applyFont="1" applyBorder="1" applyProtection="1">
      <protection hidden="1"/>
    </xf>
    <xf numFmtId="165" fontId="17" fillId="0" borderId="23" xfId="1" applyNumberFormat="1" applyFont="1" applyBorder="1" applyProtection="1">
      <protection hidden="1"/>
    </xf>
    <xf numFmtId="165" fontId="17" fillId="0" borderId="27" xfId="1" applyNumberFormat="1" applyFont="1" applyBorder="1" applyProtection="1">
      <protection hidden="1"/>
    </xf>
    <xf numFmtId="165" fontId="17" fillId="0" borderId="6" xfId="1" applyNumberFormat="1" applyFont="1" applyBorder="1" applyProtection="1">
      <protection hidden="1"/>
    </xf>
    <xf numFmtId="165" fontId="6" fillId="0" borderId="34" xfId="1" applyNumberFormat="1" applyFont="1" applyBorder="1" applyProtection="1">
      <protection hidden="1"/>
    </xf>
    <xf numFmtId="165" fontId="6" fillId="0" borderId="0" xfId="1" applyNumberFormat="1" applyFont="1" applyProtection="1">
      <protection hidden="1"/>
    </xf>
    <xf numFmtId="166" fontId="6" fillId="0" borderId="0" xfId="1" applyNumberFormat="1" applyFont="1" applyProtection="1">
      <protection hidden="1"/>
    </xf>
    <xf numFmtId="166" fontId="6" fillId="0" borderId="84" xfId="1" applyNumberFormat="1" applyFont="1" applyBorder="1" applyProtection="1">
      <protection hidden="1"/>
    </xf>
    <xf numFmtId="165" fontId="6" fillId="0" borderId="27" xfId="1" applyNumberFormat="1" applyFont="1" applyBorder="1" applyProtection="1">
      <protection hidden="1"/>
    </xf>
    <xf numFmtId="165" fontId="6" fillId="0" borderId="0" xfId="0" applyNumberFormat="1" applyFont="1" applyProtection="1">
      <protection hidden="1"/>
    </xf>
    <xf numFmtId="165" fontId="6" fillId="0" borderId="6" xfId="0" applyNumberFormat="1" applyFont="1" applyBorder="1" applyProtection="1">
      <protection hidden="1"/>
    </xf>
    <xf numFmtId="165" fontId="6" fillId="0" borderId="90" xfId="1" applyNumberFormat="1" applyFont="1" applyBorder="1" applyProtection="1">
      <protection hidden="1"/>
    </xf>
    <xf numFmtId="3" fontId="29" fillId="0" borderId="46" xfId="0" applyNumberFormat="1" applyFont="1" applyBorder="1" applyAlignment="1" applyProtection="1">
      <alignment horizontal="right"/>
      <protection hidden="1"/>
    </xf>
    <xf numFmtId="165" fontId="11" fillId="0" borderId="44" xfId="0" applyNumberFormat="1" applyFont="1" applyBorder="1" applyProtection="1">
      <protection hidden="1"/>
    </xf>
    <xf numFmtId="3" fontId="29" fillId="0" borderId="44" xfId="0" applyNumberFormat="1" applyFont="1" applyBorder="1" applyAlignment="1" applyProtection="1">
      <alignment horizontal="right"/>
      <protection hidden="1"/>
    </xf>
    <xf numFmtId="166" fontId="29" fillId="0" borderId="44" xfId="0" applyNumberFormat="1" applyFont="1" applyBorder="1" applyAlignment="1" applyProtection="1">
      <alignment horizontal="right"/>
      <protection hidden="1"/>
    </xf>
    <xf numFmtId="166" fontId="29" fillId="0" borderId="45" xfId="0" applyNumberFormat="1" applyFont="1" applyBorder="1" applyAlignment="1" applyProtection="1">
      <alignment horizontal="right"/>
      <protection locked="0"/>
    </xf>
    <xf numFmtId="3" fontId="29" fillId="11" borderId="14" xfId="0" applyNumberFormat="1" applyFont="1" applyFill="1" applyBorder="1" applyAlignment="1" applyProtection="1">
      <alignment horizontal="right"/>
      <protection hidden="1"/>
    </xf>
    <xf numFmtId="49" fontId="7" fillId="0" borderId="0" xfId="0" applyNumberFormat="1" applyFont="1" applyAlignment="1">
      <alignment horizontal="center"/>
    </xf>
    <xf numFmtId="0" fontId="6" fillId="0" borderId="0" xfId="0" applyFont="1" applyAlignment="1" applyProtection="1">
      <alignment horizontal="right"/>
      <protection hidden="1"/>
    </xf>
    <xf numFmtId="166" fontId="5" fillId="0" borderId="0" xfId="0" applyNumberFormat="1" applyFont="1" applyAlignment="1" applyProtection="1">
      <alignment horizontal="right"/>
      <protection hidden="1"/>
    </xf>
    <xf numFmtId="166" fontId="6" fillId="0" borderId="0" xfId="0" applyNumberFormat="1" applyFont="1" applyProtection="1">
      <protection hidden="1"/>
    </xf>
    <xf numFmtId="49" fontId="17" fillId="0" borderId="0" xfId="0" applyNumberFormat="1" applyFont="1"/>
    <xf numFmtId="0" fontId="17" fillId="0" borderId="6" xfId="0" applyFont="1" applyBorder="1"/>
    <xf numFmtId="0" fontId="29" fillId="16" borderId="12" xfId="0" applyFont="1" applyFill="1" applyBorder="1" applyAlignment="1" applyProtection="1">
      <alignment vertical="top" wrapText="1"/>
      <protection hidden="1"/>
    </xf>
    <xf numFmtId="0" fontId="17" fillId="16" borderId="13" xfId="0" applyFont="1" applyFill="1" applyBorder="1" applyAlignment="1" applyProtection="1">
      <alignment horizontal="center" vertical="top"/>
      <protection hidden="1"/>
    </xf>
    <xf numFmtId="0" fontId="17" fillId="16" borderId="13" xfId="0" applyFont="1" applyFill="1" applyBorder="1" applyAlignment="1" applyProtection="1">
      <alignment horizontal="right" vertical="top"/>
      <protection hidden="1"/>
    </xf>
    <xf numFmtId="0" fontId="17" fillId="16" borderId="13" xfId="0" applyFont="1" applyFill="1" applyBorder="1" applyAlignment="1" applyProtection="1">
      <alignment vertical="top"/>
      <protection hidden="1"/>
    </xf>
    <xf numFmtId="166" fontId="17" fillId="16" borderId="14" xfId="1" applyNumberFormat="1" applyFont="1" applyFill="1" applyBorder="1" applyAlignment="1" applyProtection="1">
      <alignment vertical="top"/>
      <protection hidden="1"/>
    </xf>
    <xf numFmtId="0" fontId="17" fillId="0" borderId="87" xfId="0" applyFont="1" applyBorder="1" applyProtection="1">
      <protection hidden="1"/>
    </xf>
    <xf numFmtId="0" fontId="17" fillId="0" borderId="88" xfId="0" applyFont="1" applyBorder="1" applyProtection="1">
      <protection hidden="1"/>
    </xf>
    <xf numFmtId="0" fontId="6" fillId="0" borderId="88" xfId="0" applyFont="1" applyBorder="1" applyAlignment="1" applyProtection="1">
      <alignment horizontal="right"/>
      <protection hidden="1"/>
    </xf>
    <xf numFmtId="10" fontId="5" fillId="0" borderId="89" xfId="0" applyNumberFormat="1" applyFont="1" applyBorder="1" applyAlignment="1" applyProtection="1">
      <alignment horizontal="right"/>
      <protection hidden="1"/>
    </xf>
    <xf numFmtId="166" fontId="6" fillId="0" borderId="90" xfId="1" applyNumberFormat="1" applyFont="1" applyBorder="1" applyProtection="1">
      <protection hidden="1"/>
    </xf>
    <xf numFmtId="0" fontId="17" fillId="0" borderId="82" xfId="0" applyFont="1" applyBorder="1" applyProtection="1">
      <protection hidden="1"/>
    </xf>
    <xf numFmtId="0" fontId="17" fillId="0" borderId="80" xfId="0" applyFont="1" applyBorder="1" applyProtection="1">
      <protection hidden="1"/>
    </xf>
    <xf numFmtId="0" fontId="6" fillId="0" borderId="83" xfId="0" applyFont="1" applyBorder="1" applyAlignment="1" applyProtection="1">
      <alignment horizontal="right"/>
      <protection hidden="1"/>
    </xf>
    <xf numFmtId="0" fontId="17" fillId="0" borderId="85" xfId="0" applyFont="1" applyBorder="1" applyProtection="1">
      <protection hidden="1"/>
    </xf>
    <xf numFmtId="0" fontId="17" fillId="0" borderId="21" xfId="0" applyFont="1" applyBorder="1" applyAlignment="1" applyProtection="1">
      <alignment horizontal="right"/>
      <protection hidden="1"/>
    </xf>
    <xf numFmtId="10" fontId="17" fillId="0" borderId="28" xfId="0" applyNumberFormat="1" applyFont="1" applyBorder="1" applyAlignment="1" applyProtection="1">
      <alignment horizontal="center"/>
      <protection hidden="1"/>
    </xf>
    <xf numFmtId="0" fontId="17" fillId="0" borderId="86" xfId="0" applyFont="1" applyBorder="1" applyProtection="1">
      <protection hidden="1"/>
    </xf>
    <xf numFmtId="0" fontId="17" fillId="0" borderId="70" xfId="0" applyFont="1" applyBorder="1" applyProtection="1">
      <protection hidden="1"/>
    </xf>
    <xf numFmtId="0" fontId="17" fillId="0" borderId="70" xfId="0" applyFont="1" applyBorder="1" applyAlignment="1" applyProtection="1">
      <alignment horizontal="right"/>
      <protection hidden="1"/>
    </xf>
    <xf numFmtId="10" fontId="17" fillId="0" borderId="81" xfId="0" applyNumberFormat="1" applyFont="1" applyBorder="1" applyAlignment="1" applyProtection="1">
      <alignment horizontal="center"/>
      <protection hidden="1"/>
    </xf>
    <xf numFmtId="10" fontId="6" fillId="0" borderId="89" xfId="0" applyNumberFormat="1" applyFont="1" applyBorder="1" applyAlignment="1" applyProtection="1">
      <alignment horizontal="center"/>
      <protection hidden="1"/>
    </xf>
    <xf numFmtId="0" fontId="5" fillId="0" borderId="88" xfId="0" applyFont="1" applyBorder="1" applyAlignment="1" applyProtection="1">
      <alignment horizontal="right"/>
      <protection hidden="1"/>
    </xf>
    <xf numFmtId="10" fontId="5" fillId="0" borderId="89" xfId="0" applyNumberFormat="1" applyFont="1" applyBorder="1" applyAlignment="1" applyProtection="1">
      <alignment horizontal="center"/>
      <protection hidden="1"/>
    </xf>
    <xf numFmtId="0" fontId="32" fillId="14" borderId="12" xfId="3" applyFont="1" applyFill="1" applyBorder="1" applyAlignment="1" applyProtection="1">
      <protection hidden="1"/>
    </xf>
    <xf numFmtId="0" fontId="17" fillId="14" borderId="13" xfId="0" applyFont="1" applyFill="1" applyBorder="1" applyProtection="1">
      <protection hidden="1"/>
    </xf>
    <xf numFmtId="0" fontId="29" fillId="14" borderId="13" xfId="0" applyFont="1" applyFill="1" applyBorder="1" applyAlignment="1" applyProtection="1">
      <alignment horizontal="right"/>
      <protection hidden="1"/>
    </xf>
    <xf numFmtId="0" fontId="17" fillId="5" borderId="12" xfId="0" applyFont="1" applyFill="1" applyBorder="1"/>
    <xf numFmtId="0" fontId="17" fillId="5" borderId="13" xfId="0" applyFont="1" applyFill="1" applyBorder="1"/>
    <xf numFmtId="0" fontId="5" fillId="5" borderId="13" xfId="0" applyFont="1" applyFill="1" applyBorder="1" applyAlignment="1">
      <alignment horizontal="right"/>
    </xf>
    <xf numFmtId="9" fontId="5" fillId="5" borderId="14" xfId="0" applyNumberFormat="1" applyFont="1" applyFill="1" applyBorder="1" applyAlignment="1">
      <alignment horizontal="center"/>
    </xf>
    <xf numFmtId="166" fontId="17" fillId="5" borderId="15" xfId="0" applyNumberFormat="1" applyFont="1" applyFill="1" applyBorder="1"/>
    <xf numFmtId="49" fontId="5" fillId="7" borderId="0" xfId="0" applyNumberFormat="1" applyFont="1" applyFill="1"/>
    <xf numFmtId="0" fontId="17" fillId="17" borderId="12" xfId="0" applyFont="1" applyFill="1" applyBorder="1" applyProtection="1">
      <protection hidden="1"/>
    </xf>
    <xf numFmtId="0" fontId="29" fillId="17" borderId="13" xfId="0" applyFont="1" applyFill="1" applyBorder="1" applyAlignment="1" applyProtection="1">
      <alignment vertical="center"/>
      <protection hidden="1"/>
    </xf>
    <xf numFmtId="0" fontId="17" fillId="17" borderId="13" xfId="0" applyFont="1" applyFill="1" applyBorder="1" applyAlignment="1" applyProtection="1">
      <alignment horizontal="center" vertical="top"/>
      <protection hidden="1"/>
    </xf>
    <xf numFmtId="0" fontId="17" fillId="17" borderId="13" xfId="0" applyFont="1" applyFill="1" applyBorder="1" applyAlignment="1" applyProtection="1">
      <alignment horizontal="right" vertical="top"/>
      <protection hidden="1"/>
    </xf>
    <xf numFmtId="165" fontId="17" fillId="17" borderId="13" xfId="1" applyNumberFormat="1" applyFont="1" applyFill="1" applyBorder="1" applyAlignment="1" applyProtection="1">
      <alignment horizontal="right" vertical="top"/>
      <protection hidden="1"/>
    </xf>
    <xf numFmtId="166" fontId="17" fillId="17" borderId="13" xfId="1" applyNumberFormat="1" applyFont="1" applyFill="1" applyBorder="1" applyAlignment="1" applyProtection="1">
      <alignment horizontal="right" vertical="top"/>
      <protection hidden="1"/>
    </xf>
    <xf numFmtId="165" fontId="17" fillId="17" borderId="14" xfId="1" applyNumberFormat="1" applyFont="1" applyFill="1" applyBorder="1" applyAlignment="1" applyProtection="1">
      <alignment horizontal="right" vertical="top"/>
      <protection hidden="1"/>
    </xf>
    <xf numFmtId="0" fontId="17" fillId="0" borderId="34" xfId="0" applyFont="1" applyBorder="1" applyProtection="1">
      <protection hidden="1"/>
    </xf>
    <xf numFmtId="166" fontId="17" fillId="0" borderId="84" xfId="1" applyNumberFormat="1" applyFont="1" applyBorder="1" applyAlignment="1" applyProtection="1">
      <alignment horizontal="right" vertical="top"/>
      <protection hidden="1"/>
    </xf>
    <xf numFmtId="166" fontId="17" fillId="0" borderId="0" xfId="1" applyNumberFormat="1" applyFont="1" applyAlignment="1" applyProtection="1">
      <alignment horizontal="right" vertical="top"/>
      <protection hidden="1"/>
    </xf>
    <xf numFmtId="165" fontId="17" fillId="17" borderId="1" xfId="1" applyNumberFormat="1" applyFont="1" applyFill="1" applyBorder="1" applyAlignment="1" applyProtection="1">
      <alignment horizontal="right" vertical="top"/>
      <protection hidden="1"/>
    </xf>
    <xf numFmtId="0" fontId="17" fillId="8" borderId="12" xfId="0" applyFont="1" applyFill="1" applyBorder="1" applyProtection="1">
      <protection hidden="1"/>
    </xf>
    <xf numFmtId="0" fontId="17" fillId="8" borderId="13" xfId="0" applyFont="1" applyFill="1" applyBorder="1"/>
    <xf numFmtId="0" fontId="6" fillId="8" borderId="13" xfId="0" applyFont="1" applyFill="1" applyBorder="1" applyAlignment="1">
      <alignment horizontal="right" indent="1"/>
    </xf>
    <xf numFmtId="166" fontId="17" fillId="8" borderId="13" xfId="0" applyNumberFormat="1" applyFont="1" applyFill="1" applyBorder="1"/>
    <xf numFmtId="0" fontId="17" fillId="8" borderId="45" xfId="0" applyFont="1" applyFill="1" applyBorder="1"/>
    <xf numFmtId="165" fontId="17" fillId="0" borderId="0" xfId="1" applyNumberFormat="1" applyFont="1" applyFill="1" applyAlignment="1" applyProtection="1">
      <alignment horizontal="right" vertical="top"/>
      <protection hidden="1"/>
    </xf>
    <xf numFmtId="0" fontId="17" fillId="18" borderId="82" xfId="0" applyFont="1" applyFill="1" applyBorder="1"/>
    <xf numFmtId="0" fontId="17" fillId="18" borderId="80" xfId="0" applyFont="1" applyFill="1" applyBorder="1"/>
    <xf numFmtId="0" fontId="5" fillId="18" borderId="80" xfId="0" applyFont="1" applyFill="1" applyBorder="1" applyAlignment="1">
      <alignment horizontal="right"/>
    </xf>
    <xf numFmtId="9" fontId="17" fillId="18" borderId="91" xfId="2" applyFont="1" applyFill="1" applyBorder="1" applyAlignment="1">
      <alignment horizontal="center"/>
    </xf>
    <xf numFmtId="166" fontId="17" fillId="18" borderId="67" xfId="0" applyNumberFormat="1" applyFont="1" applyFill="1" applyBorder="1"/>
    <xf numFmtId="0" fontId="17" fillId="18" borderId="46" xfId="0" applyFont="1" applyFill="1" applyBorder="1"/>
    <xf numFmtId="0" fontId="17" fillId="18" borderId="44" xfId="0" applyFont="1" applyFill="1" applyBorder="1"/>
    <xf numFmtId="0" fontId="5" fillId="18" borderId="44" xfId="0" applyFont="1" applyFill="1" applyBorder="1" applyAlignment="1">
      <alignment horizontal="right"/>
    </xf>
    <xf numFmtId="0" fontId="6" fillId="18" borderId="44" xfId="0" applyFont="1" applyFill="1" applyBorder="1" applyAlignment="1">
      <alignment horizontal="right"/>
    </xf>
    <xf numFmtId="166" fontId="17" fillId="18" borderId="92" xfId="0" applyNumberFormat="1" applyFont="1" applyFill="1" applyBorder="1"/>
    <xf numFmtId="0" fontId="17" fillId="19" borderId="12" xfId="0" applyFont="1" applyFill="1" applyBorder="1"/>
    <xf numFmtId="0" fontId="17" fillId="19" borderId="13" xfId="0" applyFont="1" applyFill="1" applyBorder="1"/>
    <xf numFmtId="0" fontId="6" fillId="19" borderId="13" xfId="0" applyFont="1" applyFill="1" applyBorder="1" applyAlignment="1">
      <alignment horizontal="right"/>
    </xf>
    <xf numFmtId="166" fontId="17" fillId="19" borderId="15" xfId="0" applyNumberFormat="1" applyFont="1" applyFill="1" applyBorder="1"/>
    <xf numFmtId="0" fontId="29" fillId="11" borderId="13" xfId="0" applyFont="1" applyFill="1" applyBorder="1" applyProtection="1">
      <protection hidden="1"/>
    </xf>
    <xf numFmtId="166" fontId="29" fillId="11" borderId="13" xfId="0" applyNumberFormat="1" applyFont="1" applyFill="1" applyBorder="1" applyProtection="1">
      <protection hidden="1"/>
    </xf>
    <xf numFmtId="0" fontId="29" fillId="11" borderId="14" xfId="0" applyFont="1" applyFill="1" applyBorder="1" applyProtection="1">
      <protection hidden="1"/>
    </xf>
    <xf numFmtId="165" fontId="6" fillId="0" borderId="34" xfId="0" applyNumberFormat="1" applyFont="1" applyBorder="1" applyProtection="1">
      <protection hidden="1"/>
    </xf>
    <xf numFmtId="0" fontId="7" fillId="0" borderId="53" xfId="0" applyFont="1" applyBorder="1" applyAlignment="1" applyProtection="1">
      <alignment vertical="center" wrapText="1"/>
      <protection hidden="1"/>
    </xf>
    <xf numFmtId="166" fontId="7" fillId="0" borderId="53" xfId="0" applyNumberFormat="1" applyFont="1" applyBorder="1" applyAlignment="1" applyProtection="1">
      <alignment vertical="center" wrapText="1"/>
      <protection hidden="1"/>
    </xf>
    <xf numFmtId="0" fontId="7" fillId="0" borderId="54" xfId="0" applyFont="1" applyBorder="1" applyAlignment="1" applyProtection="1">
      <alignment vertical="center" wrapText="1"/>
      <protection hidden="1"/>
    </xf>
    <xf numFmtId="0" fontId="7" fillId="0" borderId="44" xfId="0" applyFont="1" applyBorder="1" applyAlignment="1" applyProtection="1">
      <alignment vertical="center" wrapText="1"/>
      <protection hidden="1"/>
    </xf>
    <xf numFmtId="166" fontId="7" fillId="0" borderId="44" xfId="0" applyNumberFormat="1" applyFont="1" applyBorder="1" applyAlignment="1" applyProtection="1">
      <alignment vertical="center" wrapText="1"/>
      <protection hidden="1"/>
    </xf>
    <xf numFmtId="0" fontId="7" fillId="0" borderId="45" xfId="0" applyFont="1" applyBorder="1" applyAlignment="1" applyProtection="1">
      <alignment vertical="center" wrapText="1"/>
      <protection hidden="1"/>
    </xf>
    <xf numFmtId="165" fontId="17" fillId="0" borderId="0" xfId="0" applyNumberFormat="1" applyFont="1" applyProtection="1">
      <protection hidden="1"/>
    </xf>
    <xf numFmtId="3" fontId="33" fillId="0" borderId="0" xfId="0" applyNumberFormat="1" applyFont="1" applyAlignment="1" applyProtection="1">
      <alignment horizontal="center" vertical="center"/>
      <protection hidden="1"/>
    </xf>
    <xf numFmtId="0" fontId="33" fillId="0" borderId="0" xfId="0" applyFont="1" applyAlignment="1" applyProtection="1">
      <alignment horizontal="center" vertical="center"/>
      <protection hidden="1"/>
    </xf>
    <xf numFmtId="0" fontId="17" fillId="0" borderId="44" xfId="0" applyFont="1" applyBorder="1" applyProtection="1">
      <protection hidden="1"/>
    </xf>
    <xf numFmtId="49" fontId="17" fillId="0" borderId="93" xfId="0" applyNumberFormat="1" applyFont="1" applyBorder="1"/>
    <xf numFmtId="0" fontId="5" fillId="0" borderId="0" xfId="0" applyFont="1" applyProtection="1">
      <protection hidden="1"/>
    </xf>
    <xf numFmtId="0" fontId="17" fillId="0" borderId="94" xfId="0" applyFont="1" applyBorder="1" applyProtection="1">
      <protection hidden="1"/>
    </xf>
    <xf numFmtId="0" fontId="7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8" fillId="2" borderId="52" xfId="0" applyFont="1" applyFill="1" applyBorder="1" applyAlignment="1" applyProtection="1">
      <alignment horizontal="center" vertical="center"/>
      <protection hidden="1"/>
    </xf>
    <xf numFmtId="0" fontId="7" fillId="2" borderId="53" xfId="0" applyFont="1" applyFill="1" applyBorder="1" applyAlignment="1" applyProtection="1">
      <alignment horizontal="right"/>
      <protection hidden="1"/>
    </xf>
    <xf numFmtId="49" fontId="34" fillId="2" borderId="0" xfId="0" applyNumberFormat="1" applyFont="1" applyFill="1" applyAlignment="1">
      <alignment horizontal="center"/>
    </xf>
    <xf numFmtId="0" fontId="7" fillId="21" borderId="46" xfId="0" applyFont="1" applyFill="1" applyBorder="1" applyProtection="1">
      <protection hidden="1"/>
    </xf>
    <xf numFmtId="0" fontId="7" fillId="21" borderId="44" xfId="0" applyFont="1" applyFill="1" applyBorder="1" applyAlignment="1" applyProtection="1">
      <alignment horizontal="right"/>
      <protection hidden="1"/>
    </xf>
    <xf numFmtId="0" fontId="34" fillId="2" borderId="0" xfId="0" applyFont="1" applyFill="1" applyAlignment="1">
      <alignment horizontal="center"/>
    </xf>
    <xf numFmtId="9" fontId="7" fillId="2" borderId="15" xfId="0" applyNumberFormat="1" applyFont="1" applyFill="1" applyBorder="1" applyProtection="1">
      <protection hidden="1"/>
    </xf>
    <xf numFmtId="0" fontId="7" fillId="2" borderId="15" xfId="0" applyFont="1" applyFill="1" applyBorder="1" applyAlignment="1" applyProtection="1">
      <alignment horizontal="right"/>
      <protection hidden="1"/>
    </xf>
    <xf numFmtId="0" fontId="7" fillId="0" borderId="0" xfId="0" applyFont="1" applyAlignment="1">
      <alignment horizontal="center"/>
    </xf>
    <xf numFmtId="0" fontId="7" fillId="0" borderId="95" xfId="0" applyFont="1" applyBorder="1" applyAlignment="1">
      <alignment horizontal="center"/>
    </xf>
    <xf numFmtId="0" fontId="7" fillId="2" borderId="95" xfId="0" applyFont="1" applyFill="1" applyBorder="1" applyAlignment="1">
      <alignment horizontal="center"/>
    </xf>
    <xf numFmtId="0" fontId="7" fillId="0" borderId="0" xfId="0" applyFont="1" applyProtection="1">
      <protection hidden="1"/>
    </xf>
    <xf numFmtId="0" fontId="7" fillId="0" borderId="0" xfId="0" applyFont="1" applyAlignment="1" applyProtection="1">
      <alignment horizontal="right"/>
      <protection hidden="1"/>
    </xf>
    <xf numFmtId="0" fontId="5" fillId="0" borderId="123" xfId="0" applyFont="1" applyBorder="1" applyAlignment="1" applyProtection="1">
      <alignment horizontal="center" vertical="top"/>
      <protection locked="0" hidden="1"/>
    </xf>
    <xf numFmtId="0" fontId="5" fillId="0" borderId="124" xfId="0" applyFont="1" applyBorder="1" applyAlignment="1" applyProtection="1">
      <alignment vertical="top" wrapText="1"/>
      <protection hidden="1"/>
    </xf>
    <xf numFmtId="0" fontId="17" fillId="0" borderId="124" xfId="0" applyFont="1" applyBorder="1" applyAlignment="1" applyProtection="1">
      <alignment horizontal="center" vertical="top"/>
      <protection hidden="1"/>
    </xf>
    <xf numFmtId="0" fontId="5" fillId="0" borderId="15" xfId="0" applyFont="1" applyBorder="1" applyAlignment="1" applyProtection="1">
      <alignment horizontal="center" vertical="top" wrapText="1"/>
      <protection locked="0" hidden="1"/>
    </xf>
    <xf numFmtId="0" fontId="5" fillId="0" borderId="15" xfId="0" applyFont="1" applyBorder="1" applyAlignment="1" applyProtection="1">
      <alignment vertical="top" wrapText="1"/>
      <protection hidden="1"/>
    </xf>
    <xf numFmtId="0" fontId="17" fillId="0" borderId="15" xfId="0" applyFont="1" applyBorder="1" applyAlignment="1" applyProtection="1">
      <alignment horizontal="center" vertical="top" wrapText="1"/>
      <protection hidden="1"/>
    </xf>
    <xf numFmtId="4" fontId="17" fillId="0" borderId="15" xfId="1" applyNumberFormat="1" applyFont="1" applyBorder="1" applyAlignment="1" applyProtection="1">
      <alignment horizontal="right" vertical="top" wrapText="1"/>
      <protection hidden="1"/>
    </xf>
    <xf numFmtId="0" fontId="5" fillId="0" borderId="15" xfId="0" applyFont="1" applyBorder="1" applyAlignment="1" applyProtection="1">
      <alignment horizontal="center" vertical="top"/>
      <protection locked="0" hidden="1"/>
    </xf>
    <xf numFmtId="0" fontId="17" fillId="0" borderId="15" xfId="0" applyFont="1" applyBorder="1" applyAlignment="1" applyProtection="1">
      <alignment horizontal="center" vertical="top"/>
      <protection hidden="1"/>
    </xf>
    <xf numFmtId="0" fontId="17" fillId="0" borderId="124" xfId="0" applyFont="1" applyBorder="1" applyAlignment="1" applyProtection="1">
      <alignment horizontal="right" vertical="top"/>
      <protection hidden="1"/>
    </xf>
    <xf numFmtId="4" fontId="17" fillId="0" borderId="124" xfId="1" applyNumberFormat="1" applyFont="1" applyBorder="1" applyAlignment="1" applyProtection="1">
      <alignment horizontal="right" vertical="top"/>
      <protection hidden="1"/>
    </xf>
    <xf numFmtId="4" fontId="17" fillId="0" borderId="125" xfId="1" applyNumberFormat="1" applyFont="1" applyBorder="1" applyAlignment="1" applyProtection="1">
      <alignment horizontal="right" vertical="top"/>
      <protection hidden="1"/>
    </xf>
    <xf numFmtId="4" fontId="17" fillId="0" borderId="15" xfId="1" applyNumberFormat="1" applyFont="1" applyBorder="1" applyAlignment="1" applyProtection="1">
      <alignment horizontal="right" vertical="top"/>
      <protection hidden="1"/>
    </xf>
    <xf numFmtId="0" fontId="17" fillId="0" borderId="88" xfId="0" applyFont="1" applyBorder="1" applyAlignment="1" applyProtection="1">
      <alignment horizontal="right"/>
      <protection hidden="1"/>
    </xf>
    <xf numFmtId="10" fontId="17" fillId="0" borderId="89" xfId="0" applyNumberFormat="1" applyFont="1" applyBorder="1" applyAlignment="1" applyProtection="1">
      <alignment horizontal="center"/>
      <protection hidden="1"/>
    </xf>
    <xf numFmtId="0" fontId="8" fillId="0" borderId="0" xfId="0" applyFont="1" applyProtection="1">
      <protection hidden="1"/>
    </xf>
    <xf numFmtId="43" fontId="28" fillId="14" borderId="39" xfId="1" applyFont="1" applyFill="1" applyBorder="1" applyAlignment="1" applyProtection="1">
      <alignment horizontal="right" vertical="center"/>
      <protection hidden="1"/>
    </xf>
    <xf numFmtId="0" fontId="7" fillId="14" borderId="99" xfId="0" applyFont="1" applyFill="1" applyBorder="1" applyAlignment="1">
      <alignment horizontal="center"/>
    </xf>
    <xf numFmtId="43" fontId="28" fillId="14" borderId="100" xfId="1" applyFont="1" applyFill="1" applyBorder="1" applyAlignment="1" applyProtection="1">
      <alignment horizontal="right" vertical="center"/>
      <protection hidden="1"/>
    </xf>
    <xf numFmtId="43" fontId="28" fillId="14" borderId="95" xfId="1" applyFont="1" applyFill="1" applyBorder="1" applyAlignment="1" applyProtection="1">
      <alignment horizontal="right" vertical="center"/>
      <protection hidden="1"/>
    </xf>
    <xf numFmtId="2" fontId="7" fillId="14" borderId="102" xfId="0" applyNumberFormat="1" applyFont="1" applyFill="1" applyBorder="1" applyAlignment="1">
      <alignment horizontal="center"/>
    </xf>
    <xf numFmtId="43" fontId="28" fillId="14" borderId="103" xfId="1" applyFont="1" applyFill="1" applyBorder="1" applyAlignment="1" applyProtection="1">
      <alignment horizontal="right" vertical="center"/>
      <protection hidden="1"/>
    </xf>
    <xf numFmtId="0" fontId="7" fillId="0" borderId="0" xfId="0" quotePrefix="1" applyFont="1" applyAlignment="1">
      <alignment horizontal="center"/>
    </xf>
    <xf numFmtId="0" fontId="7" fillId="0" borderId="104" xfId="0" applyFont="1" applyBorder="1" applyAlignment="1">
      <alignment horizontal="left" vertical="top"/>
    </xf>
    <xf numFmtId="0" fontId="7" fillId="0" borderId="25" xfId="0" applyFont="1" applyBorder="1" applyAlignment="1">
      <alignment horizontal="center"/>
    </xf>
    <xf numFmtId="0" fontId="7" fillId="0" borderId="25" xfId="0" applyFont="1" applyBorder="1"/>
    <xf numFmtId="43" fontId="7" fillId="0" borderId="25" xfId="1" applyFont="1" applyFill="1" applyBorder="1" applyAlignment="1" applyProtection="1">
      <alignment horizontal="right"/>
      <protection hidden="1"/>
    </xf>
    <xf numFmtId="43" fontId="7" fillId="0" borderId="105" xfId="1" applyFont="1" applyFill="1" applyBorder="1" applyAlignment="1" applyProtection="1">
      <alignment horizontal="right" vertical="center"/>
      <protection hidden="1"/>
    </xf>
    <xf numFmtId="0" fontId="7" fillId="0" borderId="106" xfId="0" applyFont="1" applyBorder="1"/>
    <xf numFmtId="43" fontId="7" fillId="0" borderId="119" xfId="1" applyFont="1" applyFill="1" applyBorder="1" applyAlignment="1" applyProtection="1">
      <alignment horizontal="right" vertical="center"/>
      <protection hidden="1"/>
    </xf>
    <xf numFmtId="0" fontId="7" fillId="0" borderId="107" xfId="0" applyFont="1" applyBorder="1" applyAlignment="1">
      <alignment horizontal="left" vertical="top"/>
    </xf>
    <xf numFmtId="0" fontId="7" fillId="0" borderId="0" xfId="0" applyFont="1"/>
    <xf numFmtId="43" fontId="7" fillId="0" borderId="0" xfId="1" applyFont="1" applyFill="1" applyBorder="1" applyAlignment="1" applyProtection="1">
      <alignment horizontal="right"/>
      <protection hidden="1"/>
    </xf>
    <xf numFmtId="43" fontId="7" fillId="0" borderId="95" xfId="1" applyFont="1" applyFill="1" applyBorder="1" applyAlignment="1" applyProtection="1">
      <alignment horizontal="right" vertical="center"/>
      <protection hidden="1"/>
    </xf>
    <xf numFmtId="0" fontId="7" fillId="0" borderId="102" xfId="0" applyFont="1" applyBorder="1"/>
    <xf numFmtId="43" fontId="7" fillId="0" borderId="103" xfId="1" applyFont="1" applyFill="1" applyBorder="1" applyAlignment="1" applyProtection="1">
      <alignment horizontal="right" vertical="center"/>
      <protection hidden="1"/>
    </xf>
    <xf numFmtId="0" fontId="28" fillId="0" borderId="107" xfId="0" applyFont="1" applyBorder="1" applyAlignment="1">
      <alignment horizontal="left" vertical="top"/>
    </xf>
    <xf numFmtId="43" fontId="28" fillId="0" borderId="108" xfId="1" applyFont="1" applyFill="1" applyBorder="1" applyAlignment="1" applyProtection="1">
      <alignment horizontal="right" vertical="center"/>
      <protection hidden="1"/>
    </xf>
    <xf numFmtId="0" fontId="7" fillId="0" borderId="0" xfId="0" applyFont="1" applyAlignment="1">
      <alignment horizontal="right"/>
    </xf>
    <xf numFmtId="43" fontId="7" fillId="0" borderId="0" xfId="1" applyFont="1" applyAlignment="1" applyProtection="1">
      <alignment horizontal="right"/>
      <protection hidden="1"/>
    </xf>
    <xf numFmtId="43" fontId="7" fillId="0" borderId="95" xfId="1" applyFont="1" applyBorder="1" applyAlignment="1" applyProtection="1">
      <alignment horizontal="right" vertical="center"/>
      <protection hidden="1"/>
    </xf>
    <xf numFmtId="43" fontId="7" fillId="0" borderId="103" xfId="1" applyFont="1" applyBorder="1" applyAlignment="1" applyProtection="1">
      <alignment horizontal="right" vertical="center"/>
      <protection hidden="1"/>
    </xf>
    <xf numFmtId="0" fontId="7" fillId="0" borderId="25" xfId="0" applyFont="1" applyBorder="1" applyAlignment="1">
      <alignment horizontal="right"/>
    </xf>
    <xf numFmtId="43" fontId="7" fillId="0" borderId="25" xfId="1" applyFont="1" applyBorder="1" applyAlignment="1" applyProtection="1">
      <alignment horizontal="right"/>
      <protection hidden="1"/>
    </xf>
    <xf numFmtId="43" fontId="7" fillId="0" borderId="105" xfId="1" applyFont="1" applyBorder="1" applyAlignment="1" applyProtection="1">
      <alignment horizontal="right" vertical="center"/>
      <protection hidden="1"/>
    </xf>
    <xf numFmtId="4" fontId="7" fillId="0" borderId="0" xfId="0" applyNumberFormat="1" applyFont="1" applyAlignment="1">
      <alignment horizontal="center"/>
    </xf>
    <xf numFmtId="43" fontId="7" fillId="0" borderId="108" xfId="1" applyFont="1" applyFill="1" applyBorder="1" applyAlignment="1" applyProtection="1">
      <alignment horizontal="right" vertical="center"/>
      <protection hidden="1"/>
    </xf>
    <xf numFmtId="43" fontId="7" fillId="0" borderId="109" xfId="1" applyFont="1" applyFill="1" applyBorder="1" applyAlignment="1" applyProtection="1">
      <alignment horizontal="right" vertical="center"/>
      <protection hidden="1"/>
    </xf>
    <xf numFmtId="0" fontId="28" fillId="0" borderId="107" xfId="0" quotePrefix="1" applyFont="1" applyBorder="1" applyAlignment="1">
      <alignment horizontal="left" vertical="top"/>
    </xf>
    <xf numFmtId="0" fontId="7" fillId="0" borderId="104" xfId="0" quotePrefix="1" applyFont="1" applyBorder="1" applyAlignment="1">
      <alignment horizontal="left" vertical="top"/>
    </xf>
    <xf numFmtId="165" fontId="8" fillId="0" borderId="0" xfId="1" applyNumberFormat="1" applyFont="1" applyFill="1" applyProtection="1">
      <protection hidden="1"/>
    </xf>
    <xf numFmtId="4" fontId="7" fillId="14" borderId="97" xfId="0" applyNumberFormat="1" applyFont="1" applyFill="1" applyBorder="1" applyAlignment="1">
      <alignment horizontal="left" vertical="top"/>
    </xf>
    <xf numFmtId="0" fontId="7" fillId="14" borderId="110" xfId="0" applyFont="1" applyFill="1" applyBorder="1" applyAlignment="1">
      <alignment horizontal="center"/>
    </xf>
    <xf numFmtId="0" fontId="7" fillId="14" borderId="111" xfId="0" applyFont="1" applyFill="1" applyBorder="1"/>
    <xf numFmtId="0" fontId="28" fillId="14" borderId="111" xfId="0" applyFont="1" applyFill="1" applyBorder="1" applyAlignment="1">
      <alignment horizontal="right"/>
    </xf>
    <xf numFmtId="43" fontId="7" fillId="14" borderId="111" xfId="0" applyNumberFormat="1" applyFont="1" applyFill="1" applyBorder="1" applyAlignment="1" applyProtection="1">
      <alignment horizontal="right"/>
      <protection hidden="1"/>
    </xf>
    <xf numFmtId="43" fontId="28" fillId="14" borderId="112" xfId="1" applyFont="1" applyFill="1" applyBorder="1" applyAlignment="1" applyProtection="1">
      <alignment horizontal="right"/>
      <protection hidden="1"/>
    </xf>
    <xf numFmtId="43" fontId="7" fillId="14" borderId="56" xfId="0" applyNumberFormat="1" applyFont="1" applyFill="1" applyBorder="1"/>
    <xf numFmtId="43" fontId="28" fillId="14" borderId="113" xfId="1" applyFont="1" applyFill="1" applyBorder="1" applyAlignment="1" applyProtection="1">
      <alignment horizontal="right"/>
      <protection hidden="1"/>
    </xf>
    <xf numFmtId="4" fontId="35" fillId="14" borderId="14" xfId="1" applyNumberFormat="1" applyFont="1" applyFill="1" applyBorder="1" applyAlignment="1" applyProtection="1">
      <alignment horizontal="right" vertical="center"/>
      <protection hidden="1"/>
    </xf>
    <xf numFmtId="171" fontId="17" fillId="0" borderId="15" xfId="1" applyNumberFormat="1" applyFont="1" applyBorder="1" applyAlignment="1" applyProtection="1">
      <alignment horizontal="right" vertical="top" wrapText="1"/>
      <protection hidden="1"/>
    </xf>
    <xf numFmtId="44" fontId="17" fillId="0" borderId="0" xfId="6" applyFont="1"/>
    <xf numFmtId="44" fontId="17" fillId="0" borderId="0" xfId="6" applyFont="1" applyAlignment="1" applyProtection="1">
      <alignment vertical="center"/>
      <protection locked="0"/>
    </xf>
    <xf numFmtId="0" fontId="7" fillId="14" borderId="102" xfId="0" applyFont="1" applyFill="1" applyBorder="1" applyAlignment="1">
      <alignment horizontal="center"/>
    </xf>
    <xf numFmtId="43" fontId="7" fillId="0" borderId="119" xfId="1" applyFont="1" applyBorder="1" applyAlignment="1" applyProtection="1">
      <alignment horizontal="right" vertical="center"/>
      <protection hidden="1"/>
    </xf>
    <xf numFmtId="43" fontId="28" fillId="0" borderId="108" xfId="1" applyFont="1" applyBorder="1" applyAlignment="1" applyProtection="1">
      <alignment horizontal="right" vertical="center"/>
      <protection hidden="1"/>
    </xf>
    <xf numFmtId="43" fontId="28" fillId="0" borderId="109" xfId="1" applyFont="1" applyBorder="1" applyAlignment="1" applyProtection="1">
      <alignment horizontal="right" vertical="center"/>
      <protection hidden="1"/>
    </xf>
    <xf numFmtId="44" fontId="7" fillId="0" borderId="25" xfId="6" applyFont="1" applyBorder="1" applyAlignment="1" applyProtection="1">
      <alignment horizontal="right"/>
      <protection hidden="1"/>
    </xf>
    <xf numFmtId="41" fontId="7" fillId="0" borderId="0" xfId="5" applyFont="1" applyFill="1"/>
    <xf numFmtId="165" fontId="8" fillId="0" borderId="0" xfId="1" applyNumberFormat="1" applyFont="1" applyProtection="1">
      <protection hidden="1"/>
    </xf>
    <xf numFmtId="169" fontId="7" fillId="14" borderId="111" xfId="0" applyNumberFormat="1" applyFont="1" applyFill="1" applyBorder="1" applyAlignment="1" applyProtection="1">
      <alignment horizontal="right"/>
      <protection hidden="1"/>
    </xf>
    <xf numFmtId="0" fontId="7" fillId="14" borderId="56" xfId="0" applyFont="1" applyFill="1" applyBorder="1"/>
    <xf numFmtId="0" fontId="28" fillId="0" borderId="114" xfId="0" applyFont="1" applyBorder="1" applyAlignment="1">
      <alignment horizontal="left" vertical="top"/>
    </xf>
    <xf numFmtId="0" fontId="7" fillId="0" borderId="115" xfId="0" applyFont="1" applyBorder="1" applyAlignment="1">
      <alignment horizontal="center"/>
    </xf>
    <xf numFmtId="0" fontId="7" fillId="0" borderId="115" xfId="0" applyFont="1" applyBorder="1"/>
    <xf numFmtId="0" fontId="7" fillId="0" borderId="115" xfId="0" applyFont="1" applyBorder="1" applyAlignment="1">
      <alignment horizontal="right"/>
    </xf>
    <xf numFmtId="43" fontId="7" fillId="0" borderId="115" xfId="1" applyFont="1" applyBorder="1" applyAlignment="1" applyProtection="1">
      <alignment horizontal="right"/>
      <protection hidden="1"/>
    </xf>
    <xf numFmtId="43" fontId="7" fillId="0" borderId="116" xfId="1" applyFont="1" applyBorder="1" applyAlignment="1" applyProtection="1">
      <alignment horizontal="right" vertical="center"/>
      <protection hidden="1"/>
    </xf>
    <xf numFmtId="43" fontId="7" fillId="0" borderId="117" xfId="1" applyFont="1" applyBorder="1" applyAlignment="1" applyProtection="1">
      <alignment horizontal="right" vertical="center"/>
      <protection hidden="1"/>
    </xf>
    <xf numFmtId="0" fontId="7" fillId="0" borderId="120" xfId="0" applyFont="1" applyBorder="1" applyAlignment="1">
      <alignment horizontal="left" vertical="top"/>
    </xf>
    <xf numFmtId="0" fontId="7" fillId="0" borderId="121" xfId="0" applyFont="1" applyBorder="1" applyAlignment="1">
      <alignment horizontal="center"/>
    </xf>
    <xf numFmtId="0" fontId="7" fillId="0" borderId="121" xfId="0" applyFont="1" applyBorder="1"/>
    <xf numFmtId="168" fontId="7" fillId="0" borderId="25" xfId="2" applyNumberFormat="1" applyFont="1" applyBorder="1" applyAlignment="1">
      <alignment horizontal="right"/>
    </xf>
    <xf numFmtId="43" fontId="7" fillId="0" borderId="121" xfId="1" applyFont="1" applyBorder="1" applyAlignment="1" applyProtection="1">
      <alignment horizontal="right"/>
      <protection hidden="1"/>
    </xf>
    <xf numFmtId="43" fontId="7" fillId="0" borderId="122" xfId="1" applyFont="1" applyBorder="1" applyAlignment="1" applyProtection="1">
      <alignment horizontal="right" vertical="center"/>
      <protection hidden="1"/>
    </xf>
    <xf numFmtId="43" fontId="28" fillId="0" borderId="0" xfId="1" applyFont="1" applyAlignment="1" applyProtection="1">
      <alignment horizontal="right"/>
      <protection hidden="1"/>
    </xf>
    <xf numFmtId="43" fontId="28" fillId="0" borderId="95" xfId="1" applyFont="1" applyBorder="1" applyAlignment="1" applyProtection="1">
      <alignment horizontal="right" vertical="center"/>
      <protection hidden="1"/>
    </xf>
    <xf numFmtId="169" fontId="7" fillId="0" borderId="102" xfId="0" applyNumberFormat="1" applyFont="1" applyBorder="1"/>
    <xf numFmtId="43" fontId="28" fillId="0" borderId="103" xfId="1" applyFont="1" applyBorder="1" applyAlignment="1" applyProtection="1">
      <alignment horizontal="right" vertical="center"/>
      <protection hidden="1"/>
    </xf>
    <xf numFmtId="0" fontId="7" fillId="14" borderId="118" xfId="0" applyFont="1" applyFill="1" applyBorder="1" applyAlignment="1">
      <alignment horizontal="left" vertical="top"/>
    </xf>
    <xf numFmtId="0" fontId="7" fillId="14" borderId="111" xfId="0" applyFont="1" applyFill="1" applyBorder="1" applyAlignment="1">
      <alignment horizontal="center"/>
    </xf>
    <xf numFmtId="43" fontId="7" fillId="14" borderId="111" xfId="1" applyFont="1" applyFill="1" applyBorder="1" applyAlignment="1" applyProtection="1">
      <alignment horizontal="right"/>
      <protection hidden="1"/>
    </xf>
    <xf numFmtId="170" fontId="7" fillId="0" borderId="25" xfId="0" applyNumberFormat="1" applyFont="1" applyBorder="1"/>
    <xf numFmtId="4" fontId="7" fillId="0" borderId="107" xfId="0" applyNumberFormat="1" applyFont="1" applyBorder="1" applyAlignment="1">
      <alignment horizontal="left" vertical="top"/>
    </xf>
    <xf numFmtId="0" fontId="28" fillId="0" borderId="0" xfId="0" applyFont="1" applyAlignment="1">
      <alignment horizontal="right"/>
    </xf>
    <xf numFmtId="169" fontId="7" fillId="0" borderId="0" xfId="0" applyNumberFormat="1" applyFont="1" applyAlignment="1" applyProtection="1">
      <alignment horizontal="right"/>
      <protection hidden="1"/>
    </xf>
    <xf numFmtId="43" fontId="28" fillId="0" borderId="95" xfId="1" applyFont="1" applyFill="1" applyBorder="1" applyAlignment="1" applyProtection="1">
      <alignment horizontal="right"/>
      <protection hidden="1"/>
    </xf>
    <xf numFmtId="43" fontId="28" fillId="0" borderId="103" xfId="1" applyFont="1" applyFill="1" applyBorder="1" applyAlignment="1" applyProtection="1">
      <alignment horizontal="right"/>
      <protection hidden="1"/>
    </xf>
    <xf numFmtId="43" fontId="28" fillId="14" borderId="39" xfId="1" applyFont="1" applyFill="1" applyBorder="1" applyAlignment="1" applyProtection="1">
      <alignment horizontal="right" vertical="top"/>
      <protection hidden="1"/>
    </xf>
    <xf numFmtId="0" fontId="7" fillId="14" borderId="126" xfId="0" applyFont="1" applyFill="1" applyBorder="1" applyAlignment="1">
      <alignment horizontal="center"/>
    </xf>
    <xf numFmtId="43" fontId="28" fillId="14" borderId="95" xfId="1" applyFont="1" applyFill="1" applyBorder="1" applyAlignment="1" applyProtection="1">
      <alignment horizontal="right" vertical="top"/>
      <protection hidden="1"/>
    </xf>
    <xf numFmtId="0" fontId="7" fillId="14" borderId="102" xfId="0" applyFont="1" applyFill="1" applyBorder="1" applyAlignment="1">
      <alignment horizontal="center" vertical="center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 applyProtection="1">
      <alignment vertical="center"/>
      <protection hidden="1"/>
    </xf>
    <xf numFmtId="0" fontId="7" fillId="0" borderId="104" xfId="0" applyFont="1" applyBorder="1" applyAlignment="1" applyProtection="1">
      <alignment horizontal="left" vertical="center"/>
      <protection hidden="1"/>
    </xf>
    <xf numFmtId="0" fontId="7" fillId="0" borderId="25" xfId="0" applyFont="1" applyBorder="1" applyAlignment="1" applyProtection="1">
      <alignment horizontal="center" vertical="center"/>
      <protection hidden="1"/>
    </xf>
    <xf numFmtId="0" fontId="7" fillId="0" borderId="25" xfId="0" applyFont="1" applyBorder="1" applyAlignment="1" applyProtection="1">
      <alignment vertical="center"/>
      <protection hidden="1"/>
    </xf>
    <xf numFmtId="0" fontId="7" fillId="0" borderId="25" xfId="0" applyFont="1" applyBorder="1" applyAlignment="1" applyProtection="1">
      <alignment horizontal="right" vertical="center"/>
      <protection hidden="1"/>
    </xf>
    <xf numFmtId="43" fontId="7" fillId="0" borderId="25" xfId="1" applyFont="1" applyBorder="1" applyAlignment="1" applyProtection="1">
      <alignment horizontal="right" vertical="center"/>
      <protection hidden="1"/>
    </xf>
    <xf numFmtId="0" fontId="7" fillId="0" borderId="127" xfId="0" applyFont="1" applyBorder="1" applyAlignment="1">
      <alignment vertical="center"/>
    </xf>
    <xf numFmtId="0" fontId="7" fillId="0" borderId="107" xfId="0" applyFont="1" applyBorder="1" applyAlignment="1" applyProtection="1">
      <alignment horizontal="left" vertical="top"/>
      <protection hidden="1"/>
    </xf>
    <xf numFmtId="0" fontId="7" fillId="0" borderId="0" xfId="0" applyFont="1" applyAlignment="1" applyProtection="1">
      <alignment horizontal="center"/>
      <protection hidden="1"/>
    </xf>
    <xf numFmtId="0" fontId="28" fillId="0" borderId="107" xfId="0" applyFont="1" applyBorder="1" applyAlignment="1" applyProtection="1">
      <alignment horizontal="left" vertical="top"/>
      <protection hidden="1"/>
    </xf>
    <xf numFmtId="0" fontId="7" fillId="0" borderId="104" xfId="0" applyFont="1" applyBorder="1" applyAlignment="1" applyProtection="1">
      <alignment horizontal="left" vertical="top"/>
      <protection hidden="1"/>
    </xf>
    <xf numFmtId="0" fontId="7" fillId="0" borderId="25" xfId="0" applyFont="1" applyBorder="1" applyAlignment="1" applyProtection="1">
      <alignment horizontal="center"/>
      <protection hidden="1"/>
    </xf>
    <xf numFmtId="0" fontId="7" fillId="0" borderId="25" xfId="0" applyFont="1" applyBorder="1" applyProtection="1">
      <protection hidden="1"/>
    </xf>
    <xf numFmtId="0" fontId="7" fillId="0" borderId="25" xfId="0" applyFont="1" applyBorder="1" applyAlignment="1" applyProtection="1">
      <alignment horizontal="right"/>
      <protection hidden="1"/>
    </xf>
    <xf numFmtId="43" fontId="28" fillId="0" borderId="105" xfId="1" applyFont="1" applyBorder="1" applyAlignment="1" applyProtection="1">
      <alignment horizontal="right" vertical="center"/>
      <protection hidden="1"/>
    </xf>
    <xf numFmtId="0" fontId="28" fillId="0" borderId="107" xfId="0" quotePrefix="1" applyFont="1" applyBorder="1" applyAlignment="1" applyProtection="1">
      <alignment horizontal="left" vertical="top"/>
      <protection hidden="1"/>
    </xf>
    <xf numFmtId="165" fontId="7" fillId="0" borderId="0" xfId="1" applyNumberFormat="1" applyFont="1" applyProtection="1">
      <protection hidden="1"/>
    </xf>
    <xf numFmtId="4" fontId="7" fillId="14" borderId="97" xfId="0" applyNumberFormat="1" applyFont="1" applyFill="1" applyBorder="1" applyAlignment="1" applyProtection="1">
      <alignment horizontal="left" vertical="top"/>
      <protection hidden="1"/>
    </xf>
    <xf numFmtId="0" fontId="7" fillId="14" borderId="110" xfId="0" applyFont="1" applyFill="1" applyBorder="1" applyAlignment="1" applyProtection="1">
      <alignment horizontal="center"/>
      <protection hidden="1"/>
    </xf>
    <xf numFmtId="0" fontId="7" fillId="14" borderId="111" xfId="0" applyFont="1" applyFill="1" applyBorder="1" applyProtection="1">
      <protection hidden="1"/>
    </xf>
    <xf numFmtId="0" fontId="28" fillId="14" borderId="111" xfId="0" applyFont="1" applyFill="1" applyBorder="1" applyAlignment="1" applyProtection="1">
      <alignment horizontal="right"/>
      <protection hidden="1"/>
    </xf>
    <xf numFmtId="2" fontId="7" fillId="0" borderId="25" xfId="0" applyNumberFormat="1" applyFont="1" applyBorder="1"/>
    <xf numFmtId="2" fontId="7" fillId="0" borderId="25" xfId="2" applyNumberFormat="1" applyFont="1" applyBorder="1" applyAlignment="1">
      <alignment horizontal="right"/>
    </xf>
    <xf numFmtId="0" fontId="20" fillId="0" borderId="0" xfId="0" applyFont="1"/>
    <xf numFmtId="0" fontId="28" fillId="2" borderId="0" xfId="0" applyFont="1" applyFill="1" applyAlignment="1">
      <alignment horizontal="center"/>
    </xf>
    <xf numFmtId="49" fontId="37" fillId="2" borderId="2" xfId="0" applyNumberFormat="1" applyFont="1" applyFill="1" applyBorder="1" applyAlignment="1" applyProtection="1">
      <alignment horizontal="center"/>
      <protection hidden="1"/>
    </xf>
    <xf numFmtId="168" fontId="38" fillId="2" borderId="2" xfId="0" applyNumberFormat="1" applyFont="1" applyFill="1" applyBorder="1" applyAlignment="1">
      <alignment horizontal="center"/>
    </xf>
    <xf numFmtId="168" fontId="20" fillId="2" borderId="2" xfId="2" applyNumberFormat="1" applyFont="1" applyFill="1" applyBorder="1" applyAlignment="1">
      <alignment horizontal="center"/>
    </xf>
    <xf numFmtId="168" fontId="20" fillId="2" borderId="2" xfId="0" applyNumberFormat="1" applyFont="1" applyFill="1" applyBorder="1" applyAlignment="1">
      <alignment horizontal="center"/>
    </xf>
    <xf numFmtId="0" fontId="28" fillId="0" borderId="0" xfId="0" applyFont="1" applyAlignment="1">
      <alignment vertical="center" wrapText="1"/>
    </xf>
    <xf numFmtId="0" fontId="28" fillId="0" borderId="0" xfId="0" applyFont="1" applyAlignment="1">
      <alignment horizontal="right" vertical="center" wrapText="1"/>
    </xf>
    <xf numFmtId="0" fontId="7" fillId="0" borderId="12" xfId="0" applyFont="1" applyBorder="1" applyAlignment="1">
      <alignment horizontal="right" vertical="top"/>
    </xf>
    <xf numFmtId="15" fontId="7" fillId="0" borderId="55" xfId="0" applyNumberFormat="1" applyFont="1" applyBorder="1" applyAlignment="1">
      <alignment horizontal="center" vertical="top"/>
    </xf>
    <xf numFmtId="15" fontId="7" fillId="0" borderId="0" xfId="0" applyNumberFormat="1" applyFont="1" applyAlignment="1">
      <alignment vertical="top"/>
    </xf>
    <xf numFmtId="15" fontId="7" fillId="0" borderId="0" xfId="0" applyNumberFormat="1" applyFont="1" applyAlignment="1">
      <alignment horizontal="right" vertical="top"/>
    </xf>
    <xf numFmtId="167" fontId="7" fillId="0" borderId="0" xfId="0" applyNumberFormat="1" applyFont="1" applyAlignment="1">
      <alignment vertical="center"/>
    </xf>
    <xf numFmtId="167" fontId="7" fillId="0" borderId="0" xfId="0" applyNumberFormat="1" applyFont="1" applyAlignment="1">
      <alignment horizontal="right" vertical="center"/>
    </xf>
    <xf numFmtId="0" fontId="20" fillId="0" borderId="0" xfId="0" applyFont="1" applyProtection="1">
      <protection hidden="1"/>
    </xf>
    <xf numFmtId="0" fontId="20" fillId="0" borderId="0" xfId="0" applyFont="1" applyAlignment="1" applyProtection="1">
      <alignment horizontal="center"/>
      <protection hidden="1"/>
    </xf>
    <xf numFmtId="0" fontId="20" fillId="14" borderId="36" xfId="0" applyFont="1" applyFill="1" applyBorder="1" applyAlignment="1" applyProtection="1">
      <alignment horizontal="center"/>
      <protection hidden="1"/>
    </xf>
    <xf numFmtId="0" fontId="20" fillId="14" borderId="0" xfId="0" applyFont="1" applyFill="1" applyAlignment="1" applyProtection="1">
      <alignment horizontal="center"/>
      <protection hidden="1"/>
    </xf>
    <xf numFmtId="0" fontId="8" fillId="0" borderId="0" xfId="0" applyFont="1"/>
    <xf numFmtId="43" fontId="20" fillId="0" borderId="0" xfId="1" applyFont="1"/>
    <xf numFmtId="0" fontId="7" fillId="14" borderId="36" xfId="0" applyFont="1" applyFill="1" applyBorder="1" applyAlignment="1" applyProtection="1">
      <alignment horizontal="center"/>
      <protection hidden="1"/>
    </xf>
    <xf numFmtId="0" fontId="7" fillId="14" borderId="0" xfId="0" applyFont="1" applyFill="1" applyAlignment="1" applyProtection="1">
      <alignment horizontal="center"/>
      <protection hidden="1"/>
    </xf>
    <xf numFmtId="0" fontId="20" fillId="0" borderId="128" xfId="0" applyFont="1" applyBorder="1"/>
    <xf numFmtId="0" fontId="20" fillId="0" borderId="102" xfId="0" applyFont="1" applyBorder="1"/>
    <xf numFmtId="43" fontId="28" fillId="0" borderId="102" xfId="1" applyFont="1" applyBorder="1"/>
    <xf numFmtId="169" fontId="20" fillId="0" borderId="0" xfId="0" applyNumberFormat="1" applyFont="1"/>
    <xf numFmtId="171" fontId="20" fillId="0" borderId="0" xfId="1" applyNumberFormat="1" applyFont="1" applyBorder="1" applyAlignment="1" applyProtection="1">
      <alignment horizontal="right" vertical="top" wrapText="1"/>
      <protection hidden="1"/>
    </xf>
    <xf numFmtId="2" fontId="7" fillId="0" borderId="25" xfId="2" applyNumberFormat="1" applyFont="1" applyBorder="1" applyAlignment="1" applyProtection="1">
      <alignment horizontal="right"/>
      <protection hidden="1"/>
    </xf>
    <xf numFmtId="0" fontId="35" fillId="0" borderId="15" xfId="0" applyFont="1" applyBorder="1" applyAlignment="1" applyProtection="1">
      <alignment horizontal="center" vertical="top" wrapText="1"/>
      <protection hidden="1"/>
    </xf>
    <xf numFmtId="171" fontId="35" fillId="0" borderId="15" xfId="1" applyNumberFormat="1" applyFont="1" applyBorder="1" applyAlignment="1" applyProtection="1">
      <alignment horizontal="right" vertical="top" wrapText="1"/>
      <protection hidden="1"/>
    </xf>
    <xf numFmtId="4" fontId="35" fillId="0" borderId="15" xfId="1" applyNumberFormat="1" applyFont="1" applyBorder="1" applyAlignment="1" applyProtection="1">
      <alignment horizontal="right" vertical="top"/>
      <protection hidden="1"/>
    </xf>
    <xf numFmtId="0" fontId="7" fillId="0" borderId="12" xfId="0" applyFont="1" applyBorder="1" applyProtection="1">
      <protection locked="0"/>
    </xf>
    <xf numFmtId="0" fontId="7" fillId="0" borderId="13" xfId="0" applyFont="1" applyBorder="1" applyProtection="1">
      <protection locked="0"/>
    </xf>
    <xf numFmtId="49" fontId="7" fillId="0" borderId="13" xfId="0" applyNumberFormat="1" applyFont="1" applyBorder="1" applyProtection="1">
      <protection locked="0"/>
    </xf>
    <xf numFmtId="0" fontId="7" fillId="0" borderId="13" xfId="0" applyFont="1" applyBorder="1" applyProtection="1">
      <protection hidden="1"/>
    </xf>
    <xf numFmtId="0" fontId="7" fillId="0" borderId="0" xfId="0" applyFont="1" applyProtection="1">
      <protection locked="0"/>
    </xf>
    <xf numFmtId="2" fontId="7" fillId="14" borderId="102" xfId="0" applyNumberFormat="1" applyFont="1" applyFill="1" applyBorder="1" applyAlignment="1">
      <alignment horizontal="center" vertical="center"/>
    </xf>
    <xf numFmtId="0" fontId="20" fillId="0" borderId="0" xfId="0" applyFont="1" applyProtection="1">
      <protection locked="0"/>
    </xf>
    <xf numFmtId="43" fontId="7" fillId="0" borderId="102" xfId="0" applyNumberFormat="1" applyFont="1" applyBorder="1"/>
    <xf numFmtId="0" fontId="40" fillId="0" borderId="0" xfId="0" quotePrefix="1" applyFont="1" applyAlignment="1">
      <alignment horizontal="center"/>
    </xf>
    <xf numFmtId="0" fontId="41" fillId="0" borderId="0" xfId="0" applyFont="1" applyProtection="1">
      <protection hidden="1"/>
    </xf>
    <xf numFmtId="0" fontId="40" fillId="0" borderId="104" xfId="0" applyFont="1" applyBorder="1" applyAlignment="1">
      <alignment horizontal="left" vertical="top"/>
    </xf>
    <xf numFmtId="0" fontId="40" fillId="0" borderId="25" xfId="0" applyFont="1" applyBorder="1" applyAlignment="1">
      <alignment horizontal="center"/>
    </xf>
    <xf numFmtId="0" fontId="40" fillId="0" borderId="25" xfId="0" applyFont="1" applyBorder="1"/>
    <xf numFmtId="0" fontId="40" fillId="0" borderId="25" xfId="0" applyFont="1" applyBorder="1" applyAlignment="1">
      <alignment horizontal="right"/>
    </xf>
    <xf numFmtId="43" fontId="40" fillId="0" borderId="25" xfId="1" applyFont="1" applyBorder="1" applyAlignment="1" applyProtection="1">
      <alignment horizontal="right"/>
      <protection hidden="1"/>
    </xf>
    <xf numFmtId="0" fontId="40" fillId="0" borderId="106" xfId="0" applyFont="1" applyBorder="1"/>
    <xf numFmtId="43" fontId="40" fillId="0" borderId="119" xfId="1" applyFont="1" applyBorder="1" applyAlignment="1" applyProtection="1">
      <alignment horizontal="right" vertical="center"/>
      <protection hidden="1"/>
    </xf>
    <xf numFmtId="41" fontId="42" fillId="0" borderId="0" xfId="5" applyFont="1" applyFill="1"/>
    <xf numFmtId="0" fontId="42" fillId="0" borderId="0" xfId="0" applyFont="1"/>
    <xf numFmtId="2" fontId="17" fillId="0" borderId="15" xfId="0" applyNumberFormat="1" applyFont="1" applyBorder="1" applyAlignment="1" applyProtection="1">
      <alignment horizontal="right" vertical="top"/>
      <protection hidden="1"/>
    </xf>
    <xf numFmtId="2" fontId="17" fillId="0" borderId="15" xfId="0" applyNumberFormat="1" applyFont="1" applyBorder="1" applyAlignment="1" applyProtection="1">
      <alignment horizontal="right" vertical="top" wrapText="1"/>
      <protection hidden="1"/>
    </xf>
    <xf numFmtId="2" fontId="35" fillId="0" borderId="15" xfId="0" applyNumberFormat="1" applyFont="1" applyBorder="1" applyAlignment="1" applyProtection="1">
      <alignment horizontal="right" vertical="top" wrapText="1"/>
      <protection hidden="1"/>
    </xf>
    <xf numFmtId="2" fontId="17" fillId="0" borderId="15" xfId="0" applyNumberFormat="1" applyFont="1" applyFill="1" applyBorder="1" applyAlignment="1" applyProtection="1">
      <alignment horizontal="right" vertical="top" wrapText="1"/>
      <protection hidden="1"/>
    </xf>
    <xf numFmtId="0" fontId="17" fillId="0" borderId="15" xfId="0" applyFont="1" applyFill="1" applyBorder="1" applyAlignment="1" applyProtection="1">
      <alignment horizontal="right" vertical="top" wrapText="1"/>
      <protection hidden="1"/>
    </xf>
    <xf numFmtId="0" fontId="29" fillId="0" borderId="52" xfId="0" applyFont="1" applyBorder="1" applyAlignment="1" applyProtection="1">
      <alignment horizontal="right" vertical="center" wrapText="1"/>
      <protection hidden="1"/>
    </xf>
    <xf numFmtId="0" fontId="29" fillId="0" borderId="53" xfId="0" applyFont="1" applyBorder="1" applyAlignment="1" applyProtection="1">
      <alignment horizontal="right" vertical="center" wrapText="1"/>
      <protection hidden="1"/>
    </xf>
    <xf numFmtId="0" fontId="29" fillId="0" borderId="54" xfId="0" applyFont="1" applyBorder="1" applyAlignment="1" applyProtection="1">
      <alignment horizontal="right" vertical="center" wrapText="1"/>
      <protection hidden="1"/>
    </xf>
    <xf numFmtId="0" fontId="29" fillId="0" borderId="46" xfId="0" applyFont="1" applyBorder="1" applyAlignment="1" applyProtection="1">
      <alignment horizontal="right" vertical="center" wrapText="1"/>
      <protection hidden="1"/>
    </xf>
    <xf numFmtId="0" fontId="29" fillId="0" borderId="44" xfId="0" applyFont="1" applyBorder="1" applyAlignment="1" applyProtection="1">
      <alignment horizontal="right" vertical="center" wrapText="1"/>
      <protection hidden="1"/>
    </xf>
    <xf numFmtId="0" fontId="29" fillId="0" borderId="45" xfId="0" applyFont="1" applyBorder="1" applyAlignment="1" applyProtection="1">
      <alignment horizontal="right" vertical="center" wrapText="1"/>
      <protection hidden="1"/>
    </xf>
    <xf numFmtId="165" fontId="25" fillId="0" borderId="2" xfId="0" applyNumberFormat="1" applyFont="1" applyBorder="1" applyAlignment="1">
      <alignment horizontal="center" vertical="center"/>
    </xf>
    <xf numFmtId="165" fontId="25" fillId="0" borderId="92" xfId="0" applyNumberFormat="1" applyFont="1" applyBorder="1" applyAlignment="1">
      <alignment horizontal="center" vertical="center"/>
    </xf>
    <xf numFmtId="0" fontId="12" fillId="3" borderId="1" xfId="0" applyFont="1" applyFill="1" applyBorder="1" applyAlignment="1" applyProtection="1">
      <alignment horizontal="center" wrapText="1"/>
      <protection hidden="1"/>
    </xf>
    <xf numFmtId="165" fontId="15" fillId="4" borderId="3" xfId="1" applyNumberFormat="1" applyFont="1" applyFill="1" applyBorder="1" applyAlignment="1" applyProtection="1">
      <alignment horizontal="center" vertical="center"/>
      <protection hidden="1"/>
    </xf>
    <xf numFmtId="165" fontId="15" fillId="4" borderId="4" xfId="1" applyNumberFormat="1" applyFont="1" applyFill="1" applyBorder="1" applyAlignment="1" applyProtection="1">
      <alignment horizontal="center" vertical="center"/>
      <protection hidden="1"/>
    </xf>
    <xf numFmtId="165" fontId="15" fillId="4" borderId="5" xfId="1" applyNumberFormat="1" applyFont="1" applyFill="1" applyBorder="1" applyAlignment="1" applyProtection="1">
      <alignment horizontal="center" vertical="center"/>
      <protection hidden="1"/>
    </xf>
    <xf numFmtId="165" fontId="15" fillId="4" borderId="31" xfId="1" applyNumberFormat="1" applyFont="1" applyFill="1" applyBorder="1" applyAlignment="1" applyProtection="1">
      <alignment horizontal="center" vertical="center"/>
      <protection hidden="1"/>
    </xf>
    <xf numFmtId="165" fontId="15" fillId="4" borderId="32" xfId="1" applyNumberFormat="1" applyFont="1" applyFill="1" applyBorder="1" applyAlignment="1" applyProtection="1">
      <alignment horizontal="center" vertical="center"/>
      <protection hidden="1"/>
    </xf>
    <xf numFmtId="165" fontId="15" fillId="4" borderId="33" xfId="1" applyNumberFormat="1" applyFont="1" applyFill="1" applyBorder="1" applyAlignment="1" applyProtection="1">
      <alignment horizontal="center" vertical="center"/>
      <protection hidden="1"/>
    </xf>
    <xf numFmtId="0" fontId="4" fillId="6" borderId="0" xfId="0" applyFont="1" applyFill="1" applyAlignment="1" applyProtection="1">
      <alignment horizontal="center" vertical="center" wrapText="1"/>
      <protection hidden="1"/>
    </xf>
    <xf numFmtId="0" fontId="26" fillId="0" borderId="35" xfId="0" applyFont="1" applyBorder="1" applyAlignment="1" applyProtection="1">
      <alignment horizontal="center" vertical="center" wrapText="1"/>
      <protection locked="0"/>
    </xf>
    <xf numFmtId="0" fontId="26" fillId="0" borderId="36" xfId="0" applyFont="1" applyBorder="1" applyAlignment="1" applyProtection="1">
      <alignment horizontal="center" vertical="center"/>
      <protection locked="0"/>
    </xf>
    <xf numFmtId="0" fontId="26" fillId="0" borderId="37" xfId="0" applyFont="1" applyBorder="1" applyAlignment="1" applyProtection="1">
      <alignment horizontal="center" vertical="center"/>
      <protection locked="0"/>
    </xf>
    <xf numFmtId="0" fontId="26" fillId="0" borderId="43" xfId="0" applyFont="1" applyBorder="1" applyAlignment="1" applyProtection="1">
      <alignment horizontal="center" vertical="center"/>
      <protection locked="0"/>
    </xf>
    <xf numFmtId="0" fontId="26" fillId="0" borderId="44" xfId="0" applyFont="1" applyBorder="1" applyAlignment="1" applyProtection="1">
      <alignment horizontal="center" vertical="center"/>
      <protection locked="0"/>
    </xf>
    <xf numFmtId="0" fontId="26" fillId="0" borderId="45" xfId="0" applyFont="1" applyBorder="1" applyAlignment="1" applyProtection="1">
      <alignment horizontal="center" vertical="center"/>
      <protection locked="0"/>
    </xf>
    <xf numFmtId="0" fontId="5" fillId="0" borderId="51" xfId="0" applyFont="1" applyBorder="1" applyAlignment="1" applyProtection="1">
      <alignment horizontal="center" vertical="top" wrapText="1"/>
      <protection locked="0"/>
    </xf>
    <xf numFmtId="0" fontId="5" fillId="0" borderId="56" xfId="0" applyFont="1" applyBorder="1" applyAlignment="1" applyProtection="1">
      <alignment horizontal="center" vertical="top" wrapText="1"/>
      <protection locked="0"/>
    </xf>
    <xf numFmtId="0" fontId="5" fillId="0" borderId="52" xfId="0" applyFont="1" applyBorder="1" applyAlignment="1" applyProtection="1">
      <alignment horizontal="left" vertical="top" wrapText="1"/>
      <protection locked="0"/>
    </xf>
    <xf numFmtId="0" fontId="17" fillId="0" borderId="53" xfId="0" applyFont="1" applyBorder="1" applyAlignment="1" applyProtection="1">
      <alignment horizontal="left" vertical="top" wrapText="1"/>
      <protection locked="0"/>
    </xf>
    <xf numFmtId="0" fontId="17" fillId="0" borderId="54" xfId="0" applyFont="1" applyBorder="1" applyAlignment="1" applyProtection="1">
      <alignment horizontal="left" vertical="top" wrapText="1"/>
      <protection locked="0"/>
    </xf>
    <xf numFmtId="0" fontId="17" fillId="0" borderId="31" xfId="0" applyFont="1" applyBorder="1" applyAlignment="1" applyProtection="1">
      <alignment horizontal="left" vertical="top" wrapText="1"/>
      <protection locked="0"/>
    </xf>
    <xf numFmtId="0" fontId="17" fillId="0" borderId="32" xfId="0" applyFont="1" applyBorder="1" applyAlignment="1" applyProtection="1">
      <alignment horizontal="left" vertical="top" wrapText="1"/>
      <protection locked="0"/>
    </xf>
    <xf numFmtId="0" fontId="17" fillId="0" borderId="33" xfId="0" applyFont="1" applyBorder="1" applyAlignment="1" applyProtection="1">
      <alignment horizontal="left" vertical="top" wrapText="1"/>
      <protection locked="0"/>
    </xf>
    <xf numFmtId="0" fontId="26" fillId="0" borderId="0" xfId="0" applyFont="1" applyAlignment="1" applyProtection="1">
      <alignment horizontal="center" vertical="center" wrapText="1"/>
      <protection hidden="1"/>
    </xf>
    <xf numFmtId="0" fontId="29" fillId="10" borderId="12" xfId="0" applyFont="1" applyFill="1" applyBorder="1" applyAlignment="1" applyProtection="1">
      <alignment horizontal="center"/>
      <protection hidden="1"/>
    </xf>
    <xf numFmtId="0" fontId="29" fillId="10" borderId="13" xfId="0" applyFont="1" applyFill="1" applyBorder="1" applyAlignment="1" applyProtection="1">
      <alignment horizontal="center"/>
      <protection hidden="1"/>
    </xf>
    <xf numFmtId="166" fontId="29" fillId="10" borderId="14" xfId="0" applyNumberFormat="1" applyFont="1" applyFill="1" applyBorder="1" applyAlignment="1" applyProtection="1">
      <alignment horizontal="center"/>
      <protection hidden="1"/>
    </xf>
    <xf numFmtId="0" fontId="7" fillId="0" borderId="52" xfId="0" applyFont="1" applyBorder="1" applyAlignment="1" applyProtection="1">
      <alignment horizontal="center" vertical="center" wrapText="1"/>
      <protection hidden="1"/>
    </xf>
    <xf numFmtId="0" fontId="7" fillId="0" borderId="53" xfId="0" applyFont="1" applyBorder="1" applyAlignment="1" applyProtection="1">
      <alignment horizontal="center" vertical="center" wrapText="1"/>
      <protection hidden="1"/>
    </xf>
    <xf numFmtId="166" fontId="7" fillId="0" borderId="54" xfId="0" applyNumberFormat="1" applyFont="1" applyBorder="1" applyAlignment="1" applyProtection="1">
      <alignment horizontal="center" vertical="center" wrapText="1"/>
      <protection hidden="1"/>
    </xf>
    <xf numFmtId="0" fontId="7" fillId="0" borderId="46" xfId="0" applyFont="1" applyBorder="1" applyAlignment="1" applyProtection="1">
      <alignment horizontal="center" vertical="center" wrapText="1"/>
      <protection hidden="1"/>
    </xf>
    <xf numFmtId="0" fontId="7" fillId="0" borderId="44" xfId="0" applyFont="1" applyBorder="1" applyAlignment="1" applyProtection="1">
      <alignment horizontal="center" vertical="center" wrapText="1"/>
      <protection hidden="1"/>
    </xf>
    <xf numFmtId="166" fontId="7" fillId="0" borderId="45" xfId="0" applyNumberFormat="1" applyFont="1" applyBorder="1" applyAlignment="1" applyProtection="1">
      <alignment horizontal="center" vertical="center" wrapText="1"/>
      <protection hidden="1"/>
    </xf>
    <xf numFmtId="0" fontId="28" fillId="14" borderId="35" xfId="0" applyFont="1" applyFill="1" applyBorder="1" applyAlignment="1">
      <alignment horizontal="left" vertical="top" wrapText="1"/>
    </xf>
    <xf numFmtId="0" fontId="28" fillId="14" borderId="36" xfId="0" applyFont="1" applyFill="1" applyBorder="1" applyAlignment="1">
      <alignment horizontal="left" vertical="top" wrapText="1"/>
    </xf>
    <xf numFmtId="0" fontId="28" fillId="14" borderId="101" xfId="0" applyFont="1" applyFill="1" applyBorder="1" applyAlignment="1">
      <alignment horizontal="left" vertical="top" wrapText="1"/>
    </xf>
    <xf numFmtId="0" fontId="28" fillId="14" borderId="21" xfId="0" applyFont="1" applyFill="1" applyBorder="1" applyAlignment="1">
      <alignment horizontal="left" vertical="top" wrapText="1"/>
    </xf>
    <xf numFmtId="167" fontId="7" fillId="0" borderId="31" xfId="0" applyNumberFormat="1" applyFont="1" applyBorder="1" applyAlignment="1">
      <alignment horizontal="center" vertical="center"/>
    </xf>
    <xf numFmtId="167" fontId="7" fillId="0" borderId="98" xfId="0" applyNumberFormat="1" applyFont="1" applyBorder="1" applyAlignment="1">
      <alignment horizontal="center" vertical="center"/>
    </xf>
    <xf numFmtId="0" fontId="20" fillId="22" borderId="96" xfId="0" applyFont="1" applyFill="1" applyBorder="1" applyAlignment="1">
      <alignment horizontal="left" vertical="top" wrapText="1"/>
    </xf>
    <xf numFmtId="0" fontId="20" fillId="22" borderId="53" xfId="0" applyFont="1" applyFill="1" applyBorder="1" applyAlignment="1">
      <alignment horizontal="left" vertical="top" wrapText="1"/>
    </xf>
    <xf numFmtId="0" fontId="20" fillId="22" borderId="84" xfId="0" applyFont="1" applyFill="1" applyBorder="1" applyAlignment="1">
      <alignment horizontal="left" vertical="top" wrapText="1"/>
    </xf>
    <xf numFmtId="0" fontId="20" fillId="22" borderId="97" xfId="0" applyFont="1" applyFill="1" applyBorder="1" applyAlignment="1">
      <alignment horizontal="left" vertical="top" wrapText="1"/>
    </xf>
    <xf numFmtId="0" fontId="20" fillId="22" borderId="32" xfId="0" applyFont="1" applyFill="1" applyBorder="1" applyAlignment="1">
      <alignment horizontal="left" vertical="top" wrapText="1"/>
    </xf>
    <xf numFmtId="0" fontId="20" fillId="22" borderId="33" xfId="0" applyFont="1" applyFill="1" applyBorder="1" applyAlignment="1">
      <alignment horizontal="left" vertical="top" wrapText="1"/>
    </xf>
    <xf numFmtId="0" fontId="28" fillId="14" borderId="35" xfId="0" applyFont="1" applyFill="1" applyBorder="1" applyAlignment="1" applyProtection="1">
      <alignment horizontal="left" vertical="top" wrapText="1"/>
      <protection hidden="1"/>
    </xf>
    <xf numFmtId="0" fontId="28" fillId="14" borderId="36" xfId="0" applyFont="1" applyFill="1" applyBorder="1" applyAlignment="1" applyProtection="1">
      <alignment horizontal="left" vertical="top" wrapText="1"/>
      <protection hidden="1"/>
    </xf>
    <xf numFmtId="0" fontId="28" fillId="14" borderId="101" xfId="0" applyFont="1" applyFill="1" applyBorder="1" applyAlignment="1" applyProtection="1">
      <alignment horizontal="left" vertical="top" wrapText="1"/>
      <protection hidden="1"/>
    </xf>
    <xf numFmtId="0" fontId="28" fillId="14" borderId="21" xfId="0" applyFont="1" applyFill="1" applyBorder="1" applyAlignment="1" applyProtection="1">
      <alignment horizontal="left" vertical="top" wrapText="1"/>
      <protection hidden="1"/>
    </xf>
    <xf numFmtId="0" fontId="36" fillId="20" borderId="0" xfId="0" applyFont="1" applyFill="1" applyAlignment="1">
      <alignment horizontal="center" vertical="center" wrapText="1"/>
    </xf>
    <xf numFmtId="0" fontId="36" fillId="20" borderId="0" xfId="0" applyFont="1" applyFill="1" applyAlignment="1">
      <alignment horizontal="center" vertical="center"/>
    </xf>
    <xf numFmtId="0" fontId="36" fillId="20" borderId="44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7" fillId="4" borderId="92" xfId="0" applyFont="1" applyFill="1" applyBorder="1" applyAlignment="1">
      <alignment horizontal="center" vertical="center" wrapText="1"/>
    </xf>
    <xf numFmtId="0" fontId="7" fillId="4" borderId="52" xfId="0" applyFont="1" applyFill="1" applyBorder="1" applyAlignment="1">
      <alignment horizontal="right" vertical="center"/>
    </xf>
    <xf numFmtId="0" fontId="7" fillId="4" borderId="46" xfId="0" applyFont="1" applyFill="1" applyBorder="1" applyAlignment="1">
      <alignment horizontal="right" vertical="center"/>
    </xf>
    <xf numFmtId="43" fontId="28" fillId="4" borderId="54" xfId="1" applyFont="1" applyFill="1" applyBorder="1" applyAlignment="1">
      <alignment horizontal="center" vertical="center"/>
    </xf>
    <xf numFmtId="43" fontId="28" fillId="4" borderId="45" xfId="1" applyFont="1" applyFill="1" applyBorder="1" applyAlignment="1">
      <alignment horizontal="center" vertical="center"/>
    </xf>
    <xf numFmtId="0" fontId="28" fillId="0" borderId="35" xfId="0" applyFont="1" applyBorder="1" applyAlignment="1">
      <alignment horizontal="center" vertical="center"/>
    </xf>
    <xf numFmtId="0" fontId="28" fillId="0" borderId="36" xfId="0" applyFont="1" applyBorder="1" applyAlignment="1">
      <alignment horizontal="center" vertical="center"/>
    </xf>
    <xf numFmtId="0" fontId="28" fillId="0" borderId="37" xfId="0" applyFont="1" applyBorder="1" applyAlignment="1">
      <alignment horizontal="center" vertical="center"/>
    </xf>
    <xf numFmtId="0" fontId="28" fillId="0" borderId="43" xfId="0" applyFont="1" applyBorder="1" applyAlignment="1">
      <alignment horizontal="center" vertical="center"/>
    </xf>
    <xf numFmtId="0" fontId="28" fillId="0" borderId="44" xfId="0" applyFont="1" applyBorder="1" applyAlignment="1">
      <alignment horizontal="center" vertical="center"/>
    </xf>
    <xf numFmtId="0" fontId="28" fillId="0" borderId="45" xfId="0" applyFont="1" applyBorder="1" applyAlignment="1">
      <alignment horizontal="center" vertical="center"/>
    </xf>
    <xf numFmtId="0" fontId="28" fillId="0" borderId="38" xfId="0" applyFont="1" applyBorder="1" applyAlignment="1">
      <alignment horizontal="center" vertical="center" wrapText="1"/>
    </xf>
    <xf numFmtId="0" fontId="28" fillId="0" borderId="36" xfId="0" applyFont="1" applyBorder="1" applyAlignment="1">
      <alignment horizontal="center" vertical="center" wrapText="1"/>
    </xf>
    <xf numFmtId="0" fontId="28" fillId="0" borderId="39" xfId="0" applyFont="1" applyBorder="1" applyAlignment="1">
      <alignment horizontal="center" vertical="center" wrapText="1"/>
    </xf>
    <xf numFmtId="0" fontId="28" fillId="0" borderId="46" xfId="0" applyFont="1" applyBorder="1" applyAlignment="1">
      <alignment horizontal="center" vertical="center" wrapText="1"/>
    </xf>
    <xf numFmtId="0" fontId="28" fillId="0" borderId="44" xfId="0" applyFont="1" applyBorder="1" applyAlignment="1">
      <alignment horizontal="center" vertical="center" wrapText="1"/>
    </xf>
    <xf numFmtId="0" fontId="28" fillId="0" borderId="47" xfId="0" applyFont="1" applyBorder="1" applyAlignment="1">
      <alignment horizontal="center" vertical="center" wrapText="1"/>
    </xf>
  </cellXfs>
  <cellStyles count="7">
    <cellStyle name="Hipervínculo" xfId="3" builtinId="8"/>
    <cellStyle name="Millares" xfId="1" builtinId="3"/>
    <cellStyle name="Millares [0]" xfId="5" builtinId="6"/>
    <cellStyle name="Moneda" xfId="6" builtinId="4"/>
    <cellStyle name="Normal" xfId="0" builtinId="0"/>
    <cellStyle name="Normal 5" xfId="4"/>
    <cellStyle name="Porcentaje" xfId="2" builtinId="5"/>
  </cellStyles>
  <dxfs count="19">
    <dxf>
      <font>
        <condense val="0"/>
        <extend val="0"/>
        <color indexed="9"/>
      </font>
      <border>
        <bottom/>
      </border>
    </dxf>
    <dxf>
      <font>
        <b val="0"/>
        <i val="0"/>
        <condense val="0"/>
        <extend val="0"/>
        <color indexed="9"/>
      </font>
      <border>
        <bottom/>
      </border>
    </dxf>
    <dxf>
      <font>
        <condense val="0"/>
        <extend val="0"/>
        <color indexed="9"/>
      </font>
    </dxf>
    <dxf>
      <font>
        <condense val="0"/>
        <extend val="0"/>
        <color indexed="22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8"/>
      </font>
      <fill>
        <patternFill>
          <bgColor indexed="13"/>
        </patternFill>
      </fill>
    </dxf>
    <dxf>
      <font>
        <condense val="0"/>
        <extend val="0"/>
        <color indexed="8"/>
      </font>
      <fill>
        <patternFill>
          <bgColor indexed="13"/>
        </patternFill>
      </fill>
    </dxf>
    <dxf>
      <font>
        <condense val="0"/>
        <extend val="0"/>
        <color indexed="22"/>
      </font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condense val="0"/>
        <extend val="0"/>
        <color indexed="9"/>
      </font>
    </dxf>
    <dxf>
      <font>
        <condense val="0"/>
        <extend val="0"/>
        <color indexed="8"/>
      </font>
      <fill>
        <patternFill>
          <bgColor indexed="13"/>
        </patternFill>
      </fill>
    </dxf>
    <dxf>
      <font>
        <b val="0"/>
        <i val="0"/>
        <color auto="1"/>
      </font>
      <fill>
        <patternFill>
          <bgColor rgb="FFFFFF99"/>
        </patternFill>
      </fill>
    </dxf>
    <dxf>
      <font>
        <condense val="0"/>
        <extend val="0"/>
        <color indexed="9"/>
      </font>
      <fill>
        <patternFill patternType="none">
          <bgColor indexed="65"/>
        </patternFill>
      </fill>
    </dxf>
    <dxf>
      <font>
        <b val="0"/>
        <i/>
        <condense val="0"/>
        <extend val="0"/>
        <color indexed="10"/>
      </font>
      <fill>
        <patternFill>
          <bgColor indexed="13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8"/>
      </font>
      <fill>
        <patternFill patternType="solid">
          <bgColor indexed="26"/>
        </patternFill>
      </fill>
    </dxf>
    <dxf>
      <font>
        <condense val="0"/>
        <extend val="0"/>
        <color indexed="12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K1043/Downloads/PPTO%20CASA%20DE%20LA%20CULTUR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fraestructura/Desktop/2025/1.%20CONVENIO%20PAV%20PIEDRASENTADA/PPTO%20PAV%20PIEDRA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-INFRA\Mano%20de%20obra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K1043/Desktop/BASE%20DE%20DATOS%20PARA%20PRESUPUESTO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-INFRA\2-2024\1-CONTRATOS%202024\20-%20Adecuacion%20CAM\1-Precontractual\Presupuesto%20adecuacion%20CAM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ALCALDIA"/>
      <sheetName val="ANALISIS"/>
    </sheetNames>
    <sheetDataSet>
      <sheetData sheetId="0"/>
      <sheetData sheetId="1">
        <row r="47">
          <cell r="H47">
            <v>11370</v>
          </cell>
        </row>
        <row r="76">
          <cell r="H76">
            <v>44323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 ALCALDIA"/>
      <sheetName val="ANALISIS"/>
      <sheetName val="PRESUPUESTO JAC"/>
      <sheetName val="INSUMOS"/>
      <sheetName val="PRESUPUESTO COMERCIAL"/>
    </sheetNames>
    <sheetDataSet>
      <sheetData sheetId="0">
        <row r="16">
          <cell r="AQ16">
            <v>36</v>
          </cell>
        </row>
        <row r="17">
          <cell r="B17">
            <v>1.2</v>
          </cell>
        </row>
      </sheetData>
      <sheetData sheetId="1"/>
      <sheetData sheetId="2"/>
      <sheetData sheetId="3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.O."/>
    </sheetNames>
    <sheetDataSet>
      <sheetData sheetId="0">
        <row r="5">
          <cell r="E5">
            <v>11563</v>
          </cell>
        </row>
        <row r="6">
          <cell r="E6">
            <v>18500</v>
          </cell>
        </row>
        <row r="13">
          <cell r="C13">
            <v>30063</v>
          </cell>
        </row>
        <row r="14">
          <cell r="C14">
            <v>41626</v>
          </cell>
        </row>
        <row r="17">
          <cell r="C17">
            <v>39313</v>
          </cell>
        </row>
        <row r="18">
          <cell r="C18">
            <v>30063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INSUMOS"/>
      <sheetName val="DatosBD"/>
      <sheetName val="LISTADO  DE PRECIOS "/>
      <sheetName val="ANALISIS parte 1"/>
      <sheetName val="ANALISIS parte 2"/>
      <sheetName val="ANALISIS PERS"/>
      <sheetName val="LISTRESULT"/>
      <sheetName val="FORMATOS"/>
      <sheetName val="AgrDatBloque"/>
    </sheetNames>
    <sheetDataSet>
      <sheetData sheetId="0"/>
      <sheetData sheetId="1">
        <row r="20284">
          <cell r="G20284">
            <v>15737</v>
          </cell>
        </row>
        <row r="21838">
          <cell r="G21838">
            <v>1162</v>
          </cell>
        </row>
        <row r="21874">
          <cell r="G21874">
            <v>1690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para"/>
      <sheetName val="PRESUPUESTO"/>
      <sheetName val="ANALISIS"/>
      <sheetName val="INSUMOS"/>
      <sheetName val="ProgEmpleo"/>
      <sheetName val="CRONOGRAMA"/>
      <sheetName val="SEGUIMIENTO"/>
      <sheetName val="CONTROL"/>
      <sheetName val="Incidencias"/>
      <sheetName val="Interventoría"/>
      <sheetName val="ACTAS"/>
      <sheetName val="PreActas"/>
      <sheetName val="MemoriaDeCant"/>
      <sheetName val="CostosAdmin"/>
      <sheetName val="F.Prestacional"/>
      <sheetName val="F.Prestacional J"/>
      <sheetName val="INSUM CLASIF"/>
      <sheetName val="RENDIMIENTOS"/>
      <sheetName val="COSTOS"/>
      <sheetName val="PlantillaSeguim"/>
      <sheetName val="PlantillaSeguimCost"/>
      <sheetName val="Datos1_NoEliminar"/>
      <sheetName val="FORMATOS"/>
      <sheetName val="LISTRESULT_P"/>
    </sheetNames>
    <sheetDataSet>
      <sheetData sheetId="0"/>
      <sheetData sheetId="1">
        <row r="31">
          <cell r="A31" t="str">
            <v>190546-9P</v>
          </cell>
          <cell r="B31">
            <v>3.1</v>
          </cell>
          <cell r="AG31" t="str">
            <v>CAP. 3: ENCHAPES</v>
          </cell>
          <cell r="AH31">
            <v>29</v>
          </cell>
          <cell r="AQ31">
            <v>77.75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R79"/>
  <sheetViews>
    <sheetView showGridLines="0" tabSelected="1" view="pageBreakPreview" topLeftCell="B40" zoomScale="85" zoomScaleNormal="85" zoomScaleSheetLayoutView="85" workbookViewId="0">
      <selection activeCell="C82" sqref="C82"/>
    </sheetView>
  </sheetViews>
  <sheetFormatPr baseColWidth="10" defaultColWidth="11.33203125" defaultRowHeight="13.8" x14ac:dyDescent="0.25"/>
  <cols>
    <col min="1" max="1" width="0" style="47" hidden="1" customWidth="1"/>
    <col min="2" max="2" width="9" style="47" customWidth="1"/>
    <col min="3" max="3" width="41.6640625" style="47" customWidth="1"/>
    <col min="4" max="4" width="6.109375" style="47" customWidth="1"/>
    <col min="5" max="5" width="12.6640625" style="47" customWidth="1"/>
    <col min="6" max="6" width="14.6640625" style="47" customWidth="1"/>
    <col min="7" max="7" width="18.6640625" style="47" customWidth="1"/>
    <col min="8" max="39" width="0" style="47" hidden="1" customWidth="1"/>
    <col min="40" max="40" width="16.109375" style="47" customWidth="1"/>
    <col min="41" max="41" width="14.33203125" style="47" customWidth="1"/>
    <col min="42" max="42" width="12.5546875" style="47" bestFit="1" customWidth="1"/>
    <col min="43" max="43" width="13.33203125" style="47" customWidth="1"/>
    <col min="44" max="100" width="11.33203125" style="47"/>
    <col min="101" max="103" width="0" style="47" hidden="1" customWidth="1"/>
    <col min="104" max="16384" width="11.33203125" style="47"/>
  </cols>
  <sheetData>
    <row r="1" spans="1:174" s="29" customFormat="1" ht="12.15" hidden="1" customHeight="1" thickTop="1" x14ac:dyDescent="0.3">
      <c r="A1" s="10" t="s">
        <v>0</v>
      </c>
      <c r="B1" s="11" t="s">
        <v>1</v>
      </c>
      <c r="C1" s="12"/>
      <c r="D1" s="13"/>
      <c r="E1" s="14" t="s">
        <v>2</v>
      </c>
      <c r="F1" s="539" t="str">
        <f>"Duración  Obra    " &amp; G70 &amp; " Días"</f>
        <v>Duración  Obra    0 Días</v>
      </c>
      <c r="G1" s="15">
        <f>G63</f>
        <v>99320817</v>
      </c>
      <c r="H1" s="16" t="s">
        <v>3</v>
      </c>
      <c r="I1" s="16" t="s">
        <v>4</v>
      </c>
      <c r="J1" s="17" t="s">
        <v>5</v>
      </c>
      <c r="K1" s="17" t="s">
        <v>6</v>
      </c>
      <c r="L1" s="16" t="s">
        <v>7</v>
      </c>
      <c r="M1" s="16" t="s">
        <v>8</v>
      </c>
      <c r="N1" s="18" t="s">
        <v>9</v>
      </c>
      <c r="O1" s="1" t="str">
        <f>B2</f>
        <v>CD</v>
      </c>
      <c r="P1" s="540" t="s">
        <v>10</v>
      </c>
      <c r="Q1" s="541"/>
      <c r="R1" s="541"/>
      <c r="S1" s="541"/>
      <c r="T1" s="542"/>
      <c r="U1" s="19"/>
      <c r="V1" s="19"/>
      <c r="W1" s="19"/>
      <c r="X1" s="19"/>
      <c r="Y1" s="19"/>
      <c r="Z1" s="19"/>
      <c r="AA1" s="19"/>
      <c r="AB1" s="19"/>
      <c r="AC1" s="19"/>
      <c r="AD1" s="19"/>
      <c r="AE1" s="20"/>
      <c r="AF1" s="21" t="s">
        <v>11</v>
      </c>
      <c r="AG1" s="22" t="s">
        <v>12</v>
      </c>
      <c r="AH1" s="23" t="s">
        <v>13</v>
      </c>
      <c r="AI1" s="23" t="s">
        <v>14</v>
      </c>
      <c r="AJ1" s="23" t="s">
        <v>15</v>
      </c>
      <c r="AK1" s="24" t="s">
        <v>16</v>
      </c>
      <c r="AL1" s="25"/>
      <c r="AM1" s="26" t="s">
        <v>17</v>
      </c>
      <c r="AN1" s="27"/>
      <c r="AO1" s="27"/>
      <c r="AP1" s="28" t="s">
        <v>18</v>
      </c>
      <c r="AQ1" s="546" t="s">
        <v>19</v>
      </c>
      <c r="BQ1" s="30"/>
      <c r="BR1" s="31"/>
      <c r="BS1" s="2"/>
      <c r="BT1" s="32"/>
      <c r="BU1" s="33"/>
      <c r="BV1" s="34">
        <f>IF($A$2="CD",BX1,IF($A$2="CT",BY1,"Correg CT"))</f>
        <v>0</v>
      </c>
      <c r="BW1" s="35">
        <f>ROUND(BU1 * BV1,$J$2)</f>
        <v>0</v>
      </c>
      <c r="BX1" s="36"/>
      <c r="BY1" s="37"/>
      <c r="BZ1" s="37">
        <v>1</v>
      </c>
      <c r="CA1" s="37"/>
      <c r="CB1" s="38">
        <f>ROUND(BY1 * BU1,$J$2)</f>
        <v>0</v>
      </c>
      <c r="CC1" s="39">
        <f>ROUND(BX1 * BU1,$J$2)</f>
        <v>0</v>
      </c>
      <c r="CD1" s="40">
        <f>BW1*$N$2</f>
        <v>0</v>
      </c>
      <c r="CE1" s="41"/>
      <c r="CF1" s="42"/>
      <c r="CG1" s="43"/>
      <c r="CH1" s="43"/>
      <c r="CI1" s="44"/>
      <c r="CJ1" s="45">
        <f>CF1+CG1+CH1+CI1</f>
        <v>0</v>
      </c>
      <c r="CK1" s="46"/>
      <c r="CM1" s="47"/>
      <c r="CN1" s="47"/>
      <c r="CO1" s="47"/>
      <c r="CP1" s="47"/>
      <c r="CQ1" s="47"/>
      <c r="CR1" s="47"/>
      <c r="CS1" s="47"/>
      <c r="CT1" s="47"/>
      <c r="CU1" s="47"/>
      <c r="CV1" s="48"/>
      <c r="CW1" s="49" t="str">
        <f>"CAP. " &amp; $B$14 &amp; ": " &amp; $C$14</f>
        <v>CAP. 1: OBRAS</v>
      </c>
      <c r="CX1" s="50">
        <f>ROW($B$14)</f>
        <v>14</v>
      </c>
      <c r="CY1" s="50"/>
      <c r="CZ1" s="50"/>
      <c r="DA1" s="51"/>
      <c r="DB1" s="52"/>
      <c r="DC1" s="47"/>
      <c r="DD1" s="47"/>
      <c r="DE1" s="53">
        <f>BU1</f>
        <v>0</v>
      </c>
      <c r="DF1" s="54"/>
      <c r="DG1" s="55">
        <f>DE1+DF1</f>
        <v>0</v>
      </c>
      <c r="DH1" s="56">
        <f>BV1</f>
        <v>0</v>
      </c>
      <c r="DI1" s="57">
        <f>ROUND(DG1 * DH1,$J$2)</f>
        <v>0</v>
      </c>
      <c r="DJ1" s="47"/>
      <c r="DK1" s="58"/>
      <c r="DL1" s="47"/>
      <c r="DM1" s="47"/>
      <c r="DN1" s="47"/>
      <c r="DO1" s="47"/>
      <c r="DP1" s="47"/>
      <c r="DQ1" s="47"/>
      <c r="DR1" s="47"/>
      <c r="DS1" s="47"/>
      <c r="DT1" s="47"/>
      <c r="DU1" s="47"/>
      <c r="DV1" s="47"/>
      <c r="DW1" s="47"/>
      <c r="DX1" s="47"/>
      <c r="DY1" s="47"/>
      <c r="DZ1" s="47"/>
      <c r="EA1" s="47"/>
      <c r="EB1" s="47"/>
      <c r="EC1" s="47"/>
      <c r="ED1" s="47"/>
      <c r="EE1" s="47"/>
      <c r="EF1" s="47"/>
      <c r="EG1" s="47"/>
      <c r="EH1" s="47"/>
      <c r="EI1" s="47"/>
      <c r="EJ1" s="47"/>
      <c r="EK1" s="47"/>
      <c r="EL1" s="47"/>
      <c r="EM1" s="47"/>
      <c r="EN1" s="47"/>
      <c r="EO1" s="47"/>
      <c r="EP1" s="47"/>
      <c r="EQ1" s="47"/>
      <c r="ER1" s="47"/>
      <c r="ES1" s="47"/>
      <c r="ET1" s="47"/>
      <c r="EU1" s="47"/>
      <c r="EV1" s="47"/>
      <c r="EW1" s="47"/>
      <c r="EX1" s="47"/>
      <c r="EY1" s="47"/>
      <c r="EZ1" s="47"/>
      <c r="FA1" s="47"/>
      <c r="FB1" s="47"/>
      <c r="FC1" s="47"/>
      <c r="FD1" s="47"/>
      <c r="FE1" s="47"/>
      <c r="FF1" s="47"/>
      <c r="FG1" s="47"/>
      <c r="FH1" s="47"/>
      <c r="FI1" s="47"/>
      <c r="FJ1" s="47"/>
      <c r="FK1" s="47"/>
      <c r="FL1" s="47"/>
      <c r="FM1" s="47"/>
      <c r="FN1" s="47"/>
      <c r="FO1" s="47"/>
      <c r="FP1" s="47"/>
      <c r="FQ1" s="47"/>
      <c r="FR1" s="47"/>
    </row>
    <row r="2" spans="1:174" s="29" customFormat="1" ht="12.15" hidden="1" customHeight="1" thickTop="1" x14ac:dyDescent="0.3">
      <c r="A2" s="10" t="s">
        <v>8</v>
      </c>
      <c r="B2" s="59" t="str">
        <f>IF($A$2="CD","CD",IF($A$2="CT","CT",""))</f>
        <v>CD</v>
      </c>
      <c r="C2" s="60"/>
      <c r="D2" s="61"/>
      <c r="E2" s="62"/>
      <c r="F2" s="539"/>
      <c r="G2" s="63" t="e">
        <f>IF(#REF!=1,"CHEQ. INSUMOS","Insumos ok.")</f>
        <v>#REF!</v>
      </c>
      <c r="H2" s="64">
        <v>2</v>
      </c>
      <c r="I2" s="64">
        <v>3</v>
      </c>
      <c r="J2" s="64">
        <v>0</v>
      </c>
      <c r="K2" s="64"/>
      <c r="L2" s="64"/>
      <c r="M2" s="64"/>
      <c r="N2" s="65">
        <v>1</v>
      </c>
      <c r="O2" s="66"/>
      <c r="P2" s="543"/>
      <c r="Q2" s="544"/>
      <c r="R2" s="544"/>
      <c r="S2" s="544"/>
      <c r="T2" s="545"/>
      <c r="U2" s="66"/>
      <c r="V2" s="66"/>
      <c r="W2" s="66"/>
      <c r="X2" s="66"/>
      <c r="Y2" s="66"/>
      <c r="Z2" s="66"/>
      <c r="AA2" s="66"/>
      <c r="AB2" s="66"/>
      <c r="AC2" s="66"/>
      <c r="AD2" s="66"/>
      <c r="AE2" s="67"/>
      <c r="AF2" s="21"/>
      <c r="AG2" s="22"/>
      <c r="AH2" s="23"/>
      <c r="AI2" s="23"/>
      <c r="AJ2" s="23"/>
      <c r="AK2" s="24"/>
      <c r="AL2" s="25"/>
      <c r="AM2" s="68"/>
      <c r="AP2" s="69" t="s">
        <v>20</v>
      </c>
      <c r="AQ2" s="546"/>
      <c r="BQ2" s="70" t="s">
        <v>21</v>
      </c>
      <c r="BR2" s="70" t="s">
        <v>22</v>
      </c>
      <c r="BS2" s="70" t="s">
        <v>23</v>
      </c>
      <c r="BT2" s="70" t="s">
        <v>24</v>
      </c>
      <c r="BU2" s="70" t="s">
        <v>25</v>
      </c>
      <c r="BV2" s="70" t="s">
        <v>26</v>
      </c>
      <c r="BW2" s="70" t="s">
        <v>27</v>
      </c>
      <c r="BX2" s="70" t="s">
        <v>28</v>
      </c>
      <c r="BY2" s="70" t="s">
        <v>29</v>
      </c>
      <c r="BZ2" s="70" t="s">
        <v>30</v>
      </c>
      <c r="CA2" s="70" t="s">
        <v>31</v>
      </c>
      <c r="CB2" s="70" t="s">
        <v>32</v>
      </c>
      <c r="CC2" s="70" t="s">
        <v>33</v>
      </c>
      <c r="CD2" s="70" t="s">
        <v>34</v>
      </c>
      <c r="CE2" s="70" t="s">
        <v>35</v>
      </c>
      <c r="CF2" s="70" t="s">
        <v>36</v>
      </c>
      <c r="CG2" s="70" t="s">
        <v>37</v>
      </c>
      <c r="CH2" s="70" t="s">
        <v>38</v>
      </c>
      <c r="CI2" s="70" t="s">
        <v>39</v>
      </c>
      <c r="CJ2" s="70" t="s">
        <v>40</v>
      </c>
      <c r="CK2" s="70" t="s">
        <v>41</v>
      </c>
      <c r="CL2" s="70" t="s">
        <v>42</v>
      </c>
      <c r="CM2" s="70" t="s">
        <v>43</v>
      </c>
      <c r="CN2" s="70" t="s">
        <v>44</v>
      </c>
      <c r="CO2" s="70" t="s">
        <v>45</v>
      </c>
      <c r="CP2" s="70" t="s">
        <v>46</v>
      </c>
      <c r="CQ2" s="70" t="s">
        <v>47</v>
      </c>
      <c r="CR2" s="70" t="s">
        <v>48</v>
      </c>
      <c r="CS2" s="70" t="s">
        <v>49</v>
      </c>
      <c r="CT2" s="70" t="s">
        <v>50</v>
      </c>
      <c r="CU2" s="70" t="s">
        <v>51</v>
      </c>
      <c r="CV2" s="70" t="s">
        <v>52</v>
      </c>
      <c r="CW2" s="70" t="s">
        <v>53</v>
      </c>
      <c r="CX2" s="70" t="s">
        <v>54</v>
      </c>
      <c r="CY2" s="70" t="s">
        <v>55</v>
      </c>
      <c r="CZ2" s="70" t="s">
        <v>56</v>
      </c>
      <c r="DA2" s="70" t="s">
        <v>57</v>
      </c>
      <c r="DB2" s="70" t="s">
        <v>58</v>
      </c>
      <c r="DC2" s="70" t="s">
        <v>59</v>
      </c>
      <c r="DD2" s="70" t="s">
        <v>60</v>
      </c>
      <c r="DE2" s="70" t="s">
        <v>61</v>
      </c>
      <c r="DF2" s="70" t="s">
        <v>62</v>
      </c>
      <c r="DG2" s="70" t="s">
        <v>63</v>
      </c>
      <c r="DH2" s="70" t="s">
        <v>64</v>
      </c>
      <c r="DI2" s="70" t="s">
        <v>65</v>
      </c>
      <c r="DJ2" s="70" t="s">
        <v>66</v>
      </c>
      <c r="DK2" s="70" t="s">
        <v>67</v>
      </c>
    </row>
    <row r="3" spans="1:174" s="29" customFormat="1" ht="12.15" hidden="1" customHeight="1" thickTop="1" x14ac:dyDescent="0.3">
      <c r="A3" s="10"/>
      <c r="B3" s="59"/>
      <c r="C3" s="60"/>
      <c r="D3" s="61"/>
      <c r="E3" s="71"/>
      <c r="F3" s="72"/>
      <c r="G3" s="73"/>
      <c r="H3" s="64"/>
      <c r="I3" s="64"/>
      <c r="J3" s="64"/>
      <c r="K3" s="64"/>
      <c r="L3" s="64"/>
      <c r="M3" s="64"/>
      <c r="N3" s="74"/>
      <c r="O3" s="66"/>
      <c r="P3" s="75"/>
      <c r="Q3" s="75"/>
      <c r="R3" s="75"/>
      <c r="S3" s="75"/>
      <c r="T3" s="75"/>
      <c r="U3" s="76"/>
      <c r="V3" s="76"/>
      <c r="W3" s="76"/>
      <c r="X3" s="76"/>
      <c r="Y3" s="76"/>
      <c r="Z3" s="76"/>
      <c r="AA3" s="76"/>
      <c r="AB3" s="76"/>
      <c r="AC3" s="76"/>
      <c r="AD3" s="76"/>
      <c r="AE3" s="77"/>
      <c r="AF3" s="48"/>
      <c r="AG3" s="49"/>
      <c r="AH3" s="50"/>
      <c r="AI3" s="50"/>
      <c r="AJ3" s="50"/>
      <c r="AK3" s="51"/>
      <c r="AL3" s="52"/>
      <c r="BQ3" s="70"/>
      <c r="BR3" s="70"/>
      <c r="BS3" s="70"/>
      <c r="BT3" s="70"/>
      <c r="BU3" s="70"/>
      <c r="BV3" s="70"/>
      <c r="BW3" s="70"/>
      <c r="BX3" s="70"/>
      <c r="BY3" s="70"/>
      <c r="BZ3" s="70"/>
      <c r="CA3" s="70"/>
      <c r="CB3" s="70"/>
      <c r="CC3" s="70"/>
      <c r="CD3" s="70"/>
      <c r="CE3" s="70"/>
      <c r="CF3" s="70"/>
      <c r="CG3" s="70"/>
      <c r="CH3" s="70"/>
      <c r="CI3" s="70"/>
      <c r="CJ3" s="70"/>
      <c r="CK3" s="70"/>
      <c r="CL3" s="70"/>
      <c r="CM3" s="70"/>
      <c r="CN3" s="70"/>
      <c r="CO3" s="70"/>
      <c r="CP3" s="70"/>
      <c r="CQ3" s="70"/>
      <c r="CR3" s="70"/>
      <c r="CS3" s="70"/>
      <c r="CT3" s="70"/>
      <c r="CU3" s="70"/>
      <c r="CV3" s="70"/>
      <c r="CW3" s="70"/>
      <c r="CX3" s="70"/>
      <c r="CY3" s="70"/>
      <c r="CZ3" s="70"/>
      <c r="DA3" s="70"/>
      <c r="DB3" s="70"/>
      <c r="DC3" s="70"/>
      <c r="DD3" s="70"/>
      <c r="DE3" s="70"/>
      <c r="DF3" s="70"/>
      <c r="DG3" s="70"/>
      <c r="DH3" s="70"/>
      <c r="DI3" s="70"/>
      <c r="DJ3" s="70"/>
      <c r="DK3" s="70"/>
    </row>
    <row r="4" spans="1:174" s="29" customFormat="1" ht="12.15" hidden="1" customHeight="1" thickTop="1" x14ac:dyDescent="0.3">
      <c r="A4" s="10"/>
      <c r="B4" s="59"/>
      <c r="C4" s="60"/>
      <c r="D4" s="61"/>
      <c r="E4" s="71"/>
      <c r="F4" s="72"/>
      <c r="G4" s="73"/>
      <c r="H4" s="64"/>
      <c r="I4" s="64"/>
      <c r="J4" s="64"/>
      <c r="K4" s="64"/>
      <c r="L4" s="64"/>
      <c r="M4" s="64"/>
      <c r="N4" s="74"/>
      <c r="O4" s="66"/>
      <c r="P4" s="75"/>
      <c r="Q4" s="75"/>
      <c r="R4" s="75"/>
      <c r="S4" s="75"/>
      <c r="T4" s="75"/>
      <c r="U4" s="76"/>
      <c r="V4" s="76"/>
      <c r="W4" s="76"/>
      <c r="X4" s="76"/>
      <c r="Y4" s="76"/>
      <c r="Z4" s="76"/>
      <c r="AA4" s="76"/>
      <c r="AB4" s="76"/>
      <c r="AC4" s="76"/>
      <c r="AD4" s="76"/>
      <c r="AE4" s="77"/>
      <c r="AF4" s="48"/>
      <c r="AG4" s="49" t="str">
        <f>"CAP. " &amp; $B$4 &amp; ": " &amp; $C$4</f>
        <v xml:space="preserve">CAP. : </v>
      </c>
      <c r="AH4" s="50">
        <f>ROW($B$4)</f>
        <v>4</v>
      </c>
      <c r="AI4" s="50"/>
      <c r="AJ4" s="50"/>
      <c r="AK4" s="51"/>
      <c r="AL4" s="52"/>
      <c r="BQ4" s="70"/>
      <c r="BR4" s="70"/>
      <c r="BS4" s="70"/>
      <c r="BT4" s="70"/>
      <c r="BU4" s="70"/>
      <c r="BV4" s="70"/>
      <c r="BW4" s="70"/>
      <c r="BX4" s="70"/>
      <c r="BY4" s="70"/>
      <c r="BZ4" s="70"/>
      <c r="CA4" s="70"/>
      <c r="CB4" s="70"/>
      <c r="CC4" s="70"/>
      <c r="CD4" s="70"/>
      <c r="CE4" s="70"/>
      <c r="CF4" s="70"/>
      <c r="CG4" s="70"/>
      <c r="CH4" s="70"/>
      <c r="CI4" s="70"/>
      <c r="CJ4" s="70"/>
      <c r="CK4" s="70"/>
      <c r="CL4" s="70"/>
      <c r="CM4" s="70"/>
      <c r="CN4" s="70"/>
      <c r="CO4" s="70"/>
      <c r="CP4" s="70"/>
      <c r="CQ4" s="70"/>
      <c r="CR4" s="70"/>
      <c r="CS4" s="70"/>
      <c r="CT4" s="70"/>
      <c r="CU4" s="70"/>
      <c r="CV4" s="70"/>
      <c r="CW4" s="70"/>
      <c r="CX4" s="70"/>
      <c r="CY4" s="70"/>
      <c r="CZ4" s="70"/>
      <c r="DA4" s="70"/>
      <c r="DB4" s="70"/>
      <c r="DC4" s="70"/>
      <c r="DD4" s="70"/>
      <c r="DE4" s="70"/>
      <c r="DF4" s="70"/>
      <c r="DG4" s="70"/>
      <c r="DH4" s="70"/>
      <c r="DI4" s="70"/>
      <c r="DJ4" s="70"/>
      <c r="DK4" s="70"/>
    </row>
    <row r="5" spans="1:174" s="29" customFormat="1" ht="12.15" hidden="1" customHeight="1" thickTop="1" x14ac:dyDescent="0.3">
      <c r="A5" s="10"/>
      <c r="B5" s="59"/>
      <c r="C5" s="60"/>
      <c r="D5" s="61"/>
      <c r="E5" s="71"/>
      <c r="F5" s="72"/>
      <c r="G5" s="73"/>
      <c r="H5" s="64"/>
      <c r="I5" s="64"/>
      <c r="J5" s="64"/>
      <c r="K5" s="64"/>
      <c r="L5" s="64"/>
      <c r="M5" s="64"/>
      <c r="N5" s="74"/>
      <c r="O5" s="66"/>
      <c r="P5" s="75"/>
      <c r="Q5" s="75"/>
      <c r="R5" s="75"/>
      <c r="S5" s="75"/>
      <c r="T5" s="75"/>
      <c r="U5" s="76"/>
      <c r="V5" s="76"/>
      <c r="W5" s="76"/>
      <c r="X5" s="76"/>
      <c r="Y5" s="76"/>
      <c r="Z5" s="76"/>
      <c r="AA5" s="76"/>
      <c r="AB5" s="76"/>
      <c r="AC5" s="76"/>
      <c r="AD5" s="76"/>
      <c r="AE5" s="77"/>
      <c r="AF5" s="48"/>
      <c r="AG5" s="49"/>
      <c r="AH5" s="50"/>
      <c r="AI5" s="50"/>
      <c r="AJ5" s="50"/>
      <c r="AK5" s="51"/>
      <c r="AL5" s="52"/>
      <c r="BQ5" s="70"/>
      <c r="BR5" s="70"/>
      <c r="BS5" s="70"/>
      <c r="BT5" s="70"/>
      <c r="BU5" s="70"/>
      <c r="BV5" s="70"/>
      <c r="BW5" s="70"/>
      <c r="BX5" s="70"/>
      <c r="BY5" s="70"/>
      <c r="BZ5" s="70"/>
      <c r="CA5" s="70"/>
      <c r="CB5" s="70"/>
      <c r="CC5" s="70"/>
      <c r="CD5" s="70"/>
      <c r="CE5" s="70"/>
      <c r="CF5" s="70"/>
      <c r="CG5" s="70"/>
      <c r="CH5" s="70"/>
      <c r="CI5" s="70"/>
      <c r="CJ5" s="70"/>
      <c r="CK5" s="70"/>
      <c r="CL5" s="70"/>
      <c r="CM5" s="70"/>
      <c r="CN5" s="70"/>
      <c r="CO5" s="70"/>
      <c r="CP5" s="70"/>
      <c r="CQ5" s="70"/>
      <c r="CR5" s="70"/>
      <c r="CS5" s="70"/>
      <c r="CT5" s="70"/>
      <c r="CU5" s="70"/>
      <c r="CV5" s="70"/>
      <c r="CW5" s="70"/>
      <c r="CX5" s="70"/>
      <c r="CY5" s="70"/>
      <c r="CZ5" s="70"/>
      <c r="DA5" s="70"/>
      <c r="DB5" s="70"/>
      <c r="DC5" s="70"/>
      <c r="DD5" s="70"/>
      <c r="DE5" s="70"/>
      <c r="DF5" s="70"/>
      <c r="DG5" s="70"/>
      <c r="DH5" s="70"/>
      <c r="DI5" s="70"/>
      <c r="DJ5" s="70"/>
      <c r="DK5" s="70"/>
    </row>
    <row r="6" spans="1:174" s="29" customFormat="1" ht="12.15" hidden="1" customHeight="1" thickTop="1" x14ac:dyDescent="0.3">
      <c r="A6" s="10"/>
      <c r="B6" s="59"/>
      <c r="C6" s="60"/>
      <c r="D6" s="61"/>
      <c r="E6" s="71"/>
      <c r="F6" s="72"/>
      <c r="G6" s="73"/>
      <c r="H6" s="64"/>
      <c r="I6" s="64"/>
      <c r="J6" s="64"/>
      <c r="K6" s="64"/>
      <c r="L6" s="64"/>
      <c r="M6" s="64"/>
      <c r="N6" s="74"/>
      <c r="O6" s="66"/>
      <c r="P6" s="75"/>
      <c r="Q6" s="75"/>
      <c r="R6" s="75"/>
      <c r="S6" s="75"/>
      <c r="T6" s="75"/>
      <c r="U6" s="76"/>
      <c r="V6" s="76"/>
      <c r="W6" s="76"/>
      <c r="X6" s="76"/>
      <c r="Y6" s="76"/>
      <c r="Z6" s="76"/>
      <c r="AA6" s="76"/>
      <c r="AB6" s="76"/>
      <c r="AC6" s="76"/>
      <c r="AD6" s="76"/>
      <c r="AE6" s="77"/>
      <c r="AF6" s="48"/>
      <c r="AG6" s="49"/>
      <c r="AH6" s="50"/>
      <c r="AI6" s="50"/>
      <c r="AJ6" s="50"/>
      <c r="AK6" s="51"/>
      <c r="AL6" s="52"/>
      <c r="BQ6" s="70"/>
      <c r="BR6" s="70"/>
      <c r="BS6" s="70"/>
      <c r="BT6" s="70"/>
      <c r="BU6" s="70"/>
      <c r="BV6" s="70"/>
      <c r="BW6" s="70"/>
      <c r="BX6" s="70"/>
      <c r="BY6" s="70"/>
      <c r="BZ6" s="70"/>
      <c r="CA6" s="70"/>
      <c r="CB6" s="70"/>
      <c r="CC6" s="70"/>
      <c r="CD6" s="70"/>
      <c r="CE6" s="70"/>
      <c r="CF6" s="70"/>
      <c r="CG6" s="70"/>
      <c r="CH6" s="70"/>
      <c r="CI6" s="70"/>
      <c r="CJ6" s="70"/>
      <c r="CK6" s="70"/>
      <c r="CL6" s="70"/>
      <c r="CM6" s="70"/>
      <c r="CN6" s="70"/>
      <c r="CO6" s="70"/>
      <c r="CP6" s="70"/>
      <c r="CQ6" s="70"/>
      <c r="CR6" s="70"/>
      <c r="CS6" s="70"/>
      <c r="CT6" s="70"/>
      <c r="CU6" s="70"/>
      <c r="CV6" s="70"/>
      <c r="CW6" s="70"/>
      <c r="CX6" s="70"/>
      <c r="CY6" s="70"/>
      <c r="CZ6" s="70"/>
      <c r="DA6" s="70"/>
      <c r="DB6" s="70"/>
      <c r="DC6" s="70"/>
      <c r="DD6" s="70"/>
      <c r="DE6" s="70"/>
      <c r="DF6" s="70"/>
      <c r="DG6" s="70"/>
      <c r="DH6" s="70"/>
      <c r="DI6" s="70"/>
      <c r="DJ6" s="70"/>
      <c r="DK6" s="70"/>
    </row>
    <row r="7" spans="1:174" s="88" customFormat="1" ht="27.9" customHeight="1" thickTop="1" x14ac:dyDescent="0.3">
      <c r="A7" s="78"/>
      <c r="B7" s="547" t="s">
        <v>68</v>
      </c>
      <c r="C7" s="548"/>
      <c r="D7" s="549"/>
      <c r="E7" s="79" t="s">
        <v>69</v>
      </c>
      <c r="F7" s="80"/>
      <c r="G7" s="81"/>
      <c r="H7" s="82"/>
      <c r="I7" s="82"/>
      <c r="J7" s="82"/>
      <c r="K7" s="82"/>
      <c r="L7" s="82"/>
      <c r="M7" s="82"/>
      <c r="N7" s="82"/>
      <c r="O7" s="82"/>
      <c r="P7" s="83" t="s">
        <v>70</v>
      </c>
      <c r="Q7" s="84"/>
      <c r="R7" s="84"/>
      <c r="S7" s="84"/>
      <c r="T7" s="85"/>
      <c r="U7" s="86"/>
      <c r="V7" s="86"/>
      <c r="W7" s="86"/>
      <c r="X7" s="86"/>
      <c r="Y7" s="86"/>
      <c r="Z7" s="86"/>
      <c r="AA7" s="86"/>
      <c r="AB7" s="86"/>
      <c r="AC7" s="86"/>
      <c r="AD7" s="86"/>
      <c r="AE7" s="87"/>
      <c r="AF7" s="48"/>
      <c r="AG7" s="49"/>
      <c r="AH7" s="50"/>
      <c r="AI7" s="50"/>
      <c r="AJ7" s="50"/>
      <c r="AK7" s="51"/>
      <c r="AL7" s="52"/>
      <c r="AP7" s="89"/>
    </row>
    <row r="8" spans="1:174" s="88" customFormat="1" ht="15.6" customHeight="1" thickBot="1" x14ac:dyDescent="0.35">
      <c r="A8" s="78"/>
      <c r="B8" s="550"/>
      <c r="C8" s="551"/>
      <c r="D8" s="552"/>
      <c r="E8" s="90" t="s">
        <v>71</v>
      </c>
      <c r="F8" s="91"/>
      <c r="G8" s="92"/>
      <c r="H8" s="82"/>
      <c r="I8" s="82"/>
      <c r="J8" s="82"/>
      <c r="K8" s="82"/>
      <c r="L8" s="82"/>
      <c r="M8" s="82"/>
      <c r="N8" s="82"/>
      <c r="O8" s="82"/>
      <c r="P8" s="93" t="s">
        <v>72</v>
      </c>
      <c r="Q8" s="94" t="s">
        <v>73</v>
      </c>
      <c r="R8" s="94" t="s">
        <v>74</v>
      </c>
      <c r="S8" s="94" t="s">
        <v>75</v>
      </c>
      <c r="T8" s="95" t="s">
        <v>76</v>
      </c>
      <c r="U8" s="86"/>
      <c r="V8" s="86">
        <v>1</v>
      </c>
      <c r="W8" s="86"/>
      <c r="X8" s="86"/>
      <c r="Y8" s="86"/>
      <c r="Z8" s="86"/>
      <c r="AA8" s="86"/>
      <c r="AB8" s="86"/>
      <c r="AC8" s="86"/>
      <c r="AD8" s="86"/>
      <c r="AE8" s="87"/>
      <c r="AF8" s="48"/>
      <c r="AG8" s="49"/>
      <c r="AH8" s="50"/>
      <c r="AI8" s="50"/>
      <c r="AJ8" s="50"/>
      <c r="AK8" s="51"/>
      <c r="AL8" s="52"/>
    </row>
    <row r="9" spans="1:174" s="88" customFormat="1" ht="33" customHeight="1" x14ac:dyDescent="0.3">
      <c r="A9" s="78"/>
      <c r="B9" s="553" t="s">
        <v>77</v>
      </c>
      <c r="C9" s="555" t="s">
        <v>310</v>
      </c>
      <c r="D9" s="556"/>
      <c r="E9" s="557"/>
      <c r="F9" s="96" t="s">
        <v>78</v>
      </c>
      <c r="G9" s="97">
        <f ca="1">TODAY()</f>
        <v>45877</v>
      </c>
      <c r="H9" s="98"/>
      <c r="I9" s="98"/>
      <c r="J9" s="98"/>
      <c r="K9" s="98"/>
      <c r="L9" s="98"/>
      <c r="M9" s="98"/>
      <c r="N9" s="98"/>
      <c r="O9" s="98"/>
      <c r="P9" s="99"/>
      <c r="Q9" s="99"/>
      <c r="R9" s="99"/>
      <c r="S9" s="99"/>
      <c r="T9" s="99"/>
      <c r="U9" s="100"/>
      <c r="V9" s="100"/>
      <c r="W9" s="100"/>
      <c r="X9" s="100"/>
      <c r="Y9" s="100"/>
      <c r="Z9" s="100"/>
      <c r="AA9" s="100"/>
      <c r="AB9" s="100"/>
      <c r="AC9" s="100"/>
      <c r="AD9" s="100"/>
      <c r="AE9" s="101"/>
      <c r="AF9" s="48"/>
      <c r="AG9" s="49"/>
      <c r="AH9" s="50"/>
      <c r="AI9" s="50"/>
      <c r="AJ9" s="50"/>
      <c r="AK9" s="51"/>
      <c r="AL9" s="52"/>
    </row>
    <row r="10" spans="1:174" s="88" customFormat="1" ht="6.75" customHeight="1" thickBot="1" x14ac:dyDescent="0.35">
      <c r="A10" s="78"/>
      <c r="B10" s="554"/>
      <c r="C10" s="558"/>
      <c r="D10" s="559"/>
      <c r="E10" s="560"/>
      <c r="F10" s="3"/>
      <c r="G10" s="4"/>
      <c r="H10" s="5"/>
      <c r="I10" s="5"/>
      <c r="J10" s="5"/>
      <c r="K10" s="5"/>
      <c r="L10" s="5"/>
      <c r="M10" s="5"/>
      <c r="N10" s="5"/>
      <c r="O10" s="5"/>
      <c r="P10" s="561"/>
      <c r="Q10" s="561"/>
      <c r="R10" s="561"/>
      <c r="S10" s="561"/>
      <c r="T10" s="561"/>
      <c r="U10" s="102"/>
      <c r="V10" s="102"/>
      <c r="W10" s="102"/>
      <c r="X10" s="102"/>
      <c r="Y10" s="102"/>
      <c r="Z10" s="102"/>
      <c r="AA10" s="102"/>
      <c r="AB10" s="102"/>
      <c r="AC10" s="102"/>
      <c r="AD10" s="102"/>
      <c r="AE10" s="103"/>
      <c r="AF10" s="48"/>
      <c r="AG10" s="49"/>
      <c r="AH10" s="50"/>
      <c r="AI10" s="50"/>
      <c r="AJ10" s="50"/>
      <c r="AK10" s="51"/>
      <c r="AL10" s="52"/>
    </row>
    <row r="11" spans="1:174" s="88" customFormat="1" ht="20.100000000000001" customHeight="1" thickTop="1" x14ac:dyDescent="0.3">
      <c r="A11" s="78"/>
      <c r="B11" s="104"/>
      <c r="C11" s="105"/>
      <c r="D11" s="106"/>
      <c r="E11" s="107"/>
      <c r="F11" s="104"/>
      <c r="G11" s="108"/>
      <c r="H11" s="109"/>
      <c r="I11" s="109"/>
      <c r="J11" s="109"/>
      <c r="K11" s="109"/>
      <c r="L11" s="109"/>
      <c r="M11" s="109"/>
      <c r="N11" s="109"/>
      <c r="O11" s="109"/>
      <c r="P11" s="109"/>
      <c r="Q11" s="109"/>
      <c r="R11" s="109"/>
      <c r="S11" s="109"/>
      <c r="T11" s="109"/>
      <c r="U11" s="109"/>
      <c r="V11" s="109"/>
      <c r="W11" s="109"/>
      <c r="X11" s="109"/>
      <c r="Y11" s="109"/>
      <c r="Z11" s="109"/>
      <c r="AA11" s="109"/>
      <c r="AB11" s="109"/>
      <c r="AC11" s="109"/>
      <c r="AD11" s="109"/>
      <c r="AE11" s="110"/>
      <c r="AF11" s="48"/>
      <c r="AG11" s="49"/>
      <c r="AH11" s="50"/>
      <c r="AI11" s="50"/>
      <c r="AJ11" s="50"/>
      <c r="AK11" s="51"/>
      <c r="AL11" s="52"/>
      <c r="AN11" s="111"/>
    </row>
    <row r="12" spans="1:174" s="88" customFormat="1" ht="15.75" customHeight="1" x14ac:dyDescent="0.3">
      <c r="A12" s="112" t="s">
        <v>79</v>
      </c>
      <c r="B12" s="113" t="s">
        <v>80</v>
      </c>
      <c r="C12" s="113" t="s">
        <v>81</v>
      </c>
      <c r="D12" s="113" t="s">
        <v>82</v>
      </c>
      <c r="E12" s="113" t="s">
        <v>83</v>
      </c>
      <c r="F12" s="114" t="s">
        <v>84</v>
      </c>
      <c r="G12" s="115" t="str">
        <f>IF(N2&gt;1,"VR.  / " &amp;N1,"VR.TOTAL")</f>
        <v>VR.TOTAL</v>
      </c>
      <c r="H12" s="116" t="s">
        <v>85</v>
      </c>
      <c r="I12" s="116" t="s">
        <v>86</v>
      </c>
      <c r="J12" s="116"/>
      <c r="K12" s="116" t="s">
        <v>87</v>
      </c>
      <c r="L12" s="117" t="s">
        <v>88</v>
      </c>
      <c r="M12" s="117" t="s">
        <v>89</v>
      </c>
      <c r="N12" s="118" t="str">
        <f>"Vr.  " &amp; N2 &amp; " " &amp;N1&amp; "S"</f>
        <v>Vr.  1 CASAS</v>
      </c>
      <c r="O12" s="109"/>
      <c r="P12" s="119" t="s">
        <v>72</v>
      </c>
      <c r="Q12" s="119" t="s">
        <v>73</v>
      </c>
      <c r="R12" s="119" t="s">
        <v>74</v>
      </c>
      <c r="S12" s="119" t="s">
        <v>75</v>
      </c>
      <c r="T12" s="120" t="s">
        <v>76</v>
      </c>
      <c r="U12" s="109"/>
      <c r="V12" s="109">
        <v>1</v>
      </c>
      <c r="W12" s="109"/>
      <c r="X12" s="109"/>
      <c r="Y12" s="109"/>
      <c r="Z12" s="109"/>
      <c r="AA12" s="109"/>
      <c r="AB12" s="109"/>
      <c r="AC12" s="109"/>
      <c r="AD12" s="109"/>
      <c r="AE12" s="110"/>
      <c r="AF12" s="48"/>
      <c r="AG12" s="49"/>
      <c r="AH12" s="50"/>
      <c r="AI12" s="50"/>
      <c r="AJ12" s="50"/>
      <c r="AK12" s="51"/>
      <c r="AL12" s="52"/>
      <c r="AN12" s="111"/>
    </row>
    <row r="13" spans="1:174" ht="22.95" customHeight="1" thickBot="1" x14ac:dyDescent="0.35">
      <c r="A13" s="78"/>
      <c r="B13" s="121"/>
      <c r="C13" s="122"/>
      <c r="D13" s="123"/>
      <c r="E13" s="124"/>
      <c r="F13" s="125"/>
      <c r="G13" s="126"/>
      <c r="L13" s="127"/>
      <c r="M13" s="127"/>
      <c r="V13" s="29"/>
      <c r="AF13" s="48"/>
      <c r="AG13" s="49"/>
      <c r="AH13" s="50"/>
      <c r="AI13" s="50"/>
      <c r="AJ13" s="50"/>
      <c r="AK13" s="51"/>
      <c r="AL13" s="52"/>
    </row>
    <row r="14" spans="1:174" ht="14.4" x14ac:dyDescent="0.3">
      <c r="A14" s="128" t="s">
        <v>90</v>
      </c>
      <c r="B14" s="129">
        <v>1</v>
      </c>
      <c r="C14" s="130" t="s">
        <v>308</v>
      </c>
      <c r="D14" s="131"/>
      <c r="E14" s="131"/>
      <c r="F14" s="132"/>
      <c r="G14" s="133"/>
      <c r="H14" s="134"/>
      <c r="I14" s="135"/>
      <c r="J14" s="135"/>
      <c r="K14" s="135"/>
      <c r="L14" s="136"/>
      <c r="M14" s="136"/>
      <c r="N14" s="137">
        <f>SUM(N15:N33)</f>
        <v>22664067</v>
      </c>
      <c r="O14" s="46"/>
      <c r="P14" s="138"/>
      <c r="Q14" s="139"/>
      <c r="R14" s="139"/>
      <c r="S14" s="140"/>
      <c r="T14" s="141"/>
      <c r="U14" s="46">
        <f>IF(G14&lt;&gt;"",N14-G14*$N$2,0)</f>
        <v>0</v>
      </c>
      <c r="V14" s="142" t="s">
        <v>91</v>
      </c>
      <c r="AF14" s="48"/>
      <c r="AG14" s="49" t="str">
        <f>"CAP. " &amp; $B$14 &amp; ": " &amp; $C$14</f>
        <v>CAP. 1: OBRAS</v>
      </c>
      <c r="AH14" s="50">
        <f>ROW($B$14)</f>
        <v>14</v>
      </c>
      <c r="AI14" s="50"/>
      <c r="AJ14" s="50"/>
      <c r="AK14" s="51"/>
      <c r="AL14" s="52"/>
    </row>
    <row r="15" spans="1:174" ht="15" hidden="1" customHeight="1" thickBot="1" x14ac:dyDescent="0.35">
      <c r="A15" s="143" t="s">
        <v>92</v>
      </c>
      <c r="B15" s="350"/>
      <c r="C15" s="351"/>
      <c r="D15" s="352"/>
      <c r="E15" s="359"/>
      <c r="F15" s="360"/>
      <c r="G15" s="361"/>
      <c r="H15" s="146"/>
      <c r="I15" s="147"/>
      <c r="J15" s="148"/>
      <c r="K15" s="148"/>
      <c r="L15" s="149"/>
      <c r="M15" s="150"/>
      <c r="N15" s="151"/>
      <c r="O15" s="41"/>
      <c r="P15" s="42"/>
      <c r="Q15" s="43"/>
      <c r="R15" s="43"/>
      <c r="S15" s="44"/>
      <c r="T15" s="45"/>
      <c r="U15" s="46"/>
      <c r="V15" s="29"/>
      <c r="AF15" s="48"/>
      <c r="AG15" s="49" t="str">
        <f>"CAP. " &amp; $B$14 &amp; ": " &amp; $C$14</f>
        <v>CAP. 1: OBRAS</v>
      </c>
      <c r="AH15" s="50">
        <f>ROW($B$14)</f>
        <v>14</v>
      </c>
      <c r="AI15" s="50"/>
      <c r="AJ15" s="50"/>
      <c r="AK15" s="51"/>
      <c r="AL15" s="52"/>
    </row>
    <row r="16" spans="1:174" ht="15" customHeight="1" x14ac:dyDescent="0.3">
      <c r="A16" s="152" t="s">
        <v>93</v>
      </c>
      <c r="B16" s="357" t="s">
        <v>311</v>
      </c>
      <c r="C16" s="354" t="s">
        <v>94</v>
      </c>
      <c r="D16" s="358" t="s">
        <v>95</v>
      </c>
      <c r="E16" s="526">
        <v>120</v>
      </c>
      <c r="F16" s="362">
        <f>+ANALISIS!H27</f>
        <v>1692</v>
      </c>
      <c r="G16" s="362">
        <f>+ROUND(F16*E16,0)</f>
        <v>203040</v>
      </c>
      <c r="H16" s="146" t="e">
        <f>ANALISIS!#REF!</f>
        <v>#REF!</v>
      </c>
      <c r="I16" s="147" t="e">
        <f>ANALISIS!#REF!</f>
        <v>#REF!</v>
      </c>
      <c r="J16" s="148">
        <v>1</v>
      </c>
      <c r="K16" s="148"/>
      <c r="L16" s="149" t="e">
        <f t="shared" ref="L16" si="0">ROUND(I16 * E16,$J$2)</f>
        <v>#REF!</v>
      </c>
      <c r="M16" s="150" t="e">
        <f t="shared" ref="M16" si="1">ROUND(H16 * E16,$J$2)</f>
        <v>#REF!</v>
      </c>
      <c r="N16" s="157">
        <f t="shared" ref="N16" si="2">G16*$N$2</f>
        <v>203040</v>
      </c>
      <c r="O16" s="41"/>
      <c r="P16" s="42" t="e">
        <f>ROUND(ANALISIS!#REF!*E16,0)</f>
        <v>#REF!</v>
      </c>
      <c r="Q16" s="43" t="e">
        <f>ROUND(ANALISIS!#REF!*E16,0)</f>
        <v>#REF!</v>
      </c>
      <c r="R16" s="43" t="e">
        <f>ROUND(ANALISIS!#REF!*E16,0)</f>
        <v>#REF!</v>
      </c>
      <c r="S16" s="44" t="e">
        <f>ROUND(ANALISIS!#REF!*E16,0)</f>
        <v>#REF!</v>
      </c>
      <c r="T16" s="45" t="e">
        <f t="shared" ref="T16" si="3">P16+Q16+R16+S16</f>
        <v>#REF!</v>
      </c>
      <c r="U16" s="46"/>
      <c r="V16" s="29"/>
      <c r="AF16" s="48"/>
      <c r="AG16" s="49" t="str">
        <f t="shared" ref="AG16:AG33" si="4">"CAP. " &amp; $B$14 &amp; ": " &amp; $C$14</f>
        <v>CAP. 1: OBRAS</v>
      </c>
      <c r="AH16" s="50">
        <f t="shared" ref="AH16:AH33" si="5">ROW($B$14)</f>
        <v>14</v>
      </c>
      <c r="AI16" s="50"/>
      <c r="AJ16" s="50"/>
      <c r="AK16" s="51"/>
      <c r="AL16" s="52"/>
    </row>
    <row r="17" spans="1:43" ht="27.6" hidden="1" x14ac:dyDescent="0.3">
      <c r="A17" s="158" t="s">
        <v>96</v>
      </c>
      <c r="B17" s="353">
        <v>1.2</v>
      </c>
      <c r="C17" s="354" t="s">
        <v>180</v>
      </c>
      <c r="D17" s="355" t="s">
        <v>185</v>
      </c>
      <c r="E17" s="527">
        <v>0</v>
      </c>
      <c r="F17" s="356">
        <f>+[1]ANALISIS!H47</f>
        <v>11370</v>
      </c>
      <c r="G17" s="362">
        <f t="shared" ref="G17:G18" si="6">+ROUND(F17*E17,0)</f>
        <v>0</v>
      </c>
      <c r="H17" s="36" t="e">
        <f>ANALISIS!#REF!</f>
        <v>#REF!</v>
      </c>
      <c r="I17" s="37" t="e">
        <f>ANALISIS!#REF!</f>
        <v>#REF!</v>
      </c>
      <c r="J17" s="37">
        <v>1</v>
      </c>
      <c r="K17" s="37" t="e">
        <f>ROUNDUP((ANALISIS!#REF!/8)/$J$17,0)</f>
        <v>#REF!</v>
      </c>
      <c r="L17" s="38" t="e">
        <f>ROUND(I17 * E17,$J$2)</f>
        <v>#REF!</v>
      </c>
      <c r="M17" s="39" t="e">
        <f>ROUND(H17 * E17,$J$2)</f>
        <v>#REF!</v>
      </c>
      <c r="N17" s="40">
        <f>G17*$N$2</f>
        <v>0</v>
      </c>
      <c r="O17" s="41"/>
      <c r="P17" s="42" t="e">
        <f>ROUND(ANALISIS!#REF!*E17,0)</f>
        <v>#REF!</v>
      </c>
      <c r="Q17" s="43" t="e">
        <f>ROUND(ANALISIS!#REF!*E17,0)</f>
        <v>#REF!</v>
      </c>
      <c r="R17" s="43" t="e">
        <f>ROUND(ANALISIS!#REF!*E17,0)</f>
        <v>#REF!</v>
      </c>
      <c r="S17" s="44"/>
      <c r="T17" s="45" t="e">
        <f>P17+Q17+R17+S17</f>
        <v>#REF!</v>
      </c>
      <c r="U17" s="46"/>
      <c r="V17" s="29"/>
      <c r="AF17" s="48"/>
      <c r="AG17" s="49" t="str">
        <f t="shared" si="4"/>
        <v>CAP. 1: OBRAS</v>
      </c>
      <c r="AH17" s="50">
        <f t="shared" si="5"/>
        <v>14</v>
      </c>
      <c r="AI17" s="50"/>
      <c r="AJ17" s="50"/>
      <c r="AK17" s="51"/>
      <c r="AL17" s="52"/>
    </row>
    <row r="18" spans="1:43" ht="35.25" hidden="1" customHeight="1" x14ac:dyDescent="0.3">
      <c r="A18" s="158" t="s">
        <v>98</v>
      </c>
      <c r="B18" s="353">
        <v>1.3</v>
      </c>
      <c r="C18" s="354" t="s">
        <v>186</v>
      </c>
      <c r="D18" s="355" t="s">
        <v>185</v>
      </c>
      <c r="E18" s="527">
        <v>0</v>
      </c>
      <c r="F18" s="356">
        <f>+[1]ANALISIS!H76</f>
        <v>44323</v>
      </c>
      <c r="G18" s="362">
        <f t="shared" si="6"/>
        <v>0</v>
      </c>
      <c r="H18" s="36" t="e">
        <f>ANALISIS!#REF!</f>
        <v>#REF!</v>
      </c>
      <c r="I18" s="37" t="e">
        <f>ANALISIS!#REF!</f>
        <v>#REF!</v>
      </c>
      <c r="J18" s="37">
        <v>1</v>
      </c>
      <c r="K18" s="37" t="e">
        <f>ROUNDUP((ANALISIS!#REF!/8)/$J$18,0)</f>
        <v>#REF!</v>
      </c>
      <c r="L18" s="38" t="e">
        <f>ROUND(I18 * E18,$J$2)</f>
        <v>#REF!</v>
      </c>
      <c r="M18" s="39" t="e">
        <f>ROUND(H18 * E18,$J$2)</f>
        <v>#REF!</v>
      </c>
      <c r="N18" s="40">
        <f>G18*$N$2</f>
        <v>0</v>
      </c>
      <c r="O18" s="41"/>
      <c r="P18" s="42" t="e">
        <f>ROUND(ANALISIS!#REF!*E18,0)</f>
        <v>#REF!</v>
      </c>
      <c r="Q18" s="43" t="e">
        <f>ROUND(ANALISIS!#REF!*E18,0)</f>
        <v>#REF!</v>
      </c>
      <c r="R18" s="43" t="e">
        <f>ROUND(ANALISIS!#REF!*E18,0)</f>
        <v>#REF!</v>
      </c>
      <c r="S18" s="44"/>
      <c r="T18" s="45" t="e">
        <f>P18+Q18+R18+S18</f>
        <v>#REF!</v>
      </c>
      <c r="U18" s="46"/>
      <c r="V18" s="29"/>
      <c r="AF18" s="48"/>
      <c r="AG18" s="49" t="str">
        <f t="shared" si="4"/>
        <v>CAP. 1: OBRAS</v>
      </c>
      <c r="AH18" s="50">
        <f t="shared" si="5"/>
        <v>14</v>
      </c>
      <c r="AI18" s="50"/>
      <c r="AJ18" s="50"/>
      <c r="AK18" s="51"/>
      <c r="AL18" s="52"/>
    </row>
    <row r="19" spans="1:43" ht="35.25" customHeight="1" x14ac:dyDescent="0.3">
      <c r="A19" s="158"/>
      <c r="B19" s="353" t="s">
        <v>312</v>
      </c>
      <c r="C19" s="354" t="s">
        <v>180</v>
      </c>
      <c r="D19" s="355" t="s">
        <v>185</v>
      </c>
      <c r="E19" s="527">
        <f>120+160+16</f>
        <v>296</v>
      </c>
      <c r="F19" s="356">
        <f>+ANALISIS!H47</f>
        <v>11370</v>
      </c>
      <c r="G19" s="362">
        <f t="shared" ref="G19:G26" si="7">+ROUND(F19*E19,0)</f>
        <v>3365520</v>
      </c>
      <c r="H19" s="36"/>
      <c r="I19" s="37"/>
      <c r="J19" s="37"/>
      <c r="K19" s="37"/>
      <c r="L19" s="38"/>
      <c r="M19" s="39"/>
      <c r="N19" s="40"/>
      <c r="O19" s="41"/>
      <c r="P19" s="42"/>
      <c r="Q19" s="43"/>
      <c r="R19" s="43"/>
      <c r="S19" s="44"/>
      <c r="T19" s="45"/>
      <c r="U19" s="46"/>
      <c r="V19" s="29"/>
      <c r="AF19" s="48"/>
      <c r="AG19" s="49"/>
      <c r="AH19" s="50"/>
      <c r="AI19" s="50"/>
      <c r="AJ19" s="50"/>
      <c r="AK19" s="51"/>
      <c r="AL19" s="52"/>
    </row>
    <row r="20" spans="1:43" ht="27.6" x14ac:dyDescent="0.3">
      <c r="A20" s="158"/>
      <c r="B20" s="353" t="s">
        <v>313</v>
      </c>
      <c r="C20" s="354" t="s">
        <v>186</v>
      </c>
      <c r="D20" s="355" t="s">
        <v>185</v>
      </c>
      <c r="E20" s="527">
        <f>+E19</f>
        <v>296</v>
      </c>
      <c r="F20" s="356">
        <f>+ANALISIS!H76</f>
        <v>44323</v>
      </c>
      <c r="G20" s="362">
        <f t="shared" si="7"/>
        <v>13119608</v>
      </c>
      <c r="H20" s="36"/>
      <c r="I20" s="37"/>
      <c r="J20" s="37"/>
      <c r="K20" s="37"/>
      <c r="L20" s="38"/>
      <c r="M20" s="39"/>
      <c r="N20" s="40"/>
      <c r="O20" s="41"/>
      <c r="P20" s="42"/>
      <c r="Q20" s="43"/>
      <c r="R20" s="43"/>
      <c r="S20" s="44"/>
      <c r="T20" s="45"/>
      <c r="U20" s="46"/>
      <c r="V20" s="29"/>
      <c r="AF20" s="48"/>
      <c r="AG20" s="49"/>
      <c r="AH20" s="50"/>
      <c r="AI20" s="50"/>
      <c r="AJ20" s="50"/>
      <c r="AK20" s="51"/>
      <c r="AL20" s="52"/>
    </row>
    <row r="21" spans="1:43" ht="27.6" x14ac:dyDescent="0.3">
      <c r="A21" s="158"/>
      <c r="B21" s="353" t="s">
        <v>314</v>
      </c>
      <c r="C21" s="354" t="s">
        <v>329</v>
      </c>
      <c r="D21" s="355" t="s">
        <v>95</v>
      </c>
      <c r="E21" s="527">
        <f>25+7+85</f>
        <v>117</v>
      </c>
      <c r="F21" s="356">
        <f>+ANALISIS!H98</f>
        <v>27729</v>
      </c>
      <c r="G21" s="362">
        <f t="shared" si="7"/>
        <v>3244293</v>
      </c>
      <c r="H21" s="36"/>
      <c r="I21" s="37"/>
      <c r="J21" s="37"/>
      <c r="K21" s="37"/>
      <c r="L21" s="38"/>
      <c r="M21" s="39"/>
      <c r="N21" s="40"/>
      <c r="O21" s="41"/>
      <c r="P21" s="42"/>
      <c r="Q21" s="43"/>
      <c r="R21" s="43"/>
      <c r="S21" s="44"/>
      <c r="T21" s="45"/>
      <c r="U21" s="46"/>
      <c r="V21" s="29"/>
      <c r="AF21" s="48"/>
      <c r="AG21" s="49"/>
      <c r="AH21" s="50"/>
      <c r="AI21" s="50"/>
      <c r="AJ21" s="50"/>
      <c r="AK21" s="51"/>
      <c r="AL21" s="52"/>
      <c r="AP21" s="411"/>
      <c r="AQ21" s="411"/>
    </row>
    <row r="22" spans="1:43" ht="27.6" x14ac:dyDescent="0.3">
      <c r="A22" s="158"/>
      <c r="B22" s="353" t="s">
        <v>315</v>
      </c>
      <c r="C22" s="354" t="s">
        <v>246</v>
      </c>
      <c r="D22" s="355" t="s">
        <v>185</v>
      </c>
      <c r="E22" s="527">
        <f>295+5*6.5</f>
        <v>327.5</v>
      </c>
      <c r="F22" s="356">
        <f>+ANALISIS!H125</f>
        <v>9619</v>
      </c>
      <c r="G22" s="362">
        <f t="shared" si="7"/>
        <v>3150223</v>
      </c>
      <c r="H22" s="36"/>
      <c r="I22" s="37"/>
      <c r="J22" s="37"/>
      <c r="K22" s="37"/>
      <c r="L22" s="38"/>
      <c r="M22" s="39"/>
      <c r="N22" s="40"/>
      <c r="O22" s="41"/>
      <c r="P22" s="42"/>
      <c r="Q22" s="43"/>
      <c r="R22" s="43"/>
      <c r="S22" s="44"/>
      <c r="T22" s="45"/>
      <c r="U22" s="46"/>
      <c r="V22" s="29"/>
      <c r="AF22" s="48"/>
      <c r="AG22" s="49"/>
      <c r="AH22" s="50"/>
      <c r="AI22" s="50"/>
      <c r="AJ22" s="50"/>
      <c r="AK22" s="51"/>
      <c r="AL22" s="52"/>
      <c r="AP22" s="411"/>
      <c r="AQ22" s="411"/>
    </row>
    <row r="23" spans="1:43" ht="27.6" x14ac:dyDescent="0.3">
      <c r="A23" s="158"/>
      <c r="B23" s="353" t="s">
        <v>316</v>
      </c>
      <c r="C23" s="354" t="s">
        <v>262</v>
      </c>
      <c r="D23" s="355" t="s">
        <v>185</v>
      </c>
      <c r="E23" s="527">
        <v>295</v>
      </c>
      <c r="F23" s="356">
        <f>+ANALISIS!H156</f>
        <v>69631</v>
      </c>
      <c r="G23" s="362">
        <f t="shared" si="7"/>
        <v>20541145</v>
      </c>
      <c r="H23" s="36"/>
      <c r="I23" s="37"/>
      <c r="J23" s="37"/>
      <c r="K23" s="37"/>
      <c r="L23" s="38"/>
      <c r="M23" s="39"/>
      <c r="N23" s="40"/>
      <c r="O23" s="41"/>
      <c r="P23" s="42"/>
      <c r="Q23" s="43"/>
      <c r="R23" s="43"/>
      <c r="S23" s="44"/>
      <c r="T23" s="45"/>
      <c r="U23" s="46"/>
      <c r="V23" s="29"/>
      <c r="AF23" s="48"/>
      <c r="AG23" s="49"/>
      <c r="AH23" s="50"/>
      <c r="AI23" s="50"/>
      <c r="AJ23" s="50"/>
      <c r="AK23" s="51"/>
      <c r="AL23" s="52"/>
      <c r="AP23" s="411"/>
      <c r="AQ23" s="411"/>
    </row>
    <row r="24" spans="1:43" ht="27.6" x14ac:dyDescent="0.3">
      <c r="A24" s="158"/>
      <c r="B24" s="353" t="s">
        <v>317</v>
      </c>
      <c r="C24" s="354" t="s">
        <v>274</v>
      </c>
      <c r="D24" s="355" t="s">
        <v>185</v>
      </c>
      <c r="E24" s="527">
        <v>150</v>
      </c>
      <c r="F24" s="356">
        <f>+ANALISIS!H183</f>
        <v>57283</v>
      </c>
      <c r="G24" s="362">
        <f t="shared" ref="G24" si="8">+ROUND(F24*E24,0)</f>
        <v>8592450</v>
      </c>
      <c r="H24" s="36"/>
      <c r="I24" s="37"/>
      <c r="J24" s="37"/>
      <c r="K24" s="37"/>
      <c r="L24" s="38"/>
      <c r="M24" s="39"/>
      <c r="N24" s="40"/>
      <c r="O24" s="41"/>
      <c r="P24" s="42"/>
      <c r="Q24" s="43"/>
      <c r="R24" s="43"/>
      <c r="S24" s="44"/>
      <c r="T24" s="45"/>
      <c r="U24" s="46"/>
      <c r="V24" s="29"/>
      <c r="AF24" s="48"/>
      <c r="AG24" s="49"/>
      <c r="AH24" s="50"/>
      <c r="AI24" s="50"/>
      <c r="AJ24" s="50"/>
      <c r="AK24" s="51"/>
      <c r="AL24" s="52"/>
      <c r="AP24" s="411"/>
      <c r="AQ24" s="411"/>
    </row>
    <row r="25" spans="1:43" ht="27.6" x14ac:dyDescent="0.3">
      <c r="A25" s="158" t="s">
        <v>99</v>
      </c>
      <c r="B25" s="353" t="s">
        <v>318</v>
      </c>
      <c r="C25" s="354" t="s">
        <v>239</v>
      </c>
      <c r="D25" s="355" t="s">
        <v>82</v>
      </c>
      <c r="E25" s="529">
        <v>50</v>
      </c>
      <c r="F25" s="410">
        <f>+ANALISIS!H203</f>
        <v>39175</v>
      </c>
      <c r="G25" s="362">
        <f t="shared" si="7"/>
        <v>1958750</v>
      </c>
      <c r="H25" s="36" t="e">
        <f>ANALISIS!#REF!</f>
        <v>#REF!</v>
      </c>
      <c r="I25" s="37" t="e">
        <f>ANALISIS!#REF!</f>
        <v>#REF!</v>
      </c>
      <c r="J25" s="37">
        <v>1</v>
      </c>
      <c r="K25" s="37" t="e">
        <f>ROUNDUP((ANALISIS!#REF!/8)/$J$27,0)</f>
        <v>#REF!</v>
      </c>
      <c r="L25" s="38" t="e">
        <f t="shared" ref="L25:L30" si="9">ROUND(I25 * E25,$J$2)</f>
        <v>#REF!</v>
      </c>
      <c r="M25" s="39" t="e">
        <f t="shared" ref="M25:M30" si="10">ROUND(H25 * E25,$J$2)</f>
        <v>#REF!</v>
      </c>
      <c r="N25" s="40">
        <f t="shared" ref="N25:N30" si="11">G25*$N$2</f>
        <v>1958750</v>
      </c>
      <c r="O25" s="41"/>
      <c r="P25" s="42" t="e">
        <f>ROUND(ANALISIS!#REF!*E25,0)</f>
        <v>#REF!</v>
      </c>
      <c r="Q25" s="43" t="e">
        <f>ROUND(ANALISIS!#REF!*E25,0)</f>
        <v>#REF!</v>
      </c>
      <c r="R25" s="43" t="e">
        <f>ROUND(ANALISIS!#REF!*E25,0)</f>
        <v>#REF!</v>
      </c>
      <c r="S25" s="44" t="e">
        <f>ROUND(ANALISIS!#REF!*E25,0)</f>
        <v>#REF!</v>
      </c>
      <c r="T25" s="45" t="e">
        <f t="shared" ref="T25:T30" si="12">P25+Q25+R25+S25</f>
        <v>#REF!</v>
      </c>
      <c r="U25" s="46"/>
      <c r="V25" s="29"/>
      <c r="AF25" s="48"/>
      <c r="AG25" s="49" t="str">
        <f t="shared" si="4"/>
        <v>CAP. 1: OBRAS</v>
      </c>
      <c r="AH25" s="50">
        <f t="shared" si="5"/>
        <v>14</v>
      </c>
      <c r="AI25" s="50"/>
      <c r="AJ25" s="50"/>
      <c r="AK25" s="51"/>
      <c r="AL25" s="52"/>
    </row>
    <row r="26" spans="1:43" ht="27.6" x14ac:dyDescent="0.3">
      <c r="A26" s="158" t="s">
        <v>99</v>
      </c>
      <c r="B26" s="353" t="s">
        <v>319</v>
      </c>
      <c r="C26" s="354" t="s">
        <v>257</v>
      </c>
      <c r="D26" s="355" t="s">
        <v>185</v>
      </c>
      <c r="E26" s="530">
        <v>310.39693999999997</v>
      </c>
      <c r="F26" s="410">
        <f>+ANALISIS!H227</f>
        <v>14848</v>
      </c>
      <c r="G26" s="362">
        <f t="shared" si="7"/>
        <v>4608774</v>
      </c>
      <c r="H26" s="36" t="e">
        <f>ANALISIS!#REF!</f>
        <v>#REF!</v>
      </c>
      <c r="I26" s="37" t="e">
        <f>ANALISIS!#REF!</f>
        <v>#REF!</v>
      </c>
      <c r="J26" s="37">
        <v>1</v>
      </c>
      <c r="K26" s="37" t="e">
        <f>ROUNDUP((ANALISIS!#REF!/8)/$J$27,0)</f>
        <v>#REF!</v>
      </c>
      <c r="L26" s="38" t="e">
        <f t="shared" si="9"/>
        <v>#REF!</v>
      </c>
      <c r="M26" s="39" t="e">
        <f t="shared" si="10"/>
        <v>#REF!</v>
      </c>
      <c r="N26" s="40">
        <f t="shared" si="11"/>
        <v>4608774</v>
      </c>
      <c r="O26" s="41"/>
      <c r="P26" s="42" t="e">
        <f>ROUND(ANALISIS!#REF!*E26,0)</f>
        <v>#REF!</v>
      </c>
      <c r="Q26" s="43" t="e">
        <f>ROUND(ANALISIS!#REF!*E26,0)</f>
        <v>#REF!</v>
      </c>
      <c r="R26" s="43" t="e">
        <f>ROUND(ANALISIS!#REF!*E26,0)</f>
        <v>#REF!</v>
      </c>
      <c r="S26" s="44" t="e">
        <f>ROUND(ANALISIS!#REF!*E26,0)</f>
        <v>#REF!</v>
      </c>
      <c r="T26" s="45" t="e">
        <f t="shared" si="12"/>
        <v>#REF!</v>
      </c>
      <c r="U26" s="46"/>
      <c r="V26" s="29"/>
      <c r="AF26" s="48"/>
      <c r="AG26" s="49" t="str">
        <f t="shared" si="4"/>
        <v>CAP. 1: OBRAS</v>
      </c>
      <c r="AH26" s="50">
        <f t="shared" si="5"/>
        <v>14</v>
      </c>
      <c r="AI26" s="50"/>
      <c r="AJ26" s="50"/>
      <c r="AK26" s="51"/>
      <c r="AL26" s="52"/>
    </row>
    <row r="27" spans="1:43" ht="27.6" x14ac:dyDescent="0.3">
      <c r="A27" s="158" t="s">
        <v>99</v>
      </c>
      <c r="B27" s="353" t="s">
        <v>320</v>
      </c>
      <c r="C27" s="354" t="s">
        <v>261</v>
      </c>
      <c r="D27" s="355" t="s">
        <v>95</v>
      </c>
      <c r="E27" s="527">
        <v>250</v>
      </c>
      <c r="F27" s="410">
        <f>+ANALISIS!H271</f>
        <v>12660</v>
      </c>
      <c r="G27" s="362">
        <f t="shared" ref="G27:G33" si="13">+F27*E27</f>
        <v>3165000</v>
      </c>
      <c r="H27" s="36" t="e">
        <f>ANALISIS!#REF!</f>
        <v>#REF!</v>
      </c>
      <c r="I27" s="37" t="e">
        <f>ANALISIS!#REF!</f>
        <v>#REF!</v>
      </c>
      <c r="J27" s="37">
        <v>1</v>
      </c>
      <c r="K27" s="37" t="e">
        <f>ROUNDUP((ANALISIS!#REF!/8)/$J$27,0)</f>
        <v>#REF!</v>
      </c>
      <c r="L27" s="38" t="e">
        <f t="shared" si="9"/>
        <v>#REF!</v>
      </c>
      <c r="M27" s="39" t="e">
        <f t="shared" si="10"/>
        <v>#REF!</v>
      </c>
      <c r="N27" s="40">
        <f t="shared" si="11"/>
        <v>3165000</v>
      </c>
      <c r="O27" s="41"/>
      <c r="P27" s="42" t="e">
        <f>ROUND(ANALISIS!#REF!*E27,0)</f>
        <v>#REF!</v>
      </c>
      <c r="Q27" s="43" t="e">
        <f>ROUND(ANALISIS!#REF!*E27,0)</f>
        <v>#REF!</v>
      </c>
      <c r="R27" s="43" t="e">
        <f>ROUND(ANALISIS!#REF!*E27,0)</f>
        <v>#REF!</v>
      </c>
      <c r="S27" s="44" t="e">
        <f>ROUND(ANALISIS!#REF!*E27,0)</f>
        <v>#REF!</v>
      </c>
      <c r="T27" s="45" t="e">
        <f t="shared" si="12"/>
        <v>#REF!</v>
      </c>
      <c r="U27" s="46"/>
      <c r="V27" s="29"/>
      <c r="AF27" s="48"/>
      <c r="AG27" s="49" t="str">
        <f t="shared" si="4"/>
        <v>CAP. 1: OBRAS</v>
      </c>
      <c r="AH27" s="50">
        <f t="shared" si="5"/>
        <v>14</v>
      </c>
      <c r="AI27" s="50"/>
      <c r="AJ27" s="50"/>
      <c r="AK27" s="51"/>
      <c r="AL27" s="52"/>
    </row>
    <row r="28" spans="1:43" ht="27.6" x14ac:dyDescent="0.3">
      <c r="A28" s="158" t="s">
        <v>99</v>
      </c>
      <c r="B28" s="353" t="s">
        <v>321</v>
      </c>
      <c r="C28" s="354" t="s">
        <v>256</v>
      </c>
      <c r="D28" s="355" t="s">
        <v>82</v>
      </c>
      <c r="E28" s="527">
        <f>20+15</f>
        <v>35</v>
      </c>
      <c r="F28" s="410">
        <f>+ANALISIS!H293</f>
        <v>61912</v>
      </c>
      <c r="G28" s="362">
        <f t="shared" si="13"/>
        <v>2166920</v>
      </c>
      <c r="H28" s="36" t="e">
        <f>ANALISIS!#REF!</f>
        <v>#REF!</v>
      </c>
      <c r="I28" s="37" t="e">
        <f>ANALISIS!#REF!</f>
        <v>#REF!</v>
      </c>
      <c r="J28" s="37">
        <v>1</v>
      </c>
      <c r="K28" s="37" t="e">
        <f>ROUNDUP((ANALISIS!#REF!/8)/$J$27,0)</f>
        <v>#REF!</v>
      </c>
      <c r="L28" s="38" t="e">
        <f t="shared" si="9"/>
        <v>#REF!</v>
      </c>
      <c r="M28" s="39" t="e">
        <f t="shared" si="10"/>
        <v>#REF!</v>
      </c>
      <c r="N28" s="40">
        <f t="shared" si="11"/>
        <v>2166920</v>
      </c>
      <c r="O28" s="41"/>
      <c r="P28" s="42" t="e">
        <f>ROUND(ANALISIS!#REF!*E28,0)</f>
        <v>#REF!</v>
      </c>
      <c r="Q28" s="43" t="e">
        <f>ROUND(ANALISIS!#REF!*E28,0)</f>
        <v>#REF!</v>
      </c>
      <c r="R28" s="43" t="e">
        <f>ROUND(ANALISIS!#REF!*E28,0)</f>
        <v>#REF!</v>
      </c>
      <c r="S28" s="44" t="e">
        <f>ROUND(ANALISIS!#REF!*E28,0)</f>
        <v>#REF!</v>
      </c>
      <c r="T28" s="45" t="e">
        <f t="shared" si="12"/>
        <v>#REF!</v>
      </c>
      <c r="U28" s="46"/>
      <c r="V28" s="29"/>
      <c r="AF28" s="48"/>
      <c r="AG28" s="49" t="str">
        <f t="shared" si="4"/>
        <v>CAP. 1: OBRAS</v>
      </c>
      <c r="AH28" s="50">
        <f t="shared" si="5"/>
        <v>14</v>
      </c>
      <c r="AI28" s="50"/>
      <c r="AJ28" s="50"/>
      <c r="AK28" s="51"/>
      <c r="AL28" s="52"/>
    </row>
    <row r="29" spans="1:43" ht="55.2" x14ac:dyDescent="0.3">
      <c r="A29" s="158" t="s">
        <v>99</v>
      </c>
      <c r="B29" s="353" t="s">
        <v>322</v>
      </c>
      <c r="C29" s="354" t="s">
        <v>331</v>
      </c>
      <c r="D29" s="355" t="s">
        <v>82</v>
      </c>
      <c r="E29" s="527">
        <v>8</v>
      </c>
      <c r="F29" s="410">
        <f>+ANALISIS!H316</f>
        <v>18167</v>
      </c>
      <c r="G29" s="362">
        <f t="shared" si="13"/>
        <v>145336</v>
      </c>
      <c r="H29" s="36" t="e">
        <f>ANALISIS!#REF!</f>
        <v>#REF!</v>
      </c>
      <c r="I29" s="37" t="e">
        <f>ANALISIS!#REF!</f>
        <v>#REF!</v>
      </c>
      <c r="J29" s="37">
        <v>1</v>
      </c>
      <c r="K29" s="37" t="e">
        <f>ROUNDUP((ANALISIS!#REF!/8)/$J$27,0)</f>
        <v>#REF!</v>
      </c>
      <c r="L29" s="38" t="e">
        <f t="shared" si="9"/>
        <v>#REF!</v>
      </c>
      <c r="M29" s="39" t="e">
        <f t="shared" si="10"/>
        <v>#REF!</v>
      </c>
      <c r="N29" s="40">
        <f t="shared" si="11"/>
        <v>145336</v>
      </c>
      <c r="O29" s="41"/>
      <c r="P29" s="42" t="e">
        <f>ROUND(ANALISIS!#REF!*E29,0)</f>
        <v>#REF!</v>
      </c>
      <c r="Q29" s="43" t="e">
        <f>ROUND(ANALISIS!#REF!*E29,0)</f>
        <v>#REF!</v>
      </c>
      <c r="R29" s="43" t="e">
        <f>ROUND(ANALISIS!#REF!*E29,0)</f>
        <v>#REF!</v>
      </c>
      <c r="S29" s="44" t="e">
        <f>ROUND(ANALISIS!#REF!*E29,0)</f>
        <v>#REF!</v>
      </c>
      <c r="T29" s="45" t="e">
        <f t="shared" si="12"/>
        <v>#REF!</v>
      </c>
      <c r="U29" s="46"/>
      <c r="V29" s="29"/>
      <c r="AF29" s="48"/>
      <c r="AG29" s="49" t="str">
        <f t="shared" si="4"/>
        <v>CAP. 1: OBRAS</v>
      </c>
      <c r="AH29" s="50">
        <f t="shared" si="5"/>
        <v>14</v>
      </c>
      <c r="AI29" s="50"/>
      <c r="AJ29" s="50"/>
      <c r="AK29" s="51"/>
      <c r="AL29" s="52"/>
    </row>
    <row r="30" spans="1:43" ht="27.6" x14ac:dyDescent="0.3">
      <c r="A30" s="158" t="s">
        <v>99</v>
      </c>
      <c r="B30" s="353" t="s">
        <v>323</v>
      </c>
      <c r="C30" s="354" t="s">
        <v>258</v>
      </c>
      <c r="D30" s="504" t="s">
        <v>82</v>
      </c>
      <c r="E30" s="528">
        <v>1</v>
      </c>
      <c r="F30" s="505">
        <f>+ANALISIS!H358</f>
        <v>975127</v>
      </c>
      <c r="G30" s="362">
        <f t="shared" si="13"/>
        <v>975127</v>
      </c>
      <c r="H30" s="36" t="e">
        <f>ANALISIS!#REF!</f>
        <v>#REF!</v>
      </c>
      <c r="I30" s="37" t="e">
        <f>ANALISIS!#REF!</f>
        <v>#REF!</v>
      </c>
      <c r="J30" s="37">
        <v>1</v>
      </c>
      <c r="K30" s="37" t="e">
        <f>ROUNDUP((ANALISIS!#REF!/8)/$J$27,0)</f>
        <v>#REF!</v>
      </c>
      <c r="L30" s="38" t="e">
        <f t="shared" si="9"/>
        <v>#REF!</v>
      </c>
      <c r="M30" s="39" t="e">
        <f t="shared" si="10"/>
        <v>#REF!</v>
      </c>
      <c r="N30" s="40">
        <f t="shared" si="11"/>
        <v>975127</v>
      </c>
      <c r="O30" s="41"/>
      <c r="P30" s="42" t="e">
        <f>ROUND(ANALISIS!#REF!*E30,0)</f>
        <v>#REF!</v>
      </c>
      <c r="Q30" s="43" t="e">
        <f>ROUND(ANALISIS!#REF!*E30,0)</f>
        <v>#REF!</v>
      </c>
      <c r="R30" s="43" t="e">
        <f>ROUND(ANALISIS!#REF!*E30,0)</f>
        <v>#REF!</v>
      </c>
      <c r="S30" s="44" t="e">
        <f>ROUND(ANALISIS!#REF!*E30,0)</f>
        <v>#REF!</v>
      </c>
      <c r="T30" s="45" t="e">
        <f t="shared" si="12"/>
        <v>#REF!</v>
      </c>
      <c r="U30" s="46"/>
      <c r="V30" s="29"/>
      <c r="AF30" s="48"/>
      <c r="AG30" s="49" t="str">
        <f t="shared" si="4"/>
        <v>CAP. 1: OBRAS</v>
      </c>
      <c r="AH30" s="50">
        <f t="shared" si="5"/>
        <v>14</v>
      </c>
      <c r="AI30" s="50"/>
      <c r="AJ30" s="50"/>
      <c r="AK30" s="51"/>
      <c r="AL30" s="52"/>
    </row>
    <row r="31" spans="1:43" ht="55.2" x14ac:dyDescent="0.3">
      <c r="A31" s="158" t="s">
        <v>99</v>
      </c>
      <c r="B31" s="353" t="s">
        <v>324</v>
      </c>
      <c r="C31" s="354" t="s">
        <v>332</v>
      </c>
      <c r="D31" s="504" t="s">
        <v>82</v>
      </c>
      <c r="E31" s="528">
        <v>1</v>
      </c>
      <c r="F31" s="505">
        <f>+ANALISIS!H390</f>
        <v>4885416</v>
      </c>
      <c r="G31" s="362">
        <f t="shared" si="13"/>
        <v>4885416</v>
      </c>
      <c r="H31" s="36" t="e">
        <f>ANALISIS!#REF!</f>
        <v>#REF!</v>
      </c>
      <c r="I31" s="37" t="e">
        <f>ANALISIS!#REF!</f>
        <v>#REF!</v>
      </c>
      <c r="J31" s="37">
        <v>1</v>
      </c>
      <c r="K31" s="37" t="e">
        <f>ROUNDUP((ANALISIS!#REF!/8)/$J$27,0)</f>
        <v>#REF!</v>
      </c>
      <c r="L31" s="38" t="e">
        <f t="shared" ref="L31:L32" si="14">ROUND(I31 * E31,$J$2)</f>
        <v>#REF!</v>
      </c>
      <c r="M31" s="39" t="e">
        <f t="shared" ref="M31:M32" si="15">ROUND(H31 * E31,$J$2)</f>
        <v>#REF!</v>
      </c>
      <c r="N31" s="40">
        <f t="shared" ref="N31:N32" si="16">G31*$N$2</f>
        <v>4885416</v>
      </c>
      <c r="O31" s="41"/>
      <c r="P31" s="42" t="e">
        <f>ROUND(ANALISIS!#REF!*E31,0)</f>
        <v>#REF!</v>
      </c>
      <c r="Q31" s="43" t="e">
        <f>ROUND(ANALISIS!#REF!*E31,0)</f>
        <v>#REF!</v>
      </c>
      <c r="R31" s="43" t="e">
        <f>ROUND(ANALISIS!#REF!*E31,0)</f>
        <v>#REF!</v>
      </c>
      <c r="S31" s="44" t="e">
        <f>ROUND(ANALISIS!#REF!*E31,0)</f>
        <v>#REF!</v>
      </c>
      <c r="T31" s="45" t="e">
        <f t="shared" ref="T31:T32" si="17">P31+Q31+R31+S31</f>
        <v>#REF!</v>
      </c>
      <c r="U31" s="46"/>
      <c r="V31" s="29"/>
      <c r="AF31" s="48"/>
      <c r="AG31" s="49" t="str">
        <f t="shared" si="4"/>
        <v>CAP. 1: OBRAS</v>
      </c>
      <c r="AH31" s="50">
        <f t="shared" si="5"/>
        <v>14</v>
      </c>
      <c r="AI31" s="50"/>
      <c r="AJ31" s="50"/>
      <c r="AK31" s="51"/>
      <c r="AL31" s="52"/>
    </row>
    <row r="32" spans="1:43" ht="27.6" x14ac:dyDescent="0.3">
      <c r="A32" s="158" t="s">
        <v>99</v>
      </c>
      <c r="B32" s="353" t="s">
        <v>325</v>
      </c>
      <c r="C32" s="354" t="s">
        <v>245</v>
      </c>
      <c r="D32" s="355" t="s">
        <v>185</v>
      </c>
      <c r="E32" s="527">
        <v>120</v>
      </c>
      <c r="F32" s="410">
        <f>+ANALISIS!H249</f>
        <v>14468</v>
      </c>
      <c r="G32" s="506">
        <f t="shared" ref="G32" si="18">+F32*E32</f>
        <v>1736160</v>
      </c>
      <c r="H32" s="36" t="e">
        <f>ANALISIS!#REF!</f>
        <v>#REF!</v>
      </c>
      <c r="I32" s="37" t="e">
        <f>ANALISIS!#REF!</f>
        <v>#REF!</v>
      </c>
      <c r="J32" s="37">
        <v>1</v>
      </c>
      <c r="K32" s="37" t="e">
        <f>ROUNDUP((ANALISIS!#REF!/8)/$J$27,0)</f>
        <v>#REF!</v>
      </c>
      <c r="L32" s="38" t="e">
        <f t="shared" si="14"/>
        <v>#REF!</v>
      </c>
      <c r="M32" s="39" t="e">
        <f t="shared" si="15"/>
        <v>#REF!</v>
      </c>
      <c r="N32" s="40">
        <f t="shared" si="16"/>
        <v>1736160</v>
      </c>
      <c r="O32" s="41"/>
      <c r="P32" s="42" t="e">
        <f>ROUND(ANALISIS!#REF!*E32,0)</f>
        <v>#REF!</v>
      </c>
      <c r="Q32" s="43" t="e">
        <f>ROUND(ANALISIS!#REF!*E32,0)</f>
        <v>#REF!</v>
      </c>
      <c r="R32" s="43" t="e">
        <f>ROUND(ANALISIS!#REF!*E32,0)</f>
        <v>#REF!</v>
      </c>
      <c r="S32" s="44" t="e">
        <f>ROUND(ANALISIS!#REF!*E32,0)</f>
        <v>#REF!</v>
      </c>
      <c r="T32" s="45" t="e">
        <f t="shared" si="17"/>
        <v>#REF!</v>
      </c>
      <c r="U32" s="46"/>
      <c r="V32" s="29"/>
      <c r="AF32" s="48"/>
      <c r="AG32" s="49" t="str">
        <f t="shared" si="4"/>
        <v>CAP. 1: OBRAS</v>
      </c>
      <c r="AH32" s="50">
        <f t="shared" si="5"/>
        <v>14</v>
      </c>
      <c r="AI32" s="50"/>
      <c r="AJ32" s="50"/>
      <c r="AK32" s="51"/>
      <c r="AL32" s="52"/>
    </row>
    <row r="33" spans="1:40" ht="41.4" x14ac:dyDescent="0.3">
      <c r="A33" s="158" t="s">
        <v>99</v>
      </c>
      <c r="B33" s="353" t="s">
        <v>326</v>
      </c>
      <c r="C33" s="354" t="s">
        <v>309</v>
      </c>
      <c r="D33" s="504" t="s">
        <v>185</v>
      </c>
      <c r="E33" s="528">
        <v>28</v>
      </c>
      <c r="F33" s="505">
        <v>100698</v>
      </c>
      <c r="G33" s="506">
        <f t="shared" si="13"/>
        <v>2819544</v>
      </c>
      <c r="H33" s="36" t="e">
        <f>ANALISIS!#REF!</f>
        <v>#REF!</v>
      </c>
      <c r="I33" s="37" t="e">
        <f>ANALISIS!#REF!</f>
        <v>#REF!</v>
      </c>
      <c r="J33" s="37">
        <v>1</v>
      </c>
      <c r="K33" s="37" t="e">
        <f>ROUNDUP((ANALISIS!#REF!/8)/$J$27,0)</f>
        <v>#REF!</v>
      </c>
      <c r="L33" s="38" t="e">
        <f t="shared" ref="L33" si="19">ROUND(I33 * E33,$J$2)</f>
        <v>#REF!</v>
      </c>
      <c r="M33" s="39" t="e">
        <f t="shared" ref="M33" si="20">ROUND(H33 * E33,$J$2)</f>
        <v>#REF!</v>
      </c>
      <c r="N33" s="40">
        <f t="shared" ref="N33" si="21">G33*$N$2</f>
        <v>2819544</v>
      </c>
      <c r="O33" s="41"/>
      <c r="P33" s="42" t="e">
        <f>ROUND(ANALISIS!#REF!*E33,0)</f>
        <v>#REF!</v>
      </c>
      <c r="Q33" s="43" t="e">
        <f>ROUND(ANALISIS!#REF!*E33,0)</f>
        <v>#REF!</v>
      </c>
      <c r="R33" s="43" t="e">
        <f>ROUND(ANALISIS!#REF!*E33,0)</f>
        <v>#REF!</v>
      </c>
      <c r="S33" s="44" t="e">
        <f>ROUND(ANALISIS!#REF!*E33,0)</f>
        <v>#REF!</v>
      </c>
      <c r="T33" s="45" t="e">
        <f t="shared" ref="T33" si="22">P33+Q33+R33+S33</f>
        <v>#REF!</v>
      </c>
      <c r="U33" s="46"/>
      <c r="V33" s="29"/>
      <c r="AF33" s="48"/>
      <c r="AG33" s="49" t="str">
        <f t="shared" si="4"/>
        <v>CAP. 1: OBRAS</v>
      </c>
      <c r="AH33" s="50">
        <f t="shared" si="5"/>
        <v>14</v>
      </c>
      <c r="AI33" s="50"/>
      <c r="AJ33" s="50"/>
      <c r="AK33" s="51"/>
      <c r="AL33" s="52"/>
    </row>
    <row r="34" spans="1:40" ht="15" hidden="1" customHeight="1" x14ac:dyDescent="0.3">
      <c r="A34" s="143" t="s">
        <v>92</v>
      </c>
      <c r="B34" s="353" t="s">
        <v>327</v>
      </c>
      <c r="C34" s="351"/>
      <c r="D34" s="352"/>
      <c r="E34" s="359"/>
      <c r="F34" s="360"/>
      <c r="G34" s="361"/>
      <c r="H34" s="146"/>
      <c r="I34" s="147"/>
      <c r="J34" s="148"/>
      <c r="K34" s="148"/>
      <c r="L34" s="149"/>
      <c r="M34" s="150"/>
      <c r="N34" s="151"/>
      <c r="O34" s="41"/>
      <c r="P34" s="42"/>
      <c r="Q34" s="43"/>
      <c r="R34" s="43"/>
      <c r="S34" s="44"/>
      <c r="T34" s="45"/>
      <c r="U34" s="46"/>
      <c r="V34" s="29"/>
      <c r="AF34" s="48"/>
      <c r="AG34" s="49" t="str">
        <f>"CAP. " &amp; $B$14 &amp; ": " &amp; $C$14</f>
        <v>CAP. 1: OBRAS</v>
      </c>
      <c r="AH34" s="50">
        <f>ROW($B$14)</f>
        <v>14</v>
      </c>
      <c r="AI34" s="50"/>
      <c r="AJ34" s="50"/>
      <c r="AK34" s="51"/>
      <c r="AL34" s="52"/>
    </row>
    <row r="35" spans="1:40" ht="14.4" x14ac:dyDescent="0.3">
      <c r="A35" s="159"/>
      <c r="B35" s="153"/>
      <c r="C35" s="2"/>
      <c r="D35" s="154"/>
      <c r="E35" s="155"/>
      <c r="F35" s="156"/>
      <c r="G35" s="356"/>
      <c r="H35" s="146"/>
      <c r="I35" s="147"/>
      <c r="J35" s="148"/>
      <c r="K35" s="148"/>
      <c r="L35" s="149"/>
      <c r="M35" s="150"/>
      <c r="N35" s="157"/>
      <c r="O35" s="41"/>
      <c r="P35" s="42"/>
      <c r="Q35" s="43"/>
      <c r="R35" s="43"/>
      <c r="S35" s="44"/>
      <c r="T35" s="45"/>
      <c r="U35" s="46"/>
      <c r="V35" s="29"/>
      <c r="AF35" s="48"/>
      <c r="AG35" s="49"/>
      <c r="AH35" s="50"/>
      <c r="AI35" s="50"/>
      <c r="AJ35" s="50"/>
      <c r="AK35" s="51"/>
      <c r="AL35" s="52"/>
    </row>
    <row r="36" spans="1:40" s="211" customFormat="1" ht="14.4" thickBot="1" x14ac:dyDescent="0.35">
      <c r="A36" s="190" t="s">
        <v>101</v>
      </c>
      <c r="B36" s="191"/>
      <c r="C36" s="192"/>
      <c r="D36" s="193"/>
      <c r="E36" s="193"/>
      <c r="F36" s="194" t="str">
        <f>IF($A$2="CD","VALOR COSTOS DIRECTOS",IF($A$2="CT","VALOR TOTAL " &amp;#REF!,"Correg CT"))</f>
        <v>VALOR COSTOS DIRECTOS</v>
      </c>
      <c r="G36" s="195">
        <f>+SUM(G16:G34)</f>
        <v>74677306</v>
      </c>
      <c r="H36" s="196"/>
      <c r="I36" s="197"/>
      <c r="J36" s="197"/>
      <c r="K36" s="197"/>
      <c r="L36" s="198">
        <f>SUM(L34:L35)</f>
        <v>0</v>
      </c>
      <c r="M36" s="199">
        <f>SUM(M34:M35)</f>
        <v>0</v>
      </c>
      <c r="N36" s="200">
        <f>+G36*$N$2</f>
        <v>74677306</v>
      </c>
      <c r="O36" s="201"/>
      <c r="P36" s="202">
        <f>SUM(P34:P35)/2</f>
        <v>0</v>
      </c>
      <c r="Q36" s="203">
        <f>SUM(Q34:Q35)/2</f>
        <v>0</v>
      </c>
      <c r="R36" s="203">
        <f>SUM(R34:R35)/2</f>
        <v>0</v>
      </c>
      <c r="S36" s="203">
        <f>SUM(S34:S35)/2</f>
        <v>0</v>
      </c>
      <c r="T36" s="203">
        <f>SUM(T34:T35)/2</f>
        <v>0</v>
      </c>
      <c r="U36" s="204"/>
      <c r="V36" s="204"/>
      <c r="W36" s="204"/>
      <c r="X36" s="204"/>
      <c r="Y36" s="204"/>
      <c r="Z36" s="204"/>
      <c r="AA36" s="204"/>
      <c r="AB36" s="204"/>
      <c r="AC36" s="204"/>
      <c r="AD36" s="204"/>
      <c r="AE36" s="205"/>
      <c r="AF36" s="206"/>
      <c r="AG36" s="207"/>
      <c r="AH36" s="208"/>
      <c r="AI36" s="208"/>
      <c r="AJ36" s="208"/>
      <c r="AK36" s="209"/>
      <c r="AL36" s="210"/>
      <c r="AN36" s="412"/>
    </row>
    <row r="37" spans="1:40" s="88" customFormat="1" ht="14.4" x14ac:dyDescent="0.3">
      <c r="A37" s="215" t="s">
        <v>107</v>
      </c>
      <c r="B37" s="212"/>
      <c r="C37" s="255" t="s">
        <v>108</v>
      </c>
      <c r="D37" s="256"/>
      <c r="E37" s="257"/>
      <c r="F37" s="258"/>
      <c r="G37" s="259"/>
      <c r="H37" s="216"/>
      <c r="I37" s="217"/>
      <c r="J37" s="217"/>
      <c r="K37" s="217"/>
      <c r="L37" s="218"/>
      <c r="M37" s="219"/>
      <c r="N37" s="220"/>
      <c r="O37" s="109"/>
      <c r="P37" s="109"/>
      <c r="Q37" s="109"/>
      <c r="R37" s="109"/>
      <c r="S37" s="109"/>
      <c r="T37" s="109"/>
      <c r="U37" s="109"/>
      <c r="V37" s="109"/>
      <c r="W37" s="109"/>
      <c r="X37" s="109"/>
      <c r="Y37" s="109"/>
      <c r="Z37" s="109"/>
      <c r="AA37" s="109"/>
      <c r="AB37" s="109"/>
      <c r="AC37" s="109"/>
      <c r="AD37" s="109"/>
      <c r="AE37" s="110"/>
      <c r="AF37" s="48"/>
      <c r="AG37" s="49"/>
      <c r="AH37" s="50"/>
      <c r="AI37" s="50"/>
      <c r="AJ37" s="50"/>
      <c r="AK37" s="51"/>
      <c r="AL37" s="52"/>
    </row>
    <row r="38" spans="1:40" s="88" customFormat="1" ht="14.4" hidden="1" x14ac:dyDescent="0.3">
      <c r="A38" s="221" t="s">
        <v>109</v>
      </c>
      <c r="B38" s="29"/>
      <c r="C38" s="260"/>
      <c r="D38" s="261"/>
      <c r="E38" s="262"/>
      <c r="F38" s="263" t="s">
        <v>110</v>
      </c>
      <c r="G38" s="264" t="e">
        <f>#REF!</f>
        <v>#REF!</v>
      </c>
      <c r="H38" s="235"/>
      <c r="I38" s="236"/>
      <c r="J38" s="236"/>
      <c r="K38" s="236"/>
      <c r="L38" s="237"/>
      <c r="M38" s="238"/>
      <c r="N38" s="242"/>
      <c r="O38" s="236"/>
      <c r="P38" s="236"/>
      <c r="Q38" s="236"/>
      <c r="R38" s="236"/>
      <c r="S38" s="236"/>
      <c r="T38" s="236"/>
      <c r="U38" s="240"/>
      <c r="V38" s="240"/>
      <c r="W38" s="240"/>
      <c r="X38" s="240"/>
      <c r="Y38" s="240"/>
      <c r="Z38" s="240"/>
      <c r="AA38" s="240"/>
      <c r="AB38" s="240"/>
      <c r="AC38" s="240"/>
      <c r="AD38" s="240"/>
      <c r="AE38" s="241"/>
      <c r="AF38" s="48"/>
      <c r="AG38" s="49"/>
      <c r="AH38" s="50"/>
      <c r="AI38" s="50"/>
      <c r="AJ38" s="50"/>
      <c r="AK38" s="51"/>
      <c r="AL38" s="52"/>
    </row>
    <row r="39" spans="1:40" s="88" customFormat="1" ht="14.4" hidden="1" x14ac:dyDescent="0.3">
      <c r="A39" s="221" t="s">
        <v>111</v>
      </c>
      <c r="B39" s="29"/>
      <c r="C39" s="260"/>
      <c r="D39" s="261"/>
      <c r="E39" s="262"/>
      <c r="F39" s="263" t="s">
        <v>112</v>
      </c>
      <c r="G39" s="264" t="e">
        <f>#REF!</f>
        <v>#REF!</v>
      </c>
      <c r="H39" s="235"/>
      <c r="I39" s="236"/>
      <c r="J39" s="236"/>
      <c r="K39" s="236"/>
      <c r="L39" s="237"/>
      <c r="M39" s="238"/>
      <c r="N39" s="242"/>
      <c r="O39" s="236"/>
      <c r="P39" s="236"/>
      <c r="Q39" s="236"/>
      <c r="R39" s="236"/>
      <c r="S39" s="236"/>
      <c r="T39" s="236"/>
      <c r="U39" s="240"/>
      <c r="V39" s="240"/>
      <c r="W39" s="240"/>
      <c r="X39" s="240"/>
      <c r="Y39" s="240"/>
      <c r="Z39" s="240"/>
      <c r="AA39" s="240"/>
      <c r="AB39" s="240"/>
      <c r="AC39" s="240"/>
      <c r="AD39" s="240"/>
      <c r="AE39" s="241"/>
      <c r="AF39" s="48"/>
      <c r="AG39" s="49"/>
      <c r="AH39" s="50"/>
      <c r="AI39" s="50"/>
      <c r="AJ39" s="50"/>
      <c r="AK39" s="51"/>
      <c r="AL39" s="52"/>
    </row>
    <row r="40" spans="1:40" s="88" customFormat="1" ht="14.4" x14ac:dyDescent="0.3">
      <c r="A40" s="221" t="s">
        <v>113</v>
      </c>
      <c r="B40" s="29"/>
      <c r="C40" s="265"/>
      <c r="D40" s="266"/>
      <c r="E40" s="266"/>
      <c r="F40" s="267" t="s">
        <v>114</v>
      </c>
      <c r="G40" s="195">
        <f>+G36</f>
        <v>74677306</v>
      </c>
      <c r="H40" s="222"/>
      <c r="I40" s="223"/>
      <c r="J40" s="223"/>
      <c r="K40" s="223"/>
      <c r="L40" s="224"/>
      <c r="M40" s="225"/>
      <c r="N40" s="226">
        <f t="shared" ref="N40:N47" si="23">G40*$N$2</f>
        <v>74677306</v>
      </c>
      <c r="O40" s="223"/>
      <c r="P40" s="223"/>
      <c r="Q40" s="223"/>
      <c r="R40" s="223"/>
      <c r="S40" s="223"/>
      <c r="T40" s="223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27"/>
      <c r="AF40" s="48"/>
      <c r="AG40" s="49"/>
      <c r="AH40" s="50"/>
      <c r="AI40" s="50"/>
      <c r="AJ40" s="50"/>
      <c r="AK40" s="51"/>
      <c r="AL40" s="52"/>
    </row>
    <row r="41" spans="1:40" s="88" customFormat="1" ht="14.4" x14ac:dyDescent="0.3">
      <c r="A41" s="221" t="s">
        <v>115</v>
      </c>
      <c r="B41" s="29"/>
      <c r="C41" s="268"/>
      <c r="D41" s="135"/>
      <c r="E41" s="269" t="s">
        <v>102</v>
      </c>
      <c r="F41" s="270">
        <v>0.25</v>
      </c>
      <c r="G41" s="409">
        <f>+ROUND(TtlCD*Adm,0)</f>
        <v>18669327</v>
      </c>
      <c r="H41" s="228"/>
      <c r="I41" s="229"/>
      <c r="J41" s="229"/>
      <c r="K41" s="229"/>
      <c r="L41" s="230"/>
      <c r="M41" s="231"/>
      <c r="N41" s="232">
        <f t="shared" si="23"/>
        <v>18669327</v>
      </c>
      <c r="O41" s="229"/>
      <c r="P41" s="229"/>
      <c r="Q41" s="229"/>
      <c r="R41" s="229"/>
      <c r="S41" s="229"/>
      <c r="T41" s="229"/>
      <c r="U41" s="29"/>
      <c r="V41" s="29"/>
      <c r="W41" s="29"/>
      <c r="X41" s="29"/>
      <c r="Y41" s="29"/>
      <c r="Z41" s="29"/>
      <c r="AA41" s="29"/>
      <c r="AB41" s="29"/>
      <c r="AC41" s="29"/>
      <c r="AD41" s="29"/>
      <c r="AE41" s="227"/>
      <c r="AF41" s="48"/>
      <c r="AG41" s="49"/>
      <c r="AH41" s="50"/>
      <c r="AI41" s="50"/>
      <c r="AJ41" s="50"/>
      <c r="AK41" s="51"/>
      <c r="AL41" s="52"/>
    </row>
    <row r="42" spans="1:40" s="88" customFormat="1" ht="14.4" x14ac:dyDescent="0.3">
      <c r="A42" s="221" t="s">
        <v>116</v>
      </c>
      <c r="B42" s="29"/>
      <c r="C42" s="271"/>
      <c r="D42" s="272"/>
      <c r="E42" s="273" t="s">
        <v>103</v>
      </c>
      <c r="F42" s="274">
        <v>0.03</v>
      </c>
      <c r="G42" s="409">
        <f>+ROUND(TtlCD*Imprev,0)</f>
        <v>2240319</v>
      </c>
      <c r="H42" s="228"/>
      <c r="I42" s="229"/>
      <c r="J42" s="229"/>
      <c r="K42" s="229"/>
      <c r="L42" s="230"/>
      <c r="M42" s="231">
        <f>1+(Adm+Imprev+Utilidad+IvaSUtl*Utilidad)</f>
        <v>1.28</v>
      </c>
      <c r="N42" s="233">
        <f t="shared" si="23"/>
        <v>2240319</v>
      </c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29"/>
      <c r="AE42" s="234"/>
      <c r="AF42" s="48"/>
      <c r="AG42" s="49"/>
      <c r="AH42" s="50"/>
      <c r="AI42" s="50"/>
      <c r="AJ42" s="50"/>
      <c r="AK42" s="51"/>
      <c r="AL42" s="52"/>
    </row>
    <row r="43" spans="1:40" s="88" customFormat="1" ht="14.4" hidden="1" x14ac:dyDescent="0.3">
      <c r="A43" s="221" t="s">
        <v>117</v>
      </c>
      <c r="B43" s="29"/>
      <c r="C43" s="271"/>
      <c r="D43" s="272"/>
      <c r="E43" s="273" t="s">
        <v>104</v>
      </c>
      <c r="F43" s="274">
        <v>0</v>
      </c>
      <c r="G43" s="409">
        <f>ROUND(G40*F43,0)</f>
        <v>0</v>
      </c>
      <c r="H43" s="228"/>
      <c r="I43" s="229"/>
      <c r="J43" s="229"/>
      <c r="K43" s="229"/>
      <c r="L43" s="230"/>
      <c r="M43" s="231"/>
      <c r="N43" s="233">
        <f t="shared" si="23"/>
        <v>0</v>
      </c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29"/>
      <c r="AE43" s="234"/>
      <c r="AF43" s="48"/>
      <c r="AG43" s="49"/>
      <c r="AH43" s="50"/>
      <c r="AI43" s="50"/>
      <c r="AJ43" s="50"/>
      <c r="AK43" s="51"/>
      <c r="AL43" s="52"/>
    </row>
    <row r="44" spans="1:40" s="88" customFormat="1" ht="14.4" x14ac:dyDescent="0.3">
      <c r="A44" s="221"/>
      <c r="B44" s="29"/>
      <c r="C44" s="260"/>
      <c r="D44" s="261"/>
      <c r="E44" s="363" t="s">
        <v>104</v>
      </c>
      <c r="F44" s="364">
        <v>0.05</v>
      </c>
      <c r="G44" s="409">
        <f>+ROUND(TtlCD*F44,0)</f>
        <v>3733865</v>
      </c>
      <c r="H44" s="228"/>
      <c r="I44" s="229"/>
      <c r="J44" s="229"/>
      <c r="K44" s="229"/>
      <c r="L44" s="230"/>
      <c r="M44" s="231"/>
      <c r="N44" s="233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29"/>
      <c r="AE44" s="234"/>
      <c r="AF44" s="48"/>
      <c r="AG44" s="49"/>
      <c r="AH44" s="50"/>
      <c r="AI44" s="50"/>
      <c r="AJ44" s="50"/>
      <c r="AK44" s="51"/>
      <c r="AL44" s="52"/>
    </row>
    <row r="45" spans="1:40" s="88" customFormat="1" ht="14.4" x14ac:dyDescent="0.3">
      <c r="A45" s="221" t="s">
        <v>118</v>
      </c>
      <c r="B45" s="29"/>
      <c r="C45" s="260"/>
      <c r="D45" s="261"/>
      <c r="E45" s="262" t="s">
        <v>105</v>
      </c>
      <c r="F45" s="275">
        <f>SUM(F41:F44)</f>
        <v>0.33</v>
      </c>
      <c r="G45" s="409">
        <f>SUM(G41:G44)</f>
        <v>24643511</v>
      </c>
      <c r="H45" s="235"/>
      <c r="I45" s="236"/>
      <c r="J45" s="236"/>
      <c r="K45" s="236"/>
      <c r="L45" s="237"/>
      <c r="M45" s="238">
        <f>+TtlCD*M42</f>
        <v>95586951.680000007</v>
      </c>
      <c r="N45" s="239">
        <f t="shared" si="23"/>
        <v>24643511</v>
      </c>
      <c r="O45" s="236"/>
      <c r="P45" s="236"/>
      <c r="Q45" s="236"/>
      <c r="R45" s="236"/>
      <c r="S45" s="236"/>
      <c r="T45" s="236"/>
      <c r="U45" s="240"/>
      <c r="V45" s="240"/>
      <c r="W45" s="240"/>
      <c r="X45" s="240"/>
      <c r="Y45" s="240"/>
      <c r="Z45" s="240"/>
      <c r="AA45" s="240"/>
      <c r="AB45" s="240"/>
      <c r="AC45" s="240"/>
      <c r="AD45" s="240"/>
      <c r="AE45" s="241"/>
      <c r="AF45" s="48"/>
      <c r="AG45" s="49"/>
      <c r="AH45" s="50"/>
      <c r="AI45" s="50"/>
      <c r="AJ45" s="50"/>
      <c r="AK45" s="51"/>
      <c r="AL45" s="52"/>
    </row>
    <row r="46" spans="1:40" s="88" customFormat="1" ht="15.75" hidden="1" customHeight="1" x14ac:dyDescent="0.3">
      <c r="A46" s="221" t="s">
        <v>119</v>
      </c>
      <c r="B46" s="29"/>
      <c r="C46" s="260"/>
      <c r="D46" s="261"/>
      <c r="E46" s="276" t="s">
        <v>106</v>
      </c>
      <c r="F46" s="277">
        <v>0</v>
      </c>
      <c r="G46" s="409">
        <f>ROUND(G43*F46,0)-(M47)</f>
        <v>0</v>
      </c>
      <c r="H46" s="235"/>
      <c r="I46" s="236"/>
      <c r="J46" s="236"/>
      <c r="K46" s="236"/>
      <c r="L46" s="237"/>
      <c r="M46" s="238"/>
      <c r="N46" s="242">
        <f t="shared" si="23"/>
        <v>0</v>
      </c>
      <c r="O46" s="236"/>
      <c r="P46" s="236"/>
      <c r="Q46" s="236"/>
      <c r="R46" s="236"/>
      <c r="S46" s="236"/>
      <c r="T46" s="236"/>
      <c r="U46" s="240"/>
      <c r="V46" s="240"/>
      <c r="W46" s="240"/>
      <c r="X46" s="240"/>
      <c r="Y46" s="240"/>
      <c r="Z46" s="240"/>
      <c r="AA46" s="240"/>
      <c r="AB46" s="240"/>
      <c r="AC46" s="240"/>
      <c r="AD46" s="240"/>
      <c r="AE46" s="241"/>
      <c r="AF46" s="48"/>
      <c r="AG46" s="49"/>
      <c r="AH46" s="50"/>
      <c r="AI46" s="50"/>
      <c r="AJ46" s="50"/>
      <c r="AK46" s="51"/>
      <c r="AL46" s="52"/>
    </row>
    <row r="47" spans="1:40" s="88" customFormat="1" ht="14.4" x14ac:dyDescent="0.3">
      <c r="A47" s="221" t="s">
        <v>120</v>
      </c>
      <c r="B47" s="29"/>
      <c r="C47" s="278"/>
      <c r="D47" s="279"/>
      <c r="E47" s="279"/>
      <c r="F47" s="280" t="s">
        <v>121</v>
      </c>
      <c r="G47" s="195">
        <f>G40+G45+G46</f>
        <v>99320817</v>
      </c>
      <c r="H47" s="243">
        <f>+H45+H40+H46</f>
        <v>0</v>
      </c>
      <c r="I47" s="244" t="e">
        <f>ROUND(G47-#REF!,4)</f>
        <v>#REF!</v>
      </c>
      <c r="J47" s="245">
        <f>+J45+J40+J46</f>
        <v>0</v>
      </c>
      <c r="K47" s="245">
        <f>+K45+K40+K46</f>
        <v>0</v>
      </c>
      <c r="L47" s="246">
        <f>+L45+L40+L46</f>
        <v>0</v>
      </c>
      <c r="M47" s="247"/>
      <c r="N47" s="248">
        <f t="shared" si="23"/>
        <v>99320817</v>
      </c>
      <c r="O47" s="240"/>
      <c r="P47" s="240"/>
      <c r="Q47" s="240"/>
      <c r="R47" s="240"/>
      <c r="S47" s="240"/>
      <c r="T47" s="240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27"/>
      <c r="AF47" s="48"/>
      <c r="AG47" s="49"/>
      <c r="AH47" s="50"/>
      <c r="AI47" s="50"/>
      <c r="AJ47" s="50"/>
      <c r="AK47" s="51"/>
      <c r="AL47" s="52"/>
    </row>
    <row r="48" spans="1:40" s="88" customFormat="1" ht="14.4" hidden="1" x14ac:dyDescent="0.3">
      <c r="A48" s="249"/>
      <c r="B48" s="29"/>
      <c r="C48" s="29"/>
      <c r="D48" s="29"/>
      <c r="E48" s="29"/>
      <c r="F48" s="250"/>
      <c r="G48" s="251">
        <f>IF(A2="CT",IF(I47&lt;&gt;0,"Ubiquese en la celda inmediatamente superior (TOTAL) y presione CAMBIAR",0),0)</f>
        <v>0</v>
      </c>
      <c r="H48" s="240"/>
      <c r="I48" s="240"/>
      <c r="J48" s="240"/>
      <c r="K48" s="240"/>
      <c r="L48" s="252"/>
      <c r="M48" s="252"/>
      <c r="N48" s="240"/>
      <c r="O48" s="240"/>
      <c r="P48" s="240"/>
      <c r="Q48" s="240"/>
      <c r="R48" s="240"/>
      <c r="S48" s="240"/>
      <c r="T48" s="240"/>
      <c r="U48" s="29"/>
      <c r="V48" s="29"/>
      <c r="W48" s="29"/>
      <c r="X48" s="29"/>
      <c r="Y48" s="29"/>
      <c r="Z48" s="29"/>
      <c r="AA48" s="29"/>
      <c r="AB48" s="29"/>
      <c r="AC48" s="29"/>
      <c r="AD48" s="29"/>
      <c r="AE48" s="227"/>
      <c r="AF48" s="48"/>
      <c r="AG48" s="49"/>
      <c r="AH48" s="50"/>
      <c r="AI48" s="50"/>
      <c r="AJ48" s="50"/>
      <c r="AK48" s="51"/>
      <c r="AL48" s="52"/>
    </row>
    <row r="49" spans="1:41" ht="14.4" hidden="1" x14ac:dyDescent="0.3">
      <c r="A49" s="221" t="s">
        <v>122</v>
      </c>
      <c r="C49" s="281"/>
      <c r="D49" s="282"/>
      <c r="E49" s="283" t="s">
        <v>123</v>
      </c>
      <c r="F49" s="284">
        <v>0</v>
      </c>
      <c r="G49" s="285">
        <f>G61*F49</f>
        <v>0</v>
      </c>
      <c r="L49" s="127"/>
      <c r="M49" s="127"/>
      <c r="AE49" s="254"/>
      <c r="AF49" s="48"/>
      <c r="AG49" s="49"/>
      <c r="AH49" s="50"/>
      <c r="AI49" s="50"/>
      <c r="AJ49" s="50"/>
      <c r="AK49" s="51"/>
      <c r="AL49" s="52"/>
    </row>
    <row r="50" spans="1:41" s="88" customFormat="1" ht="14.4" hidden="1" x14ac:dyDescent="0.3">
      <c r="A50" s="253"/>
      <c r="B50" s="29"/>
      <c r="C50" s="29"/>
      <c r="D50" s="29"/>
      <c r="E50" s="29"/>
      <c r="F50" s="29"/>
      <c r="G50" s="214"/>
      <c r="H50" s="29"/>
      <c r="I50" s="29"/>
      <c r="J50" s="29"/>
      <c r="K50" s="29"/>
      <c r="L50" s="214"/>
      <c r="M50" s="214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27"/>
      <c r="AF50" s="48"/>
      <c r="AG50" s="49"/>
      <c r="AH50" s="50"/>
      <c r="AI50" s="50"/>
      <c r="AJ50" s="50"/>
      <c r="AK50" s="51"/>
      <c r="AL50" s="52"/>
    </row>
    <row r="51" spans="1:41" s="88" customFormat="1" ht="14.4" hidden="1" customHeight="1" x14ac:dyDescent="0.3">
      <c r="A51" s="286" t="s">
        <v>124</v>
      </c>
      <c r="B51" s="287"/>
      <c r="C51" s="288" t="s">
        <v>125</v>
      </c>
      <c r="D51" s="289"/>
      <c r="E51" s="290"/>
      <c r="F51" s="291"/>
      <c r="G51" s="292"/>
      <c r="H51" s="291"/>
      <c r="I51" s="291"/>
      <c r="J51" s="291"/>
      <c r="K51" s="291"/>
      <c r="L51" s="292"/>
      <c r="M51" s="292"/>
      <c r="N51" s="291"/>
      <c r="O51" s="293"/>
      <c r="P51" s="41"/>
      <c r="Q51" s="41"/>
      <c r="R51" s="41"/>
      <c r="S51" s="41"/>
      <c r="T51" s="41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27"/>
      <c r="AF51" s="48"/>
      <c r="AG51" s="49"/>
      <c r="AH51" s="50"/>
      <c r="AI51" s="50"/>
      <c r="AJ51" s="50"/>
      <c r="AK51" s="51"/>
      <c r="AL51" s="52"/>
    </row>
    <row r="52" spans="1:41" s="88" customFormat="1" ht="12.75" hidden="1" customHeight="1" x14ac:dyDescent="0.3">
      <c r="A52" s="253"/>
      <c r="B52" s="294"/>
      <c r="C52" s="9"/>
      <c r="D52" s="213"/>
      <c r="E52" s="124"/>
      <c r="F52" s="41"/>
      <c r="G52" s="295"/>
      <c r="H52" s="41"/>
      <c r="I52" s="41"/>
      <c r="J52" s="41"/>
      <c r="K52" s="41"/>
      <c r="L52" s="296"/>
      <c r="M52" s="296"/>
      <c r="N52" s="41"/>
      <c r="O52" s="297"/>
      <c r="P52" s="41"/>
      <c r="Q52" s="41"/>
      <c r="R52" s="41"/>
      <c r="S52" s="41"/>
      <c r="T52" s="41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27"/>
      <c r="AF52" s="48"/>
      <c r="AG52" s="49"/>
      <c r="AH52" s="50"/>
      <c r="AI52" s="50"/>
      <c r="AJ52" s="50"/>
      <c r="AK52" s="51"/>
      <c r="AL52" s="52"/>
    </row>
    <row r="53" spans="1:41" ht="14.4" hidden="1" x14ac:dyDescent="0.3">
      <c r="A53" s="128" t="s">
        <v>90</v>
      </c>
      <c r="B53" s="129" t="s">
        <v>126</v>
      </c>
      <c r="C53" s="130" t="s">
        <v>127</v>
      </c>
      <c r="D53" s="131"/>
      <c r="E53" s="131"/>
      <c r="F53" s="131"/>
      <c r="G53" s="174">
        <f>SUM(G54:G55)</f>
        <v>0</v>
      </c>
      <c r="H53" s="29"/>
      <c r="I53" s="29"/>
      <c r="J53" s="29"/>
      <c r="K53" s="29"/>
      <c r="L53" s="29"/>
      <c r="M53" s="29"/>
      <c r="N53" s="137">
        <f>SUM(N54:N55)</f>
        <v>0</v>
      </c>
      <c r="O53" s="46"/>
      <c r="P53" s="138"/>
      <c r="Q53" s="139"/>
      <c r="R53" s="139"/>
      <c r="S53" s="140"/>
      <c r="T53" s="141"/>
      <c r="U53" s="46">
        <f>IF(G53&lt;&gt;"",N53-G53*$N$2,0)</f>
        <v>0</v>
      </c>
      <c r="V53" s="142" t="s">
        <v>91</v>
      </c>
      <c r="AF53" s="48"/>
      <c r="AG53" s="49" t="str">
        <f>"CAP. " &amp; $B$53 &amp; ": " &amp; $C$53</f>
        <v>CAP. #: ESCRIBA AQUÍ EL NOMBRE DEL CAPITULO</v>
      </c>
      <c r="AH53" s="50">
        <f>ROW($B$53)</f>
        <v>53</v>
      </c>
      <c r="AI53" s="50"/>
      <c r="AJ53" s="50"/>
      <c r="AK53" s="51"/>
      <c r="AL53" s="52"/>
    </row>
    <row r="54" spans="1:41" ht="14.4" hidden="1" x14ac:dyDescent="0.3">
      <c r="A54" s="143" t="s">
        <v>92</v>
      </c>
      <c r="B54" s="144"/>
      <c r="C54" s="6"/>
      <c r="D54" s="145"/>
      <c r="E54" s="175"/>
      <c r="F54" s="176"/>
      <c r="G54" s="177"/>
      <c r="H54" s="178"/>
      <c r="I54" s="176"/>
      <c r="J54" s="176"/>
      <c r="K54" s="176"/>
      <c r="L54" s="179"/>
      <c r="M54" s="180"/>
      <c r="N54" s="151"/>
      <c r="O54" s="41"/>
      <c r="P54" s="42"/>
      <c r="Q54" s="43"/>
      <c r="R54" s="43"/>
      <c r="S54" s="44"/>
      <c r="T54" s="45"/>
      <c r="U54" s="46"/>
      <c r="V54" s="29"/>
      <c r="AF54" s="48"/>
      <c r="AG54" s="49" t="str">
        <f>"CAP. " &amp; $B$53 &amp; ": " &amp; $C$53</f>
        <v>CAP. #: ESCRIBA AQUÍ EL NOMBRE DEL CAPITULO</v>
      </c>
      <c r="AH54" s="50">
        <f>ROW($B$53)</f>
        <v>53</v>
      </c>
      <c r="AI54" s="50"/>
      <c r="AJ54" s="50"/>
      <c r="AK54" s="51"/>
      <c r="AL54" s="52"/>
    </row>
    <row r="55" spans="1:41" ht="14.4" hidden="1" x14ac:dyDescent="0.3">
      <c r="A55" s="160"/>
      <c r="B55" s="161"/>
      <c r="C55" s="7"/>
      <c r="D55" s="162"/>
      <c r="E55" s="181"/>
      <c r="F55" s="163"/>
      <c r="G55" s="182"/>
      <c r="H55" s="183"/>
      <c r="I55" s="163"/>
      <c r="J55" s="163"/>
      <c r="K55" s="163"/>
      <c r="L55" s="184"/>
      <c r="M55" s="185"/>
      <c r="N55" s="164"/>
      <c r="O55" s="41"/>
      <c r="P55" s="42"/>
      <c r="Q55" s="43"/>
      <c r="R55" s="43"/>
      <c r="S55" s="44"/>
      <c r="T55" s="45"/>
      <c r="U55" s="46"/>
      <c r="V55" s="29"/>
      <c r="AF55" s="48"/>
      <c r="AG55" s="49" t="str">
        <f>"CAP. " &amp; $B$53 &amp; ": " &amp; $C$53</f>
        <v>CAP. #: ESCRIBA AQUÍ EL NOMBRE DEL CAPITULO</v>
      </c>
      <c r="AH55" s="50">
        <f>ROW($B$53)</f>
        <v>53</v>
      </c>
      <c r="AI55" s="50"/>
      <c r="AJ55" s="50"/>
      <c r="AK55" s="51"/>
      <c r="AL55" s="52"/>
    </row>
    <row r="56" spans="1:41" ht="15" hidden="1" thickBot="1" x14ac:dyDescent="0.35">
      <c r="A56" s="165" t="s">
        <v>100</v>
      </c>
      <c r="B56" s="166"/>
      <c r="C56" s="8"/>
      <c r="D56" s="167"/>
      <c r="E56" s="186"/>
      <c r="F56" s="187" t="str">
        <f>IF(C53="ESCRIBA AQUÍ EL NOMBRE DEL CAPITULO","SUBTOTAL","SUBTOTAL CAP. "&amp;B53&amp;"  "&amp;C53&amp;":")</f>
        <v>SUBTOTAL</v>
      </c>
      <c r="G56" s="188">
        <f>SUM(G54:G55)</f>
        <v>0</v>
      </c>
      <c r="H56" s="183"/>
      <c r="I56" s="163"/>
      <c r="J56" s="163"/>
      <c r="K56" s="163"/>
      <c r="L56" s="184"/>
      <c r="M56" s="185"/>
      <c r="N56" s="168">
        <f>SUM(N54:N55)</f>
        <v>0</v>
      </c>
      <c r="O56" s="41"/>
      <c r="P56" s="169">
        <f>SUM(P53:P55)</f>
        <v>0</v>
      </c>
      <c r="Q56" s="170">
        <f>SUM(Q53:Q55)</f>
        <v>0</v>
      </c>
      <c r="R56" s="170">
        <f>SUM(R53:R55)</f>
        <v>0</v>
      </c>
      <c r="S56" s="171">
        <f>SUM(S53:S55)</f>
        <v>0</v>
      </c>
      <c r="T56" s="172">
        <f>SUM(T53:T55)</f>
        <v>0</v>
      </c>
      <c r="U56" s="46"/>
      <c r="V56" s="29"/>
      <c r="AF56" s="48"/>
      <c r="AG56" s="49" t="str">
        <f>"CAP. " &amp; $B$53 &amp; ": " &amp; $C$53</f>
        <v>CAP. #: ESCRIBA AQUÍ EL NOMBRE DEL CAPITULO</v>
      </c>
      <c r="AH56" s="50">
        <f>ROW($B$53)</f>
        <v>53</v>
      </c>
      <c r="AI56" s="50"/>
      <c r="AJ56" s="50"/>
      <c r="AK56" s="51"/>
      <c r="AL56" s="52"/>
    </row>
    <row r="57" spans="1:41" ht="14.4" hidden="1" x14ac:dyDescent="0.3">
      <c r="A57" s="78"/>
      <c r="B57" s="121"/>
      <c r="C57" s="122"/>
      <c r="D57" s="123"/>
      <c r="E57" s="173"/>
      <c r="F57" s="121"/>
      <c r="G57" s="189"/>
      <c r="V57" s="29"/>
      <c r="AF57" s="48"/>
      <c r="AG57" s="49"/>
      <c r="AH57" s="50"/>
      <c r="AI57" s="50"/>
      <c r="AJ57" s="50"/>
      <c r="AK57" s="51"/>
      <c r="AL57" s="52"/>
    </row>
    <row r="58" spans="1:41" s="88" customFormat="1" ht="14.4" hidden="1" x14ac:dyDescent="0.3">
      <c r="A58" s="286" t="s">
        <v>128</v>
      </c>
      <c r="B58" s="298"/>
      <c r="C58" s="299"/>
      <c r="D58" s="299"/>
      <c r="E58" s="299"/>
      <c r="F58" s="300" t="str">
        <f>"VALOR TOTAL  " &amp; C51</f>
        <v>VALOR TOTAL  ITEMS  POR  FUERA  DE   AIU:</v>
      </c>
      <c r="G58" s="301">
        <f>SUM(G51:G56)/3</f>
        <v>0</v>
      </c>
      <c r="H58" s="299"/>
      <c r="I58" s="299"/>
      <c r="J58" s="299"/>
      <c r="K58" s="299"/>
      <c r="L58" s="301"/>
      <c r="M58" s="301"/>
      <c r="N58" s="299"/>
      <c r="O58" s="302"/>
      <c r="P58" s="47"/>
      <c r="Q58" s="47"/>
      <c r="R58" s="47"/>
      <c r="S58" s="47"/>
      <c r="T58" s="47"/>
      <c r="U58" s="47"/>
      <c r="V58" s="47"/>
      <c r="W58" s="47"/>
      <c r="X58" s="47"/>
      <c r="Y58" s="47"/>
      <c r="Z58" s="47"/>
      <c r="AA58" s="47"/>
      <c r="AB58" s="47"/>
      <c r="AC58" s="47"/>
      <c r="AD58" s="47"/>
      <c r="AE58" s="254"/>
      <c r="AF58" s="48"/>
      <c r="AG58" s="49"/>
      <c r="AH58" s="50"/>
      <c r="AI58" s="50"/>
      <c r="AJ58" s="50"/>
      <c r="AK58" s="51"/>
      <c r="AL58" s="52"/>
      <c r="AM58" s="47"/>
    </row>
    <row r="59" spans="1:41" s="88" customFormat="1" ht="14.4" x14ac:dyDescent="0.3">
      <c r="A59" s="253"/>
      <c r="B59" s="29"/>
      <c r="C59" s="9"/>
      <c r="D59" s="213"/>
      <c r="E59" s="124"/>
      <c r="F59" s="41"/>
      <c r="G59" s="296"/>
      <c r="H59" s="41"/>
      <c r="I59" s="41"/>
      <c r="J59" s="41"/>
      <c r="K59" s="41"/>
      <c r="L59" s="296"/>
      <c r="M59" s="296"/>
      <c r="N59" s="41"/>
      <c r="O59" s="303"/>
      <c r="P59" s="41"/>
      <c r="Q59" s="41"/>
      <c r="R59" s="41"/>
      <c r="S59" s="41"/>
      <c r="T59" s="41"/>
      <c r="U59" s="29"/>
      <c r="V59" s="29"/>
      <c r="W59" s="29"/>
      <c r="X59" s="29"/>
      <c r="Y59" s="29"/>
      <c r="Z59" s="29"/>
      <c r="AA59" s="29"/>
      <c r="AB59" s="29"/>
      <c r="AC59" s="29"/>
      <c r="AD59" s="29"/>
      <c r="AE59" s="227"/>
      <c r="AF59" s="48"/>
      <c r="AG59" s="49"/>
      <c r="AH59" s="50"/>
      <c r="AI59" s="50"/>
      <c r="AJ59" s="50"/>
      <c r="AK59" s="51"/>
      <c r="AL59" s="52"/>
    </row>
    <row r="60" spans="1:41" ht="13.65" hidden="1" customHeight="1" x14ac:dyDescent="0.3">
      <c r="A60" s="221" t="s">
        <v>129</v>
      </c>
      <c r="C60" s="304"/>
      <c r="D60" s="305"/>
      <c r="E60" s="306" t="s">
        <v>130</v>
      </c>
      <c r="F60" s="307">
        <v>0</v>
      </c>
      <c r="G60" s="308">
        <v>0</v>
      </c>
      <c r="L60" s="127"/>
      <c r="M60" s="127"/>
      <c r="AE60" s="254"/>
      <c r="AF60" s="48"/>
      <c r="AG60" s="49"/>
      <c r="AH60" s="50"/>
      <c r="AI60" s="50"/>
      <c r="AJ60" s="50"/>
      <c r="AK60" s="51"/>
      <c r="AL60" s="52"/>
    </row>
    <row r="61" spans="1:41" ht="14.4" hidden="1" x14ac:dyDescent="0.3">
      <c r="A61" s="221" t="s">
        <v>131</v>
      </c>
      <c r="C61" s="309"/>
      <c r="D61" s="310"/>
      <c r="E61" s="311"/>
      <c r="F61" s="312" t="s">
        <v>132</v>
      </c>
      <c r="G61" s="313">
        <f>G47+G60</f>
        <v>99320817</v>
      </c>
      <c r="L61" s="127"/>
      <c r="M61" s="127"/>
      <c r="AE61" s="254"/>
      <c r="AF61" s="48"/>
      <c r="AG61" s="49"/>
      <c r="AH61" s="50"/>
      <c r="AI61" s="50"/>
      <c r="AJ61" s="50"/>
      <c r="AK61" s="51"/>
      <c r="AL61" s="52"/>
    </row>
    <row r="62" spans="1:41" ht="14.4" hidden="1" x14ac:dyDescent="0.3">
      <c r="A62" s="253"/>
      <c r="G62" s="127"/>
      <c r="L62" s="127"/>
      <c r="M62" s="127"/>
      <c r="AE62" s="254"/>
      <c r="AF62" s="48"/>
      <c r="AG62" s="49"/>
      <c r="AH62" s="50"/>
      <c r="AI62" s="50"/>
      <c r="AJ62" s="50"/>
      <c r="AK62" s="51"/>
      <c r="AL62" s="52"/>
    </row>
    <row r="63" spans="1:41" ht="14.4" x14ac:dyDescent="0.3">
      <c r="A63" s="221" t="s">
        <v>133</v>
      </c>
      <c r="C63" s="314"/>
      <c r="D63" s="315"/>
      <c r="E63" s="315"/>
      <c r="F63" s="316" t="s">
        <v>121</v>
      </c>
      <c r="G63" s="317">
        <f>+G47</f>
        <v>99320817</v>
      </c>
      <c r="L63" s="127"/>
      <c r="M63" s="127"/>
      <c r="AE63" s="254"/>
      <c r="AF63" s="48"/>
      <c r="AG63" s="49"/>
      <c r="AH63" s="50"/>
      <c r="AI63" s="50"/>
      <c r="AJ63" s="50"/>
      <c r="AK63" s="51"/>
      <c r="AL63" s="52"/>
      <c r="AN63" s="411">
        <v>99320817</v>
      </c>
      <c r="AO63" s="127">
        <f>+AN63-G63</f>
        <v>0</v>
      </c>
    </row>
    <row r="64" spans="1:41" ht="14.4" x14ac:dyDescent="0.3">
      <c r="A64" s="253"/>
      <c r="G64" s="127"/>
      <c r="L64" s="127"/>
      <c r="M64" s="127"/>
      <c r="AE64" s="254"/>
      <c r="AF64" s="48"/>
      <c r="AG64" s="49"/>
      <c r="AH64" s="50"/>
      <c r="AI64" s="50"/>
      <c r="AJ64" s="50"/>
      <c r="AK64" s="51"/>
      <c r="AL64" s="52"/>
    </row>
    <row r="65" spans="1:38" s="88" customFormat="1" ht="14.4" x14ac:dyDescent="0.3">
      <c r="A65" s="221" t="s">
        <v>134</v>
      </c>
      <c r="B65" s="29"/>
      <c r="C65" s="562" t="str">
        <f>IF(N2&gt;1,"VALOR  " &amp;E7 &amp; "  POR  " &amp;N1&amp; ":","VALOR  TOTAL " &amp; E7 &amp; ":")</f>
        <v>VALOR  TOTAL PRESUPUESTO:</v>
      </c>
      <c r="D65" s="563"/>
      <c r="E65" s="563"/>
      <c r="F65" s="563"/>
      <c r="G65" s="564"/>
      <c r="H65" s="318"/>
      <c r="I65" s="318"/>
      <c r="J65" s="318"/>
      <c r="K65" s="318"/>
      <c r="L65" s="319"/>
      <c r="M65" s="319"/>
      <c r="N65" s="320"/>
      <c r="O65" s="321"/>
      <c r="P65" s="240"/>
      <c r="Q65" s="240"/>
      <c r="R65" s="240"/>
      <c r="S65" s="240"/>
      <c r="T65" s="240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27"/>
      <c r="AF65" s="48"/>
      <c r="AG65" s="49"/>
      <c r="AH65" s="50"/>
      <c r="AI65" s="50"/>
      <c r="AJ65" s="50"/>
      <c r="AK65" s="51"/>
      <c r="AL65" s="52"/>
    </row>
    <row r="66" spans="1:38" s="88" customFormat="1" ht="14.25" customHeight="1" x14ac:dyDescent="0.3">
      <c r="A66" s="249"/>
      <c r="B66" s="29"/>
      <c r="C66" s="565" t="s">
        <v>328</v>
      </c>
      <c r="D66" s="566"/>
      <c r="E66" s="566"/>
      <c r="F66" s="566"/>
      <c r="G66" s="567"/>
      <c r="H66" s="322"/>
      <c r="I66" s="322"/>
      <c r="J66" s="322"/>
      <c r="K66" s="322"/>
      <c r="L66" s="323"/>
      <c r="M66" s="323"/>
      <c r="N66" s="324"/>
      <c r="O66" s="321"/>
      <c r="P66" s="240"/>
      <c r="Q66" s="240"/>
      <c r="R66" s="240"/>
      <c r="S66" s="240"/>
      <c r="T66" s="240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27"/>
      <c r="AF66" s="48"/>
      <c r="AG66" s="49"/>
      <c r="AH66" s="50"/>
      <c r="AI66" s="50"/>
      <c r="AJ66" s="50"/>
      <c r="AK66" s="51"/>
      <c r="AL66" s="52"/>
    </row>
    <row r="67" spans="1:38" s="88" customFormat="1" ht="11.25" customHeight="1" x14ac:dyDescent="0.3">
      <c r="A67" s="249"/>
      <c r="B67" s="29"/>
      <c r="C67" s="568"/>
      <c r="D67" s="569"/>
      <c r="E67" s="569"/>
      <c r="F67" s="569"/>
      <c r="G67" s="570"/>
      <c r="H67" s="325"/>
      <c r="I67" s="325"/>
      <c r="J67" s="325"/>
      <c r="K67" s="325"/>
      <c r="L67" s="326"/>
      <c r="M67" s="326"/>
      <c r="N67" s="327"/>
      <c r="O67" s="321"/>
      <c r="P67" s="240"/>
      <c r="Q67" s="240"/>
      <c r="R67" s="240"/>
      <c r="S67" s="240"/>
      <c r="T67" s="240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27"/>
      <c r="AF67" s="48"/>
      <c r="AG67" s="49"/>
      <c r="AH67" s="50"/>
      <c r="AI67" s="50"/>
      <c r="AJ67" s="50"/>
      <c r="AK67" s="51"/>
      <c r="AL67" s="52"/>
    </row>
    <row r="68" spans="1:38" s="88" customFormat="1" ht="14.4" x14ac:dyDescent="0.3">
      <c r="A68" s="249"/>
      <c r="B68" s="29"/>
      <c r="C68" s="29"/>
      <c r="D68" s="29"/>
      <c r="E68" s="29"/>
      <c r="F68" s="328"/>
      <c r="G68" s="214"/>
      <c r="H68" s="29"/>
      <c r="I68" s="29"/>
      <c r="J68" s="29"/>
      <c r="K68" s="29"/>
      <c r="L68" s="214"/>
      <c r="M68" s="214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27"/>
      <c r="AF68" s="48"/>
      <c r="AG68" s="49"/>
      <c r="AH68" s="50"/>
      <c r="AI68" s="50"/>
      <c r="AJ68" s="50"/>
      <c r="AK68" s="51"/>
      <c r="AL68" s="52"/>
    </row>
    <row r="69" spans="1:38" s="88" customFormat="1" ht="14.4" x14ac:dyDescent="0.3">
      <c r="A69" s="253"/>
      <c r="B69" s="29"/>
      <c r="C69" s="29"/>
      <c r="D69" s="29"/>
      <c r="E69" s="29"/>
      <c r="F69" s="29"/>
      <c r="G69" s="214"/>
      <c r="H69" s="29"/>
      <c r="I69" s="29"/>
      <c r="J69" s="29"/>
      <c r="K69" s="29"/>
      <c r="L69" s="214"/>
      <c r="M69" s="214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27"/>
      <c r="AF69" s="48"/>
      <c r="AG69" s="49"/>
      <c r="AH69" s="50"/>
      <c r="AI69" s="50"/>
      <c r="AJ69" s="50"/>
      <c r="AK69" s="51"/>
      <c r="AL69" s="52"/>
    </row>
    <row r="70" spans="1:38" s="88" customFormat="1" ht="14.25" customHeight="1" x14ac:dyDescent="0.3">
      <c r="A70" s="221" t="s">
        <v>87</v>
      </c>
      <c r="B70" s="29"/>
      <c r="C70" s="29"/>
      <c r="D70" s="531" t="s">
        <v>135</v>
      </c>
      <c r="E70" s="532"/>
      <c r="F70" s="533"/>
      <c r="G70" s="537">
        <v>0</v>
      </c>
      <c r="H70" s="329"/>
      <c r="I70" s="329"/>
      <c r="J70" s="329"/>
      <c r="K70" s="329"/>
      <c r="L70" s="329"/>
      <c r="M70" s="329"/>
      <c r="N70" s="329"/>
      <c r="O70" s="329"/>
      <c r="P70" s="329"/>
      <c r="Q70" s="329"/>
      <c r="R70" s="329"/>
      <c r="S70" s="329"/>
      <c r="T70" s="3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27"/>
      <c r="AF70" s="48"/>
      <c r="AG70" s="49"/>
      <c r="AH70" s="50"/>
      <c r="AI70" s="50"/>
      <c r="AJ70" s="50"/>
      <c r="AK70" s="51"/>
      <c r="AL70" s="52"/>
    </row>
    <row r="71" spans="1:38" s="88" customFormat="1" ht="15.75" customHeight="1" x14ac:dyDescent="0.3">
      <c r="A71" s="253"/>
      <c r="B71" s="29"/>
      <c r="C71" s="29"/>
      <c r="D71" s="534"/>
      <c r="E71" s="535"/>
      <c r="F71" s="536"/>
      <c r="G71" s="538"/>
      <c r="H71" s="330"/>
      <c r="I71" s="330">
        <f>IF(G71&gt;9,I46 / G71 * 8,0)</f>
        <v>0</v>
      </c>
      <c r="J71" s="330"/>
      <c r="K71" s="330"/>
      <c r="L71" s="330"/>
      <c r="M71" s="330"/>
      <c r="N71" s="330"/>
      <c r="O71" s="330"/>
      <c r="P71" s="330"/>
      <c r="Q71" s="330"/>
      <c r="R71" s="330"/>
      <c r="S71" s="330"/>
      <c r="T71" s="330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27"/>
      <c r="AF71" s="48"/>
      <c r="AG71" s="49"/>
      <c r="AH71" s="50"/>
      <c r="AI71" s="50"/>
      <c r="AJ71" s="50"/>
      <c r="AK71" s="51"/>
      <c r="AL71" s="52"/>
    </row>
    <row r="72" spans="1:38" s="88" customFormat="1" ht="14.4" x14ac:dyDescent="0.3">
      <c r="A72" s="253"/>
      <c r="B72" s="29"/>
      <c r="C72" s="29"/>
      <c r="D72" s="29"/>
      <c r="E72" s="29"/>
      <c r="F72" s="29"/>
      <c r="G72" s="328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27"/>
      <c r="AF72" s="48"/>
      <c r="AG72" s="49"/>
      <c r="AH72" s="50"/>
      <c r="AI72" s="50"/>
      <c r="AJ72" s="50"/>
      <c r="AK72" s="51"/>
      <c r="AL72" s="52"/>
    </row>
    <row r="73" spans="1:38" s="88" customFormat="1" ht="14.4" x14ac:dyDescent="0.3">
      <c r="A73" s="253"/>
      <c r="B73" s="29"/>
      <c r="C73" s="29"/>
      <c r="D73" s="29"/>
      <c r="E73" s="29"/>
      <c r="F73" s="29"/>
      <c r="G73" s="328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27"/>
      <c r="AF73" s="48"/>
      <c r="AG73" s="49"/>
      <c r="AH73" s="50"/>
      <c r="AI73" s="50"/>
      <c r="AJ73" s="50"/>
      <c r="AK73" s="51"/>
      <c r="AL73" s="52"/>
    </row>
    <row r="74" spans="1:38" s="88" customFormat="1" ht="14.4" x14ac:dyDescent="0.3">
      <c r="A74" s="253"/>
      <c r="B74" s="29"/>
      <c r="C74" s="9"/>
      <c r="D74" s="213"/>
      <c r="E74" s="124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1"/>
      <c r="S74" s="41"/>
      <c r="T74" s="41"/>
      <c r="U74" s="29"/>
      <c r="V74" s="29"/>
      <c r="W74" s="29"/>
      <c r="X74" s="29"/>
      <c r="Y74" s="29"/>
      <c r="Z74" s="29"/>
      <c r="AA74" s="29"/>
      <c r="AB74" s="29"/>
      <c r="AC74" s="29"/>
      <c r="AD74" s="29"/>
      <c r="AE74" s="227"/>
      <c r="AF74" s="48"/>
      <c r="AG74" s="49"/>
      <c r="AH74" s="50"/>
      <c r="AI74" s="50"/>
      <c r="AJ74" s="50"/>
      <c r="AK74" s="51"/>
      <c r="AL74" s="52"/>
    </row>
    <row r="75" spans="1:38" s="88" customFormat="1" ht="14.4" x14ac:dyDescent="0.3">
      <c r="A75" s="253"/>
      <c r="B75" s="29"/>
      <c r="C75" s="9"/>
      <c r="D75" s="213"/>
      <c r="E75" s="124"/>
      <c r="F75" s="41"/>
      <c r="G75" s="41"/>
      <c r="H75" s="41"/>
      <c r="I75" s="41"/>
      <c r="J75" s="41"/>
      <c r="K75" s="41"/>
      <c r="L75" s="41"/>
      <c r="M75" s="41"/>
      <c r="N75" s="41"/>
      <c r="O75" s="41"/>
      <c r="P75" s="41"/>
      <c r="Q75" s="41"/>
      <c r="R75" s="41"/>
      <c r="S75" s="41"/>
      <c r="T75" s="41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27"/>
      <c r="AF75" s="48"/>
      <c r="AG75" s="49"/>
      <c r="AH75" s="50"/>
      <c r="AI75" s="50"/>
      <c r="AJ75" s="50"/>
      <c r="AK75" s="51"/>
      <c r="AL75" s="52"/>
    </row>
    <row r="76" spans="1:38" s="88" customFormat="1" ht="14.4" x14ac:dyDescent="0.3">
      <c r="A76" s="253"/>
      <c r="B76" s="331"/>
      <c r="C76" s="331"/>
      <c r="D76" s="213"/>
      <c r="E76" s="124"/>
      <c r="F76" s="41"/>
      <c r="G76" s="41"/>
      <c r="H76" s="41"/>
      <c r="I76" s="41"/>
      <c r="J76" s="41"/>
      <c r="K76" s="41"/>
      <c r="L76" s="41"/>
      <c r="M76" s="41"/>
      <c r="N76" s="41"/>
      <c r="O76" s="41"/>
      <c r="P76" s="41"/>
      <c r="Q76" s="41"/>
      <c r="R76" s="41"/>
      <c r="S76" s="41"/>
      <c r="T76" s="41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27"/>
      <c r="AF76" s="48"/>
      <c r="AG76" s="49"/>
      <c r="AH76" s="50"/>
      <c r="AI76" s="50"/>
      <c r="AJ76" s="50"/>
      <c r="AK76" s="51"/>
      <c r="AL76" s="52"/>
    </row>
    <row r="77" spans="1:38" s="88" customFormat="1" ht="14.4" x14ac:dyDescent="0.3">
      <c r="A77" s="253"/>
      <c r="B77" s="111" t="s">
        <v>136</v>
      </c>
      <c r="D77" s="29"/>
      <c r="E77" s="29"/>
      <c r="F77" s="29"/>
      <c r="G77" s="328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27"/>
      <c r="AF77" s="48"/>
      <c r="AG77" s="49"/>
      <c r="AH77" s="50"/>
      <c r="AI77" s="50"/>
      <c r="AJ77" s="50"/>
      <c r="AK77" s="51"/>
      <c r="AL77" s="52"/>
    </row>
    <row r="78" spans="1:38" s="88" customFormat="1" ht="15" thickBot="1" x14ac:dyDescent="0.35">
      <c r="A78" s="332"/>
      <c r="B78" s="333" t="s">
        <v>137</v>
      </c>
      <c r="C78" s="29"/>
      <c r="D78" s="29"/>
      <c r="E78" s="29"/>
      <c r="F78" s="29"/>
      <c r="G78" s="328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334"/>
      <c r="AF78" s="48"/>
      <c r="AG78" s="49"/>
      <c r="AH78" s="50"/>
      <c r="AI78" s="50"/>
      <c r="AJ78" s="50"/>
      <c r="AK78" s="51"/>
      <c r="AL78" s="52"/>
    </row>
    <row r="79" spans="1:38" ht="14.4" thickTop="1" x14ac:dyDescent="0.25"/>
  </sheetData>
  <mergeCells count="11">
    <mergeCell ref="D70:F71"/>
    <mergeCell ref="G70:G71"/>
    <mergeCell ref="F1:F2"/>
    <mergeCell ref="P1:T2"/>
    <mergeCell ref="AQ1:AQ2"/>
    <mergeCell ref="B7:D8"/>
    <mergeCell ref="B9:B10"/>
    <mergeCell ref="C9:E10"/>
    <mergeCell ref="P10:T10"/>
    <mergeCell ref="C65:G65"/>
    <mergeCell ref="C66:G67"/>
  </mergeCells>
  <phoneticPr fontId="39" type="noConversion"/>
  <conditionalFormatting sqref="B9">
    <cfRule type="cellIs" dxfId="18" priority="40" stopIfTrue="1" operator="equal">
      <formula>"ESCRIBA AQUÍ EL NOMBRE DE LA OBRA"</formula>
    </cfRule>
  </conditionalFormatting>
  <conditionalFormatting sqref="B14:C14">
    <cfRule type="cellIs" dxfId="17" priority="29" operator="equal">
      <formula>"ESCRIBA AQUÍ EL NOMBRE DEL CAPITULO"</formula>
    </cfRule>
  </conditionalFormatting>
  <conditionalFormatting sqref="B53:C53">
    <cfRule type="cellIs" dxfId="16" priority="8" operator="equal">
      <formula>"ESCRIBA AQUÍ EL NOMBRE DEL CAPITULO"</formula>
    </cfRule>
  </conditionalFormatting>
  <conditionalFormatting sqref="G48">
    <cfRule type="cellIs" dxfId="15" priority="37" stopIfTrue="1" operator="notEqual">
      <formula>0</formula>
    </cfRule>
    <cfRule type="cellIs" dxfId="14" priority="38" stopIfTrue="1" operator="equal">
      <formula>0</formula>
    </cfRule>
  </conditionalFormatting>
  <conditionalFormatting sqref="G2:O6">
    <cfRule type="cellIs" dxfId="13" priority="43" stopIfTrue="1" operator="equal">
      <formula>"CHEQ. INSUMOS"</formula>
    </cfRule>
  </conditionalFormatting>
  <conditionalFormatting sqref="G1:P1">
    <cfRule type="cellIs" dxfId="12" priority="42" stopIfTrue="1" operator="equal">
      <formula>"CHEQ. INSUMOS"</formula>
    </cfRule>
  </conditionalFormatting>
  <conditionalFormatting sqref="G70:T71">
    <cfRule type="cellIs" dxfId="11" priority="34" stopIfTrue="1" operator="equal">
      <formula>1</formula>
    </cfRule>
  </conditionalFormatting>
  <conditionalFormatting sqref="H47 J47:N47">
    <cfRule type="expression" dxfId="10" priority="35" stopIfTrue="1">
      <formula>"&gt;G29"</formula>
    </cfRule>
    <cfRule type="expression" dxfId="9" priority="36" stopIfTrue="1">
      <formula>"&lt;G29"""</formula>
    </cfRule>
  </conditionalFormatting>
  <conditionalFormatting sqref="O2:O6">
    <cfRule type="cellIs" dxfId="8" priority="41" stopIfTrue="1" operator="equal">
      <formula>"ESCRIBA AQUÍ EL NOMBRE DE LA OBRA"</formula>
    </cfRule>
  </conditionalFormatting>
  <conditionalFormatting sqref="O14:U14">
    <cfRule type="cellIs" dxfId="7" priority="30" stopIfTrue="1" operator="notEqual">
      <formula>0</formula>
    </cfRule>
  </conditionalFormatting>
  <conditionalFormatting sqref="O53:U53">
    <cfRule type="cellIs" dxfId="6" priority="9" stopIfTrue="1" operator="notEqual">
      <formula>0</formula>
    </cfRule>
  </conditionalFormatting>
  <conditionalFormatting sqref="U14">
    <cfRule type="cellIs" dxfId="5" priority="32" stopIfTrue="1" operator="equal">
      <formula>0</formula>
    </cfRule>
  </conditionalFormatting>
  <conditionalFormatting sqref="U53">
    <cfRule type="cellIs" dxfId="4" priority="11" stopIfTrue="1" operator="equal">
      <formula>0</formula>
    </cfRule>
  </conditionalFormatting>
  <conditionalFormatting sqref="U2:AE6">
    <cfRule type="cellIs" dxfId="3" priority="33" stopIfTrue="1" operator="equal">
      <formula>"ESCRIBA AQUÍ EL NOMBRE DE LA OBRA"</formula>
    </cfRule>
  </conditionalFormatting>
  <pageMargins left="0.7" right="0.7" top="1.3149999999999999" bottom="0.75" header="0.3" footer="0.3"/>
  <pageSetup paperSize="9" scale="80" orientation="portrait" horizontalDpi="360" verticalDpi="360" r:id="rId1"/>
  <rowBreaks count="1" manualBreakCount="1">
    <brk id="32" max="3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17"/>
  <sheetViews>
    <sheetView showGridLines="0" topLeftCell="C214" zoomScale="85" zoomScaleNormal="85" workbookViewId="0">
      <selection activeCell="G191" sqref="G191"/>
    </sheetView>
  </sheetViews>
  <sheetFormatPr baseColWidth="10" defaultColWidth="11.33203125" defaultRowHeight="13.2" x14ac:dyDescent="0.3"/>
  <cols>
    <col min="1" max="2" width="0" style="476" hidden="1" customWidth="1"/>
    <col min="3" max="3" width="41.6640625" style="476" customWidth="1"/>
    <col min="4" max="4" width="11" style="476" customWidth="1"/>
    <col min="5" max="5" width="11.88671875" style="476" bestFit="1" customWidth="1"/>
    <col min="6" max="6" width="10.33203125" style="476" customWidth="1"/>
    <col min="7" max="7" width="12.88671875" style="476" customWidth="1"/>
    <col min="8" max="8" width="19.109375" style="476" customWidth="1"/>
    <col min="9" max="18" width="0" style="476" hidden="1" customWidth="1"/>
    <col min="19" max="19" width="13.109375" style="476" customWidth="1"/>
    <col min="20" max="20" width="14.88671875" style="476" customWidth="1"/>
    <col min="21" max="21" width="11.33203125" style="476"/>
    <col min="22" max="22" width="12.109375" style="476" customWidth="1"/>
    <col min="23" max="23" width="11.33203125" style="476"/>
    <col min="24" max="24" width="18.6640625" style="476" customWidth="1"/>
    <col min="25" max="25" width="14.88671875" style="476" customWidth="1"/>
    <col min="26" max="26" width="16.88671875" style="476" customWidth="1"/>
    <col min="27" max="27" width="11.33203125" style="476"/>
    <col min="28" max="818" width="0" style="476" hidden="1" customWidth="1"/>
    <col min="819" max="16384" width="11.33203125" style="476"/>
  </cols>
  <sheetData>
    <row r="1" spans="1:18" hidden="1" x14ac:dyDescent="0.3">
      <c r="A1" s="335"/>
      <c r="B1" s="336">
        <v>1</v>
      </c>
      <c r="C1" s="587"/>
      <c r="D1" s="587" t="s">
        <v>138</v>
      </c>
      <c r="E1" s="588"/>
      <c r="F1" s="590" t="str">
        <f>"Duración" &amp; 'PRESUPUESTO CASA DE LA CULTURA'!G70 &amp; " Días"</f>
        <v>Duración0 Días</v>
      </c>
      <c r="G1" s="592" t="s">
        <v>139</v>
      </c>
      <c r="H1" s="594">
        <f>'PRESUPUESTO CASA DE LA CULTURA'!G1</f>
        <v>99320817</v>
      </c>
      <c r="I1" s="337"/>
      <c r="J1" s="338"/>
      <c r="Q1" s="476" t="s">
        <v>172</v>
      </c>
    </row>
    <row r="2" spans="1:18" hidden="1" x14ac:dyDescent="0.3">
      <c r="A2" s="339" t="str">
        <f>'PRESUPUESTO CASA DE LA CULTURA'!A2</f>
        <v>CD</v>
      </c>
      <c r="B2" s="335"/>
      <c r="C2" s="587"/>
      <c r="D2" s="589"/>
      <c r="E2" s="589"/>
      <c r="F2" s="591"/>
      <c r="G2" s="593"/>
      <c r="H2" s="595"/>
      <c r="I2" s="340">
        <v>1</v>
      </c>
      <c r="J2" s="341"/>
      <c r="Q2" s="476" t="s">
        <v>172</v>
      </c>
      <c r="R2" s="476">
        <v>0.1</v>
      </c>
    </row>
    <row r="3" spans="1:18" ht="13.8" hidden="1" thickBot="1" x14ac:dyDescent="0.35">
      <c r="A3" s="342">
        <v>1</v>
      </c>
      <c r="B3" s="335"/>
      <c r="C3" s="477"/>
      <c r="D3" s="478" t="str">
        <f>'PRESUPUESTO CASA DE LA CULTURA'!A2</f>
        <v>CD</v>
      </c>
      <c r="E3" s="479">
        <f>SUM(F3:H3)</f>
        <v>0.28000000000000003</v>
      </c>
      <c r="F3" s="480">
        <f>Adm</f>
        <v>0.25</v>
      </c>
      <c r="G3" s="481">
        <f>Imprev</f>
        <v>0.03</v>
      </c>
      <c r="H3" s="481">
        <f>Utilidad</f>
        <v>0</v>
      </c>
      <c r="I3" s="343">
        <f>'PRESUPUESTO CASA DE LA CULTURA'!F46</f>
        <v>0</v>
      </c>
      <c r="J3" s="344" t="s">
        <v>140</v>
      </c>
    </row>
    <row r="4" spans="1:18" ht="13.8" thickTop="1" x14ac:dyDescent="0.3">
      <c r="A4" s="345"/>
      <c r="B4" s="345"/>
      <c r="C4" s="596" t="str">
        <f>'PRESUPUESTO CASA DE LA CULTURA'!B7</f>
        <v>ALCALDIA MUNICIPAL DE PATIA</v>
      </c>
      <c r="D4" s="597"/>
      <c r="E4" s="598"/>
      <c r="F4" s="602" t="s">
        <v>141</v>
      </c>
      <c r="G4" s="603"/>
      <c r="H4" s="604"/>
      <c r="I4" s="482"/>
      <c r="J4" s="483"/>
    </row>
    <row r="5" spans="1:18" x14ac:dyDescent="0.3">
      <c r="A5" s="345"/>
      <c r="B5" s="346"/>
      <c r="C5" s="599"/>
      <c r="D5" s="600"/>
      <c r="E5" s="601"/>
      <c r="F5" s="605"/>
      <c r="G5" s="606"/>
      <c r="H5" s="607"/>
      <c r="I5" s="482"/>
      <c r="J5" s="483"/>
    </row>
    <row r="6" spans="1:18" x14ac:dyDescent="0.3">
      <c r="A6" s="345"/>
      <c r="B6" s="347"/>
      <c r="C6" s="577" t="str">
        <f>'PRESUPUESTO CASA DE LA CULTURA'!C9</f>
        <v>REALIZAR OBRAS DE ADECUACIÓN DE LA CASA DE LA CULTURA, PROPIEDAD DEL MUNICIPIO DE PATÍA CAUCA</v>
      </c>
      <c r="D6" s="578"/>
      <c r="E6" s="578"/>
      <c r="F6" s="579"/>
      <c r="G6" s="484" t="s">
        <v>78</v>
      </c>
      <c r="H6" s="485">
        <f ca="1">'PRESUPUESTO CASA DE LA CULTURA'!G9</f>
        <v>45877</v>
      </c>
      <c r="I6" s="486"/>
      <c r="J6" s="487"/>
    </row>
    <row r="7" spans="1:18" ht="31.2" customHeight="1" thickBot="1" x14ac:dyDescent="0.35">
      <c r="A7" s="345"/>
      <c r="B7" s="347"/>
      <c r="C7" s="580"/>
      <c r="D7" s="581"/>
      <c r="E7" s="581"/>
      <c r="F7" s="582"/>
      <c r="G7" s="575"/>
      <c r="H7" s="576"/>
      <c r="I7" s="488"/>
      <c r="J7" s="489"/>
    </row>
    <row r="8" spans="1:18" ht="13.8" thickTop="1" x14ac:dyDescent="0.3">
      <c r="C8" s="490"/>
      <c r="D8" s="491"/>
      <c r="E8" s="490"/>
      <c r="F8" s="490"/>
      <c r="G8" s="490"/>
      <c r="H8" s="490"/>
      <c r="I8" s="348"/>
      <c r="J8" s="349"/>
    </row>
    <row r="9" spans="1:18" ht="13.8" thickBot="1" x14ac:dyDescent="0.35">
      <c r="C9" s="490"/>
      <c r="D9" s="491"/>
      <c r="E9" s="490"/>
      <c r="F9" s="490"/>
      <c r="G9" s="490"/>
      <c r="H9" s="490"/>
      <c r="I9" s="348"/>
      <c r="J9" s="349"/>
    </row>
    <row r="10" spans="1:18" ht="13.8" thickTop="1" x14ac:dyDescent="0.3">
      <c r="A10" s="345" t="s">
        <v>190</v>
      </c>
      <c r="B10" s="365"/>
      <c r="C10" s="571" t="s">
        <v>94</v>
      </c>
      <c r="D10" s="572"/>
      <c r="E10" s="572"/>
      <c r="F10" s="572"/>
      <c r="G10" s="492"/>
      <c r="H10" s="366" t="s">
        <v>191</v>
      </c>
      <c r="I10" s="367" t="s">
        <v>142</v>
      </c>
      <c r="J10" s="368" t="s">
        <v>88</v>
      </c>
    </row>
    <row r="11" spans="1:18" x14ac:dyDescent="0.3">
      <c r="A11" s="345"/>
      <c r="B11" s="365"/>
      <c r="C11" s="573"/>
      <c r="D11" s="574"/>
      <c r="E11" s="574"/>
      <c r="F11" s="574"/>
      <c r="G11" s="493"/>
      <c r="H11" s="369" t="str">
        <f>"ITEM:   "&amp;'[2]PRESUPUESTO ALCALDIA'!B17</f>
        <v>ITEM:   1,2</v>
      </c>
      <c r="I11" s="370">
        <f>'[2]PRESUPUESTO ALCALDIA'!$AQ$16</f>
        <v>36</v>
      </c>
      <c r="J11" s="371"/>
    </row>
    <row r="12" spans="1:18" x14ac:dyDescent="0.3">
      <c r="A12" s="372" t="s">
        <v>143</v>
      </c>
      <c r="B12" s="365"/>
      <c r="C12" s="373" t="s">
        <v>81</v>
      </c>
      <c r="D12" s="374" t="s">
        <v>82</v>
      </c>
      <c r="E12" s="375" t="s">
        <v>83</v>
      </c>
      <c r="F12" s="375" t="s">
        <v>144</v>
      </c>
      <c r="G12" s="376" t="s">
        <v>145</v>
      </c>
      <c r="H12" s="377" t="s">
        <v>146</v>
      </c>
      <c r="I12" s="378"/>
      <c r="J12" s="379" t="s">
        <v>146</v>
      </c>
    </row>
    <row r="13" spans="1:18" x14ac:dyDescent="0.3">
      <c r="A13" s="372"/>
      <c r="B13" s="365"/>
      <c r="C13" s="380"/>
      <c r="D13" s="345"/>
      <c r="E13" s="381"/>
      <c r="F13" s="381"/>
      <c r="G13" s="382"/>
      <c r="H13" s="383"/>
      <c r="I13" s="384"/>
      <c r="J13" s="385"/>
    </row>
    <row r="14" spans="1:18" x14ac:dyDescent="0.3">
      <c r="A14" s="372" t="s">
        <v>147</v>
      </c>
      <c r="B14" s="365"/>
      <c r="C14" s="386" t="s">
        <v>148</v>
      </c>
      <c r="D14" s="345"/>
      <c r="E14" s="381"/>
      <c r="F14" s="381"/>
      <c r="G14" s="382"/>
      <c r="H14" s="383"/>
      <c r="I14" s="384"/>
      <c r="J14" s="385"/>
    </row>
    <row r="15" spans="1:18" x14ac:dyDescent="0.3">
      <c r="A15" s="372" t="s">
        <v>192</v>
      </c>
      <c r="B15" s="365" t="s">
        <v>193</v>
      </c>
      <c r="C15" s="373" t="str">
        <f>+C65</f>
        <v>MANO DE OBRA</v>
      </c>
      <c r="D15" s="374" t="s">
        <v>97</v>
      </c>
      <c r="E15" s="375">
        <v>1E-3</v>
      </c>
      <c r="F15" s="375">
        <v>0</v>
      </c>
      <c r="G15" s="376">
        <f>+H39</f>
        <v>4285.7142857142853</v>
      </c>
      <c r="H15" s="377">
        <f>TRUNC(E15* (1 + F15 / 100) * G15,2)</f>
        <v>4.28</v>
      </c>
      <c r="I15" s="378">
        <f>I11 * (E15 * (1+F15/100))</f>
        <v>3.6000000000000004E-2</v>
      </c>
      <c r="J15" s="385">
        <f>H15 * I11</f>
        <v>154.08000000000001</v>
      </c>
    </row>
    <row r="16" spans="1:18" x14ac:dyDescent="0.3">
      <c r="A16" s="372">
        <v>101008</v>
      </c>
      <c r="B16" s="365" t="s">
        <v>194</v>
      </c>
      <c r="C16" s="373" t="s">
        <v>195</v>
      </c>
      <c r="D16" s="374" t="s">
        <v>196</v>
      </c>
      <c r="E16" s="375">
        <v>0.1</v>
      </c>
      <c r="F16" s="375">
        <v>0</v>
      </c>
      <c r="G16" s="376">
        <v>7500</v>
      </c>
      <c r="H16" s="377">
        <f>TRUNC(E16* (1 + F16 / 100) * G16,2)</f>
        <v>750</v>
      </c>
      <c r="I16" s="378">
        <f>I11 * (E16 * (1+F16/100))</f>
        <v>3.6</v>
      </c>
      <c r="J16" s="385">
        <f>H16 * I11</f>
        <v>27000</v>
      </c>
    </row>
    <row r="17" spans="1:16" x14ac:dyDescent="0.3">
      <c r="A17" s="372">
        <v>105037</v>
      </c>
      <c r="B17" s="365" t="s">
        <v>197</v>
      </c>
      <c r="C17" s="373" t="s">
        <v>198</v>
      </c>
      <c r="D17" s="374" t="s">
        <v>199</v>
      </c>
      <c r="E17" s="375">
        <v>2.2000000000000001E-3</v>
      </c>
      <c r="F17" s="375">
        <v>0</v>
      </c>
      <c r="G17" s="376">
        <v>35000</v>
      </c>
      <c r="H17" s="377">
        <f>TRUNC(E17* (1 + F17 / 100) * G17,2)</f>
        <v>77</v>
      </c>
      <c r="I17" s="378">
        <f>I11 * (E17 * (1+F17/100))</f>
        <v>7.9200000000000007E-2</v>
      </c>
      <c r="J17" s="385">
        <f>H17 * I11</f>
        <v>2772</v>
      </c>
    </row>
    <row r="18" spans="1:16" x14ac:dyDescent="0.3">
      <c r="A18" s="345" t="s">
        <v>149</v>
      </c>
      <c r="B18" s="365"/>
      <c r="C18" s="380"/>
      <c r="D18" s="345"/>
      <c r="E18" s="381"/>
      <c r="F18" s="381"/>
      <c r="G18" s="382" t="s">
        <v>150</v>
      </c>
      <c r="H18" s="387">
        <f>SUM(H14:H17)</f>
        <v>831.28</v>
      </c>
      <c r="I18" s="384"/>
      <c r="J18" s="387">
        <f>SUM(J14:J17)</f>
        <v>29926.080000000002</v>
      </c>
    </row>
    <row r="19" spans="1:16" x14ac:dyDescent="0.3">
      <c r="A19" s="345"/>
      <c r="B19" s="490"/>
      <c r="C19" s="386"/>
      <c r="D19" s="345"/>
      <c r="E19" s="381"/>
      <c r="F19" s="381"/>
      <c r="G19" s="382"/>
      <c r="H19" s="383"/>
      <c r="I19" s="384"/>
      <c r="J19" s="385"/>
    </row>
    <row r="20" spans="1:16" x14ac:dyDescent="0.3">
      <c r="A20" s="372" t="s">
        <v>151</v>
      </c>
      <c r="B20" s="365"/>
      <c r="C20" s="386" t="s">
        <v>152</v>
      </c>
      <c r="D20" s="345"/>
      <c r="E20" s="381"/>
      <c r="F20" s="388"/>
      <c r="G20" s="389"/>
      <c r="H20" s="390"/>
      <c r="I20" s="384"/>
      <c r="J20" s="391"/>
    </row>
    <row r="21" spans="1:16" x14ac:dyDescent="0.3">
      <c r="A21" s="372"/>
      <c r="B21" s="365"/>
      <c r="C21" s="373" t="s">
        <v>305</v>
      </c>
      <c r="D21" s="374" t="s">
        <v>200</v>
      </c>
      <c r="E21" s="375">
        <v>0.1</v>
      </c>
      <c r="F21" s="392">
        <v>1</v>
      </c>
      <c r="G21" s="393">
        <f>+[3]M.O.!$E$5</f>
        <v>11563</v>
      </c>
      <c r="H21" s="394">
        <f>+G21*F21*E21</f>
        <v>1156.3</v>
      </c>
      <c r="I21" s="378"/>
      <c r="J21" s="391"/>
    </row>
    <row r="22" spans="1:16" x14ac:dyDescent="0.3">
      <c r="A22" s="372"/>
      <c r="B22" s="365"/>
      <c r="C22" s="373"/>
      <c r="D22" s="374"/>
      <c r="E22" s="375"/>
      <c r="F22" s="392"/>
      <c r="G22" s="393"/>
      <c r="H22" s="394"/>
      <c r="I22" s="378"/>
      <c r="J22" s="391"/>
    </row>
    <row r="23" spans="1:16" x14ac:dyDescent="0.3">
      <c r="A23" s="395"/>
      <c r="B23" s="490"/>
      <c r="C23" s="380"/>
      <c r="D23" s="345"/>
      <c r="E23" s="381"/>
      <c r="F23" s="381"/>
      <c r="G23" s="382"/>
      <c r="H23" s="396"/>
      <c r="I23" s="384"/>
      <c r="J23" s="397"/>
    </row>
    <row r="24" spans="1:16" x14ac:dyDescent="0.3">
      <c r="A24" s="372" t="s">
        <v>155</v>
      </c>
      <c r="B24" s="365"/>
      <c r="C24" s="398" t="s">
        <v>156</v>
      </c>
      <c r="D24" s="345"/>
      <c r="E24" s="381"/>
      <c r="F24" s="381"/>
      <c r="G24" s="382"/>
      <c r="H24" s="383"/>
      <c r="I24" s="384"/>
      <c r="J24" s="385"/>
    </row>
    <row r="25" spans="1:16" x14ac:dyDescent="0.3">
      <c r="A25" s="372">
        <v>300026</v>
      </c>
      <c r="B25" s="365" t="s">
        <v>156</v>
      </c>
      <c r="C25" s="399" t="s">
        <v>157</v>
      </c>
      <c r="D25" s="374" t="s">
        <v>158</v>
      </c>
      <c r="E25" s="375">
        <v>0.16700000000000001</v>
      </c>
      <c r="F25" s="375"/>
      <c r="G25" s="376">
        <v>1690</v>
      </c>
      <c r="H25" s="377">
        <f>TRUNC(E25* (1 + F25 / 100) * G25,2)</f>
        <v>282.23</v>
      </c>
      <c r="I25" s="378">
        <f>I11 * (E25 * (1+F25/100))</f>
        <v>6.0120000000000005</v>
      </c>
      <c r="J25" s="385">
        <f>H25 * I11</f>
        <v>10160.280000000001</v>
      </c>
    </row>
    <row r="26" spans="1:16" x14ac:dyDescent="0.3">
      <c r="A26" s="345" t="s">
        <v>159</v>
      </c>
      <c r="B26" s="365"/>
      <c r="C26" s="380"/>
      <c r="D26" s="345"/>
      <c r="E26" s="381"/>
      <c r="F26" s="381"/>
      <c r="G26" s="382" t="s">
        <v>160</v>
      </c>
      <c r="H26" s="387">
        <f>SUM(H24:H25)</f>
        <v>282.23</v>
      </c>
      <c r="I26" s="384"/>
      <c r="J26" s="387">
        <f>SUM(J24:J25)</f>
        <v>10160.280000000001</v>
      </c>
    </row>
    <row r="27" spans="1:16" ht="13.8" thickBot="1" x14ac:dyDescent="0.35">
      <c r="A27" s="345" t="s">
        <v>85</v>
      </c>
      <c r="B27" s="400"/>
      <c r="C27" s="401"/>
      <c r="D27" s="402"/>
      <c r="E27" s="403"/>
      <c r="F27" s="404" t="s">
        <v>165</v>
      </c>
      <c r="G27" s="405"/>
      <c r="H27" s="406">
        <f>IF($A$2="CD",IF($A$3=1,ROUND(SUM(H12:H26)/2,0),IF($A$3=3,ROUND(SUM(H12:H26)/2,-1),SUM(H12:H26)/2)),SUM(H12:H26)/2)</f>
        <v>1692</v>
      </c>
      <c r="I27" s="407">
        <f>SUM(J12:J26)/2</f>
        <v>40086.36</v>
      </c>
      <c r="J27" s="408">
        <f>IF($A$2="CD",IF($A$3=1,ROUND(SUM(J12:J26)/2,0),IF($A$3=3,ROUND(SUM(J12:J26)/2,-1),SUM(J12:J26)/2)),SUM(J12:J26)/2)</f>
        <v>40086</v>
      </c>
    </row>
    <row r="28" spans="1:16" ht="14.4" thickTop="1" thickBot="1" x14ac:dyDescent="0.35">
      <c r="A28" s="381"/>
      <c r="B28" s="494"/>
      <c r="C28" s="381"/>
      <c r="D28" s="381"/>
      <c r="E28" s="381"/>
      <c r="F28" s="388"/>
      <c r="G28" s="381"/>
      <c r="H28" s="381"/>
      <c r="I28" s="381"/>
      <c r="J28" s="495"/>
      <c r="K28" s="418"/>
      <c r="L28" s="381"/>
      <c r="M28" s="381"/>
      <c r="N28" s="381"/>
      <c r="O28" s="381"/>
      <c r="P28" s="381"/>
    </row>
    <row r="29" spans="1:16" ht="13.8" thickTop="1" x14ac:dyDescent="0.3">
      <c r="A29" s="345" t="s">
        <v>179</v>
      </c>
      <c r="B29" s="365"/>
      <c r="C29" s="571" t="str">
        <f>+'PRESUPUESTO CASA DE LA CULTURA'!C17</f>
        <v>DESMONTE DE CUBIERTA H&lt;= 4M (INCLUYE ACARREO MENOR A 2KM Y DISPOSICION)</v>
      </c>
      <c r="D29" s="572"/>
      <c r="E29" s="572"/>
      <c r="F29" s="572"/>
      <c r="G29" s="496"/>
      <c r="H29" s="366" t="s">
        <v>174</v>
      </c>
      <c r="I29" s="367" t="s">
        <v>142</v>
      </c>
      <c r="J29" s="368" t="s">
        <v>88</v>
      </c>
      <c r="K29" s="418"/>
      <c r="L29" s="381"/>
      <c r="M29" s="381"/>
      <c r="N29" s="381"/>
      <c r="O29" s="381"/>
      <c r="P29" s="381"/>
    </row>
    <row r="30" spans="1:16" x14ac:dyDescent="0.3">
      <c r="A30" s="345"/>
      <c r="B30" s="365"/>
      <c r="C30" s="573"/>
      <c r="D30" s="574"/>
      <c r="E30" s="574"/>
      <c r="F30" s="574"/>
      <c r="G30" s="497"/>
      <c r="H30" s="369"/>
      <c r="I30" s="413"/>
      <c r="J30" s="371"/>
      <c r="K30" s="418"/>
      <c r="L30" s="381"/>
      <c r="M30" s="381"/>
      <c r="N30" s="381"/>
      <c r="O30" s="381"/>
      <c r="P30" s="381"/>
    </row>
    <row r="31" spans="1:16" x14ac:dyDescent="0.3">
      <c r="A31" s="372" t="s">
        <v>143</v>
      </c>
      <c r="B31" s="365"/>
      <c r="C31" s="373" t="s">
        <v>81</v>
      </c>
      <c r="D31" s="374" t="s">
        <v>82</v>
      </c>
      <c r="E31" s="375" t="s">
        <v>83</v>
      </c>
      <c r="F31" s="392" t="s">
        <v>144</v>
      </c>
      <c r="G31" s="393" t="s">
        <v>145</v>
      </c>
      <c r="H31" s="394" t="s">
        <v>146</v>
      </c>
      <c r="I31" s="378"/>
      <c r="J31" s="414" t="s">
        <v>146</v>
      </c>
      <c r="K31" s="418"/>
      <c r="L31" s="381"/>
      <c r="M31" s="381"/>
      <c r="N31" s="381"/>
      <c r="O31" s="381"/>
      <c r="P31" s="381"/>
    </row>
    <row r="32" spans="1:16" x14ac:dyDescent="0.3">
      <c r="A32" s="372"/>
      <c r="B32" s="365"/>
      <c r="C32" s="380"/>
      <c r="D32" s="345"/>
      <c r="E32" s="381"/>
      <c r="F32" s="388"/>
      <c r="G32" s="389"/>
      <c r="H32" s="390"/>
      <c r="I32" s="384"/>
      <c r="J32" s="391"/>
      <c r="K32" s="418"/>
      <c r="L32" s="381"/>
      <c r="M32" s="381"/>
      <c r="N32" s="381"/>
      <c r="O32" s="381"/>
      <c r="P32" s="381"/>
    </row>
    <row r="33" spans="1:16" x14ac:dyDescent="0.3">
      <c r="A33" s="372" t="s">
        <v>151</v>
      </c>
      <c r="B33" s="365"/>
      <c r="C33" s="386" t="s">
        <v>152</v>
      </c>
      <c r="D33" s="345"/>
      <c r="E33" s="381"/>
      <c r="F33" s="388"/>
      <c r="G33" s="389"/>
      <c r="H33" s="390"/>
      <c r="I33" s="384"/>
      <c r="J33" s="391"/>
      <c r="K33" s="418"/>
      <c r="L33" s="381"/>
      <c r="M33" s="381"/>
      <c r="N33" s="381"/>
      <c r="O33" s="381"/>
      <c r="P33" s="381"/>
    </row>
    <row r="34" spans="1:16" x14ac:dyDescent="0.3">
      <c r="A34" s="372">
        <v>200006</v>
      </c>
      <c r="B34" s="365" t="s">
        <v>152</v>
      </c>
      <c r="C34" s="373" t="s">
        <v>305</v>
      </c>
      <c r="D34" s="374" t="s">
        <v>176</v>
      </c>
      <c r="E34" s="375">
        <v>0.28000000000000003</v>
      </c>
      <c r="F34" s="392"/>
      <c r="G34" s="393">
        <f>+[3]M.O.!$E$5</f>
        <v>11563</v>
      </c>
      <c r="H34" s="394">
        <f>+G34*E34</f>
        <v>3237.6400000000003</v>
      </c>
      <c r="I34" s="378">
        <f>I30 * (E34 * (1+F34/100))</f>
        <v>0</v>
      </c>
      <c r="J34" s="414">
        <v>0</v>
      </c>
      <c r="K34" s="418"/>
      <c r="L34" s="381"/>
      <c r="M34" s="381"/>
      <c r="N34" s="381"/>
      <c r="O34" s="381"/>
      <c r="P34" s="381"/>
    </row>
    <row r="35" spans="1:16" x14ac:dyDescent="0.3">
      <c r="A35" s="372">
        <v>200017</v>
      </c>
      <c r="B35" s="365" t="s">
        <v>152</v>
      </c>
      <c r="C35" s="373" t="s">
        <v>181</v>
      </c>
      <c r="D35" s="374" t="s">
        <v>176</v>
      </c>
      <c r="E35" s="375">
        <v>0.1</v>
      </c>
      <c r="F35" s="392"/>
      <c r="G35" s="393">
        <v>30000</v>
      </c>
      <c r="H35" s="394">
        <f t="shared" ref="H35" si="0">+G35*E35</f>
        <v>3000</v>
      </c>
      <c r="I35" s="378">
        <f>I31 * (E35 * (1+F35/100))</f>
        <v>0</v>
      </c>
      <c r="J35" s="414">
        <v>0</v>
      </c>
      <c r="K35" s="418"/>
      <c r="L35" s="381"/>
      <c r="M35" s="381"/>
      <c r="N35" s="381"/>
      <c r="O35" s="381"/>
      <c r="P35" s="381"/>
    </row>
    <row r="36" spans="1:16" x14ac:dyDescent="0.3">
      <c r="A36" s="395" t="s">
        <v>153</v>
      </c>
      <c r="B36" s="365"/>
      <c r="C36" s="380"/>
      <c r="D36" s="345"/>
      <c r="E36" s="381"/>
      <c r="F36" s="388"/>
      <c r="G36" s="389" t="s">
        <v>154</v>
      </c>
      <c r="H36" s="415">
        <f>SUM(H34:H35)</f>
        <v>6237.64</v>
      </c>
      <c r="I36" s="384"/>
      <c r="J36" s="416">
        <v>0</v>
      </c>
      <c r="K36" s="418"/>
      <c r="L36" s="381"/>
      <c r="M36" s="381"/>
      <c r="N36" s="381"/>
      <c r="O36" s="381"/>
      <c r="P36" s="381"/>
    </row>
    <row r="37" spans="1:16" x14ac:dyDescent="0.3">
      <c r="A37" s="372" t="s">
        <v>155</v>
      </c>
      <c r="B37" s="365"/>
      <c r="C37" s="398" t="s">
        <v>182</v>
      </c>
      <c r="D37" s="345"/>
      <c r="E37" s="381"/>
      <c r="F37" s="388"/>
      <c r="G37" s="389"/>
      <c r="H37" s="390"/>
      <c r="I37" s="384"/>
      <c r="J37" s="391"/>
      <c r="K37" s="418"/>
      <c r="L37" s="381"/>
      <c r="M37" s="381"/>
      <c r="N37" s="381"/>
      <c r="O37" s="381"/>
      <c r="P37" s="381"/>
    </row>
    <row r="38" spans="1:16" x14ac:dyDescent="0.3">
      <c r="A38" s="372">
        <v>300026</v>
      </c>
      <c r="B38" s="365" t="s">
        <v>156</v>
      </c>
      <c r="C38" s="373" t="s">
        <v>183</v>
      </c>
      <c r="D38" s="374" t="s">
        <v>97</v>
      </c>
      <c r="E38" s="375">
        <f>1*1*0.3</f>
        <v>0.3</v>
      </c>
      <c r="F38" s="392"/>
      <c r="G38" s="417">
        <f>100000/7</f>
        <v>14285.714285714286</v>
      </c>
      <c r="H38" s="394">
        <f>+G38*E38</f>
        <v>4285.7142857142853</v>
      </c>
      <c r="I38" s="378">
        <f>I76 * (E38 * (1+F38/100))</f>
        <v>0</v>
      </c>
      <c r="J38" s="414">
        <v>0</v>
      </c>
      <c r="K38" s="418"/>
      <c r="L38" s="381"/>
      <c r="M38" s="381"/>
      <c r="N38" s="381"/>
      <c r="O38" s="381"/>
      <c r="P38" s="381"/>
    </row>
    <row r="39" spans="1:16" x14ac:dyDescent="0.3">
      <c r="A39" s="395" t="s">
        <v>159</v>
      </c>
      <c r="B39" s="365"/>
      <c r="C39" s="380"/>
      <c r="D39" s="345"/>
      <c r="E39" s="381"/>
      <c r="F39" s="388"/>
      <c r="G39" s="389" t="s">
        <v>184</v>
      </c>
      <c r="H39" s="415">
        <f>+H38</f>
        <v>4285.7142857142853</v>
      </c>
      <c r="I39" s="384"/>
      <c r="J39" s="416">
        <v>0</v>
      </c>
      <c r="K39" s="418"/>
      <c r="L39" s="381"/>
      <c r="M39" s="381"/>
      <c r="N39" s="381"/>
      <c r="O39" s="381"/>
      <c r="P39" s="381"/>
    </row>
    <row r="40" spans="1:16" x14ac:dyDescent="0.3">
      <c r="A40" s="372" t="s">
        <v>155</v>
      </c>
      <c r="B40" s="365"/>
      <c r="C40" s="398" t="s">
        <v>156</v>
      </c>
      <c r="D40" s="345"/>
      <c r="E40" s="381"/>
      <c r="F40" s="388"/>
      <c r="G40" s="389"/>
      <c r="H40" s="390"/>
      <c r="I40" s="384"/>
      <c r="J40" s="391"/>
      <c r="K40" s="418"/>
      <c r="L40" s="381"/>
      <c r="M40" s="381"/>
      <c r="N40" s="381"/>
      <c r="O40" s="381"/>
      <c r="P40" s="381"/>
    </row>
    <row r="41" spans="1:16" x14ac:dyDescent="0.3">
      <c r="A41" s="372">
        <v>300026</v>
      </c>
      <c r="B41" s="365" t="s">
        <v>156</v>
      </c>
      <c r="C41" s="373" t="s">
        <v>157</v>
      </c>
      <c r="D41" s="374" t="s">
        <v>158</v>
      </c>
      <c r="E41" s="375">
        <v>0.501</v>
      </c>
      <c r="F41" s="392"/>
      <c r="G41" s="393">
        <v>1690</v>
      </c>
      <c r="H41" s="394">
        <f>+G41*E41</f>
        <v>846.69</v>
      </c>
      <c r="I41" s="378">
        <f>I30 * (E41 * (1+F41/100))</f>
        <v>0</v>
      </c>
      <c r="J41" s="414">
        <v>0</v>
      </c>
      <c r="K41" s="418"/>
      <c r="L41" s="381"/>
      <c r="M41" s="381"/>
      <c r="N41" s="381"/>
      <c r="O41" s="381"/>
      <c r="P41" s="381"/>
    </row>
    <row r="42" spans="1:16" x14ac:dyDescent="0.3">
      <c r="A42" s="395" t="s">
        <v>159</v>
      </c>
      <c r="B42" s="365"/>
      <c r="C42" s="380"/>
      <c r="D42" s="345"/>
      <c r="E42" s="381"/>
      <c r="F42" s="388"/>
      <c r="G42" s="389" t="s">
        <v>160</v>
      </c>
      <c r="H42" s="415">
        <v>846.69</v>
      </c>
      <c r="I42" s="384"/>
      <c r="J42" s="416">
        <v>0</v>
      </c>
      <c r="K42" s="418"/>
      <c r="L42" s="381"/>
      <c r="M42" s="381"/>
      <c r="N42" s="381"/>
      <c r="O42" s="381"/>
      <c r="P42" s="381"/>
    </row>
    <row r="43" spans="1:16" hidden="1" x14ac:dyDescent="0.3">
      <c r="A43" s="345" t="s">
        <v>161</v>
      </c>
      <c r="B43" s="348"/>
      <c r="C43" s="386" t="s">
        <v>162</v>
      </c>
      <c r="D43" s="345"/>
      <c r="E43" s="381"/>
      <c r="F43" s="388"/>
      <c r="G43" s="389"/>
      <c r="H43" s="390"/>
      <c r="I43" s="384"/>
      <c r="J43" s="391"/>
      <c r="K43" s="418"/>
      <c r="L43" s="381"/>
      <c r="M43" s="381"/>
      <c r="N43" s="381"/>
      <c r="O43" s="381"/>
      <c r="P43" s="381"/>
    </row>
    <row r="44" spans="1:16" hidden="1" x14ac:dyDescent="0.3">
      <c r="A44" s="372"/>
      <c r="B44" s="365"/>
      <c r="C44" s="373"/>
      <c r="D44" s="374"/>
      <c r="E44" s="375"/>
      <c r="F44" s="392"/>
      <c r="G44" s="393"/>
      <c r="H44" s="394"/>
      <c r="I44" s="378"/>
      <c r="J44" s="414"/>
      <c r="K44" s="418"/>
      <c r="L44" s="381"/>
      <c r="M44" s="381"/>
      <c r="N44" s="381"/>
      <c r="O44" s="381"/>
      <c r="P44" s="381"/>
    </row>
    <row r="45" spans="1:16" hidden="1" x14ac:dyDescent="0.3">
      <c r="A45" s="395" t="s">
        <v>163</v>
      </c>
      <c r="B45" s="348"/>
      <c r="C45" s="380"/>
      <c r="D45" s="345"/>
      <c r="E45" s="381"/>
      <c r="F45" s="388"/>
      <c r="G45" s="389" t="s">
        <v>164</v>
      </c>
      <c r="H45" s="394">
        <v>0</v>
      </c>
      <c r="I45" s="384"/>
      <c r="J45" s="414">
        <v>0</v>
      </c>
      <c r="K45" s="418"/>
      <c r="L45" s="381"/>
      <c r="M45" s="381"/>
      <c r="N45" s="381"/>
      <c r="O45" s="381"/>
      <c r="P45" s="381"/>
    </row>
    <row r="46" spans="1:16" x14ac:dyDescent="0.3">
      <c r="A46" s="345"/>
      <c r="B46" s="419"/>
      <c r="C46" s="380"/>
      <c r="D46" s="345"/>
      <c r="E46" s="381"/>
      <c r="F46" s="388"/>
      <c r="G46" s="389"/>
      <c r="H46" s="390"/>
      <c r="I46" s="384"/>
      <c r="J46" s="391"/>
      <c r="K46" s="418"/>
      <c r="L46" s="381"/>
      <c r="M46" s="381"/>
      <c r="N46" s="381"/>
      <c r="O46" s="381"/>
      <c r="P46" s="381"/>
    </row>
    <row r="47" spans="1:16" ht="13.8" thickBot="1" x14ac:dyDescent="0.35">
      <c r="A47" s="345" t="s">
        <v>85</v>
      </c>
      <c r="B47" s="419"/>
      <c r="C47" s="401"/>
      <c r="D47" s="402"/>
      <c r="E47" s="403"/>
      <c r="F47" s="404" t="s">
        <v>165</v>
      </c>
      <c r="G47" s="420">
        <v>18924.140000000003</v>
      </c>
      <c r="H47" s="406">
        <f>ROUND(+H42+H39+H36,0)</f>
        <v>11370</v>
      </c>
      <c r="I47" s="421">
        <f>SUM(J31:J46)/2</f>
        <v>0</v>
      </c>
      <c r="J47" s="408">
        <v>0</v>
      </c>
      <c r="K47" s="418"/>
      <c r="L47" s="381"/>
      <c r="M47" s="381"/>
      <c r="N47" s="381"/>
      <c r="O47" s="381"/>
      <c r="P47" s="381"/>
    </row>
    <row r="48" spans="1:16" ht="13.8" hidden="1" thickTop="1" x14ac:dyDescent="0.3">
      <c r="A48" s="345" t="s">
        <v>166</v>
      </c>
      <c r="B48" s="419"/>
      <c r="C48" s="422" t="s">
        <v>108</v>
      </c>
      <c r="D48" s="423"/>
      <c r="E48" s="424"/>
      <c r="F48" s="425"/>
      <c r="G48" s="426"/>
      <c r="H48" s="427"/>
      <c r="I48" s="384"/>
      <c r="J48" s="428"/>
      <c r="K48" s="418"/>
      <c r="L48" s="381"/>
      <c r="M48" s="381"/>
      <c r="N48" s="381"/>
      <c r="O48" s="381"/>
      <c r="P48" s="381"/>
    </row>
    <row r="49" spans="1:16" ht="13.8" hidden="1" thickTop="1" x14ac:dyDescent="0.3">
      <c r="A49" s="372" t="s">
        <v>115</v>
      </c>
      <c r="B49" s="419"/>
      <c r="C49" s="429" t="s">
        <v>102</v>
      </c>
      <c r="D49" s="430"/>
      <c r="E49" s="431"/>
      <c r="F49" s="432">
        <f>$F$3</f>
        <v>0.25</v>
      </c>
      <c r="G49" s="433"/>
      <c r="H49" s="434">
        <v>0</v>
      </c>
      <c r="I49" s="384"/>
      <c r="J49" s="414">
        <v>0</v>
      </c>
      <c r="K49" s="418"/>
      <c r="L49" s="381"/>
      <c r="M49" s="381"/>
      <c r="N49" s="381"/>
      <c r="O49" s="381"/>
      <c r="P49" s="381"/>
    </row>
    <row r="50" spans="1:16" ht="13.8" hidden="1" thickTop="1" x14ac:dyDescent="0.3">
      <c r="A50" s="372" t="s">
        <v>167</v>
      </c>
      <c r="B50" s="419"/>
      <c r="C50" s="429" t="s">
        <v>103</v>
      </c>
      <c r="D50" s="430"/>
      <c r="E50" s="431"/>
      <c r="F50" s="432">
        <f>$G$3</f>
        <v>0.03</v>
      </c>
      <c r="G50" s="433"/>
      <c r="H50" s="434">
        <v>0</v>
      </c>
      <c r="I50" s="384"/>
      <c r="J50" s="414">
        <v>0</v>
      </c>
      <c r="K50" s="418"/>
      <c r="L50" s="381"/>
      <c r="M50" s="381"/>
      <c r="N50" s="381"/>
      <c r="O50" s="381"/>
      <c r="P50" s="381"/>
    </row>
    <row r="51" spans="1:16" ht="13.8" hidden="1" thickTop="1" x14ac:dyDescent="0.3">
      <c r="A51" s="372" t="s">
        <v>117</v>
      </c>
      <c r="B51" s="419"/>
      <c r="C51" s="429" t="s">
        <v>104</v>
      </c>
      <c r="D51" s="430"/>
      <c r="E51" s="431"/>
      <c r="F51" s="432">
        <f>$H$3</f>
        <v>0</v>
      </c>
      <c r="G51" s="433"/>
      <c r="H51" s="434">
        <v>0</v>
      </c>
      <c r="I51" s="384"/>
      <c r="J51" s="414">
        <v>0</v>
      </c>
      <c r="K51" s="418"/>
      <c r="L51" s="381"/>
      <c r="M51" s="381"/>
      <c r="N51" s="381"/>
      <c r="O51" s="381"/>
      <c r="P51" s="381"/>
    </row>
    <row r="52" spans="1:16" ht="13.8" hidden="1" thickTop="1" x14ac:dyDescent="0.3">
      <c r="A52" s="372" t="s">
        <v>119</v>
      </c>
      <c r="B52" s="419"/>
      <c r="C52" s="429" t="s">
        <v>106</v>
      </c>
      <c r="D52" s="430"/>
      <c r="E52" s="431"/>
      <c r="F52" s="432">
        <f>$I$3</f>
        <v>0</v>
      </c>
      <c r="G52" s="433"/>
      <c r="H52" s="434">
        <v>0</v>
      </c>
      <c r="I52" s="384"/>
      <c r="J52" s="414">
        <v>0</v>
      </c>
      <c r="K52" s="418"/>
      <c r="L52" s="381"/>
      <c r="M52" s="381"/>
      <c r="N52" s="381"/>
      <c r="O52" s="381"/>
      <c r="P52" s="381"/>
    </row>
    <row r="53" spans="1:16" ht="13.8" hidden="1" thickTop="1" x14ac:dyDescent="0.3">
      <c r="A53" s="345" t="s">
        <v>168</v>
      </c>
      <c r="B53" s="419"/>
      <c r="C53" s="386" t="s">
        <v>169</v>
      </c>
      <c r="D53" s="345"/>
      <c r="E53" s="381"/>
      <c r="F53" s="388"/>
      <c r="G53" s="435"/>
      <c r="H53" s="436">
        <v>0</v>
      </c>
      <c r="I53" s="437"/>
      <c r="J53" s="438">
        <v>0</v>
      </c>
      <c r="K53" s="418"/>
      <c r="L53" s="381"/>
      <c r="M53" s="381"/>
      <c r="N53" s="381"/>
      <c r="O53" s="381"/>
      <c r="P53" s="381"/>
    </row>
    <row r="54" spans="1:16" ht="14.4" hidden="1" thickTop="1" thickBot="1" x14ac:dyDescent="0.35">
      <c r="A54" s="345" t="s">
        <v>170</v>
      </c>
      <c r="B54" s="419"/>
      <c r="C54" s="439"/>
      <c r="D54" s="440"/>
      <c r="E54" s="403"/>
      <c r="F54" s="404" t="s">
        <v>171</v>
      </c>
      <c r="G54" s="441">
        <v>18920</v>
      </c>
      <c r="H54" s="406">
        <v>18920</v>
      </c>
      <c r="I54" s="421"/>
      <c r="J54" s="408">
        <v>0</v>
      </c>
      <c r="K54" s="418"/>
      <c r="L54" s="381"/>
      <c r="M54" s="381"/>
      <c r="N54" s="381"/>
      <c r="O54" s="381"/>
      <c r="P54" s="381"/>
    </row>
    <row r="55" spans="1:16" ht="13.8" thickTop="1" x14ac:dyDescent="0.3">
      <c r="A55" s="381"/>
      <c r="B55" s="494"/>
      <c r="C55" s="381"/>
      <c r="D55" s="381"/>
      <c r="E55" s="381"/>
      <c r="F55" s="388"/>
      <c r="G55" s="381"/>
      <c r="H55" s="381"/>
      <c r="I55" s="381"/>
      <c r="J55" s="495"/>
      <c r="K55" s="418"/>
      <c r="L55" s="381"/>
      <c r="M55" s="381"/>
      <c r="N55" s="381"/>
      <c r="O55" s="381"/>
      <c r="P55" s="381"/>
    </row>
    <row r="56" spans="1:16" ht="13.8" thickBot="1" x14ac:dyDescent="0.35">
      <c r="A56" s="381"/>
      <c r="B56" s="494"/>
      <c r="C56" s="381"/>
      <c r="D56" s="381"/>
      <c r="E56" s="381"/>
      <c r="F56" s="388"/>
      <c r="G56" s="381"/>
      <c r="H56" s="381"/>
      <c r="I56" s="381"/>
      <c r="J56" s="495"/>
      <c r="K56" s="418"/>
      <c r="L56" s="381"/>
      <c r="M56" s="381"/>
      <c r="N56" s="381"/>
      <c r="O56" s="381"/>
      <c r="P56" s="381"/>
    </row>
    <row r="57" spans="1:16" ht="13.8" thickTop="1" x14ac:dyDescent="0.3">
      <c r="A57" s="345" t="s">
        <v>173</v>
      </c>
      <c r="B57" s="365"/>
      <c r="C57" s="571" t="str">
        <f>+'PRESUPUESTO CASA DE LA CULTURA'!C18</f>
        <v>SUMINISTRO E INSTALACION DE TEJA ZINC TRAPEZOIDAL</v>
      </c>
      <c r="D57" s="572"/>
      <c r="E57" s="572"/>
      <c r="F57" s="572"/>
      <c r="G57" s="496"/>
      <c r="H57" s="366" t="s">
        <v>174</v>
      </c>
      <c r="I57" s="367" t="s">
        <v>142</v>
      </c>
      <c r="J57" s="368" t="s">
        <v>88</v>
      </c>
      <c r="K57" s="418"/>
      <c r="L57" s="381"/>
      <c r="M57" s="381"/>
      <c r="N57" s="381"/>
      <c r="O57" s="381"/>
      <c r="P57" s="381"/>
    </row>
    <row r="58" spans="1:16" x14ac:dyDescent="0.3">
      <c r="A58" s="345"/>
      <c r="B58" s="365"/>
      <c r="C58" s="573"/>
      <c r="D58" s="574"/>
      <c r="E58" s="574"/>
      <c r="F58" s="574"/>
      <c r="G58" s="497"/>
      <c r="H58" s="369"/>
      <c r="I58" s="413"/>
      <c r="J58" s="371"/>
      <c r="K58" s="418"/>
      <c r="L58" s="381"/>
      <c r="M58" s="381"/>
      <c r="N58" s="381"/>
      <c r="O58" s="381"/>
      <c r="P58" s="381"/>
    </row>
    <row r="59" spans="1:16" x14ac:dyDescent="0.3">
      <c r="A59" s="372" t="s">
        <v>143</v>
      </c>
      <c r="B59" s="365"/>
      <c r="C59" s="373" t="s">
        <v>81</v>
      </c>
      <c r="D59" s="374" t="s">
        <v>82</v>
      </c>
      <c r="E59" s="375" t="s">
        <v>83</v>
      </c>
      <c r="F59" s="392" t="s">
        <v>144</v>
      </c>
      <c r="G59" s="393" t="s">
        <v>145</v>
      </c>
      <c r="H59" s="394" t="s">
        <v>146</v>
      </c>
      <c r="I59" s="378"/>
      <c r="J59" s="414" t="s">
        <v>146</v>
      </c>
      <c r="K59" s="418"/>
      <c r="L59" s="381"/>
      <c r="M59" s="381"/>
      <c r="N59" s="381"/>
      <c r="O59" s="381"/>
      <c r="P59" s="381"/>
    </row>
    <row r="60" spans="1:16" x14ac:dyDescent="0.3">
      <c r="A60" s="372"/>
      <c r="B60" s="365"/>
      <c r="C60" s="380"/>
      <c r="D60" s="345"/>
      <c r="E60" s="381"/>
      <c r="F60" s="388"/>
      <c r="G60" s="389"/>
      <c r="H60" s="390"/>
      <c r="I60" s="384"/>
      <c r="J60" s="391"/>
      <c r="K60" s="418"/>
      <c r="L60" s="381"/>
      <c r="M60" s="381"/>
      <c r="N60" s="381"/>
      <c r="O60" s="381"/>
      <c r="P60" s="381"/>
    </row>
    <row r="61" spans="1:16" x14ac:dyDescent="0.3">
      <c r="A61" s="372" t="s">
        <v>147</v>
      </c>
      <c r="B61" s="365"/>
      <c r="C61" s="386" t="s">
        <v>148</v>
      </c>
      <c r="D61" s="345"/>
      <c r="E61" s="381"/>
      <c r="F61" s="388"/>
      <c r="G61" s="389"/>
      <c r="H61" s="390"/>
      <c r="I61" s="384"/>
      <c r="J61" s="391"/>
      <c r="K61" s="418"/>
      <c r="L61" s="381"/>
      <c r="M61" s="381"/>
      <c r="N61" s="381"/>
      <c r="O61" s="381"/>
      <c r="P61" s="381"/>
    </row>
    <row r="62" spans="1:16" x14ac:dyDescent="0.3">
      <c r="A62" s="372">
        <v>101876</v>
      </c>
      <c r="B62" s="365" t="s">
        <v>175</v>
      </c>
      <c r="C62" s="373" t="s">
        <v>187</v>
      </c>
      <c r="D62" s="374" t="s">
        <v>82</v>
      </c>
      <c r="E62" s="442">
        <f>1/4.8</f>
        <v>0.20833333333333334</v>
      </c>
      <c r="F62" s="392"/>
      <c r="G62" s="393">
        <f>76000*1.19</f>
        <v>90440</v>
      </c>
      <c r="H62" s="394">
        <f>+G62*E62</f>
        <v>18841.666666666668</v>
      </c>
      <c r="I62" s="378">
        <f>I58 * (E62 * (1+F62/100))</f>
        <v>0</v>
      </c>
      <c r="J62" s="414">
        <v>0</v>
      </c>
      <c r="K62" s="418"/>
      <c r="L62" s="381"/>
      <c r="M62" s="381"/>
      <c r="N62" s="381"/>
      <c r="O62" s="381"/>
      <c r="P62" s="381"/>
    </row>
    <row r="63" spans="1:16" x14ac:dyDescent="0.3">
      <c r="A63" s="372">
        <v>100084</v>
      </c>
      <c r="B63" s="365" t="s">
        <v>175</v>
      </c>
      <c r="C63" s="373" t="s">
        <v>188</v>
      </c>
      <c r="D63" s="374" t="s">
        <v>82</v>
      </c>
      <c r="E63" s="375">
        <v>4</v>
      </c>
      <c r="F63" s="392"/>
      <c r="G63" s="393">
        <v>200</v>
      </c>
      <c r="H63" s="394">
        <f>+G63*E63</f>
        <v>800</v>
      </c>
      <c r="I63" s="378">
        <f>I58 * (E63 * (1+F63/100))</f>
        <v>0</v>
      </c>
      <c r="J63" s="414">
        <v>0</v>
      </c>
      <c r="K63" s="418"/>
      <c r="L63" s="381"/>
      <c r="M63" s="381"/>
      <c r="N63" s="381"/>
      <c r="O63" s="381"/>
      <c r="P63" s="381"/>
    </row>
    <row r="64" spans="1:16" x14ac:dyDescent="0.3">
      <c r="A64" s="395" t="s">
        <v>149</v>
      </c>
      <c r="B64" s="365"/>
      <c r="C64" s="380"/>
      <c r="D64" s="345"/>
      <c r="E64" s="381"/>
      <c r="F64" s="388"/>
      <c r="G64" s="389" t="s">
        <v>150</v>
      </c>
      <c r="H64" s="415">
        <f>SUM(H62:H63)</f>
        <v>19641.666666666668</v>
      </c>
      <c r="I64" s="384"/>
      <c r="J64" s="416">
        <v>0</v>
      </c>
      <c r="K64" s="418"/>
      <c r="L64" s="381"/>
      <c r="M64" s="381"/>
      <c r="N64" s="381"/>
      <c r="O64" s="381"/>
      <c r="P64" s="381"/>
    </row>
    <row r="65" spans="1:16" x14ac:dyDescent="0.3">
      <c r="A65" s="372" t="s">
        <v>151</v>
      </c>
      <c r="B65" s="365"/>
      <c r="C65" s="386" t="s">
        <v>152</v>
      </c>
      <c r="D65" s="345"/>
      <c r="E65" s="381"/>
      <c r="F65" s="388"/>
      <c r="G65" s="389"/>
      <c r="H65" s="390"/>
      <c r="I65" s="384"/>
      <c r="J65" s="391"/>
      <c r="K65" s="418"/>
      <c r="L65" s="381"/>
      <c r="M65" s="381"/>
      <c r="N65" s="381"/>
      <c r="O65" s="381"/>
      <c r="P65" s="381"/>
    </row>
    <row r="66" spans="1:16" x14ac:dyDescent="0.3">
      <c r="A66" s="372">
        <v>200017</v>
      </c>
      <c r="B66" s="365" t="s">
        <v>152</v>
      </c>
      <c r="C66" s="373" t="s">
        <v>303</v>
      </c>
      <c r="D66" s="374" t="s">
        <v>176</v>
      </c>
      <c r="E66" s="375">
        <v>0.8</v>
      </c>
      <c r="F66" s="392"/>
      <c r="G66" s="393">
        <f>+[3]M.O.!$C$13</f>
        <v>30063</v>
      </c>
      <c r="H66" s="394">
        <f>+G66*E66</f>
        <v>24050.400000000001</v>
      </c>
      <c r="I66" s="378">
        <f>I58 * (E66 * (1+F66/100))</f>
        <v>0</v>
      </c>
      <c r="J66" s="414">
        <v>0</v>
      </c>
      <c r="K66" s="418"/>
      <c r="L66" s="381"/>
      <c r="M66" s="381"/>
      <c r="N66" s="381"/>
      <c r="O66" s="381"/>
      <c r="P66" s="381"/>
    </row>
    <row r="67" spans="1:16" x14ac:dyDescent="0.3">
      <c r="A67" s="395" t="s">
        <v>153</v>
      </c>
      <c r="B67" s="365"/>
      <c r="C67" s="380"/>
      <c r="D67" s="345"/>
      <c r="E67" s="381"/>
      <c r="F67" s="388"/>
      <c r="G67" s="389" t="s">
        <v>154</v>
      </c>
      <c r="H67" s="415">
        <f>+H66</f>
        <v>24050.400000000001</v>
      </c>
      <c r="I67" s="384"/>
      <c r="J67" s="416">
        <v>0</v>
      </c>
      <c r="K67" s="418"/>
      <c r="L67" s="381"/>
      <c r="M67" s="381"/>
      <c r="N67" s="381"/>
      <c r="O67" s="381"/>
      <c r="P67" s="381"/>
    </row>
    <row r="68" spans="1:16" x14ac:dyDescent="0.3">
      <c r="A68" s="372" t="s">
        <v>155</v>
      </c>
      <c r="B68" s="365"/>
      <c r="C68" s="398" t="s">
        <v>156</v>
      </c>
      <c r="D68" s="345"/>
      <c r="E68" s="381"/>
      <c r="F68" s="388"/>
      <c r="G68" s="389"/>
      <c r="H68" s="390"/>
      <c r="I68" s="384"/>
      <c r="J68" s="391"/>
      <c r="K68" s="418"/>
      <c r="L68" s="381"/>
      <c r="M68" s="381"/>
      <c r="N68" s="381"/>
      <c r="O68" s="381"/>
      <c r="P68" s="381"/>
    </row>
    <row r="69" spans="1:16" x14ac:dyDescent="0.3">
      <c r="A69" s="372">
        <v>300002</v>
      </c>
      <c r="B69" s="365" t="s">
        <v>156</v>
      </c>
      <c r="C69" s="373" t="s">
        <v>177</v>
      </c>
      <c r="D69" s="374" t="s">
        <v>178</v>
      </c>
      <c r="E69" s="375">
        <v>0.19900000000000001</v>
      </c>
      <c r="F69" s="392"/>
      <c r="G69" s="393">
        <v>1162</v>
      </c>
      <c r="H69" s="394">
        <f>+G69*E69</f>
        <v>231.238</v>
      </c>
      <c r="I69" s="378">
        <f>I58 * (E69 * (1+F69/100))</f>
        <v>0</v>
      </c>
      <c r="J69" s="414">
        <v>0</v>
      </c>
      <c r="K69" s="418"/>
      <c r="L69" s="381"/>
      <c r="M69" s="381"/>
      <c r="N69" s="381"/>
      <c r="O69" s="381"/>
      <c r="P69" s="381"/>
    </row>
    <row r="70" spans="1:16" x14ac:dyDescent="0.3">
      <c r="A70" s="372">
        <v>300002</v>
      </c>
      <c r="B70" s="365" t="s">
        <v>156</v>
      </c>
      <c r="C70" s="373" t="s">
        <v>189</v>
      </c>
      <c r="D70" s="374" t="s">
        <v>158</v>
      </c>
      <c r="E70" s="375">
        <v>1</v>
      </c>
      <c r="F70" s="392"/>
      <c r="G70" s="393">
        <v>400</v>
      </c>
      <c r="H70" s="394">
        <f>+G70*E70</f>
        <v>400</v>
      </c>
      <c r="I70" s="378">
        <f>I59 * (E70 * (1+F70/100))</f>
        <v>0</v>
      </c>
      <c r="J70" s="414">
        <v>0</v>
      </c>
      <c r="K70" s="418"/>
      <c r="L70" s="381"/>
      <c r="M70" s="381"/>
      <c r="N70" s="381"/>
      <c r="O70" s="381"/>
      <c r="P70" s="381"/>
    </row>
    <row r="71" spans="1:16" x14ac:dyDescent="0.3">
      <c r="A71" s="395" t="s">
        <v>159</v>
      </c>
      <c r="B71" s="365"/>
      <c r="C71" s="380"/>
      <c r="D71" s="345"/>
      <c r="E71" s="381"/>
      <c r="F71" s="388"/>
      <c r="G71" s="389" t="s">
        <v>160</v>
      </c>
      <c r="H71" s="415">
        <f>SUM(H69:H70)</f>
        <v>631.23800000000006</v>
      </c>
      <c r="I71" s="384"/>
      <c r="J71" s="416">
        <v>0</v>
      </c>
      <c r="K71" s="418"/>
      <c r="L71" s="381"/>
      <c r="M71" s="381"/>
      <c r="N71" s="381"/>
      <c r="O71" s="381"/>
      <c r="P71" s="381"/>
    </row>
    <row r="72" spans="1:16" hidden="1" x14ac:dyDescent="0.3">
      <c r="A72" s="345" t="s">
        <v>161</v>
      </c>
      <c r="B72" s="348"/>
      <c r="C72" s="386" t="s">
        <v>162</v>
      </c>
      <c r="D72" s="345"/>
      <c r="E72" s="381"/>
      <c r="F72" s="388"/>
      <c r="G72" s="389"/>
      <c r="H72" s="390"/>
      <c r="I72" s="384"/>
      <c r="J72" s="391"/>
      <c r="K72" s="418"/>
      <c r="L72" s="381"/>
      <c r="M72" s="381"/>
      <c r="N72" s="381"/>
      <c r="O72" s="381"/>
      <c r="P72" s="381"/>
    </row>
    <row r="73" spans="1:16" hidden="1" x14ac:dyDescent="0.3">
      <c r="A73" s="372"/>
      <c r="B73" s="365"/>
      <c r="C73" s="373"/>
      <c r="D73" s="374"/>
      <c r="E73" s="375"/>
      <c r="F73" s="392"/>
      <c r="G73" s="393"/>
      <c r="H73" s="394"/>
      <c r="I73" s="378"/>
      <c r="J73" s="414"/>
      <c r="K73" s="418"/>
      <c r="L73" s="381"/>
      <c r="M73" s="381"/>
      <c r="N73" s="381"/>
      <c r="O73" s="381"/>
      <c r="P73" s="381"/>
    </row>
    <row r="74" spans="1:16" hidden="1" x14ac:dyDescent="0.3">
      <c r="A74" s="395" t="s">
        <v>163</v>
      </c>
      <c r="B74" s="348"/>
      <c r="C74" s="380"/>
      <c r="D74" s="345"/>
      <c r="E74" s="381"/>
      <c r="F74" s="388"/>
      <c r="G74" s="389" t="s">
        <v>164</v>
      </c>
      <c r="H74" s="394">
        <v>0</v>
      </c>
      <c r="I74" s="384"/>
      <c r="J74" s="414">
        <v>0</v>
      </c>
      <c r="K74" s="418"/>
      <c r="L74" s="381"/>
      <c r="M74" s="381"/>
      <c r="N74" s="381"/>
      <c r="O74" s="381"/>
      <c r="P74" s="381"/>
    </row>
    <row r="75" spans="1:16" x14ac:dyDescent="0.3">
      <c r="A75" s="345"/>
      <c r="B75" s="419"/>
      <c r="C75" s="380"/>
      <c r="D75" s="345"/>
      <c r="E75" s="381"/>
      <c r="F75" s="388"/>
      <c r="G75" s="389"/>
      <c r="H75" s="390"/>
      <c r="I75" s="384"/>
      <c r="J75" s="391"/>
      <c r="K75" s="418"/>
      <c r="L75" s="381"/>
      <c r="M75" s="381"/>
      <c r="N75" s="381"/>
      <c r="O75" s="381"/>
      <c r="P75" s="381"/>
    </row>
    <row r="76" spans="1:16" ht="13.8" thickBot="1" x14ac:dyDescent="0.35">
      <c r="A76" s="345" t="s">
        <v>85</v>
      </c>
      <c r="B76" s="419"/>
      <c r="C76" s="401"/>
      <c r="D76" s="402"/>
      <c r="E76" s="403"/>
      <c r="F76" s="404" t="s">
        <v>165</v>
      </c>
      <c r="G76" s="420">
        <v>24856.230000000003</v>
      </c>
      <c r="H76" s="406">
        <f>+ROUND(H71+H67+H64,0)</f>
        <v>44323</v>
      </c>
      <c r="I76" s="421">
        <f>SUM(J59:J75)/2</f>
        <v>0</v>
      </c>
      <c r="J76" s="408">
        <v>0</v>
      </c>
      <c r="K76" s="418"/>
      <c r="L76" s="381"/>
      <c r="M76" s="381"/>
      <c r="N76" s="381"/>
      <c r="O76" s="381"/>
      <c r="P76" s="381"/>
    </row>
    <row r="77" spans="1:16" ht="13.8" thickTop="1" x14ac:dyDescent="0.3">
      <c r="A77" s="345"/>
      <c r="B77" s="400"/>
      <c r="C77" s="443"/>
      <c r="D77" s="345"/>
      <c r="E77" s="381"/>
      <c r="F77" s="444"/>
      <c r="G77" s="445"/>
      <c r="H77" s="446"/>
      <c r="I77" s="384"/>
      <c r="J77" s="447"/>
      <c r="K77" s="418"/>
      <c r="L77" s="381"/>
      <c r="M77" s="381"/>
      <c r="N77" s="381"/>
      <c r="O77" s="381"/>
      <c r="P77" s="381"/>
    </row>
    <row r="78" spans="1:16" ht="13.8" thickBot="1" x14ac:dyDescent="0.35">
      <c r="A78" s="381"/>
      <c r="B78" s="494"/>
      <c r="C78" s="381"/>
      <c r="D78" s="381"/>
      <c r="E78" s="381"/>
      <c r="F78" s="388"/>
      <c r="G78" s="381"/>
      <c r="H78" s="381"/>
      <c r="I78" s="381"/>
      <c r="J78" s="495"/>
      <c r="K78" s="418"/>
      <c r="L78" s="381"/>
      <c r="M78" s="381"/>
      <c r="N78" s="381"/>
      <c r="O78" s="381"/>
      <c r="P78" s="381"/>
    </row>
    <row r="79" spans="1:16" ht="13.8" thickTop="1" x14ac:dyDescent="0.3">
      <c r="A79" s="345" t="s">
        <v>173</v>
      </c>
      <c r="B79" s="365"/>
      <c r="C79" s="571" t="str">
        <f>+'PRESUPUESTO CASA DE LA CULTURA'!C21</f>
        <v>SUMINISTRO E INSTALACION DE CANALES METALICOS GALVANIZADO</v>
      </c>
      <c r="D79" s="572"/>
      <c r="E79" s="572"/>
      <c r="F79" s="572"/>
      <c r="G79" s="496"/>
      <c r="H79" s="366" t="s">
        <v>191</v>
      </c>
      <c r="I79" s="367" t="s">
        <v>142</v>
      </c>
      <c r="J79" s="368" t="s">
        <v>88</v>
      </c>
      <c r="K79" s="418"/>
      <c r="L79" s="381"/>
      <c r="M79" s="381"/>
      <c r="N79" s="381"/>
      <c r="O79" s="381"/>
      <c r="P79" s="381"/>
    </row>
    <row r="80" spans="1:16" x14ac:dyDescent="0.3">
      <c r="A80" s="345"/>
      <c r="B80" s="365"/>
      <c r="C80" s="573"/>
      <c r="D80" s="574"/>
      <c r="E80" s="574"/>
      <c r="F80" s="574"/>
      <c r="G80" s="497"/>
      <c r="H80" s="369"/>
      <c r="I80" s="413"/>
      <c r="J80" s="371"/>
      <c r="K80" s="418"/>
      <c r="L80" s="381"/>
      <c r="M80" s="381"/>
      <c r="N80" s="381"/>
      <c r="O80" s="381"/>
      <c r="P80" s="381"/>
    </row>
    <row r="81" spans="1:16" x14ac:dyDescent="0.3">
      <c r="A81" s="372" t="s">
        <v>143</v>
      </c>
      <c r="B81" s="365"/>
      <c r="C81" s="373" t="s">
        <v>81</v>
      </c>
      <c r="D81" s="374" t="s">
        <v>82</v>
      </c>
      <c r="E81" s="375" t="s">
        <v>83</v>
      </c>
      <c r="F81" s="392" t="s">
        <v>144</v>
      </c>
      <c r="G81" s="393" t="s">
        <v>145</v>
      </c>
      <c r="H81" s="394" t="s">
        <v>146</v>
      </c>
      <c r="I81" s="378"/>
      <c r="J81" s="414" t="s">
        <v>146</v>
      </c>
      <c r="K81" s="418"/>
      <c r="L81" s="381"/>
      <c r="M81" s="381"/>
      <c r="N81" s="381"/>
      <c r="O81" s="381"/>
      <c r="P81" s="381"/>
    </row>
    <row r="82" spans="1:16" x14ac:dyDescent="0.3">
      <c r="A82" s="372"/>
      <c r="B82" s="365"/>
      <c r="C82" s="380"/>
      <c r="D82" s="345"/>
      <c r="E82" s="381"/>
      <c r="F82" s="388"/>
      <c r="G82" s="389"/>
      <c r="H82" s="390"/>
      <c r="I82" s="384"/>
      <c r="J82" s="391"/>
      <c r="K82" s="418"/>
      <c r="L82" s="381"/>
      <c r="M82" s="381"/>
      <c r="N82" s="381"/>
      <c r="O82" s="381"/>
      <c r="P82" s="381"/>
    </row>
    <row r="83" spans="1:16" x14ac:dyDescent="0.3">
      <c r="A83" s="372" t="s">
        <v>147</v>
      </c>
      <c r="B83" s="365"/>
      <c r="C83" s="386" t="s">
        <v>148</v>
      </c>
      <c r="D83" s="345"/>
      <c r="E83" s="381"/>
      <c r="F83" s="388"/>
      <c r="G83" s="389"/>
      <c r="H83" s="390"/>
      <c r="I83" s="384"/>
      <c r="J83" s="391"/>
      <c r="K83" s="418"/>
      <c r="L83" s="381"/>
      <c r="M83" s="381"/>
      <c r="N83" s="381"/>
      <c r="O83" s="381"/>
      <c r="P83" s="381"/>
    </row>
    <row r="84" spans="1:16" x14ac:dyDescent="0.3">
      <c r="A84" s="372">
        <v>101876</v>
      </c>
      <c r="B84" s="365" t="s">
        <v>175</v>
      </c>
      <c r="C84" s="373" t="s">
        <v>201</v>
      </c>
      <c r="D84" s="374" t="s">
        <v>95</v>
      </c>
      <c r="E84" s="442">
        <v>1</v>
      </c>
      <c r="F84" s="392"/>
      <c r="G84" s="393">
        <v>21000</v>
      </c>
      <c r="H84" s="394">
        <f>+G84*E84</f>
        <v>21000</v>
      </c>
      <c r="I84" s="378">
        <f>I80 * (E84 * (1+F84/100))</f>
        <v>0</v>
      </c>
      <c r="J84" s="414">
        <v>0</v>
      </c>
      <c r="K84" s="418"/>
      <c r="L84" s="381"/>
      <c r="M84" s="381"/>
      <c r="N84" s="381"/>
      <c r="O84" s="381"/>
      <c r="P84" s="381"/>
    </row>
    <row r="85" spans="1:16" x14ac:dyDescent="0.3">
      <c r="A85" s="372">
        <v>100084</v>
      </c>
      <c r="B85" s="365" t="s">
        <v>175</v>
      </c>
      <c r="C85" s="373" t="s">
        <v>188</v>
      </c>
      <c r="D85" s="374" t="s">
        <v>82</v>
      </c>
      <c r="E85" s="375">
        <v>2</v>
      </c>
      <c r="F85" s="392"/>
      <c r="G85" s="393">
        <v>200</v>
      </c>
      <c r="H85" s="394">
        <f>+G85*E85</f>
        <v>400</v>
      </c>
      <c r="I85" s="378">
        <f>I80 * (E85 * (1+F85/100))</f>
        <v>0</v>
      </c>
      <c r="J85" s="414">
        <v>0</v>
      </c>
      <c r="K85" s="418"/>
      <c r="L85" s="381"/>
      <c r="M85" s="381"/>
      <c r="N85" s="381"/>
      <c r="O85" s="381"/>
      <c r="P85" s="381"/>
    </row>
    <row r="86" spans="1:16" x14ac:dyDescent="0.3">
      <c r="A86" s="395" t="s">
        <v>149</v>
      </c>
      <c r="B86" s="365"/>
      <c r="C86" s="380"/>
      <c r="D86" s="345"/>
      <c r="E86" s="381"/>
      <c r="F86" s="388"/>
      <c r="G86" s="389" t="s">
        <v>150</v>
      </c>
      <c r="H86" s="415">
        <f>SUM(H84:H85)</f>
        <v>21400</v>
      </c>
      <c r="I86" s="384"/>
      <c r="J86" s="416">
        <v>0</v>
      </c>
      <c r="K86" s="418"/>
      <c r="L86" s="381"/>
      <c r="M86" s="381"/>
      <c r="N86" s="381"/>
      <c r="O86" s="381"/>
      <c r="P86" s="381"/>
    </row>
    <row r="87" spans="1:16" x14ac:dyDescent="0.3">
      <c r="A87" s="372" t="s">
        <v>151</v>
      </c>
      <c r="B87" s="365"/>
      <c r="C87" s="386" t="s">
        <v>152</v>
      </c>
      <c r="D87" s="345"/>
      <c r="E87" s="381"/>
      <c r="F87" s="388"/>
      <c r="G87" s="389"/>
      <c r="H87" s="390"/>
      <c r="I87" s="384"/>
      <c r="J87" s="391"/>
      <c r="K87" s="418"/>
      <c r="L87" s="381"/>
      <c r="M87" s="381"/>
      <c r="N87" s="381"/>
      <c r="O87" s="381"/>
      <c r="P87" s="381"/>
    </row>
    <row r="88" spans="1:16" x14ac:dyDescent="0.3">
      <c r="A88" s="372">
        <v>200017</v>
      </c>
      <c r="B88" s="365" t="s">
        <v>152</v>
      </c>
      <c r="C88" s="373" t="s">
        <v>303</v>
      </c>
      <c r="D88" s="374" t="s">
        <v>176</v>
      </c>
      <c r="E88" s="375">
        <v>0.2</v>
      </c>
      <c r="F88" s="392"/>
      <c r="G88" s="393">
        <f>+[3]M.O.!$C$13</f>
        <v>30063</v>
      </c>
      <c r="H88" s="394">
        <f>+G88*E88</f>
        <v>6012.6</v>
      </c>
      <c r="I88" s="378">
        <f>I80 * (E88 * (1+F88/100))</f>
        <v>0</v>
      </c>
      <c r="J88" s="414">
        <v>0</v>
      </c>
      <c r="K88" s="418"/>
      <c r="L88" s="381"/>
      <c r="M88" s="381"/>
      <c r="N88" s="381"/>
      <c r="O88" s="381"/>
      <c r="P88" s="381"/>
    </row>
    <row r="89" spans="1:16" x14ac:dyDescent="0.3">
      <c r="A89" s="395" t="s">
        <v>153</v>
      </c>
      <c r="B89" s="365"/>
      <c r="C89" s="380"/>
      <c r="D89" s="345"/>
      <c r="E89" s="381"/>
      <c r="F89" s="388"/>
      <c r="G89" s="389" t="s">
        <v>154</v>
      </c>
      <c r="H89" s="415">
        <f>+H88</f>
        <v>6012.6</v>
      </c>
      <c r="I89" s="384"/>
      <c r="J89" s="416">
        <v>0</v>
      </c>
      <c r="K89" s="418"/>
      <c r="L89" s="381"/>
      <c r="M89" s="381"/>
      <c r="N89" s="381"/>
      <c r="O89" s="381"/>
      <c r="P89" s="381"/>
    </row>
    <row r="90" spans="1:16" x14ac:dyDescent="0.3">
      <c r="A90" s="372" t="s">
        <v>155</v>
      </c>
      <c r="B90" s="365"/>
      <c r="C90" s="398" t="s">
        <v>156</v>
      </c>
      <c r="D90" s="345"/>
      <c r="E90" s="381"/>
      <c r="F90" s="388"/>
      <c r="G90" s="389"/>
      <c r="H90" s="390"/>
      <c r="I90" s="384"/>
      <c r="J90" s="391"/>
      <c r="K90" s="418"/>
      <c r="L90" s="381"/>
      <c r="M90" s="381"/>
      <c r="N90" s="381"/>
      <c r="O90" s="381"/>
      <c r="P90" s="381"/>
    </row>
    <row r="91" spans="1:16" x14ac:dyDescent="0.3">
      <c r="A91" s="372">
        <v>300002</v>
      </c>
      <c r="B91" s="365" t="s">
        <v>156</v>
      </c>
      <c r="C91" s="373" t="s">
        <v>177</v>
      </c>
      <c r="D91" s="374" t="s">
        <v>178</v>
      </c>
      <c r="E91" s="375">
        <v>0.1</v>
      </c>
      <c r="F91" s="392"/>
      <c r="G91" s="393">
        <v>1162</v>
      </c>
      <c r="H91" s="394">
        <f>+G91*E91</f>
        <v>116.2</v>
      </c>
      <c r="I91" s="378">
        <f>I80 * (E91 * (1+F91/100))</f>
        <v>0</v>
      </c>
      <c r="J91" s="414">
        <v>0</v>
      </c>
      <c r="K91" s="418"/>
      <c r="L91" s="381"/>
      <c r="M91" s="381"/>
      <c r="N91" s="381"/>
      <c r="O91" s="381"/>
      <c r="P91" s="381"/>
    </row>
    <row r="92" spans="1:16" x14ac:dyDescent="0.3">
      <c r="A92" s="372">
        <v>300002</v>
      </c>
      <c r="B92" s="365" t="s">
        <v>156</v>
      </c>
      <c r="C92" s="373" t="s">
        <v>189</v>
      </c>
      <c r="D92" s="374" t="s">
        <v>158</v>
      </c>
      <c r="E92" s="375">
        <v>0.5</v>
      </c>
      <c r="F92" s="392"/>
      <c r="G92" s="393">
        <v>400</v>
      </c>
      <c r="H92" s="394">
        <f>+G92*E92</f>
        <v>200</v>
      </c>
      <c r="I92" s="378">
        <f>I81 * (E92 * (1+F92/100))</f>
        <v>0</v>
      </c>
      <c r="J92" s="414">
        <v>0</v>
      </c>
      <c r="K92" s="418"/>
      <c r="L92" s="381"/>
      <c r="M92" s="381"/>
      <c r="N92" s="381"/>
      <c r="O92" s="381"/>
      <c r="P92" s="381"/>
    </row>
    <row r="93" spans="1:16" x14ac:dyDescent="0.3">
      <c r="A93" s="395" t="s">
        <v>159</v>
      </c>
      <c r="B93" s="365"/>
      <c r="C93" s="380"/>
      <c r="D93" s="345"/>
      <c r="E93" s="381"/>
      <c r="F93" s="388"/>
      <c r="G93" s="389" t="s">
        <v>160</v>
      </c>
      <c r="H93" s="415">
        <f>SUM(H91:H92)</f>
        <v>316.2</v>
      </c>
      <c r="I93" s="384"/>
      <c r="J93" s="416">
        <v>0</v>
      </c>
      <c r="K93" s="418"/>
      <c r="L93" s="381"/>
      <c r="M93" s="381"/>
      <c r="N93" s="381"/>
      <c r="O93" s="381"/>
      <c r="P93" s="381"/>
    </row>
    <row r="94" spans="1:16" hidden="1" x14ac:dyDescent="0.3">
      <c r="A94" s="345" t="s">
        <v>161</v>
      </c>
      <c r="B94" s="348"/>
      <c r="C94" s="386" t="s">
        <v>162</v>
      </c>
      <c r="D94" s="345"/>
      <c r="E94" s="381"/>
      <c r="F94" s="388"/>
      <c r="G94" s="389"/>
      <c r="H94" s="390"/>
      <c r="I94" s="384"/>
      <c r="J94" s="391"/>
      <c r="K94" s="418"/>
      <c r="L94" s="381"/>
      <c r="M94" s="381"/>
      <c r="N94" s="381"/>
      <c r="O94" s="381"/>
      <c r="P94" s="381"/>
    </row>
    <row r="95" spans="1:16" hidden="1" x14ac:dyDescent="0.3">
      <c r="A95" s="372"/>
      <c r="B95" s="365"/>
      <c r="C95" s="373"/>
      <c r="D95" s="374"/>
      <c r="E95" s="375"/>
      <c r="F95" s="392"/>
      <c r="G95" s="393"/>
      <c r="H95" s="394"/>
      <c r="I95" s="378"/>
      <c r="J95" s="414"/>
      <c r="K95" s="418"/>
      <c r="L95" s="381"/>
      <c r="M95" s="381"/>
      <c r="N95" s="381"/>
      <c r="O95" s="381"/>
      <c r="P95" s="381"/>
    </row>
    <row r="96" spans="1:16" hidden="1" x14ac:dyDescent="0.3">
      <c r="A96" s="395" t="s">
        <v>163</v>
      </c>
      <c r="B96" s="348"/>
      <c r="C96" s="380"/>
      <c r="D96" s="345"/>
      <c r="E96" s="381"/>
      <c r="F96" s="388"/>
      <c r="G96" s="389" t="s">
        <v>164</v>
      </c>
      <c r="H96" s="394">
        <v>0</v>
      </c>
      <c r="I96" s="384"/>
      <c r="J96" s="414">
        <v>0</v>
      </c>
      <c r="K96" s="418"/>
      <c r="L96" s="381"/>
      <c r="M96" s="381"/>
      <c r="N96" s="381"/>
      <c r="O96" s="381"/>
      <c r="P96" s="381"/>
    </row>
    <row r="97" spans="1:16" x14ac:dyDescent="0.3">
      <c r="A97" s="345"/>
      <c r="B97" s="419"/>
      <c r="C97" s="380"/>
      <c r="D97" s="345"/>
      <c r="E97" s="381"/>
      <c r="F97" s="388"/>
      <c r="G97" s="389"/>
      <c r="H97" s="390"/>
      <c r="I97" s="384"/>
      <c r="J97" s="391"/>
      <c r="K97" s="418"/>
      <c r="L97" s="381"/>
      <c r="M97" s="381"/>
      <c r="N97" s="381"/>
      <c r="O97" s="381"/>
      <c r="P97" s="381"/>
    </row>
    <row r="98" spans="1:16" ht="13.8" thickBot="1" x14ac:dyDescent="0.35">
      <c r="A98" s="345" t="s">
        <v>85</v>
      </c>
      <c r="B98" s="419"/>
      <c r="C98" s="401"/>
      <c r="D98" s="402"/>
      <c r="E98" s="403"/>
      <c r="F98" s="404" t="s">
        <v>165</v>
      </c>
      <c r="G98" s="420">
        <v>24856.230000000003</v>
      </c>
      <c r="H98" s="406">
        <f>ROUND(+H93+H89+H86,0)</f>
        <v>27729</v>
      </c>
      <c r="I98" s="421">
        <f>SUM(J81:J97)/2</f>
        <v>0</v>
      </c>
      <c r="J98" s="408">
        <v>0</v>
      </c>
      <c r="K98" s="418"/>
      <c r="L98" s="381"/>
      <c r="M98" s="381"/>
      <c r="N98" s="381"/>
      <c r="O98" s="381"/>
      <c r="P98" s="381"/>
    </row>
    <row r="99" spans="1:16" ht="13.8" thickTop="1" x14ac:dyDescent="0.3">
      <c r="A99" s="345"/>
      <c r="B99" s="400"/>
      <c r="C99" s="443"/>
      <c r="D99" s="345"/>
      <c r="E99" s="381"/>
      <c r="F99" s="444"/>
      <c r="G99" s="445"/>
      <c r="H99" s="446"/>
      <c r="I99" s="384"/>
      <c r="J99" s="447"/>
      <c r="K99" s="418"/>
      <c r="L99" s="381"/>
      <c r="M99" s="381"/>
      <c r="N99" s="381"/>
      <c r="O99" s="381"/>
      <c r="P99" s="381"/>
    </row>
    <row r="100" spans="1:16" ht="13.8" hidden="1" thickTop="1" x14ac:dyDescent="0.3">
      <c r="A100" s="345" t="s">
        <v>166</v>
      </c>
      <c r="B100" s="419"/>
      <c r="C100" s="422" t="s">
        <v>108</v>
      </c>
      <c r="D100" s="423"/>
      <c r="E100" s="424"/>
      <c r="F100" s="425"/>
      <c r="G100" s="426"/>
      <c r="H100" s="427"/>
      <c r="I100" s="384"/>
      <c r="J100" s="428"/>
      <c r="K100" s="418"/>
      <c r="L100" s="381"/>
      <c r="M100" s="381"/>
      <c r="N100" s="381"/>
      <c r="O100" s="381"/>
      <c r="P100" s="381"/>
    </row>
    <row r="101" spans="1:16" ht="13.8" hidden="1" thickTop="1" x14ac:dyDescent="0.3">
      <c r="A101" s="372" t="s">
        <v>115</v>
      </c>
      <c r="B101" s="419"/>
      <c r="C101" s="429" t="s">
        <v>102</v>
      </c>
      <c r="D101" s="430"/>
      <c r="E101" s="431"/>
      <c r="F101" s="432">
        <f>$F$3</f>
        <v>0.25</v>
      </c>
      <c r="G101" s="433"/>
      <c r="H101" s="434">
        <v>0</v>
      </c>
      <c r="I101" s="384"/>
      <c r="J101" s="414">
        <v>0</v>
      </c>
      <c r="K101" s="418"/>
      <c r="L101" s="381"/>
      <c r="M101" s="381"/>
      <c r="N101" s="381"/>
      <c r="O101" s="381"/>
      <c r="P101" s="381"/>
    </row>
    <row r="102" spans="1:16" ht="13.8" hidden="1" thickTop="1" x14ac:dyDescent="0.3">
      <c r="A102" s="372" t="s">
        <v>167</v>
      </c>
      <c r="B102" s="419"/>
      <c r="C102" s="429" t="s">
        <v>103</v>
      </c>
      <c r="D102" s="430"/>
      <c r="E102" s="431"/>
      <c r="F102" s="432">
        <f>$G$3</f>
        <v>0.03</v>
      </c>
      <c r="G102" s="433"/>
      <c r="H102" s="434">
        <v>0</v>
      </c>
      <c r="I102" s="384"/>
      <c r="J102" s="414">
        <v>0</v>
      </c>
      <c r="K102" s="418"/>
      <c r="L102" s="381"/>
      <c r="M102" s="381"/>
      <c r="N102" s="381"/>
      <c r="O102" s="381"/>
      <c r="P102" s="381"/>
    </row>
    <row r="103" spans="1:16" ht="13.8" hidden="1" thickTop="1" x14ac:dyDescent="0.3">
      <c r="A103" s="372" t="s">
        <v>117</v>
      </c>
      <c r="B103" s="419"/>
      <c r="C103" s="429" t="s">
        <v>104</v>
      </c>
      <c r="D103" s="430"/>
      <c r="E103" s="431"/>
      <c r="F103" s="432">
        <f>$H$3</f>
        <v>0</v>
      </c>
      <c r="G103" s="433"/>
      <c r="H103" s="434">
        <v>0</v>
      </c>
      <c r="I103" s="384"/>
      <c r="J103" s="414">
        <v>0</v>
      </c>
      <c r="K103" s="418"/>
      <c r="L103" s="381"/>
      <c r="M103" s="381"/>
      <c r="N103" s="381"/>
      <c r="O103" s="381"/>
      <c r="P103" s="381"/>
    </row>
    <row r="104" spans="1:16" ht="13.8" hidden="1" thickTop="1" x14ac:dyDescent="0.3">
      <c r="A104" s="372" t="s">
        <v>119</v>
      </c>
      <c r="B104" s="419"/>
      <c r="C104" s="429" t="s">
        <v>106</v>
      </c>
      <c r="D104" s="430"/>
      <c r="E104" s="431"/>
      <c r="F104" s="432">
        <f>$I$3</f>
        <v>0</v>
      </c>
      <c r="G104" s="433"/>
      <c r="H104" s="434">
        <v>0</v>
      </c>
      <c r="I104" s="384"/>
      <c r="J104" s="414">
        <v>0</v>
      </c>
      <c r="K104" s="418"/>
      <c r="L104" s="381"/>
      <c r="M104" s="381"/>
      <c r="N104" s="381"/>
      <c r="O104" s="381"/>
      <c r="P104" s="381"/>
    </row>
    <row r="105" spans="1:16" ht="13.8" hidden="1" thickTop="1" x14ac:dyDescent="0.3">
      <c r="A105" s="345" t="s">
        <v>168</v>
      </c>
      <c r="B105" s="419"/>
      <c r="C105" s="386" t="s">
        <v>169</v>
      </c>
      <c r="D105" s="345"/>
      <c r="E105" s="381"/>
      <c r="F105" s="388"/>
      <c r="G105" s="435"/>
      <c r="H105" s="436">
        <v>0</v>
      </c>
      <c r="I105" s="437"/>
      <c r="J105" s="438">
        <v>0</v>
      </c>
      <c r="K105" s="418"/>
      <c r="L105" s="381"/>
      <c r="M105" s="381"/>
      <c r="N105" s="381"/>
      <c r="O105" s="381"/>
      <c r="P105" s="381"/>
    </row>
    <row r="106" spans="1:16" ht="14.4" hidden="1" thickTop="1" thickBot="1" x14ac:dyDescent="0.35">
      <c r="A106" s="345" t="s">
        <v>170</v>
      </c>
      <c r="B106" s="419"/>
      <c r="C106" s="439"/>
      <c r="D106" s="440"/>
      <c r="E106" s="403"/>
      <c r="F106" s="404" t="s">
        <v>171</v>
      </c>
      <c r="G106" s="441">
        <v>1910</v>
      </c>
      <c r="H106" s="406">
        <v>1910</v>
      </c>
      <c r="I106" s="421"/>
      <c r="J106" s="408">
        <v>0</v>
      </c>
      <c r="K106" s="418"/>
      <c r="L106" s="381"/>
      <c r="M106" s="381"/>
      <c r="N106" s="381"/>
      <c r="O106" s="381"/>
      <c r="P106" s="381"/>
    </row>
    <row r="107" spans="1:16" ht="13.8" thickBot="1" x14ac:dyDescent="0.35">
      <c r="A107" s="381"/>
      <c r="B107" s="494"/>
      <c r="C107" s="381"/>
      <c r="D107" s="381"/>
      <c r="E107" s="381"/>
      <c r="F107" s="388"/>
      <c r="G107" s="381"/>
      <c r="H107" s="381"/>
      <c r="I107" s="381"/>
      <c r="J107" s="495"/>
      <c r="K107" s="418"/>
      <c r="L107" s="381"/>
      <c r="M107" s="381"/>
      <c r="N107" s="381"/>
      <c r="O107" s="381"/>
      <c r="P107" s="381"/>
    </row>
    <row r="108" spans="1:16" ht="15" customHeight="1" thickTop="1" x14ac:dyDescent="0.3">
      <c r="A108" s="345" t="s">
        <v>202</v>
      </c>
      <c r="B108" s="348"/>
      <c r="C108" s="583" t="str">
        <f>+'PRESUPUESTO CASA DE LA CULTURA'!C22</f>
        <v>DESMONTE DE CIELO FALSO PANEL + ESTRUCTURA  (INCLUYE ACARREO MENOR A 2KM Y DISPOSICION)</v>
      </c>
      <c r="D108" s="584"/>
      <c r="E108" s="584"/>
      <c r="F108" s="584"/>
      <c r="G108" s="492"/>
      <c r="H108" s="448" t="s">
        <v>203</v>
      </c>
      <c r="I108" s="449" t="s">
        <v>204</v>
      </c>
      <c r="J108" s="366" t="s">
        <v>205</v>
      </c>
    </row>
    <row r="109" spans="1:16" ht="15" customHeight="1" x14ac:dyDescent="0.3">
      <c r="A109" s="345"/>
      <c r="B109" s="348"/>
      <c r="C109" s="585"/>
      <c r="D109" s="586"/>
      <c r="E109" s="586"/>
      <c r="F109" s="586"/>
      <c r="G109" s="493"/>
      <c r="H109" s="450"/>
      <c r="I109" s="451"/>
      <c r="J109" s="369"/>
    </row>
    <row r="110" spans="1:16" ht="15" customHeight="1" x14ac:dyDescent="0.3">
      <c r="A110" s="452" t="s">
        <v>143</v>
      </c>
      <c r="B110" s="453"/>
      <c r="C110" s="454" t="s">
        <v>81</v>
      </c>
      <c r="D110" s="455" t="s">
        <v>82</v>
      </c>
      <c r="E110" s="456" t="s">
        <v>83</v>
      </c>
      <c r="F110" s="457" t="s">
        <v>144</v>
      </c>
      <c r="G110" s="458" t="s">
        <v>145</v>
      </c>
      <c r="H110" s="394" t="s">
        <v>146</v>
      </c>
      <c r="I110" s="459"/>
      <c r="J110" s="394" t="s">
        <v>146</v>
      </c>
    </row>
    <row r="111" spans="1:16" ht="15" customHeight="1" x14ac:dyDescent="0.3">
      <c r="A111" s="372"/>
      <c r="B111" s="348"/>
      <c r="C111" s="460"/>
      <c r="D111" s="461"/>
      <c r="E111" s="348"/>
      <c r="F111" s="349"/>
      <c r="G111" s="389"/>
      <c r="H111" s="390"/>
      <c r="I111" s="498"/>
      <c r="J111" s="390"/>
    </row>
    <row r="112" spans="1:16" ht="15" customHeight="1" x14ac:dyDescent="0.3">
      <c r="A112" s="372" t="s">
        <v>151</v>
      </c>
      <c r="B112" s="348"/>
      <c r="C112" s="462" t="s">
        <v>152</v>
      </c>
      <c r="D112" s="461"/>
      <c r="E112" s="348"/>
      <c r="F112" s="349"/>
      <c r="G112" s="389"/>
      <c r="H112" s="390"/>
      <c r="I112" s="499"/>
      <c r="J112" s="390"/>
    </row>
    <row r="113" spans="1:16" x14ac:dyDescent="0.3">
      <c r="A113" s="372">
        <v>200008</v>
      </c>
      <c r="B113" s="365"/>
      <c r="C113" s="463" t="s">
        <v>306</v>
      </c>
      <c r="D113" s="464" t="s">
        <v>176</v>
      </c>
      <c r="E113" s="465">
        <v>0.15</v>
      </c>
      <c r="F113" s="466"/>
      <c r="G113" s="393">
        <f>+[3]M.O.!$E$5*2</f>
        <v>23126</v>
      </c>
      <c r="H113" s="394">
        <f>TRUNC(E113* (1 + F113 / 100) * G113,2)</f>
        <v>3468.9</v>
      </c>
      <c r="I113" s="378">
        <f>I109 * (E113 * (1+F113/100))</f>
        <v>0</v>
      </c>
      <c r="J113" s="414">
        <f>I109*H113</f>
        <v>0</v>
      </c>
      <c r="K113" s="381"/>
    </row>
    <row r="114" spans="1:16" ht="15" customHeight="1" x14ac:dyDescent="0.3">
      <c r="A114" s="395" t="s">
        <v>153</v>
      </c>
      <c r="B114" s="348"/>
      <c r="C114" s="460"/>
      <c r="D114" s="461"/>
      <c r="E114" s="348"/>
      <c r="F114" s="349"/>
      <c r="G114" s="389" t="s">
        <v>206</v>
      </c>
      <c r="H114" s="467">
        <f>SUM(H112:H113)</f>
        <v>3468.9</v>
      </c>
      <c r="I114" s="500"/>
      <c r="J114" s="467">
        <f>SUM(J112:J113)</f>
        <v>0</v>
      </c>
    </row>
    <row r="115" spans="1:16" x14ac:dyDescent="0.3">
      <c r="A115" s="372" t="s">
        <v>155</v>
      </c>
      <c r="B115" s="365"/>
      <c r="C115" s="398" t="s">
        <v>182</v>
      </c>
      <c r="D115" s="345"/>
      <c r="E115" s="381"/>
      <c r="F115" s="388"/>
      <c r="G115" s="389"/>
      <c r="H115" s="390"/>
      <c r="I115" s="384"/>
      <c r="J115" s="391"/>
      <c r="K115" s="418"/>
      <c r="L115" s="381"/>
      <c r="M115" s="381"/>
      <c r="N115" s="381"/>
      <c r="O115" s="381"/>
      <c r="P115" s="381"/>
    </row>
    <row r="116" spans="1:16" x14ac:dyDescent="0.3">
      <c r="A116" s="372">
        <v>300026</v>
      </c>
      <c r="B116" s="365" t="s">
        <v>156</v>
      </c>
      <c r="C116" s="373" t="s">
        <v>183</v>
      </c>
      <c r="D116" s="374" t="s">
        <v>97</v>
      </c>
      <c r="E116" s="375">
        <f>1*1*0.3</f>
        <v>0.3</v>
      </c>
      <c r="F116" s="392"/>
      <c r="G116" s="393">
        <f>100000/7</f>
        <v>14285.714285714286</v>
      </c>
      <c r="H116" s="394">
        <f>+G116*E116</f>
        <v>4285.7142857142853</v>
      </c>
      <c r="I116" s="378">
        <f>I154 * (E116 * (1+F116/100))</f>
        <v>0</v>
      </c>
      <c r="J116" s="414">
        <v>0</v>
      </c>
      <c r="K116" s="418"/>
      <c r="L116" s="381"/>
      <c r="M116" s="381"/>
      <c r="N116" s="381"/>
      <c r="O116" s="381"/>
      <c r="P116" s="381"/>
    </row>
    <row r="117" spans="1:16" ht="15" customHeight="1" x14ac:dyDescent="0.3">
      <c r="A117" s="372" t="s">
        <v>155</v>
      </c>
      <c r="B117" s="348"/>
      <c r="C117" s="468" t="s">
        <v>156</v>
      </c>
      <c r="D117" s="461"/>
      <c r="E117" s="348"/>
      <c r="F117" s="349"/>
      <c r="G117" s="389"/>
      <c r="H117" s="390"/>
      <c r="I117" s="499"/>
      <c r="J117" s="390"/>
    </row>
    <row r="118" spans="1:16" x14ac:dyDescent="0.3">
      <c r="A118" s="372">
        <v>300026</v>
      </c>
      <c r="B118" s="365"/>
      <c r="C118" s="463" t="s">
        <v>157</v>
      </c>
      <c r="D118" s="464" t="s">
        <v>158</v>
      </c>
      <c r="E118" s="465">
        <v>1</v>
      </c>
      <c r="F118" s="466"/>
      <c r="G118" s="393">
        <f xml:space="preserve"> [4]INSUMOS!$G$21874</f>
        <v>1690</v>
      </c>
      <c r="H118" s="394">
        <f>TRUNC(E118* (1 + F118 / 100) * G118,2)</f>
        <v>1690</v>
      </c>
      <c r="I118" s="378">
        <f>I109 * (E118 * (1+F118/100))</f>
        <v>0</v>
      </c>
      <c r="J118" s="414">
        <f>I109*H118</f>
        <v>0</v>
      </c>
      <c r="K118" s="381"/>
    </row>
    <row r="119" spans="1:16" x14ac:dyDescent="0.3">
      <c r="A119" s="372">
        <v>300002</v>
      </c>
      <c r="B119" s="365"/>
      <c r="C119" s="463" t="s">
        <v>177</v>
      </c>
      <c r="D119" s="464" t="s">
        <v>178</v>
      </c>
      <c r="E119" s="465">
        <v>0.15</v>
      </c>
      <c r="F119" s="466"/>
      <c r="G119" s="393">
        <f xml:space="preserve"> [4]INSUMOS!$G$21838</f>
        <v>1162</v>
      </c>
      <c r="H119" s="394">
        <f>TRUNC(E119* (1 + F119 / 100) * G119,2)</f>
        <v>174.3</v>
      </c>
      <c r="I119" s="378">
        <f>I109 * (E119 * (1+F119/100))</f>
        <v>0</v>
      </c>
      <c r="J119" s="414">
        <f>I109*H119</f>
        <v>0</v>
      </c>
      <c r="K119" s="381"/>
    </row>
    <row r="120" spans="1:16" ht="15" customHeight="1" x14ac:dyDescent="0.3">
      <c r="A120" s="395" t="s">
        <v>159</v>
      </c>
      <c r="B120" s="348"/>
      <c r="C120" s="460"/>
      <c r="D120" s="461"/>
      <c r="E120" s="348"/>
      <c r="F120" s="349"/>
      <c r="G120" s="389" t="s">
        <v>160</v>
      </c>
      <c r="H120" s="467">
        <f>SUM(H117:H119)</f>
        <v>1864.3</v>
      </c>
      <c r="I120" s="500"/>
      <c r="J120" s="467">
        <f>SUM(J117:J119)</f>
        <v>0</v>
      </c>
    </row>
    <row r="121" spans="1:16" hidden="1" x14ac:dyDescent="0.3">
      <c r="A121" s="345" t="s">
        <v>161</v>
      </c>
      <c r="B121" s="490"/>
      <c r="C121" s="462" t="s">
        <v>162</v>
      </c>
      <c r="D121" s="461"/>
      <c r="E121" s="348"/>
      <c r="F121" s="349"/>
      <c r="G121" s="389"/>
      <c r="H121" s="390"/>
      <c r="I121" s="500"/>
      <c r="J121" s="390"/>
    </row>
    <row r="122" spans="1:16" hidden="1" x14ac:dyDescent="0.3">
      <c r="A122" s="372"/>
      <c r="B122" s="365"/>
      <c r="C122" s="463"/>
      <c r="D122" s="464"/>
      <c r="E122" s="465"/>
      <c r="F122" s="466"/>
      <c r="G122" s="393"/>
      <c r="H122" s="394"/>
      <c r="I122" s="378"/>
      <c r="J122" s="394"/>
      <c r="K122" s="381"/>
    </row>
    <row r="123" spans="1:16" hidden="1" x14ac:dyDescent="0.3">
      <c r="A123" s="395" t="s">
        <v>163</v>
      </c>
      <c r="B123" s="490"/>
      <c r="C123" s="460"/>
      <c r="D123" s="461"/>
      <c r="E123" s="348"/>
      <c r="F123" s="349"/>
      <c r="G123" s="389" t="s">
        <v>184</v>
      </c>
      <c r="H123" s="394">
        <f>SUM(H121:H121)</f>
        <v>0</v>
      </c>
      <c r="I123" s="500"/>
      <c r="J123" s="394">
        <f>SUM(J121:J121)</f>
        <v>0</v>
      </c>
    </row>
    <row r="124" spans="1:16" ht="15" customHeight="1" x14ac:dyDescent="0.3">
      <c r="A124" s="345"/>
      <c r="B124" s="469"/>
      <c r="C124" s="460"/>
      <c r="D124" s="461"/>
      <c r="E124" s="348"/>
      <c r="F124" s="349"/>
      <c r="G124" s="389"/>
      <c r="H124" s="390"/>
      <c r="I124" s="499"/>
      <c r="J124" s="390"/>
      <c r="K124" s="501"/>
    </row>
    <row r="125" spans="1:16" ht="15" customHeight="1" thickBot="1" x14ac:dyDescent="0.35">
      <c r="A125" s="345" t="s">
        <v>85</v>
      </c>
      <c r="B125" s="469"/>
      <c r="C125" s="470"/>
      <c r="D125" s="471"/>
      <c r="E125" s="472"/>
      <c r="F125" s="473" t="s">
        <v>165</v>
      </c>
      <c r="G125" s="420">
        <f>SUM(H110:H124)/2</f>
        <v>7476.057142857142</v>
      </c>
      <c r="H125" s="406">
        <f>+ROUND(H120+H116+H114,0)</f>
        <v>9619</v>
      </c>
      <c r="I125" s="421"/>
      <c r="J125" s="406">
        <f>IF($A$2="CD",IF($A$3=1,ROUND(SUM(J110:J124)/2,0),IF($A$3=3,ROUND(SUM(J110:J124)/2,-1),SUM(J110:J124)/2)),SUM(J110:J124)/2)</f>
        <v>0</v>
      </c>
    </row>
    <row r="126" spans="1:16" ht="14.4" thickTop="1" thickBot="1" x14ac:dyDescent="0.35"/>
    <row r="127" spans="1:16" ht="13.8" thickTop="1" x14ac:dyDescent="0.3">
      <c r="A127" s="345" t="s">
        <v>207</v>
      </c>
      <c r="B127" s="365"/>
      <c r="C127" s="571" t="str">
        <f>+'PRESUPUESTO CASA DE LA CULTURA'!C23</f>
        <v>CIELO FALSO ETERBOARD 244X122x4MM PERFILERIA  ALUMINIO</v>
      </c>
      <c r="D127" s="572"/>
      <c r="E127" s="572"/>
      <c r="F127" s="572"/>
      <c r="G127" s="496"/>
      <c r="H127" s="366" t="s">
        <v>174</v>
      </c>
      <c r="I127" s="367" t="s">
        <v>142</v>
      </c>
      <c r="J127" s="368" t="s">
        <v>88</v>
      </c>
      <c r="K127" s="418"/>
      <c r="L127" s="381"/>
      <c r="M127" s="381"/>
      <c r="N127" s="381"/>
      <c r="O127" s="381"/>
      <c r="P127" s="381"/>
    </row>
    <row r="128" spans="1:16" x14ac:dyDescent="0.3">
      <c r="A128" s="345"/>
      <c r="B128" s="365"/>
      <c r="C128" s="573"/>
      <c r="D128" s="574"/>
      <c r="E128" s="574"/>
      <c r="F128" s="574"/>
      <c r="G128" s="497"/>
      <c r="H128" s="369"/>
      <c r="I128" s="413"/>
      <c r="J128" s="371"/>
      <c r="K128" s="418"/>
      <c r="L128" s="381"/>
      <c r="M128" s="381"/>
      <c r="N128" s="381"/>
      <c r="O128" s="381"/>
      <c r="P128" s="381"/>
    </row>
    <row r="129" spans="1:16" x14ac:dyDescent="0.3">
      <c r="A129" s="372" t="s">
        <v>143</v>
      </c>
      <c r="B129" s="365"/>
      <c r="C129" s="373" t="s">
        <v>81</v>
      </c>
      <c r="D129" s="374" t="s">
        <v>82</v>
      </c>
      <c r="E129" s="375" t="s">
        <v>83</v>
      </c>
      <c r="F129" s="392" t="s">
        <v>144</v>
      </c>
      <c r="G129" s="393" t="s">
        <v>145</v>
      </c>
      <c r="H129" s="394" t="s">
        <v>146</v>
      </c>
      <c r="I129" s="378"/>
      <c r="J129" s="414" t="s">
        <v>146</v>
      </c>
      <c r="K129" s="418"/>
      <c r="L129" s="381"/>
      <c r="M129" s="381"/>
      <c r="N129" s="381"/>
      <c r="O129" s="381"/>
      <c r="P129" s="381"/>
    </row>
    <row r="130" spans="1:16" x14ac:dyDescent="0.3">
      <c r="A130" s="372"/>
      <c r="B130" s="365"/>
      <c r="C130" s="380"/>
      <c r="D130" s="345"/>
      <c r="E130" s="381"/>
      <c r="F130" s="388"/>
      <c r="G130" s="389"/>
      <c r="H130" s="390"/>
      <c r="I130" s="384"/>
      <c r="J130" s="391"/>
      <c r="K130" s="418"/>
      <c r="L130" s="381"/>
      <c r="M130" s="381"/>
      <c r="N130" s="381"/>
      <c r="O130" s="381"/>
      <c r="P130" s="381"/>
    </row>
    <row r="131" spans="1:16" x14ac:dyDescent="0.3">
      <c r="A131" s="372" t="s">
        <v>147</v>
      </c>
      <c r="B131" s="365"/>
      <c r="C131" s="386" t="s">
        <v>148</v>
      </c>
      <c r="D131" s="345"/>
      <c r="E131" s="381"/>
      <c r="F131" s="388"/>
      <c r="G131" s="389"/>
      <c r="H131" s="390"/>
      <c r="I131" s="384"/>
      <c r="J131" s="391"/>
      <c r="K131" s="418"/>
      <c r="L131" s="381"/>
      <c r="M131" s="381"/>
      <c r="N131" s="381"/>
      <c r="O131" s="381"/>
      <c r="P131" s="381"/>
    </row>
    <row r="132" spans="1:16" x14ac:dyDescent="0.3">
      <c r="A132" s="372">
        <v>100894</v>
      </c>
      <c r="B132" s="365" t="s">
        <v>209</v>
      </c>
      <c r="C132" s="373" t="s">
        <v>210</v>
      </c>
      <c r="D132" s="374" t="s">
        <v>196</v>
      </c>
      <c r="E132" s="375">
        <v>2.0499999999999998</v>
      </c>
      <c r="F132" s="392"/>
      <c r="G132" s="393">
        <v>5500</v>
      </c>
      <c r="H132" s="394">
        <f>+G132*E132</f>
        <v>11274.999999999998</v>
      </c>
      <c r="I132" s="378">
        <f>I128 * (E132 * (1+F132/100))</f>
        <v>0</v>
      </c>
      <c r="J132" s="414">
        <v>0</v>
      </c>
      <c r="K132" s="418"/>
      <c r="L132" s="381"/>
      <c r="M132" s="381"/>
      <c r="N132" s="381"/>
      <c r="O132" s="381"/>
      <c r="P132" s="381"/>
    </row>
    <row r="133" spans="1:16" x14ac:dyDescent="0.3">
      <c r="A133" s="372">
        <v>102435</v>
      </c>
      <c r="B133" s="365" t="s">
        <v>209</v>
      </c>
      <c r="C133" s="373" t="s">
        <v>211</v>
      </c>
      <c r="D133" s="374" t="s">
        <v>212</v>
      </c>
      <c r="E133" s="375">
        <v>0.04</v>
      </c>
      <c r="F133" s="392"/>
      <c r="G133" s="393">
        <v>60000</v>
      </c>
      <c r="H133" s="394">
        <f>+G133*E133</f>
        <v>2400</v>
      </c>
      <c r="I133" s="378">
        <f>I128 * (E133 * (1+F133/100))</f>
        <v>0</v>
      </c>
      <c r="J133" s="414">
        <v>0</v>
      </c>
      <c r="K133" s="418"/>
      <c r="L133" s="381"/>
      <c r="M133" s="381"/>
      <c r="N133" s="381"/>
      <c r="O133" s="381"/>
      <c r="P133" s="381"/>
    </row>
    <row r="134" spans="1:16" x14ac:dyDescent="0.3">
      <c r="A134" s="372">
        <v>105135</v>
      </c>
      <c r="B134" s="365" t="s">
        <v>194</v>
      </c>
      <c r="C134" s="373" t="s">
        <v>213</v>
      </c>
      <c r="D134" s="374" t="s">
        <v>214</v>
      </c>
      <c r="E134" s="375">
        <v>0.05</v>
      </c>
      <c r="F134" s="392"/>
      <c r="G134" s="393">
        <v>6500</v>
      </c>
      <c r="H134" s="394">
        <f>+G134*E134</f>
        <v>325</v>
      </c>
      <c r="I134" s="378">
        <f>I128 * (E134 * (1+F134/100))</f>
        <v>0</v>
      </c>
      <c r="J134" s="414">
        <v>0</v>
      </c>
      <c r="K134" s="418"/>
      <c r="L134" s="381"/>
      <c r="M134" s="381"/>
      <c r="N134" s="381"/>
      <c r="O134" s="381"/>
      <c r="P134" s="381"/>
    </row>
    <row r="135" spans="1:16" x14ac:dyDescent="0.3">
      <c r="A135" s="372">
        <v>100101</v>
      </c>
      <c r="B135" s="365" t="s">
        <v>194</v>
      </c>
      <c r="C135" s="373" t="s">
        <v>235</v>
      </c>
      <c r="D135" s="374" t="s">
        <v>95</v>
      </c>
      <c r="E135" s="474">
        <v>3</v>
      </c>
      <c r="F135" s="475">
        <v>1.05</v>
      </c>
      <c r="G135" s="393">
        <v>2050</v>
      </c>
      <c r="H135" s="394">
        <f t="shared" ref="H135:H139" si="1">+G135*F135*E135</f>
        <v>6457.5</v>
      </c>
      <c r="I135" s="378">
        <f>I128 * (E135 * (1+F135/100))</f>
        <v>0</v>
      </c>
      <c r="J135" s="414">
        <v>0</v>
      </c>
      <c r="K135" s="418"/>
      <c r="L135" s="381"/>
      <c r="M135" s="381"/>
      <c r="N135" s="381"/>
      <c r="O135" s="381"/>
      <c r="P135" s="381"/>
    </row>
    <row r="136" spans="1:16" x14ac:dyDescent="0.3">
      <c r="A136" s="372">
        <v>100101</v>
      </c>
      <c r="B136" s="365" t="s">
        <v>194</v>
      </c>
      <c r="C136" s="373" t="s">
        <v>236</v>
      </c>
      <c r="D136" s="374" t="s">
        <v>95</v>
      </c>
      <c r="E136" s="375">
        <v>2</v>
      </c>
      <c r="F136" s="475">
        <v>1.05</v>
      </c>
      <c r="G136" s="393">
        <v>2050</v>
      </c>
      <c r="H136" s="394">
        <f>+G136*F136*E136</f>
        <v>4305</v>
      </c>
      <c r="I136" s="378">
        <f>I130 * (E136 * (1+F136/100))</f>
        <v>0</v>
      </c>
      <c r="J136" s="414">
        <v>0</v>
      </c>
      <c r="K136" s="418"/>
      <c r="L136" s="381"/>
      <c r="M136" s="381"/>
      <c r="N136" s="381"/>
      <c r="O136" s="381"/>
      <c r="P136" s="381"/>
    </row>
    <row r="137" spans="1:16" x14ac:dyDescent="0.3">
      <c r="A137" s="372">
        <v>100101</v>
      </c>
      <c r="B137" s="365" t="s">
        <v>194</v>
      </c>
      <c r="C137" s="373" t="s">
        <v>237</v>
      </c>
      <c r="D137" s="374" t="s">
        <v>95</v>
      </c>
      <c r="E137" s="375">
        <v>1</v>
      </c>
      <c r="F137" s="475">
        <v>1.05</v>
      </c>
      <c r="G137" s="393">
        <v>1200</v>
      </c>
      <c r="H137" s="394">
        <f t="shared" ref="H137" si="2">+G137*F137*E137</f>
        <v>1260</v>
      </c>
      <c r="I137" s="378">
        <f>I129 * (E137 * (1+F137/100))</f>
        <v>0</v>
      </c>
      <c r="J137" s="414">
        <v>0</v>
      </c>
      <c r="K137" s="418"/>
      <c r="L137" s="381"/>
      <c r="M137" s="381"/>
      <c r="N137" s="381"/>
      <c r="O137" s="381"/>
      <c r="P137" s="381"/>
    </row>
    <row r="138" spans="1:16" x14ac:dyDescent="0.3">
      <c r="A138" s="372">
        <v>101572</v>
      </c>
      <c r="B138" s="365" t="s">
        <v>208</v>
      </c>
      <c r="C138" s="373" t="s">
        <v>259</v>
      </c>
      <c r="D138" s="374" t="s">
        <v>158</v>
      </c>
      <c r="E138" s="375">
        <v>1</v>
      </c>
      <c r="F138" s="392"/>
      <c r="G138" s="393">
        <v>500</v>
      </c>
      <c r="H138" s="394">
        <f>+G138*E138</f>
        <v>500</v>
      </c>
      <c r="I138" s="378">
        <f>I128 * (E138 * (1+F138/100))</f>
        <v>0</v>
      </c>
      <c r="J138" s="414">
        <v>0</v>
      </c>
      <c r="K138" s="418"/>
      <c r="L138" s="381"/>
      <c r="M138" s="381"/>
      <c r="N138" s="381"/>
      <c r="O138" s="381"/>
      <c r="P138" s="381"/>
    </row>
    <row r="139" spans="1:16" x14ac:dyDescent="0.3">
      <c r="A139" s="372">
        <v>101378</v>
      </c>
      <c r="B139" s="365" t="s">
        <v>215</v>
      </c>
      <c r="C139" s="373" t="s">
        <v>234</v>
      </c>
      <c r="D139" s="374" t="s">
        <v>82</v>
      </c>
      <c r="E139" s="375">
        <v>0.33</v>
      </c>
      <c r="F139" s="392">
        <v>1.05</v>
      </c>
      <c r="G139" s="393">
        <v>38000</v>
      </c>
      <c r="H139" s="394">
        <f t="shared" si="1"/>
        <v>13167</v>
      </c>
      <c r="I139" s="378">
        <f>I128 * (E139 * (1+F139/100))</f>
        <v>0</v>
      </c>
      <c r="J139" s="414">
        <v>0</v>
      </c>
      <c r="K139" s="418"/>
      <c r="L139" s="381"/>
      <c r="M139" s="381"/>
      <c r="N139" s="381"/>
      <c r="O139" s="381"/>
      <c r="P139" s="381"/>
    </row>
    <row r="140" spans="1:16" x14ac:dyDescent="0.3">
      <c r="A140" s="372">
        <v>100075</v>
      </c>
      <c r="B140" s="365" t="s">
        <v>216</v>
      </c>
      <c r="C140" s="373" t="s">
        <v>217</v>
      </c>
      <c r="D140" s="374" t="s">
        <v>218</v>
      </c>
      <c r="E140" s="375">
        <v>0.35</v>
      </c>
      <c r="F140" s="392"/>
      <c r="G140" s="393">
        <v>10456</v>
      </c>
      <c r="H140" s="394">
        <f>+G140*E140</f>
        <v>3659.6</v>
      </c>
      <c r="I140" s="378">
        <f>I128 * (E140 * (1+F140/100))</f>
        <v>0</v>
      </c>
      <c r="J140" s="414">
        <v>0</v>
      </c>
      <c r="K140" s="418"/>
      <c r="L140" s="381"/>
      <c r="M140" s="381"/>
      <c r="N140" s="381"/>
      <c r="O140" s="381"/>
      <c r="P140" s="381"/>
    </row>
    <row r="141" spans="1:16" x14ac:dyDescent="0.3">
      <c r="A141" s="395" t="s">
        <v>149</v>
      </c>
      <c r="B141" s="365"/>
      <c r="C141" s="380"/>
      <c r="D141" s="345"/>
      <c r="E141" s="381"/>
      <c r="F141" s="388"/>
      <c r="G141" s="389" t="s">
        <v>150</v>
      </c>
      <c r="H141" s="415">
        <f>SUM(H132:H140)</f>
        <v>43349.1</v>
      </c>
      <c r="I141" s="384"/>
      <c r="J141" s="416">
        <v>0</v>
      </c>
      <c r="K141" s="418"/>
      <c r="L141" s="381"/>
      <c r="M141" s="381"/>
      <c r="N141" s="381"/>
      <c r="O141" s="381"/>
      <c r="P141" s="381"/>
    </row>
    <row r="142" spans="1:16" x14ac:dyDescent="0.3">
      <c r="A142" s="372" t="s">
        <v>151</v>
      </c>
      <c r="B142" s="365"/>
      <c r="C142" s="386" t="s">
        <v>152</v>
      </c>
      <c r="D142" s="345"/>
      <c r="E142" s="381"/>
      <c r="F142" s="388"/>
      <c r="G142" s="389"/>
      <c r="H142" s="390"/>
      <c r="I142" s="384"/>
      <c r="J142" s="391"/>
      <c r="K142" s="418"/>
      <c r="L142" s="381"/>
      <c r="M142" s="381"/>
      <c r="N142" s="381"/>
      <c r="O142" s="381"/>
      <c r="P142" s="381"/>
    </row>
    <row r="143" spans="1:16" x14ac:dyDescent="0.3">
      <c r="A143" s="372">
        <v>200004</v>
      </c>
      <c r="B143" s="365" t="s">
        <v>152</v>
      </c>
      <c r="C143" s="373" t="s">
        <v>219</v>
      </c>
      <c r="D143" s="374" t="s">
        <v>176</v>
      </c>
      <c r="E143" s="375">
        <v>0.35</v>
      </c>
      <c r="F143" s="392"/>
      <c r="G143" s="393">
        <f>+[3]M.O.!$C$13*1.2</f>
        <v>36075.599999999999</v>
      </c>
      <c r="H143" s="394">
        <v>9528.0499999999993</v>
      </c>
      <c r="I143" s="378">
        <f>I128 * (E143 * (1+F143/100))</f>
        <v>0</v>
      </c>
      <c r="J143" s="414">
        <v>0</v>
      </c>
      <c r="K143" s="418"/>
      <c r="L143" s="381"/>
      <c r="M143" s="381"/>
      <c r="N143" s="381"/>
      <c r="O143" s="381"/>
      <c r="P143" s="381"/>
    </row>
    <row r="144" spans="1:16" x14ac:dyDescent="0.3">
      <c r="A144" s="372">
        <v>200017</v>
      </c>
      <c r="B144" s="365" t="s">
        <v>152</v>
      </c>
      <c r="C144" s="373" t="s">
        <v>233</v>
      </c>
      <c r="D144" s="374" t="s">
        <v>176</v>
      </c>
      <c r="E144" s="375">
        <v>0.5</v>
      </c>
      <c r="F144" s="392"/>
      <c r="G144" s="393">
        <f>+[3]M.O.!$C$13</f>
        <v>30063</v>
      </c>
      <c r="H144" s="394">
        <v>12854.5</v>
      </c>
      <c r="I144" s="378">
        <f>I128 * (E144 * (1+F144/100))</f>
        <v>0</v>
      </c>
      <c r="J144" s="414">
        <v>0</v>
      </c>
      <c r="K144" s="418"/>
      <c r="L144" s="381"/>
      <c r="M144" s="381"/>
      <c r="N144" s="381"/>
      <c r="O144" s="381"/>
      <c r="P144" s="381"/>
    </row>
    <row r="145" spans="1:16" x14ac:dyDescent="0.3">
      <c r="A145" s="372">
        <v>200026</v>
      </c>
      <c r="B145" s="365" t="s">
        <v>152</v>
      </c>
      <c r="C145" s="373" t="s">
        <v>220</v>
      </c>
      <c r="D145" s="374" t="s">
        <v>176</v>
      </c>
      <c r="E145" s="375">
        <v>0.08</v>
      </c>
      <c r="F145" s="392"/>
      <c r="G145" s="393">
        <f>+[3]M.O.!$C$13</f>
        <v>30063</v>
      </c>
      <c r="H145" s="394">
        <v>2056.7199999999998</v>
      </c>
      <c r="I145" s="378">
        <f>I128 * (E145 * (1+F145/100))</f>
        <v>0</v>
      </c>
      <c r="J145" s="414">
        <v>0</v>
      </c>
      <c r="K145" s="418"/>
      <c r="L145" s="381"/>
      <c r="M145" s="381"/>
      <c r="N145" s="381"/>
      <c r="O145" s="381"/>
      <c r="P145" s="381"/>
    </row>
    <row r="146" spans="1:16" x14ac:dyDescent="0.3">
      <c r="A146" s="395" t="s">
        <v>153</v>
      </c>
      <c r="B146" s="365"/>
      <c r="C146" s="380"/>
      <c r="D146" s="345"/>
      <c r="E146" s="381"/>
      <c r="F146" s="388"/>
      <c r="G146" s="389" t="s">
        <v>154</v>
      </c>
      <c r="H146" s="415">
        <f>SUM(H143:H145)</f>
        <v>24439.27</v>
      </c>
      <c r="I146" s="384"/>
      <c r="J146" s="416">
        <v>0</v>
      </c>
      <c r="K146" s="418"/>
      <c r="L146" s="381"/>
      <c r="M146" s="381"/>
      <c r="N146" s="381"/>
      <c r="O146" s="381"/>
      <c r="P146" s="381"/>
    </row>
    <row r="147" spans="1:16" x14ac:dyDescent="0.3">
      <c r="A147" s="372" t="s">
        <v>155</v>
      </c>
      <c r="B147" s="365"/>
      <c r="C147" s="398" t="s">
        <v>156</v>
      </c>
      <c r="D147" s="345"/>
      <c r="E147" s="381"/>
      <c r="F147" s="388"/>
      <c r="G147" s="389"/>
      <c r="H147" s="390"/>
      <c r="I147" s="384"/>
      <c r="J147" s="391"/>
      <c r="K147" s="418"/>
      <c r="L147" s="381"/>
      <c r="M147" s="381"/>
      <c r="N147" s="381"/>
      <c r="O147" s="381"/>
      <c r="P147" s="381"/>
    </row>
    <row r="148" spans="1:16" x14ac:dyDescent="0.3">
      <c r="A148" s="372">
        <v>300026</v>
      </c>
      <c r="B148" s="365" t="s">
        <v>156</v>
      </c>
      <c r="C148" s="373" t="s">
        <v>157</v>
      </c>
      <c r="D148" s="374" t="s">
        <v>158</v>
      </c>
      <c r="E148" s="375">
        <v>1.0150000000000001</v>
      </c>
      <c r="F148" s="392"/>
      <c r="G148" s="393">
        <v>1690</v>
      </c>
      <c r="H148" s="394">
        <v>1715.35</v>
      </c>
      <c r="I148" s="378">
        <f>I128 * (E148 * (1+F148/100))</f>
        <v>0</v>
      </c>
      <c r="J148" s="414">
        <v>0</v>
      </c>
      <c r="K148" s="418"/>
      <c r="L148" s="381"/>
      <c r="M148" s="381"/>
      <c r="N148" s="381"/>
      <c r="O148" s="381"/>
      <c r="P148" s="381"/>
    </row>
    <row r="149" spans="1:16" x14ac:dyDescent="0.3">
      <c r="A149" s="372">
        <v>300002</v>
      </c>
      <c r="B149" s="365" t="s">
        <v>156</v>
      </c>
      <c r="C149" s="373" t="s">
        <v>177</v>
      </c>
      <c r="D149" s="374" t="s">
        <v>178</v>
      </c>
      <c r="E149" s="375">
        <v>0.1</v>
      </c>
      <c r="F149" s="392"/>
      <c r="G149" s="393">
        <v>1162</v>
      </c>
      <c r="H149" s="394">
        <v>116.2</v>
      </c>
      <c r="I149" s="378">
        <f>I128 * (E149 * (1+F149/100))</f>
        <v>0</v>
      </c>
      <c r="J149" s="414">
        <v>0</v>
      </c>
      <c r="K149" s="418"/>
      <c r="L149" s="381"/>
      <c r="M149" s="381"/>
      <c r="N149" s="381"/>
      <c r="O149" s="381"/>
      <c r="P149" s="381"/>
    </row>
    <row r="150" spans="1:16" x14ac:dyDescent="0.3">
      <c r="A150" s="372">
        <v>300019</v>
      </c>
      <c r="B150" s="365" t="s">
        <v>156</v>
      </c>
      <c r="C150" s="373" t="s">
        <v>221</v>
      </c>
      <c r="D150" s="374" t="s">
        <v>200</v>
      </c>
      <c r="E150" s="375">
        <v>0.1</v>
      </c>
      <c r="F150" s="392"/>
      <c r="G150" s="393">
        <v>106</v>
      </c>
      <c r="H150" s="394">
        <v>10.6</v>
      </c>
      <c r="I150" s="378">
        <f>I128 * (E150 * (1+F150/100))</f>
        <v>0</v>
      </c>
      <c r="J150" s="414">
        <v>0</v>
      </c>
      <c r="K150" s="418"/>
      <c r="L150" s="381"/>
      <c r="M150" s="381"/>
      <c r="N150" s="381"/>
      <c r="O150" s="381"/>
      <c r="P150" s="381"/>
    </row>
    <row r="151" spans="1:16" x14ac:dyDescent="0.3">
      <c r="A151" s="395" t="s">
        <v>159</v>
      </c>
      <c r="B151" s="365"/>
      <c r="C151" s="380"/>
      <c r="D151" s="345"/>
      <c r="E151" s="381"/>
      <c r="F151" s="388"/>
      <c r="G151" s="389" t="s">
        <v>160</v>
      </c>
      <c r="H151" s="415">
        <f>SUM(H148:H150)</f>
        <v>1842.1499999999999</v>
      </c>
      <c r="I151" s="384"/>
      <c r="J151" s="416">
        <v>0</v>
      </c>
      <c r="K151" s="418"/>
      <c r="L151" s="381"/>
      <c r="M151" s="381"/>
      <c r="N151" s="381"/>
      <c r="O151" s="381"/>
      <c r="P151" s="381"/>
    </row>
    <row r="152" spans="1:16" hidden="1" x14ac:dyDescent="0.3">
      <c r="A152" s="345" t="s">
        <v>161</v>
      </c>
      <c r="B152" s="348"/>
      <c r="C152" s="386" t="s">
        <v>162</v>
      </c>
      <c r="D152" s="345"/>
      <c r="E152" s="381"/>
      <c r="F152" s="388"/>
      <c r="G152" s="389"/>
      <c r="H152" s="390"/>
      <c r="I152" s="384"/>
      <c r="J152" s="391"/>
      <c r="K152" s="418"/>
      <c r="L152" s="381"/>
      <c r="M152" s="381"/>
      <c r="N152" s="381"/>
      <c r="O152" s="381"/>
      <c r="P152" s="381"/>
    </row>
    <row r="153" spans="1:16" hidden="1" x14ac:dyDescent="0.3">
      <c r="A153" s="372"/>
      <c r="B153" s="365"/>
      <c r="C153" s="373"/>
      <c r="D153" s="374"/>
      <c r="E153" s="375"/>
      <c r="F153" s="392"/>
      <c r="G153" s="393"/>
      <c r="H153" s="394"/>
      <c r="I153" s="378"/>
      <c r="J153" s="414"/>
      <c r="K153" s="418"/>
      <c r="L153" s="381"/>
      <c r="M153" s="381"/>
      <c r="N153" s="381"/>
      <c r="O153" s="381"/>
      <c r="P153" s="381"/>
    </row>
    <row r="154" spans="1:16" hidden="1" x14ac:dyDescent="0.3">
      <c r="A154" s="395" t="s">
        <v>163</v>
      </c>
      <c r="B154" s="348"/>
      <c r="C154" s="380"/>
      <c r="D154" s="345"/>
      <c r="E154" s="381"/>
      <c r="F154" s="388"/>
      <c r="G154" s="389" t="s">
        <v>164</v>
      </c>
      <c r="H154" s="394">
        <v>0</v>
      </c>
      <c r="I154" s="384"/>
      <c r="J154" s="414">
        <v>0</v>
      </c>
      <c r="K154" s="418"/>
      <c r="L154" s="381"/>
      <c r="M154" s="381"/>
      <c r="N154" s="381"/>
      <c r="O154" s="381"/>
      <c r="P154" s="381"/>
    </row>
    <row r="155" spans="1:16" x14ac:dyDescent="0.3">
      <c r="A155" s="345"/>
      <c r="B155" s="419"/>
      <c r="C155" s="380"/>
      <c r="D155" s="345"/>
      <c r="E155" s="381"/>
      <c r="F155" s="388"/>
      <c r="G155" s="389"/>
      <c r="H155" s="390"/>
      <c r="I155" s="384"/>
      <c r="J155" s="391"/>
      <c r="K155" s="418"/>
      <c r="L155" s="381"/>
      <c r="M155" s="381"/>
      <c r="N155" s="381"/>
      <c r="O155" s="381"/>
      <c r="P155" s="381"/>
    </row>
    <row r="156" spans="1:16" ht="13.8" thickBot="1" x14ac:dyDescent="0.35">
      <c r="A156" s="345" t="s">
        <v>85</v>
      </c>
      <c r="B156" s="419"/>
      <c r="C156" s="401"/>
      <c r="D156" s="402"/>
      <c r="E156" s="403"/>
      <c r="F156" s="404" t="s">
        <v>165</v>
      </c>
      <c r="G156" s="420">
        <v>54701.22</v>
      </c>
      <c r="H156" s="406">
        <f>+ROUND(H151+H146+H141,0)</f>
        <v>69631</v>
      </c>
      <c r="I156" s="421">
        <f>SUM(J129:J155)/2</f>
        <v>0</v>
      </c>
      <c r="J156" s="408">
        <v>0</v>
      </c>
      <c r="K156" s="418"/>
      <c r="L156" s="381"/>
      <c r="M156" s="381"/>
      <c r="N156" s="381"/>
      <c r="O156" s="381"/>
      <c r="P156" s="381"/>
    </row>
    <row r="157" spans="1:16" ht="14.4" thickTop="1" thickBot="1" x14ac:dyDescent="0.35"/>
    <row r="158" spans="1:16" ht="13.8" thickTop="1" x14ac:dyDescent="0.3">
      <c r="A158" s="345" t="s">
        <v>207</v>
      </c>
      <c r="B158" s="365"/>
      <c r="C158" s="571" t="str">
        <f>+'PRESUPUESTO CASA DE LA CULTURA'!C24</f>
        <v xml:space="preserve">REPARACIONES DE CIELO FALSO BOARD 122 X 244 X 4MM </v>
      </c>
      <c r="D158" s="572"/>
      <c r="E158" s="572"/>
      <c r="F158" s="572"/>
      <c r="G158" s="496"/>
      <c r="H158" s="366" t="s">
        <v>174</v>
      </c>
      <c r="I158" s="367" t="s">
        <v>142</v>
      </c>
      <c r="J158" s="368" t="s">
        <v>88</v>
      </c>
      <c r="K158" s="418"/>
      <c r="L158" s="381"/>
      <c r="M158" s="381"/>
      <c r="N158" s="381"/>
      <c r="O158" s="381"/>
      <c r="P158" s="381"/>
    </row>
    <row r="159" spans="1:16" x14ac:dyDescent="0.3">
      <c r="A159" s="345"/>
      <c r="B159" s="365"/>
      <c r="C159" s="573"/>
      <c r="D159" s="574"/>
      <c r="E159" s="574"/>
      <c r="F159" s="574"/>
      <c r="G159" s="497"/>
      <c r="H159" s="369"/>
      <c r="I159" s="413"/>
      <c r="J159" s="371"/>
      <c r="K159" s="418"/>
      <c r="L159" s="381"/>
      <c r="M159" s="381"/>
      <c r="N159" s="381"/>
      <c r="O159" s="381"/>
      <c r="P159" s="381"/>
    </row>
    <row r="160" spans="1:16" x14ac:dyDescent="0.3">
      <c r="A160" s="372" t="s">
        <v>143</v>
      </c>
      <c r="B160" s="365"/>
      <c r="C160" s="373" t="s">
        <v>81</v>
      </c>
      <c r="D160" s="374" t="s">
        <v>82</v>
      </c>
      <c r="E160" s="375" t="s">
        <v>83</v>
      </c>
      <c r="F160" s="392" t="s">
        <v>144</v>
      </c>
      <c r="G160" s="393" t="s">
        <v>145</v>
      </c>
      <c r="H160" s="394" t="s">
        <v>146</v>
      </c>
      <c r="I160" s="378"/>
      <c r="J160" s="414" t="s">
        <v>146</v>
      </c>
      <c r="K160" s="418"/>
      <c r="L160" s="381"/>
      <c r="M160" s="381"/>
      <c r="N160" s="381"/>
      <c r="O160" s="381"/>
      <c r="P160" s="381"/>
    </row>
    <row r="161" spans="1:16" x14ac:dyDescent="0.3">
      <c r="A161" s="372"/>
      <c r="B161" s="365"/>
      <c r="C161" s="380"/>
      <c r="D161" s="345"/>
      <c r="E161" s="381"/>
      <c r="F161" s="388"/>
      <c r="G161" s="389"/>
      <c r="H161" s="390"/>
      <c r="I161" s="384"/>
      <c r="J161" s="391"/>
      <c r="K161" s="418"/>
      <c r="L161" s="381"/>
      <c r="M161" s="381"/>
      <c r="N161" s="381"/>
      <c r="O161" s="381"/>
      <c r="P161" s="381"/>
    </row>
    <row r="162" spans="1:16" x14ac:dyDescent="0.3">
      <c r="A162" s="372" t="s">
        <v>147</v>
      </c>
      <c r="B162" s="365"/>
      <c r="C162" s="386" t="s">
        <v>148</v>
      </c>
      <c r="D162" s="345"/>
      <c r="E162" s="381"/>
      <c r="F162" s="388"/>
      <c r="G162" s="389"/>
      <c r="H162" s="390"/>
      <c r="I162" s="384"/>
      <c r="J162" s="391"/>
      <c r="K162" s="418"/>
      <c r="L162" s="381"/>
      <c r="M162" s="381"/>
      <c r="N162" s="381"/>
      <c r="O162" s="381"/>
      <c r="P162" s="381"/>
    </row>
    <row r="163" spans="1:16" x14ac:dyDescent="0.3">
      <c r="A163" s="372">
        <v>100894</v>
      </c>
      <c r="B163" s="365" t="s">
        <v>209</v>
      </c>
      <c r="C163" s="373" t="s">
        <v>210</v>
      </c>
      <c r="D163" s="374" t="s">
        <v>196</v>
      </c>
      <c r="E163" s="375">
        <v>2.0499999999999998</v>
      </c>
      <c r="F163" s="392"/>
      <c r="G163" s="393">
        <v>5500</v>
      </c>
      <c r="H163" s="394">
        <f>+G163*E163</f>
        <v>11274.999999999998</v>
      </c>
      <c r="I163" s="378">
        <f>I159 * (E163 * (1+F163/100))</f>
        <v>0</v>
      </c>
      <c r="J163" s="414">
        <v>0</v>
      </c>
      <c r="K163" s="418"/>
      <c r="L163" s="381"/>
      <c r="M163" s="381"/>
      <c r="N163" s="381"/>
      <c r="O163" s="381"/>
      <c r="P163" s="381"/>
    </row>
    <row r="164" spans="1:16" x14ac:dyDescent="0.3">
      <c r="A164" s="372">
        <v>102435</v>
      </c>
      <c r="B164" s="365" t="s">
        <v>209</v>
      </c>
      <c r="C164" s="373" t="s">
        <v>211</v>
      </c>
      <c r="D164" s="374" t="s">
        <v>212</v>
      </c>
      <c r="E164" s="375">
        <v>0.04</v>
      </c>
      <c r="F164" s="392"/>
      <c r="G164" s="393">
        <v>60000</v>
      </c>
      <c r="H164" s="394">
        <f>+G164*E164</f>
        <v>2400</v>
      </c>
      <c r="I164" s="378">
        <f>I159 * (E164 * (1+F164/100))</f>
        <v>0</v>
      </c>
      <c r="J164" s="414">
        <v>0</v>
      </c>
      <c r="K164" s="418"/>
      <c r="L164" s="381"/>
      <c r="M164" s="381"/>
      <c r="N164" s="381"/>
      <c r="O164" s="381"/>
      <c r="P164" s="381"/>
    </row>
    <row r="165" spans="1:16" x14ac:dyDescent="0.3">
      <c r="A165" s="372">
        <v>101572</v>
      </c>
      <c r="B165" s="365" t="s">
        <v>208</v>
      </c>
      <c r="C165" s="373" t="s">
        <v>259</v>
      </c>
      <c r="D165" s="374" t="s">
        <v>158</v>
      </c>
      <c r="E165" s="375">
        <v>1</v>
      </c>
      <c r="F165" s="392"/>
      <c r="G165" s="393">
        <v>500</v>
      </c>
      <c r="H165" s="394">
        <f>+G165*E165</f>
        <v>500</v>
      </c>
      <c r="I165" s="378">
        <f>I159 * (E165 * (1+F165/100))</f>
        <v>0</v>
      </c>
      <c r="J165" s="414">
        <v>0</v>
      </c>
      <c r="K165" s="418"/>
      <c r="L165" s="381"/>
      <c r="M165" s="381"/>
      <c r="N165" s="381"/>
      <c r="O165" s="381"/>
      <c r="P165" s="381"/>
    </row>
    <row r="166" spans="1:16" x14ac:dyDescent="0.3">
      <c r="A166" s="372">
        <v>101378</v>
      </c>
      <c r="B166" s="365" t="s">
        <v>215</v>
      </c>
      <c r="C166" s="373" t="s">
        <v>234</v>
      </c>
      <c r="D166" s="374" t="s">
        <v>82</v>
      </c>
      <c r="E166" s="375">
        <v>0.33</v>
      </c>
      <c r="F166" s="392">
        <v>1.05</v>
      </c>
      <c r="G166" s="393">
        <v>38000</v>
      </c>
      <c r="H166" s="394">
        <f t="shared" ref="H166" si="3">+G166*F166*E166</f>
        <v>13167</v>
      </c>
      <c r="I166" s="378">
        <f>I159 * (E166 * (1+F166/100))</f>
        <v>0</v>
      </c>
      <c r="J166" s="414">
        <v>0</v>
      </c>
      <c r="K166" s="418"/>
      <c r="L166" s="381"/>
      <c r="M166" s="381"/>
      <c r="N166" s="381"/>
      <c r="O166" s="381"/>
      <c r="P166" s="381"/>
    </row>
    <row r="167" spans="1:16" x14ac:dyDescent="0.3">
      <c r="A167" s="372">
        <v>100075</v>
      </c>
      <c r="B167" s="365" t="s">
        <v>216</v>
      </c>
      <c r="C167" s="373" t="s">
        <v>217</v>
      </c>
      <c r="D167" s="374" t="s">
        <v>218</v>
      </c>
      <c r="E167" s="375">
        <v>0.35</v>
      </c>
      <c r="F167" s="392"/>
      <c r="G167" s="393">
        <v>10456</v>
      </c>
      <c r="H167" s="394">
        <f>+G167*E167</f>
        <v>3659.6</v>
      </c>
      <c r="I167" s="378">
        <f>I159 * (E167 * (1+F167/100))</f>
        <v>0</v>
      </c>
      <c r="J167" s="414">
        <v>0</v>
      </c>
      <c r="K167" s="418"/>
      <c r="L167" s="381"/>
      <c r="M167" s="381"/>
      <c r="N167" s="381"/>
      <c r="O167" s="381"/>
      <c r="P167" s="381"/>
    </row>
    <row r="168" spans="1:16" x14ac:dyDescent="0.3">
      <c r="A168" s="395" t="s">
        <v>149</v>
      </c>
      <c r="B168" s="365"/>
      <c r="C168" s="380"/>
      <c r="D168" s="345"/>
      <c r="E168" s="381"/>
      <c r="F168" s="388"/>
      <c r="G168" s="389" t="s">
        <v>150</v>
      </c>
      <c r="H168" s="415">
        <f>SUM(H163:H167)</f>
        <v>31001.599999999999</v>
      </c>
      <c r="I168" s="384"/>
      <c r="J168" s="416">
        <v>0</v>
      </c>
      <c r="K168" s="418"/>
      <c r="L168" s="381"/>
      <c r="M168" s="381"/>
      <c r="N168" s="381"/>
      <c r="O168" s="381"/>
      <c r="P168" s="381"/>
    </row>
    <row r="169" spans="1:16" x14ac:dyDescent="0.3">
      <c r="A169" s="372" t="s">
        <v>151</v>
      </c>
      <c r="B169" s="365"/>
      <c r="C169" s="386" t="s">
        <v>152</v>
      </c>
      <c r="D169" s="345"/>
      <c r="E169" s="381"/>
      <c r="F169" s="388"/>
      <c r="G169" s="389"/>
      <c r="H169" s="390"/>
      <c r="I169" s="384"/>
      <c r="J169" s="391"/>
      <c r="K169" s="418"/>
      <c r="L169" s="381"/>
      <c r="M169" s="381"/>
      <c r="N169" s="381"/>
      <c r="O169" s="381"/>
      <c r="P169" s="381"/>
    </row>
    <row r="170" spans="1:16" x14ac:dyDescent="0.3">
      <c r="A170" s="372">
        <v>200004</v>
      </c>
      <c r="B170" s="365" t="s">
        <v>152</v>
      </c>
      <c r="C170" s="373" t="s">
        <v>219</v>
      </c>
      <c r="D170" s="374" t="s">
        <v>176</v>
      </c>
      <c r="E170" s="375">
        <v>0.35</v>
      </c>
      <c r="F170" s="392"/>
      <c r="G170" s="393">
        <f>+[3]M.O.!$C$13*1.2</f>
        <v>36075.599999999999</v>
      </c>
      <c r="H170" s="394">
        <v>9528.0499999999993</v>
      </c>
      <c r="I170" s="378">
        <f>I159 * (E170 * (1+F170/100))</f>
        <v>0</v>
      </c>
      <c r="J170" s="414">
        <v>0</v>
      </c>
      <c r="K170" s="418"/>
      <c r="L170" s="381"/>
      <c r="M170" s="381"/>
      <c r="N170" s="381"/>
      <c r="O170" s="381"/>
      <c r="P170" s="381"/>
    </row>
    <row r="171" spans="1:16" x14ac:dyDescent="0.3">
      <c r="A171" s="372">
        <v>200017</v>
      </c>
      <c r="B171" s="365" t="s">
        <v>152</v>
      </c>
      <c r="C171" s="373" t="s">
        <v>303</v>
      </c>
      <c r="D171" s="374" t="s">
        <v>176</v>
      </c>
      <c r="E171" s="375">
        <v>0.5</v>
      </c>
      <c r="F171" s="392"/>
      <c r="G171" s="393">
        <f>+[3]M.O.!$C$13</f>
        <v>30063</v>
      </c>
      <c r="H171" s="394">
        <v>12854.5</v>
      </c>
      <c r="I171" s="378">
        <f>I159 * (E171 * (1+F171/100))</f>
        <v>0</v>
      </c>
      <c r="J171" s="414">
        <v>0</v>
      </c>
      <c r="K171" s="418"/>
      <c r="L171" s="381"/>
      <c r="M171" s="381"/>
      <c r="N171" s="381"/>
      <c r="O171" s="381"/>
      <c r="P171" s="381"/>
    </row>
    <row r="172" spans="1:16" x14ac:dyDescent="0.3">
      <c r="A172" s="372">
        <v>200026</v>
      </c>
      <c r="B172" s="365" t="s">
        <v>152</v>
      </c>
      <c r="C172" s="373" t="s">
        <v>220</v>
      </c>
      <c r="D172" s="374" t="s">
        <v>176</v>
      </c>
      <c r="E172" s="375">
        <v>0.08</v>
      </c>
      <c r="F172" s="392"/>
      <c r="G172" s="393">
        <f>+[3]M.O.!$C$13</f>
        <v>30063</v>
      </c>
      <c r="H172" s="394">
        <v>2056.7199999999998</v>
      </c>
      <c r="I172" s="378">
        <f>I159 * (E172 * (1+F172/100))</f>
        <v>0</v>
      </c>
      <c r="J172" s="414">
        <v>0</v>
      </c>
      <c r="K172" s="418"/>
      <c r="L172" s="381"/>
      <c r="M172" s="381"/>
      <c r="N172" s="381"/>
      <c r="O172" s="381"/>
      <c r="P172" s="381"/>
    </row>
    <row r="173" spans="1:16" x14ac:dyDescent="0.3">
      <c r="A173" s="395" t="s">
        <v>153</v>
      </c>
      <c r="B173" s="365"/>
      <c r="C173" s="380"/>
      <c r="D173" s="345"/>
      <c r="E173" s="381"/>
      <c r="F173" s="388"/>
      <c r="G173" s="389" t="s">
        <v>154</v>
      </c>
      <c r="H173" s="415">
        <f>SUM(H170:H172)</f>
        <v>24439.27</v>
      </c>
      <c r="I173" s="384"/>
      <c r="J173" s="416">
        <v>0</v>
      </c>
      <c r="K173" s="418"/>
      <c r="L173" s="381"/>
      <c r="M173" s="381"/>
      <c r="N173" s="381"/>
      <c r="O173" s="381"/>
      <c r="P173" s="381"/>
    </row>
    <row r="174" spans="1:16" x14ac:dyDescent="0.3">
      <c r="A174" s="372" t="s">
        <v>155</v>
      </c>
      <c r="B174" s="365"/>
      <c r="C174" s="398" t="s">
        <v>156</v>
      </c>
      <c r="D174" s="345"/>
      <c r="E174" s="381"/>
      <c r="F174" s="388"/>
      <c r="G174" s="389"/>
      <c r="H174" s="390"/>
      <c r="I174" s="384"/>
      <c r="J174" s="391"/>
      <c r="K174" s="418"/>
      <c r="L174" s="381"/>
      <c r="M174" s="381"/>
      <c r="N174" s="381"/>
      <c r="O174" s="381"/>
      <c r="P174" s="381"/>
    </row>
    <row r="175" spans="1:16" x14ac:dyDescent="0.3">
      <c r="A175" s="372">
        <v>300026</v>
      </c>
      <c r="B175" s="365" t="s">
        <v>156</v>
      </c>
      <c r="C175" s="373" t="s">
        <v>157</v>
      </c>
      <c r="D175" s="374" t="s">
        <v>158</v>
      </c>
      <c r="E175" s="375">
        <v>1.0150000000000001</v>
      </c>
      <c r="F175" s="392"/>
      <c r="G175" s="393">
        <v>1690</v>
      </c>
      <c r="H175" s="394">
        <v>1715.35</v>
      </c>
      <c r="I175" s="378">
        <f>I159 * (E175 * (1+F175/100))</f>
        <v>0</v>
      </c>
      <c r="J175" s="414">
        <v>0</v>
      </c>
      <c r="K175" s="418"/>
      <c r="L175" s="381"/>
      <c r="M175" s="381"/>
      <c r="N175" s="381"/>
      <c r="O175" s="381"/>
      <c r="P175" s="381"/>
    </row>
    <row r="176" spans="1:16" x14ac:dyDescent="0.3">
      <c r="A176" s="372">
        <v>300002</v>
      </c>
      <c r="B176" s="365" t="s">
        <v>156</v>
      </c>
      <c r="C176" s="373" t="s">
        <v>177</v>
      </c>
      <c r="D176" s="374" t="s">
        <v>178</v>
      </c>
      <c r="E176" s="375">
        <v>0.1</v>
      </c>
      <c r="F176" s="392"/>
      <c r="G176" s="393">
        <v>1162</v>
      </c>
      <c r="H176" s="394">
        <v>116.2</v>
      </c>
      <c r="I176" s="378">
        <f>I159 * (E176 * (1+F176/100))</f>
        <v>0</v>
      </c>
      <c r="J176" s="414">
        <v>0</v>
      </c>
      <c r="K176" s="418"/>
      <c r="L176" s="381"/>
      <c r="M176" s="381"/>
      <c r="N176" s="381"/>
      <c r="O176" s="381"/>
      <c r="P176" s="381"/>
    </row>
    <row r="177" spans="1:16" x14ac:dyDescent="0.3">
      <c r="A177" s="372">
        <v>300019</v>
      </c>
      <c r="B177" s="365" t="s">
        <v>156</v>
      </c>
      <c r="C177" s="373" t="s">
        <v>221</v>
      </c>
      <c r="D177" s="374" t="s">
        <v>200</v>
      </c>
      <c r="E177" s="375">
        <v>0.1</v>
      </c>
      <c r="F177" s="392"/>
      <c r="G177" s="393">
        <v>106</v>
      </c>
      <c r="H177" s="394">
        <v>10.6</v>
      </c>
      <c r="I177" s="378">
        <f>I159 * (E177 * (1+F177/100))</f>
        <v>0</v>
      </c>
      <c r="J177" s="414">
        <v>0</v>
      </c>
      <c r="K177" s="418"/>
      <c r="L177" s="381"/>
      <c r="M177" s="381"/>
      <c r="N177" s="381"/>
      <c r="O177" s="381"/>
      <c r="P177" s="381"/>
    </row>
    <row r="178" spans="1:16" x14ac:dyDescent="0.3">
      <c r="A178" s="395" t="s">
        <v>159</v>
      </c>
      <c r="B178" s="365"/>
      <c r="C178" s="380"/>
      <c r="D178" s="345"/>
      <c r="E178" s="381"/>
      <c r="F178" s="388"/>
      <c r="G178" s="389" t="s">
        <v>160</v>
      </c>
      <c r="H178" s="415">
        <f>SUM(H175:H177)</f>
        <v>1842.1499999999999</v>
      </c>
      <c r="I178" s="384"/>
      <c r="J178" s="416">
        <v>0</v>
      </c>
      <c r="K178" s="418"/>
      <c r="L178" s="381"/>
      <c r="M178" s="381"/>
      <c r="N178" s="381"/>
      <c r="O178" s="381"/>
      <c r="P178" s="381"/>
    </row>
    <row r="179" spans="1:16" hidden="1" x14ac:dyDescent="0.3">
      <c r="A179" s="345" t="s">
        <v>161</v>
      </c>
      <c r="B179" s="348"/>
      <c r="C179" s="386" t="s">
        <v>162</v>
      </c>
      <c r="D179" s="345"/>
      <c r="E179" s="381"/>
      <c r="F179" s="388"/>
      <c r="G179" s="389"/>
      <c r="H179" s="390"/>
      <c r="I179" s="384"/>
      <c r="J179" s="391"/>
      <c r="K179" s="418"/>
      <c r="L179" s="381"/>
      <c r="M179" s="381"/>
      <c r="N179" s="381"/>
      <c r="O179" s="381"/>
      <c r="P179" s="381"/>
    </row>
    <row r="180" spans="1:16" hidden="1" x14ac:dyDescent="0.3">
      <c r="A180" s="372"/>
      <c r="B180" s="365"/>
      <c r="C180" s="373"/>
      <c r="D180" s="374"/>
      <c r="E180" s="375"/>
      <c r="F180" s="392"/>
      <c r="G180" s="393"/>
      <c r="H180" s="394"/>
      <c r="I180" s="378"/>
      <c r="J180" s="414"/>
      <c r="K180" s="418"/>
      <c r="L180" s="381"/>
      <c r="M180" s="381"/>
      <c r="N180" s="381"/>
      <c r="O180" s="381"/>
      <c r="P180" s="381"/>
    </row>
    <row r="181" spans="1:16" hidden="1" x14ac:dyDescent="0.3">
      <c r="A181" s="395" t="s">
        <v>163</v>
      </c>
      <c r="B181" s="348"/>
      <c r="C181" s="380"/>
      <c r="D181" s="345"/>
      <c r="E181" s="381"/>
      <c r="F181" s="388"/>
      <c r="G181" s="389" t="s">
        <v>164</v>
      </c>
      <c r="H181" s="394">
        <v>0</v>
      </c>
      <c r="I181" s="384"/>
      <c r="J181" s="414">
        <v>0</v>
      </c>
      <c r="K181" s="418"/>
      <c r="L181" s="381"/>
      <c r="M181" s="381"/>
      <c r="N181" s="381"/>
      <c r="O181" s="381"/>
      <c r="P181" s="381"/>
    </row>
    <row r="182" spans="1:16" x14ac:dyDescent="0.3">
      <c r="A182" s="345"/>
      <c r="B182" s="419"/>
      <c r="C182" s="380"/>
      <c r="D182" s="345"/>
      <c r="E182" s="381"/>
      <c r="F182" s="388"/>
      <c r="G182" s="389"/>
      <c r="H182" s="390"/>
      <c r="I182" s="384"/>
      <c r="J182" s="391"/>
      <c r="K182" s="418"/>
      <c r="L182" s="381"/>
      <c r="M182" s="381"/>
      <c r="N182" s="381"/>
      <c r="O182" s="381"/>
      <c r="P182" s="381"/>
    </row>
    <row r="183" spans="1:16" ht="13.8" thickBot="1" x14ac:dyDescent="0.35">
      <c r="A183" s="345" t="s">
        <v>85</v>
      </c>
      <c r="B183" s="419"/>
      <c r="C183" s="401"/>
      <c r="D183" s="402"/>
      <c r="E183" s="403"/>
      <c r="F183" s="404" t="s">
        <v>165</v>
      </c>
      <c r="G183" s="420">
        <v>54701.22</v>
      </c>
      <c r="H183" s="406">
        <f>+ROUND(H178+H173+H168,0)</f>
        <v>57283</v>
      </c>
      <c r="I183" s="421">
        <f>SUM(J160:J182)/2</f>
        <v>0</v>
      </c>
      <c r="J183" s="408">
        <v>0</v>
      </c>
      <c r="K183" s="418"/>
      <c r="L183" s="381"/>
      <c r="M183" s="381"/>
      <c r="N183" s="381"/>
      <c r="O183" s="381"/>
      <c r="P183" s="381"/>
    </row>
    <row r="184" spans="1:16" ht="14.4" thickTop="1" thickBot="1" x14ac:dyDescent="0.35"/>
    <row r="185" spans="1:16" ht="15" customHeight="1" thickTop="1" x14ac:dyDescent="0.3">
      <c r="A185" s="345" t="s">
        <v>222</v>
      </c>
      <c r="B185" s="348"/>
      <c r="C185" s="583" t="str">
        <f>+'PRESUPUESTO CASA DE LA CULTURA'!C25</f>
        <v>SUMINISTRO E INTALACION DE PANEL LED 24W LUZ COLOR BLANCO</v>
      </c>
      <c r="D185" s="584"/>
      <c r="E185" s="584"/>
      <c r="F185" s="584"/>
      <c r="G185" s="492"/>
      <c r="H185" s="448" t="s">
        <v>223</v>
      </c>
      <c r="I185" s="449" t="s">
        <v>204</v>
      </c>
      <c r="J185" s="366" t="s">
        <v>205</v>
      </c>
    </row>
    <row r="186" spans="1:16" ht="15" customHeight="1" x14ac:dyDescent="0.3">
      <c r="A186" s="345"/>
      <c r="B186" s="348"/>
      <c r="C186" s="585"/>
      <c r="D186" s="586"/>
      <c r="E186" s="586"/>
      <c r="F186" s="586"/>
      <c r="G186" s="493"/>
      <c r="H186" s="450"/>
      <c r="I186" s="451"/>
      <c r="J186" s="369"/>
    </row>
    <row r="187" spans="1:16" ht="15" customHeight="1" x14ac:dyDescent="0.3">
      <c r="A187" s="452" t="s">
        <v>143</v>
      </c>
      <c r="B187" s="453"/>
      <c r="C187" s="454" t="s">
        <v>81</v>
      </c>
      <c r="D187" s="455" t="s">
        <v>82</v>
      </c>
      <c r="E187" s="456" t="s">
        <v>83</v>
      </c>
      <c r="F187" s="457" t="s">
        <v>144</v>
      </c>
      <c r="G187" s="458" t="s">
        <v>145</v>
      </c>
      <c r="H187" s="394" t="s">
        <v>146</v>
      </c>
      <c r="I187" s="459"/>
      <c r="J187" s="394" t="s">
        <v>146</v>
      </c>
    </row>
    <row r="188" spans="1:16" ht="15" customHeight="1" x14ac:dyDescent="0.3">
      <c r="A188" s="372"/>
      <c r="B188" s="348"/>
      <c r="C188" s="460"/>
      <c r="D188" s="461"/>
      <c r="E188" s="348"/>
      <c r="F188" s="349"/>
      <c r="G188" s="389"/>
      <c r="H188" s="390"/>
      <c r="I188" s="498"/>
      <c r="J188" s="390"/>
    </row>
    <row r="189" spans="1:16" ht="15" customHeight="1" x14ac:dyDescent="0.3">
      <c r="A189" s="372" t="s">
        <v>147</v>
      </c>
      <c r="B189" s="348"/>
      <c r="C189" s="462" t="s">
        <v>148</v>
      </c>
      <c r="D189" s="461"/>
      <c r="E189" s="348"/>
      <c r="F189" s="349"/>
      <c r="G189" s="389"/>
      <c r="H189" s="390"/>
      <c r="I189" s="499"/>
      <c r="J189" s="390"/>
    </row>
    <row r="190" spans="1:16" x14ac:dyDescent="0.3">
      <c r="A190" s="372">
        <v>119104</v>
      </c>
      <c r="B190" s="365"/>
      <c r="C190" s="463" t="s">
        <v>238</v>
      </c>
      <c r="D190" s="464" t="s">
        <v>82</v>
      </c>
      <c r="E190" s="465">
        <v>1</v>
      </c>
      <c r="F190" s="466"/>
      <c r="G190" s="393">
        <v>25000</v>
      </c>
      <c r="H190" s="394">
        <f>TRUNC(E190* (1 + F190 / 100) * G190,2)</f>
        <v>25000</v>
      </c>
      <c r="I190" s="378">
        <f>I186 * (E190 * (1+F190/100))</f>
        <v>0</v>
      </c>
      <c r="J190" s="414">
        <f>I186*H190</f>
        <v>0</v>
      </c>
      <c r="K190" s="381"/>
    </row>
    <row r="191" spans="1:16" x14ac:dyDescent="0.3">
      <c r="A191" s="372">
        <v>100601</v>
      </c>
      <c r="B191" s="365"/>
      <c r="C191" s="463" t="s">
        <v>224</v>
      </c>
      <c r="D191" s="464" t="s">
        <v>82</v>
      </c>
      <c r="E191" s="465">
        <v>0.05</v>
      </c>
      <c r="F191" s="466"/>
      <c r="G191" s="393">
        <f xml:space="preserve"> [4]INSUMOS!$G$20284</f>
        <v>15737</v>
      </c>
      <c r="H191" s="394">
        <f>TRUNC(E191* (1 + F191 / 100) * G191,2)</f>
        <v>786.85</v>
      </c>
      <c r="I191" s="378">
        <f>I186 * (E191 * (1+F191/100))</f>
        <v>0</v>
      </c>
      <c r="J191" s="414">
        <f>I186*H191</f>
        <v>0</v>
      </c>
      <c r="K191" s="381"/>
    </row>
    <row r="192" spans="1:16" ht="15" customHeight="1" x14ac:dyDescent="0.3">
      <c r="A192" s="395" t="s">
        <v>149</v>
      </c>
      <c r="B192" s="348"/>
      <c r="C192" s="460"/>
      <c r="D192" s="461"/>
      <c r="E192" s="348"/>
      <c r="F192" s="349"/>
      <c r="G192" s="389" t="s">
        <v>150</v>
      </c>
      <c r="H192" s="467">
        <f>SUM(H189:H191)</f>
        <v>25786.85</v>
      </c>
      <c r="I192" s="500"/>
      <c r="J192" s="467">
        <f>SUM(J189:J191)</f>
        <v>0</v>
      </c>
    </row>
    <row r="193" spans="1:20" ht="15" customHeight="1" x14ac:dyDescent="0.3">
      <c r="A193" s="372" t="s">
        <v>151</v>
      </c>
      <c r="B193" s="348"/>
      <c r="C193" s="462" t="s">
        <v>152</v>
      </c>
      <c r="D193" s="461"/>
      <c r="E193" s="348"/>
      <c r="F193" s="349"/>
      <c r="G193" s="389"/>
      <c r="H193" s="390"/>
      <c r="I193" s="499"/>
      <c r="J193" s="390"/>
    </row>
    <row r="194" spans="1:20" x14ac:dyDescent="0.3">
      <c r="A194" s="372">
        <v>200018</v>
      </c>
      <c r="B194" s="365"/>
      <c r="C194" s="463" t="s">
        <v>225</v>
      </c>
      <c r="D194" s="464" t="s">
        <v>176</v>
      </c>
      <c r="E194" s="465">
        <v>0.35</v>
      </c>
      <c r="F194" s="466"/>
      <c r="G194" s="393">
        <f>+[3]M.O.!$C$18*1.2</f>
        <v>36075.599999999999</v>
      </c>
      <c r="H194" s="394">
        <f>TRUNC(E194* (1 + F194 / 100) * G194,2)</f>
        <v>12626.46</v>
      </c>
      <c r="I194" s="378">
        <f>I186 * (E194 * (1+F194/100))</f>
        <v>0</v>
      </c>
      <c r="J194" s="414">
        <f>I186*H194</f>
        <v>0</v>
      </c>
      <c r="K194" s="381"/>
    </row>
    <row r="195" spans="1:20" ht="15" customHeight="1" x14ac:dyDescent="0.3">
      <c r="A195" s="395" t="s">
        <v>153</v>
      </c>
      <c r="B195" s="348"/>
      <c r="C195" s="460"/>
      <c r="D195" s="461"/>
      <c r="E195" s="348"/>
      <c r="F195" s="349"/>
      <c r="G195" s="389" t="s">
        <v>206</v>
      </c>
      <c r="H195" s="467">
        <f>SUM(H193:H194)</f>
        <v>12626.46</v>
      </c>
      <c r="I195" s="500"/>
      <c r="J195" s="467">
        <f>SUM(J193:J194)</f>
        <v>0</v>
      </c>
    </row>
    <row r="196" spans="1:20" ht="15" customHeight="1" x14ac:dyDescent="0.3">
      <c r="A196" s="372" t="s">
        <v>155</v>
      </c>
      <c r="B196" s="348"/>
      <c r="C196" s="468" t="s">
        <v>156</v>
      </c>
      <c r="D196" s="461"/>
      <c r="E196" s="348"/>
      <c r="F196" s="349"/>
      <c r="G196" s="389"/>
      <c r="H196" s="390"/>
      <c r="I196" s="499"/>
      <c r="J196" s="390"/>
    </row>
    <row r="197" spans="1:20" x14ac:dyDescent="0.3">
      <c r="A197" s="372">
        <v>300026</v>
      </c>
      <c r="B197" s="365"/>
      <c r="C197" s="463" t="s">
        <v>157</v>
      </c>
      <c r="D197" s="464" t="s">
        <v>158</v>
      </c>
      <c r="E197" s="465">
        <v>0.45068433333334229</v>
      </c>
      <c r="F197" s="466"/>
      <c r="G197" s="393">
        <f xml:space="preserve"> [4]INSUMOS!$G$21874</f>
        <v>1690</v>
      </c>
      <c r="H197" s="394">
        <f>TRUNC(E197* (1 + F197 / 100) * G197,2)</f>
        <v>761.65</v>
      </c>
      <c r="I197" s="378">
        <f>I186 * (E197 * (1+F197/100))</f>
        <v>0</v>
      </c>
      <c r="J197" s="414">
        <f>I186*H197</f>
        <v>0</v>
      </c>
      <c r="K197" s="381"/>
    </row>
    <row r="198" spans="1:20" ht="15" customHeight="1" x14ac:dyDescent="0.3">
      <c r="A198" s="395" t="s">
        <v>159</v>
      </c>
      <c r="B198" s="348"/>
      <c r="C198" s="460"/>
      <c r="D198" s="461"/>
      <c r="E198" s="348"/>
      <c r="F198" s="349"/>
      <c r="G198" s="389" t="s">
        <v>160</v>
      </c>
      <c r="H198" s="467">
        <f>SUM(H196:H197)</f>
        <v>761.65</v>
      </c>
      <c r="I198" s="500"/>
      <c r="J198" s="467">
        <f>SUM(J196:J197)</f>
        <v>0</v>
      </c>
    </row>
    <row r="199" spans="1:20" hidden="1" x14ac:dyDescent="0.3">
      <c r="A199" s="345" t="s">
        <v>161</v>
      </c>
      <c r="B199" s="490"/>
      <c r="C199" s="462" t="s">
        <v>162</v>
      </c>
      <c r="D199" s="461"/>
      <c r="E199" s="348"/>
      <c r="F199" s="349"/>
      <c r="G199" s="389"/>
      <c r="H199" s="390"/>
      <c r="I199" s="500"/>
      <c r="J199" s="390"/>
    </row>
    <row r="200" spans="1:20" hidden="1" x14ac:dyDescent="0.3">
      <c r="A200" s="372"/>
      <c r="B200" s="365"/>
      <c r="C200" s="463"/>
      <c r="D200" s="464"/>
      <c r="E200" s="465"/>
      <c r="F200" s="466"/>
      <c r="G200" s="393"/>
      <c r="H200" s="394"/>
      <c r="I200" s="378"/>
      <c r="J200" s="394"/>
      <c r="K200" s="381"/>
    </row>
    <row r="201" spans="1:20" hidden="1" x14ac:dyDescent="0.3">
      <c r="A201" s="395" t="s">
        <v>163</v>
      </c>
      <c r="B201" s="490"/>
      <c r="C201" s="460"/>
      <c r="D201" s="461"/>
      <c r="E201" s="348"/>
      <c r="F201" s="349"/>
      <c r="G201" s="389" t="s">
        <v>184</v>
      </c>
      <c r="H201" s="394">
        <f>SUM(H199:H199)</f>
        <v>0</v>
      </c>
      <c r="I201" s="500"/>
      <c r="J201" s="394">
        <f>SUM(J199:J199)</f>
        <v>0</v>
      </c>
    </row>
    <row r="202" spans="1:20" ht="15" customHeight="1" x14ac:dyDescent="0.3">
      <c r="A202" s="345"/>
      <c r="B202" s="469"/>
      <c r="C202" s="460"/>
      <c r="D202" s="461"/>
      <c r="E202" s="348"/>
      <c r="F202" s="349"/>
      <c r="G202" s="389"/>
      <c r="H202" s="390"/>
      <c r="I202" s="499"/>
      <c r="J202" s="390"/>
      <c r="K202" s="501"/>
    </row>
    <row r="203" spans="1:20" ht="15" customHeight="1" thickBot="1" x14ac:dyDescent="0.35">
      <c r="A203" s="345" t="s">
        <v>85</v>
      </c>
      <c r="B203" s="469"/>
      <c r="C203" s="470"/>
      <c r="D203" s="471"/>
      <c r="E203" s="472"/>
      <c r="F203" s="473" t="s">
        <v>165</v>
      </c>
      <c r="G203" s="420">
        <f>SUM(H187:H202)/2</f>
        <v>39174.959999999992</v>
      </c>
      <c r="H203" s="406">
        <f>ROUND(+H192+H195+H198,0)</f>
        <v>39175</v>
      </c>
      <c r="I203" s="421"/>
      <c r="J203" s="406">
        <f>IF($A$2="CD",IF($A$3=1,ROUND(SUM(J187:J202)/2,0),IF($A$3=3,ROUND(SUM(J187:J202)/2,-1),SUM(J187:J202)/2)),SUM(J187:J202)/2)</f>
        <v>0</v>
      </c>
      <c r="T203" s="502"/>
    </row>
    <row r="204" spans="1:20" ht="14.4" thickTop="1" thickBot="1" x14ac:dyDescent="0.35"/>
    <row r="205" spans="1:20" ht="13.8" thickTop="1" x14ac:dyDescent="0.3">
      <c r="A205" s="345" t="s">
        <v>226</v>
      </c>
      <c r="B205" s="365"/>
      <c r="C205" s="571" t="str">
        <f>+'PRESUPUESTO CASA DE LA CULTURA'!C26</f>
        <v>APLICACIÓN DE PINTURA VINILO MURO TIPO 1 COLOR BLANCO</v>
      </c>
      <c r="D205" s="572"/>
      <c r="E205" s="572"/>
      <c r="F205" s="572"/>
      <c r="G205" s="496"/>
      <c r="H205" s="366" t="s">
        <v>174</v>
      </c>
      <c r="I205" s="367" t="s">
        <v>142</v>
      </c>
      <c r="J205" s="368" t="s">
        <v>88</v>
      </c>
      <c r="K205" s="418"/>
      <c r="L205" s="381"/>
      <c r="M205" s="381"/>
      <c r="N205" s="381"/>
      <c r="O205" s="381"/>
      <c r="P205" s="381"/>
    </row>
    <row r="206" spans="1:20" x14ac:dyDescent="0.3">
      <c r="A206" s="345"/>
      <c r="B206" s="365"/>
      <c r="C206" s="573"/>
      <c r="D206" s="574"/>
      <c r="E206" s="574"/>
      <c r="F206" s="574"/>
      <c r="G206" s="497"/>
      <c r="H206" s="369"/>
      <c r="I206" s="413"/>
      <c r="J206" s="371"/>
      <c r="K206" s="418"/>
      <c r="L206" s="381"/>
      <c r="M206" s="381"/>
      <c r="N206" s="381"/>
      <c r="O206" s="381"/>
      <c r="P206" s="381"/>
    </row>
    <row r="207" spans="1:20" x14ac:dyDescent="0.3">
      <c r="A207" s="372" t="s">
        <v>143</v>
      </c>
      <c r="B207" s="365"/>
      <c r="C207" s="373" t="s">
        <v>81</v>
      </c>
      <c r="D207" s="374" t="s">
        <v>82</v>
      </c>
      <c r="E207" s="375" t="s">
        <v>83</v>
      </c>
      <c r="F207" s="392" t="s">
        <v>144</v>
      </c>
      <c r="G207" s="393" t="s">
        <v>145</v>
      </c>
      <c r="H207" s="394" t="s">
        <v>146</v>
      </c>
      <c r="I207" s="378"/>
      <c r="J207" s="414" t="s">
        <v>146</v>
      </c>
      <c r="K207" s="418"/>
      <c r="L207" s="381"/>
      <c r="M207" s="381"/>
      <c r="N207" s="381"/>
      <c r="O207" s="381"/>
      <c r="P207" s="381"/>
    </row>
    <row r="208" spans="1:20" x14ac:dyDescent="0.3">
      <c r="A208" s="372"/>
      <c r="B208" s="365"/>
      <c r="C208" s="380"/>
      <c r="D208" s="345"/>
      <c r="E208" s="381"/>
      <c r="F208" s="388"/>
      <c r="G208" s="389"/>
      <c r="H208" s="390"/>
      <c r="I208" s="384"/>
      <c r="J208" s="391"/>
      <c r="K208" s="418"/>
      <c r="L208" s="381"/>
      <c r="M208" s="381"/>
      <c r="N208" s="381"/>
      <c r="O208" s="381"/>
      <c r="P208" s="381"/>
    </row>
    <row r="209" spans="1:16" x14ac:dyDescent="0.3">
      <c r="A209" s="372" t="s">
        <v>147</v>
      </c>
      <c r="B209" s="365"/>
      <c r="C209" s="386" t="s">
        <v>148</v>
      </c>
      <c r="D209" s="345"/>
      <c r="E209" s="381"/>
      <c r="F209" s="388"/>
      <c r="G209" s="389"/>
      <c r="H209" s="390"/>
      <c r="I209" s="384"/>
      <c r="J209" s="391"/>
      <c r="K209" s="418"/>
      <c r="L209" s="381"/>
      <c r="M209" s="381"/>
      <c r="N209" s="381"/>
      <c r="O209" s="381"/>
      <c r="P209" s="381"/>
    </row>
    <row r="210" spans="1:16" x14ac:dyDescent="0.3">
      <c r="A210" s="372">
        <v>117033</v>
      </c>
      <c r="B210" s="365"/>
      <c r="C210" s="463" t="s">
        <v>227</v>
      </c>
      <c r="D210" s="464" t="s">
        <v>82</v>
      </c>
      <c r="E210" s="465">
        <v>0.01</v>
      </c>
      <c r="F210" s="466"/>
      <c r="G210" s="393">
        <v>12674</v>
      </c>
      <c r="H210" s="394">
        <f>+G210*E210</f>
        <v>126.74000000000001</v>
      </c>
      <c r="I210" s="378">
        <f>I206 * (E210 * (1+F210/100))</f>
        <v>0</v>
      </c>
      <c r="J210" s="414">
        <v>0</v>
      </c>
      <c r="K210" s="381"/>
    </row>
    <row r="211" spans="1:16" x14ac:dyDescent="0.3">
      <c r="A211" s="372">
        <v>100053</v>
      </c>
      <c r="B211" s="365" t="s">
        <v>215</v>
      </c>
      <c r="C211" s="373" t="s">
        <v>228</v>
      </c>
      <c r="D211" s="374" t="s">
        <v>229</v>
      </c>
      <c r="E211" s="375">
        <v>3.5000000000000003E-2</v>
      </c>
      <c r="F211" s="392"/>
      <c r="G211" s="393">
        <v>32</v>
      </c>
      <c r="H211" s="394">
        <f t="shared" ref="H211:H213" si="4">+G211*E211</f>
        <v>1.1200000000000001</v>
      </c>
      <c r="I211" s="378">
        <f>I206 * (E211 * (1+F211/100))</f>
        <v>0</v>
      </c>
      <c r="J211" s="414">
        <v>0</v>
      </c>
      <c r="K211" s="418"/>
      <c r="L211" s="381"/>
      <c r="M211" s="381"/>
      <c r="N211" s="381"/>
      <c r="O211" s="381"/>
      <c r="P211" s="381"/>
    </row>
    <row r="212" spans="1:16" x14ac:dyDescent="0.3">
      <c r="A212" s="372">
        <v>115013</v>
      </c>
      <c r="B212" s="365"/>
      <c r="C212" s="373" t="s">
        <v>230</v>
      </c>
      <c r="D212" s="374" t="s">
        <v>82</v>
      </c>
      <c r="E212" s="375">
        <v>0.03</v>
      </c>
      <c r="F212" s="392"/>
      <c r="G212" s="393">
        <v>10361</v>
      </c>
      <c r="H212" s="394">
        <f t="shared" si="4"/>
        <v>310.83</v>
      </c>
      <c r="I212" s="378">
        <f>I206 * (E212 * (1+F212/100))</f>
        <v>0</v>
      </c>
      <c r="J212" s="414">
        <v>0</v>
      </c>
      <c r="K212" s="418"/>
      <c r="L212" s="381"/>
      <c r="M212" s="381"/>
      <c r="N212" s="381"/>
      <c r="O212" s="381"/>
      <c r="P212" s="381"/>
    </row>
    <row r="213" spans="1:16" x14ac:dyDescent="0.3">
      <c r="A213" s="372">
        <v>100606</v>
      </c>
      <c r="B213" s="365" t="s">
        <v>197</v>
      </c>
      <c r="C213" s="373" t="s">
        <v>231</v>
      </c>
      <c r="D213" s="374" t="s">
        <v>199</v>
      </c>
      <c r="E213" s="375">
        <v>0.01</v>
      </c>
      <c r="F213" s="392"/>
      <c r="G213" s="393">
        <v>5175</v>
      </c>
      <c r="H213" s="394">
        <f t="shared" si="4"/>
        <v>51.75</v>
      </c>
      <c r="I213" s="378">
        <f>I206 * (E213 * (1+F213/100))</f>
        <v>0</v>
      </c>
      <c r="J213" s="414">
        <v>0</v>
      </c>
      <c r="K213" s="418"/>
      <c r="L213" s="381"/>
      <c r="M213" s="381"/>
      <c r="N213" s="381"/>
      <c r="O213" s="381"/>
      <c r="P213" s="381"/>
    </row>
    <row r="214" spans="1:16" x14ac:dyDescent="0.3">
      <c r="A214" s="372">
        <v>102436</v>
      </c>
      <c r="B214" s="365" t="s">
        <v>209</v>
      </c>
      <c r="C214" s="373" t="s">
        <v>232</v>
      </c>
      <c r="D214" s="374" t="s">
        <v>212</v>
      </c>
      <c r="E214" s="375">
        <v>7.4999999999999997E-2</v>
      </c>
      <c r="F214" s="392">
        <v>1.05</v>
      </c>
      <c r="G214" s="393">
        <v>85000</v>
      </c>
      <c r="H214" s="394">
        <f>+E214*F214*G214</f>
        <v>6693.75</v>
      </c>
      <c r="I214" s="378">
        <f>I206 * (E214 * (1+F214/100))</f>
        <v>0</v>
      </c>
      <c r="J214" s="414">
        <v>0</v>
      </c>
      <c r="K214" s="418"/>
      <c r="L214" s="381"/>
      <c r="M214" s="381"/>
      <c r="N214" s="381"/>
      <c r="O214" s="381"/>
      <c r="P214" s="381"/>
    </row>
    <row r="215" spans="1:16" x14ac:dyDescent="0.3">
      <c r="A215" s="395" t="s">
        <v>149</v>
      </c>
      <c r="B215" s="365"/>
      <c r="C215" s="380"/>
      <c r="D215" s="345"/>
      <c r="E215" s="381"/>
      <c r="F215" s="388"/>
      <c r="G215" s="389" t="s">
        <v>150</v>
      </c>
      <c r="H215" s="387">
        <f>SUM(H210:H214)</f>
        <v>7184.19</v>
      </c>
      <c r="I215" s="384"/>
      <c r="J215" s="416">
        <v>0</v>
      </c>
      <c r="K215" s="418"/>
      <c r="L215" s="381"/>
      <c r="M215" s="381"/>
      <c r="N215" s="381"/>
      <c r="O215" s="381"/>
      <c r="P215" s="381"/>
    </row>
    <row r="216" spans="1:16" x14ac:dyDescent="0.3">
      <c r="A216" s="372" t="s">
        <v>151</v>
      </c>
      <c r="B216" s="365"/>
      <c r="C216" s="386" t="s">
        <v>152</v>
      </c>
      <c r="D216" s="345"/>
      <c r="E216" s="381"/>
      <c r="F216" s="388"/>
      <c r="G216" s="389"/>
      <c r="H216" s="383"/>
      <c r="I216" s="384"/>
      <c r="J216" s="391"/>
      <c r="K216" s="418"/>
      <c r="L216" s="381"/>
      <c r="M216" s="381"/>
      <c r="N216" s="381"/>
      <c r="O216" s="381"/>
      <c r="P216" s="381"/>
    </row>
    <row r="217" spans="1:16" x14ac:dyDescent="0.3">
      <c r="A217" s="372">
        <v>200026</v>
      </c>
      <c r="B217" s="365" t="s">
        <v>152</v>
      </c>
      <c r="C217" s="373" t="s">
        <v>220</v>
      </c>
      <c r="D217" s="374" t="s">
        <v>176</v>
      </c>
      <c r="E217" s="375">
        <v>0.25</v>
      </c>
      <c r="F217" s="392"/>
      <c r="G217" s="393">
        <f>+[3]M.O.!$C$13</f>
        <v>30063</v>
      </c>
      <c r="H217" s="377">
        <f>+G217*E217</f>
        <v>7515.75</v>
      </c>
      <c r="I217" s="378">
        <f>I206 * (E217 * (1+F217/100))</f>
        <v>0</v>
      </c>
      <c r="J217" s="414">
        <v>0</v>
      </c>
      <c r="K217" s="418"/>
      <c r="L217" s="381"/>
      <c r="M217" s="381"/>
      <c r="N217" s="381"/>
      <c r="O217" s="381"/>
      <c r="P217" s="381"/>
    </row>
    <row r="218" spans="1:16" x14ac:dyDescent="0.3">
      <c r="A218" s="395" t="s">
        <v>153</v>
      </c>
      <c r="B218" s="365"/>
      <c r="C218" s="380"/>
      <c r="D218" s="345"/>
      <c r="E218" s="381"/>
      <c r="F218" s="388"/>
      <c r="G218" s="389" t="s">
        <v>154</v>
      </c>
      <c r="H218" s="387">
        <f>SUM(H217)</f>
        <v>7515.75</v>
      </c>
      <c r="I218" s="384"/>
      <c r="J218" s="416">
        <v>0</v>
      </c>
      <c r="K218" s="418"/>
      <c r="L218" s="381"/>
      <c r="M218" s="381"/>
      <c r="N218" s="381"/>
      <c r="O218" s="381"/>
      <c r="P218" s="381"/>
    </row>
    <row r="219" spans="1:16" x14ac:dyDescent="0.3">
      <c r="A219" s="372" t="s">
        <v>155</v>
      </c>
      <c r="B219" s="365"/>
      <c r="C219" s="398" t="s">
        <v>156</v>
      </c>
      <c r="D219" s="345"/>
      <c r="E219" s="381"/>
      <c r="F219" s="388"/>
      <c r="G219" s="389"/>
      <c r="H219" s="390"/>
      <c r="I219" s="384"/>
      <c r="J219" s="391"/>
      <c r="K219" s="418"/>
      <c r="L219" s="381"/>
      <c r="M219" s="381"/>
      <c r="N219" s="381"/>
      <c r="O219" s="381"/>
      <c r="P219" s="381"/>
    </row>
    <row r="220" spans="1:16" x14ac:dyDescent="0.3">
      <c r="A220" s="372">
        <v>300026</v>
      </c>
      <c r="B220" s="365" t="s">
        <v>156</v>
      </c>
      <c r="C220" s="373" t="s">
        <v>157</v>
      </c>
      <c r="D220" s="374" t="s">
        <v>158</v>
      </c>
      <c r="E220" s="375">
        <v>1.9E-2</v>
      </c>
      <c r="F220" s="392"/>
      <c r="G220" s="393">
        <v>1690</v>
      </c>
      <c r="H220" s="394">
        <f>+G220*E220</f>
        <v>32.11</v>
      </c>
      <c r="I220" s="378">
        <f>I206 * (E220 * (1+F220/100))</f>
        <v>0</v>
      </c>
      <c r="J220" s="414">
        <v>0</v>
      </c>
      <c r="K220" s="418"/>
      <c r="L220" s="381"/>
      <c r="M220" s="381"/>
      <c r="N220" s="381"/>
      <c r="O220" s="381"/>
      <c r="P220" s="381"/>
    </row>
    <row r="221" spans="1:16" x14ac:dyDescent="0.3">
      <c r="A221" s="372">
        <v>300002</v>
      </c>
      <c r="B221" s="365" t="s">
        <v>156</v>
      </c>
      <c r="C221" s="373" t="s">
        <v>177</v>
      </c>
      <c r="D221" s="374" t="s">
        <v>178</v>
      </c>
      <c r="E221" s="375">
        <v>0.1</v>
      </c>
      <c r="F221" s="392"/>
      <c r="G221" s="393">
        <v>1162</v>
      </c>
      <c r="H221" s="394">
        <f>+G221*E221</f>
        <v>116.2</v>
      </c>
      <c r="I221" s="378">
        <f>I206 * (E221 * (1+F221/100))</f>
        <v>0</v>
      </c>
      <c r="J221" s="414">
        <v>0</v>
      </c>
      <c r="K221" s="418"/>
      <c r="L221" s="381"/>
      <c r="M221" s="381"/>
      <c r="N221" s="381"/>
      <c r="O221" s="381"/>
      <c r="P221" s="381"/>
    </row>
    <row r="222" spans="1:16" x14ac:dyDescent="0.3">
      <c r="A222" s="395" t="s">
        <v>159</v>
      </c>
      <c r="B222" s="365"/>
      <c r="C222" s="380"/>
      <c r="D222" s="345"/>
      <c r="E222" s="381"/>
      <c r="F222" s="388"/>
      <c r="G222" s="389" t="s">
        <v>160</v>
      </c>
      <c r="H222" s="415">
        <f>SUM(H220:H221)</f>
        <v>148.31</v>
      </c>
      <c r="I222" s="384"/>
      <c r="J222" s="416">
        <v>0</v>
      </c>
      <c r="K222" s="418"/>
      <c r="L222" s="381"/>
      <c r="M222" s="381"/>
      <c r="N222" s="381"/>
      <c r="O222" s="381"/>
      <c r="P222" s="381"/>
    </row>
    <row r="223" spans="1:16" hidden="1" x14ac:dyDescent="0.3">
      <c r="A223" s="345" t="s">
        <v>161</v>
      </c>
      <c r="B223" s="348"/>
      <c r="C223" s="386" t="s">
        <v>162</v>
      </c>
      <c r="D223" s="345"/>
      <c r="E223" s="381"/>
      <c r="F223" s="388"/>
      <c r="G223" s="389"/>
      <c r="H223" s="390"/>
      <c r="I223" s="384"/>
      <c r="J223" s="391"/>
      <c r="K223" s="418"/>
      <c r="L223" s="381"/>
      <c r="M223" s="381"/>
      <c r="N223" s="381"/>
      <c r="O223" s="381"/>
      <c r="P223" s="381"/>
    </row>
    <row r="224" spans="1:16" hidden="1" x14ac:dyDescent="0.3">
      <c r="A224" s="372"/>
      <c r="B224" s="365"/>
      <c r="C224" s="373"/>
      <c r="D224" s="374"/>
      <c r="E224" s="375"/>
      <c r="F224" s="392"/>
      <c r="G224" s="393"/>
      <c r="H224" s="394"/>
      <c r="I224" s="378"/>
      <c r="J224" s="414"/>
      <c r="K224" s="418"/>
      <c r="L224" s="381"/>
      <c r="M224" s="381"/>
      <c r="N224" s="381"/>
      <c r="O224" s="381"/>
      <c r="P224" s="381"/>
    </row>
    <row r="225" spans="1:16" hidden="1" x14ac:dyDescent="0.3">
      <c r="A225" s="395" t="s">
        <v>163</v>
      </c>
      <c r="B225" s="348"/>
      <c r="C225" s="380"/>
      <c r="D225" s="345"/>
      <c r="E225" s="381"/>
      <c r="F225" s="388"/>
      <c r="G225" s="389" t="s">
        <v>164</v>
      </c>
      <c r="H225" s="394">
        <v>0</v>
      </c>
      <c r="I225" s="384"/>
      <c r="J225" s="414">
        <v>0</v>
      </c>
      <c r="K225" s="418"/>
      <c r="L225" s="381"/>
      <c r="M225" s="381"/>
      <c r="N225" s="381"/>
      <c r="O225" s="381"/>
      <c r="P225" s="381"/>
    </row>
    <row r="226" spans="1:16" x14ac:dyDescent="0.3">
      <c r="A226" s="345"/>
      <c r="B226" s="419"/>
      <c r="C226" s="380"/>
      <c r="D226" s="345"/>
      <c r="E226" s="381"/>
      <c r="F226" s="388"/>
      <c r="G226" s="389"/>
      <c r="H226" s="390"/>
      <c r="I226" s="384"/>
      <c r="J226" s="391"/>
      <c r="K226" s="418"/>
      <c r="L226" s="381"/>
      <c r="M226" s="381"/>
      <c r="N226" s="381"/>
      <c r="O226" s="381"/>
      <c r="P226" s="381"/>
    </row>
    <row r="227" spans="1:16" ht="13.8" thickBot="1" x14ac:dyDescent="0.35">
      <c r="A227" s="345" t="s">
        <v>85</v>
      </c>
      <c r="B227" s="419"/>
      <c r="C227" s="401"/>
      <c r="D227" s="402"/>
      <c r="E227" s="403"/>
      <c r="F227" s="404" t="s">
        <v>165</v>
      </c>
      <c r="G227" s="420">
        <v>9506.77</v>
      </c>
      <c r="H227" s="406">
        <f>+ROUND(H222+H218+H215,0)</f>
        <v>14848</v>
      </c>
      <c r="I227" s="421">
        <f>SUM(J207:J226)/2</f>
        <v>0</v>
      </c>
      <c r="J227" s="408">
        <v>0</v>
      </c>
      <c r="K227" s="418"/>
      <c r="L227" s="381"/>
      <c r="M227" s="381"/>
      <c r="N227" s="381"/>
      <c r="O227" s="381"/>
      <c r="P227" s="381"/>
    </row>
    <row r="228" spans="1:16" ht="14.4" thickTop="1" thickBot="1" x14ac:dyDescent="0.35"/>
    <row r="229" spans="1:16" ht="13.8" thickTop="1" x14ac:dyDescent="0.3">
      <c r="A229" s="345" t="s">
        <v>240</v>
      </c>
      <c r="B229" s="365"/>
      <c r="C229" s="571" t="str">
        <f>+'PRESUPUESTO CASA DE LA CULTURA'!C32</f>
        <v>REALIZACION DE RASQUETEO, LIJADO Y RESANE DE DE PAREDES</v>
      </c>
      <c r="D229" s="572"/>
      <c r="E229" s="572"/>
      <c r="F229" s="572"/>
      <c r="G229" s="496"/>
      <c r="H229" s="366" t="s">
        <v>174</v>
      </c>
      <c r="I229" s="367" t="s">
        <v>142</v>
      </c>
      <c r="J229" s="368" t="s">
        <v>88</v>
      </c>
      <c r="K229" s="418"/>
      <c r="L229" s="381"/>
      <c r="M229" s="381"/>
      <c r="N229" s="381"/>
      <c r="O229" s="381"/>
      <c r="P229" s="381"/>
    </row>
    <row r="230" spans="1:16" x14ac:dyDescent="0.3">
      <c r="A230" s="345"/>
      <c r="B230" s="365"/>
      <c r="C230" s="573"/>
      <c r="D230" s="574"/>
      <c r="E230" s="574"/>
      <c r="F230" s="574"/>
      <c r="G230" s="497"/>
      <c r="H230" s="369"/>
      <c r="I230" s="413"/>
      <c r="J230" s="371"/>
      <c r="K230" s="418"/>
      <c r="L230" s="381"/>
      <c r="M230" s="381"/>
      <c r="N230" s="381"/>
      <c r="O230" s="381"/>
      <c r="P230" s="381"/>
    </row>
    <row r="231" spans="1:16" x14ac:dyDescent="0.3">
      <c r="A231" s="372" t="s">
        <v>143</v>
      </c>
      <c r="B231" s="365"/>
      <c r="C231" s="373" t="s">
        <v>81</v>
      </c>
      <c r="D231" s="374" t="s">
        <v>82</v>
      </c>
      <c r="E231" s="375" t="s">
        <v>83</v>
      </c>
      <c r="F231" s="392" t="s">
        <v>144</v>
      </c>
      <c r="G231" s="393" t="s">
        <v>145</v>
      </c>
      <c r="H231" s="394" t="s">
        <v>146</v>
      </c>
      <c r="I231" s="378"/>
      <c r="J231" s="414" t="s">
        <v>146</v>
      </c>
      <c r="K231" s="418"/>
      <c r="L231" s="381"/>
      <c r="M231" s="381"/>
      <c r="N231" s="381"/>
      <c r="O231" s="381"/>
      <c r="P231" s="381"/>
    </row>
    <row r="232" spans="1:16" x14ac:dyDescent="0.3">
      <c r="A232" s="372"/>
      <c r="B232" s="365"/>
      <c r="C232" s="380"/>
      <c r="D232" s="345"/>
      <c r="E232" s="381"/>
      <c r="F232" s="388"/>
      <c r="G232" s="389"/>
      <c r="H232" s="390"/>
      <c r="I232" s="384"/>
      <c r="J232" s="391"/>
      <c r="K232" s="418"/>
      <c r="L232" s="381"/>
      <c r="M232" s="381"/>
      <c r="N232" s="381"/>
      <c r="O232" s="381"/>
      <c r="P232" s="381"/>
    </row>
    <row r="233" spans="1:16" x14ac:dyDescent="0.3">
      <c r="A233" s="372" t="s">
        <v>147</v>
      </c>
      <c r="B233" s="365"/>
      <c r="C233" s="386" t="s">
        <v>148</v>
      </c>
      <c r="D233" s="345"/>
      <c r="E233" s="381"/>
      <c r="F233" s="388"/>
      <c r="G233" s="389"/>
      <c r="H233" s="390"/>
      <c r="I233" s="384"/>
      <c r="J233" s="391"/>
      <c r="K233" s="418"/>
      <c r="L233" s="381"/>
      <c r="M233" s="381"/>
      <c r="N233" s="381"/>
      <c r="O233" s="381"/>
      <c r="P233" s="381"/>
    </row>
    <row r="234" spans="1:16" x14ac:dyDescent="0.3">
      <c r="A234" s="372">
        <v>119021</v>
      </c>
      <c r="B234" s="365"/>
      <c r="C234" s="463" t="s">
        <v>210</v>
      </c>
      <c r="D234" s="464" t="s">
        <v>196</v>
      </c>
      <c r="E234" s="465">
        <v>0.2</v>
      </c>
      <c r="F234" s="466"/>
      <c r="G234" s="393">
        <v>5500</v>
      </c>
      <c r="H234" s="394">
        <f>+G234*E234</f>
        <v>1100</v>
      </c>
      <c r="I234" s="378">
        <f>I230 * (E234 * (1+F234/100))</f>
        <v>0</v>
      </c>
      <c r="J234" s="414">
        <v>0</v>
      </c>
      <c r="K234" s="381"/>
    </row>
    <row r="235" spans="1:16" x14ac:dyDescent="0.3">
      <c r="A235" s="372">
        <v>100018</v>
      </c>
      <c r="B235" s="365"/>
      <c r="C235" s="463" t="s">
        <v>241</v>
      </c>
      <c r="D235" s="464" t="s">
        <v>212</v>
      </c>
      <c r="E235" s="465">
        <v>0.05</v>
      </c>
      <c r="F235" s="466"/>
      <c r="G235" s="393">
        <v>46000</v>
      </c>
      <c r="H235" s="394">
        <f t="shared" ref="H235:H236" si="5">+G235*E235</f>
        <v>2300</v>
      </c>
      <c r="I235" s="378">
        <f>I230 * (E235 * (1+F235/100))</f>
        <v>0</v>
      </c>
      <c r="J235" s="414">
        <v>0</v>
      </c>
      <c r="K235" s="381"/>
    </row>
    <row r="236" spans="1:16" x14ac:dyDescent="0.3">
      <c r="A236" s="372">
        <v>101117</v>
      </c>
      <c r="B236" s="365" t="s">
        <v>215</v>
      </c>
      <c r="C236" s="373" t="s">
        <v>242</v>
      </c>
      <c r="D236" s="374" t="s">
        <v>243</v>
      </c>
      <c r="E236" s="375">
        <v>0.01</v>
      </c>
      <c r="F236" s="392"/>
      <c r="G236" s="393">
        <v>1500</v>
      </c>
      <c r="H236" s="394">
        <f t="shared" si="5"/>
        <v>15</v>
      </c>
      <c r="I236" s="378">
        <f>I230 * (E236 * (1+F236/100))</f>
        <v>0</v>
      </c>
      <c r="J236" s="414">
        <v>0</v>
      </c>
      <c r="K236" s="418"/>
      <c r="L236" s="381"/>
      <c r="M236" s="381"/>
      <c r="N236" s="381"/>
      <c r="O236" s="381"/>
      <c r="P236" s="381"/>
    </row>
    <row r="237" spans="1:16" x14ac:dyDescent="0.3">
      <c r="A237" s="395" t="s">
        <v>149</v>
      </c>
      <c r="B237" s="365"/>
      <c r="C237" s="380"/>
      <c r="D237" s="345"/>
      <c r="E237" s="381"/>
      <c r="F237" s="388"/>
      <c r="G237" s="389" t="s">
        <v>150</v>
      </c>
      <c r="H237" s="415">
        <f>SUM(H234:H236)</f>
        <v>3415</v>
      </c>
      <c r="I237" s="384"/>
      <c r="J237" s="416">
        <v>0</v>
      </c>
      <c r="K237" s="418"/>
      <c r="L237" s="381"/>
      <c r="M237" s="381"/>
      <c r="N237" s="381"/>
      <c r="O237" s="381"/>
      <c r="P237" s="381"/>
    </row>
    <row r="238" spans="1:16" x14ac:dyDescent="0.3">
      <c r="A238" s="372" t="s">
        <v>151</v>
      </c>
      <c r="B238" s="365"/>
      <c r="C238" s="386" t="s">
        <v>152</v>
      </c>
      <c r="D238" s="345"/>
      <c r="E238" s="381"/>
      <c r="F238" s="388"/>
      <c r="G238" s="389"/>
      <c r="H238" s="390"/>
      <c r="I238" s="384"/>
      <c r="J238" s="391"/>
      <c r="K238" s="418"/>
      <c r="L238" s="381"/>
      <c r="M238" s="381"/>
      <c r="N238" s="381"/>
      <c r="O238" s="381"/>
      <c r="P238" s="381"/>
    </row>
    <row r="239" spans="1:16" x14ac:dyDescent="0.3">
      <c r="A239" s="372">
        <v>200026</v>
      </c>
      <c r="B239" s="365" t="s">
        <v>152</v>
      </c>
      <c r="C239" s="463" t="s">
        <v>244</v>
      </c>
      <c r="D239" s="374" t="s">
        <v>176</v>
      </c>
      <c r="E239" s="375">
        <v>0.3</v>
      </c>
      <c r="F239" s="392"/>
      <c r="G239" s="393">
        <f>+[3]M.O.!$C$13*1.2</f>
        <v>36075.599999999999</v>
      </c>
      <c r="H239" s="394">
        <f>+G239*E239</f>
        <v>10822.679999999998</v>
      </c>
      <c r="I239" s="378">
        <f>I230 * (E239 * (1+F239/100))</f>
        <v>0</v>
      </c>
      <c r="J239" s="414">
        <v>0</v>
      </c>
      <c r="K239" s="418"/>
      <c r="L239" s="381"/>
      <c r="M239" s="381"/>
      <c r="N239" s="381"/>
      <c r="O239" s="381"/>
      <c r="P239" s="381"/>
    </row>
    <row r="240" spans="1:16" x14ac:dyDescent="0.3">
      <c r="A240" s="395" t="s">
        <v>153</v>
      </c>
      <c r="B240" s="365"/>
      <c r="C240" s="380"/>
      <c r="D240" s="345"/>
      <c r="E240" s="381"/>
      <c r="F240" s="388"/>
      <c r="G240" s="389" t="s">
        <v>154</v>
      </c>
      <c r="H240" s="387">
        <f>SUM(H239)</f>
        <v>10822.679999999998</v>
      </c>
      <c r="I240" s="384"/>
      <c r="J240" s="416">
        <v>0</v>
      </c>
      <c r="K240" s="418"/>
      <c r="L240" s="381"/>
      <c r="M240" s="381"/>
      <c r="N240" s="381"/>
      <c r="O240" s="381"/>
      <c r="P240" s="381"/>
    </row>
    <row r="241" spans="1:16" x14ac:dyDescent="0.3">
      <c r="A241" s="372" t="s">
        <v>155</v>
      </c>
      <c r="B241" s="365"/>
      <c r="C241" s="398" t="s">
        <v>156</v>
      </c>
      <c r="D241" s="345"/>
      <c r="E241" s="381"/>
      <c r="F241" s="388"/>
      <c r="G241" s="389"/>
      <c r="H241" s="383"/>
      <c r="I241" s="384"/>
      <c r="J241" s="391"/>
      <c r="K241" s="418"/>
      <c r="L241" s="381"/>
      <c r="M241" s="381"/>
      <c r="N241" s="381"/>
      <c r="O241" s="381"/>
      <c r="P241" s="381"/>
    </row>
    <row r="242" spans="1:16" x14ac:dyDescent="0.3">
      <c r="A242" s="372">
        <v>300026</v>
      </c>
      <c r="B242" s="365" t="s">
        <v>156</v>
      </c>
      <c r="C242" s="373" t="s">
        <v>157</v>
      </c>
      <c r="D242" s="374" t="s">
        <v>158</v>
      </c>
      <c r="E242" s="375">
        <v>0.10199999999999999</v>
      </c>
      <c r="F242" s="392"/>
      <c r="G242" s="393">
        <v>1690</v>
      </c>
      <c r="H242" s="377">
        <f>+E242*G242</f>
        <v>172.38</v>
      </c>
      <c r="I242" s="378">
        <f>I230 * (E242 * (1+F242/100))</f>
        <v>0</v>
      </c>
      <c r="J242" s="414">
        <v>0</v>
      </c>
      <c r="K242" s="418"/>
      <c r="L242" s="381"/>
      <c r="M242" s="381"/>
      <c r="N242" s="381"/>
      <c r="O242" s="381"/>
      <c r="P242" s="381"/>
    </row>
    <row r="243" spans="1:16" x14ac:dyDescent="0.3">
      <c r="A243" s="372">
        <v>300002</v>
      </c>
      <c r="B243" s="365" t="s">
        <v>156</v>
      </c>
      <c r="C243" s="373" t="s">
        <v>177</v>
      </c>
      <c r="D243" s="374" t="s">
        <v>178</v>
      </c>
      <c r="E243" s="375">
        <v>0.05</v>
      </c>
      <c r="F243" s="392"/>
      <c r="G243" s="393">
        <v>1162</v>
      </c>
      <c r="H243" s="377">
        <f>+E243*G243</f>
        <v>58.1</v>
      </c>
      <c r="I243" s="378">
        <f>I230 * (E243 * (1+F243/100))</f>
        <v>0</v>
      </c>
      <c r="J243" s="414">
        <v>0</v>
      </c>
      <c r="K243" s="418"/>
      <c r="L243" s="381"/>
      <c r="M243" s="381"/>
      <c r="N243" s="381"/>
      <c r="O243" s="381"/>
      <c r="P243" s="381"/>
    </row>
    <row r="244" spans="1:16" x14ac:dyDescent="0.3">
      <c r="A244" s="395" t="s">
        <v>159</v>
      </c>
      <c r="B244" s="365"/>
      <c r="C244" s="380"/>
      <c r="D244" s="345"/>
      <c r="E244" s="381"/>
      <c r="F244" s="388"/>
      <c r="G244" s="389" t="s">
        <v>160</v>
      </c>
      <c r="H244" s="415">
        <f>SUM(H242:H243)</f>
        <v>230.48</v>
      </c>
      <c r="I244" s="384"/>
      <c r="J244" s="416">
        <v>0</v>
      </c>
      <c r="K244" s="418"/>
      <c r="L244" s="381"/>
      <c r="M244" s="381"/>
      <c r="N244" s="381"/>
      <c r="O244" s="381"/>
      <c r="P244" s="381"/>
    </row>
    <row r="245" spans="1:16" hidden="1" x14ac:dyDescent="0.3">
      <c r="A245" s="345" t="s">
        <v>161</v>
      </c>
      <c r="B245" s="348"/>
      <c r="C245" s="386" t="s">
        <v>162</v>
      </c>
      <c r="D245" s="345"/>
      <c r="E245" s="381"/>
      <c r="F245" s="388"/>
      <c r="G245" s="389"/>
      <c r="H245" s="390"/>
      <c r="I245" s="384"/>
      <c r="J245" s="391"/>
      <c r="K245" s="418"/>
      <c r="L245" s="381"/>
      <c r="M245" s="381"/>
      <c r="N245" s="381"/>
      <c r="O245" s="381"/>
      <c r="P245" s="381"/>
    </row>
    <row r="246" spans="1:16" hidden="1" x14ac:dyDescent="0.3">
      <c r="A246" s="372"/>
      <c r="B246" s="365"/>
      <c r="C246" s="373"/>
      <c r="D246" s="374"/>
      <c r="E246" s="375"/>
      <c r="F246" s="392"/>
      <c r="G246" s="393"/>
      <c r="H246" s="394"/>
      <c r="I246" s="378"/>
      <c r="J246" s="414"/>
      <c r="K246" s="418"/>
      <c r="L246" s="381"/>
      <c r="M246" s="381"/>
      <c r="N246" s="381"/>
      <c r="O246" s="381"/>
      <c r="P246" s="381"/>
    </row>
    <row r="247" spans="1:16" hidden="1" x14ac:dyDescent="0.3">
      <c r="A247" s="395" t="s">
        <v>163</v>
      </c>
      <c r="B247" s="348"/>
      <c r="C247" s="380"/>
      <c r="D247" s="345"/>
      <c r="E247" s="381"/>
      <c r="F247" s="388"/>
      <c r="G247" s="389" t="s">
        <v>164</v>
      </c>
      <c r="H247" s="394">
        <v>0</v>
      </c>
      <c r="I247" s="384"/>
      <c r="J247" s="414">
        <v>0</v>
      </c>
      <c r="K247" s="418"/>
      <c r="L247" s="381"/>
      <c r="M247" s="381"/>
      <c r="N247" s="381"/>
      <c r="O247" s="381"/>
      <c r="P247" s="381"/>
    </row>
    <row r="248" spans="1:16" x14ac:dyDescent="0.3">
      <c r="A248" s="345"/>
      <c r="B248" s="419"/>
      <c r="C248" s="380"/>
      <c r="D248" s="345"/>
      <c r="E248" s="381"/>
      <c r="F248" s="388"/>
      <c r="G248" s="389"/>
      <c r="H248" s="390"/>
      <c r="I248" s="384"/>
      <c r="J248" s="391"/>
      <c r="K248" s="418"/>
      <c r="L248" s="381"/>
      <c r="M248" s="381"/>
      <c r="N248" s="381"/>
      <c r="O248" s="381"/>
      <c r="P248" s="381"/>
    </row>
    <row r="249" spans="1:16" ht="13.8" thickBot="1" x14ac:dyDescent="0.35">
      <c r="A249" s="345" t="s">
        <v>85</v>
      </c>
      <c r="B249" s="419"/>
      <c r="C249" s="401"/>
      <c r="D249" s="402"/>
      <c r="E249" s="403"/>
      <c r="F249" s="404" t="s">
        <v>165</v>
      </c>
      <c r="G249" s="420">
        <v>1886.95</v>
      </c>
      <c r="H249" s="406">
        <f>+ROUND(H237+H240+H244,0)</f>
        <v>14468</v>
      </c>
      <c r="I249" s="421">
        <f>SUM(J231:J248)/2</f>
        <v>0</v>
      </c>
      <c r="J249" s="408">
        <v>0</v>
      </c>
      <c r="K249" s="418"/>
      <c r="L249" s="381"/>
      <c r="M249" s="381"/>
      <c r="N249" s="381"/>
      <c r="O249" s="381"/>
      <c r="P249" s="381"/>
    </row>
    <row r="250" spans="1:16" ht="14.4" thickTop="1" thickBot="1" x14ac:dyDescent="0.35"/>
    <row r="251" spans="1:16" ht="13.8" thickTop="1" x14ac:dyDescent="0.3">
      <c r="A251" s="345" t="s">
        <v>247</v>
      </c>
      <c r="B251" s="365"/>
      <c r="C251" s="571" t="str">
        <f>+'PRESUPUESTO CASA DE LA CULTURA'!C27</f>
        <v>REPARACIÓN Y/O INSTALACION DE ACOMETIDA ELECTRICA EN ALUMINIO .1F(2# 10) ,1/2" - 3/4"</v>
      </c>
      <c r="D251" s="572"/>
      <c r="E251" s="572"/>
      <c r="F251" s="572"/>
      <c r="G251" s="496"/>
      <c r="H251" s="366" t="s">
        <v>191</v>
      </c>
      <c r="I251" s="367" t="s">
        <v>142</v>
      </c>
      <c r="J251" s="368" t="s">
        <v>88</v>
      </c>
      <c r="K251" s="418"/>
      <c r="L251" s="381"/>
      <c r="M251" s="381"/>
      <c r="N251" s="381"/>
      <c r="O251" s="381"/>
      <c r="P251" s="381"/>
    </row>
    <row r="252" spans="1:16" x14ac:dyDescent="0.3">
      <c r="A252" s="345"/>
      <c r="B252" s="365"/>
      <c r="C252" s="573"/>
      <c r="D252" s="574"/>
      <c r="E252" s="574"/>
      <c r="F252" s="574"/>
      <c r="G252" s="497"/>
      <c r="H252" s="369"/>
      <c r="I252" s="413"/>
      <c r="J252" s="371"/>
      <c r="K252" s="418"/>
      <c r="L252" s="381"/>
      <c r="M252" s="381"/>
      <c r="N252" s="381"/>
      <c r="O252" s="381"/>
      <c r="P252" s="381"/>
    </row>
    <row r="253" spans="1:16" x14ac:dyDescent="0.3">
      <c r="A253" s="372" t="s">
        <v>143</v>
      </c>
      <c r="B253" s="365"/>
      <c r="C253" s="373" t="s">
        <v>81</v>
      </c>
      <c r="D253" s="374" t="s">
        <v>82</v>
      </c>
      <c r="E253" s="375" t="s">
        <v>83</v>
      </c>
      <c r="F253" s="392" t="s">
        <v>144</v>
      </c>
      <c r="G253" s="393" t="s">
        <v>145</v>
      </c>
      <c r="H253" s="394" t="s">
        <v>146</v>
      </c>
      <c r="I253" s="378"/>
      <c r="J253" s="414" t="s">
        <v>146</v>
      </c>
      <c r="K253" s="418"/>
      <c r="L253" s="381"/>
      <c r="M253" s="381"/>
      <c r="N253" s="381"/>
      <c r="O253" s="381"/>
      <c r="P253" s="381"/>
    </row>
    <row r="254" spans="1:16" x14ac:dyDescent="0.3">
      <c r="A254" s="372"/>
      <c r="B254" s="365"/>
      <c r="C254" s="380"/>
      <c r="D254" s="345"/>
      <c r="E254" s="381"/>
      <c r="F254" s="388"/>
      <c r="G254" s="389"/>
      <c r="H254" s="390"/>
      <c r="I254" s="384"/>
      <c r="J254" s="391"/>
      <c r="K254" s="418"/>
      <c r="L254" s="381"/>
      <c r="M254" s="381"/>
      <c r="N254" s="381"/>
      <c r="O254" s="381"/>
      <c r="P254" s="381"/>
    </row>
    <row r="255" spans="1:16" x14ac:dyDescent="0.3">
      <c r="A255" s="372" t="s">
        <v>147</v>
      </c>
      <c r="B255" s="365"/>
      <c r="C255" s="386" t="s">
        <v>148</v>
      </c>
      <c r="D255" s="345"/>
      <c r="E255" s="381"/>
      <c r="F255" s="388"/>
      <c r="G255" s="389"/>
      <c r="H255" s="390"/>
      <c r="I255" s="384"/>
      <c r="J255" s="391"/>
      <c r="K255" s="418"/>
      <c r="L255" s="381"/>
      <c r="M255" s="381"/>
      <c r="N255" s="381"/>
      <c r="O255" s="381"/>
      <c r="P255" s="381"/>
    </row>
    <row r="256" spans="1:16" x14ac:dyDescent="0.3">
      <c r="A256" s="372">
        <v>101658</v>
      </c>
      <c r="B256" s="365"/>
      <c r="C256" s="463" t="s">
        <v>248</v>
      </c>
      <c r="D256" s="464" t="s">
        <v>82</v>
      </c>
      <c r="E256" s="465">
        <v>3.0000000000000001E-3</v>
      </c>
      <c r="F256" s="503">
        <v>1.02</v>
      </c>
      <c r="G256" s="393">
        <v>90728</v>
      </c>
      <c r="H256" s="394">
        <f>+G256*F256*E256</f>
        <v>277.62768</v>
      </c>
      <c r="I256" s="378">
        <f>I252 * (E256 * (1+F256/100))</f>
        <v>0</v>
      </c>
      <c r="J256" s="414">
        <v>0</v>
      </c>
      <c r="K256" s="381"/>
    </row>
    <row r="257" spans="1:16" x14ac:dyDescent="0.3">
      <c r="A257" s="372">
        <v>100381</v>
      </c>
      <c r="B257" s="365" t="s">
        <v>216</v>
      </c>
      <c r="C257" s="373" t="s">
        <v>260</v>
      </c>
      <c r="D257" s="374" t="s">
        <v>95</v>
      </c>
      <c r="E257" s="375">
        <v>2</v>
      </c>
      <c r="F257" s="392">
        <v>1.05</v>
      </c>
      <c r="G257" s="393">
        <v>2000</v>
      </c>
      <c r="H257" s="394">
        <f t="shared" ref="H257:H259" si="6">+G257*F257*E257</f>
        <v>4200</v>
      </c>
      <c r="I257" s="378">
        <f>I252 * (E257 * (1+F257/100))</f>
        <v>0</v>
      </c>
      <c r="J257" s="414">
        <v>0</v>
      </c>
      <c r="K257" s="418"/>
      <c r="L257" s="381"/>
      <c r="M257" s="381"/>
      <c r="N257" s="381"/>
      <c r="O257" s="381"/>
      <c r="P257" s="381"/>
    </row>
    <row r="258" spans="1:16" x14ac:dyDescent="0.3">
      <c r="A258" s="372">
        <v>101128</v>
      </c>
      <c r="B258" s="365" t="s">
        <v>215</v>
      </c>
      <c r="C258" s="373" t="s">
        <v>250</v>
      </c>
      <c r="D258" s="374" t="s">
        <v>82</v>
      </c>
      <c r="E258" s="375">
        <v>3.0000000000000001E-3</v>
      </c>
      <c r="F258" s="392">
        <v>1.02</v>
      </c>
      <c r="G258" s="393">
        <v>45628</v>
      </c>
      <c r="H258" s="394">
        <f t="shared" si="6"/>
        <v>139.62168</v>
      </c>
      <c r="I258" s="378">
        <f>I252 * (E258 * (1+F258/100))</f>
        <v>0</v>
      </c>
      <c r="J258" s="414">
        <v>0</v>
      </c>
      <c r="K258" s="418"/>
      <c r="L258" s="381"/>
      <c r="M258" s="381"/>
      <c r="N258" s="381"/>
      <c r="O258" s="381"/>
      <c r="P258" s="381"/>
    </row>
    <row r="259" spans="1:16" x14ac:dyDescent="0.3">
      <c r="A259" s="372">
        <v>102145</v>
      </c>
      <c r="B259" s="365" t="s">
        <v>216</v>
      </c>
      <c r="C259" s="373" t="s">
        <v>251</v>
      </c>
      <c r="D259" s="374" t="s">
        <v>82</v>
      </c>
      <c r="E259" s="375">
        <v>0.33300000000000002</v>
      </c>
      <c r="F259" s="392">
        <v>1.05</v>
      </c>
      <c r="G259" s="393">
        <v>6000</v>
      </c>
      <c r="H259" s="394">
        <f t="shared" si="6"/>
        <v>2097.9</v>
      </c>
      <c r="I259" s="378">
        <f>I252 * (E259 * (1+F259/100))</f>
        <v>0</v>
      </c>
      <c r="J259" s="414">
        <v>0</v>
      </c>
      <c r="K259" s="418"/>
      <c r="L259" s="381"/>
      <c r="M259" s="381"/>
      <c r="N259" s="381"/>
      <c r="O259" s="381"/>
      <c r="P259" s="381"/>
    </row>
    <row r="260" spans="1:16" x14ac:dyDescent="0.3">
      <c r="A260" s="395" t="s">
        <v>149</v>
      </c>
      <c r="B260" s="365"/>
      <c r="C260" s="380"/>
      <c r="D260" s="345"/>
      <c r="E260" s="381"/>
      <c r="F260" s="388"/>
      <c r="G260" s="389" t="s">
        <v>150</v>
      </c>
      <c r="H260" s="415">
        <f>SUM(H256:H259)</f>
        <v>6715.1493599999994</v>
      </c>
      <c r="I260" s="384"/>
      <c r="J260" s="416">
        <v>0</v>
      </c>
      <c r="K260" s="418"/>
      <c r="L260" s="381"/>
      <c r="M260" s="381"/>
      <c r="N260" s="381"/>
      <c r="O260" s="381"/>
      <c r="P260" s="381"/>
    </row>
    <row r="261" spans="1:16" x14ac:dyDescent="0.3">
      <c r="A261" s="372" t="s">
        <v>151</v>
      </c>
      <c r="B261" s="365"/>
      <c r="C261" s="386" t="s">
        <v>152</v>
      </c>
      <c r="D261" s="345"/>
      <c r="E261" s="381"/>
      <c r="F261" s="388"/>
      <c r="G261" s="389"/>
      <c r="H261" s="390"/>
      <c r="I261" s="384"/>
      <c r="J261" s="391"/>
      <c r="K261" s="418"/>
      <c r="L261" s="381"/>
      <c r="M261" s="381"/>
      <c r="N261" s="381"/>
      <c r="O261" s="381"/>
      <c r="P261" s="381"/>
    </row>
    <row r="262" spans="1:16" x14ac:dyDescent="0.3">
      <c r="A262" s="372">
        <v>200018</v>
      </c>
      <c r="B262" s="365" t="s">
        <v>152</v>
      </c>
      <c r="C262" s="373" t="s">
        <v>225</v>
      </c>
      <c r="D262" s="374" t="s">
        <v>176</v>
      </c>
      <c r="E262" s="375">
        <v>0.16</v>
      </c>
      <c r="F262" s="392"/>
      <c r="G262" s="393">
        <f>+[3]M.O.!$C$18*1.2</f>
        <v>36075.599999999999</v>
      </c>
      <c r="H262" s="394">
        <f>+G262*E262</f>
        <v>5772.0959999999995</v>
      </c>
      <c r="I262" s="378">
        <f>I252 * (E262 * (1+F262/100))</f>
        <v>0</v>
      </c>
      <c r="J262" s="414">
        <v>0</v>
      </c>
      <c r="K262" s="418"/>
      <c r="L262" s="381"/>
      <c r="M262" s="381"/>
      <c r="N262" s="381"/>
      <c r="O262" s="381"/>
      <c r="P262" s="381"/>
    </row>
    <row r="263" spans="1:16" x14ac:dyDescent="0.3">
      <c r="A263" s="395" t="s">
        <v>153</v>
      </c>
      <c r="B263" s="365"/>
      <c r="C263" s="380"/>
      <c r="D263" s="345"/>
      <c r="E263" s="381"/>
      <c r="F263" s="388"/>
      <c r="G263" s="389" t="s">
        <v>154</v>
      </c>
      <c r="H263" s="415">
        <f>SUM(H262)</f>
        <v>5772.0959999999995</v>
      </c>
      <c r="I263" s="384"/>
      <c r="J263" s="416">
        <v>0</v>
      </c>
      <c r="K263" s="418"/>
      <c r="L263" s="381"/>
      <c r="M263" s="381"/>
      <c r="N263" s="381"/>
      <c r="O263" s="381"/>
      <c r="P263" s="381"/>
    </row>
    <row r="264" spans="1:16" x14ac:dyDescent="0.3">
      <c r="A264" s="372" t="s">
        <v>155</v>
      </c>
      <c r="B264" s="365"/>
      <c r="C264" s="398" t="s">
        <v>156</v>
      </c>
      <c r="D264" s="345"/>
      <c r="E264" s="381"/>
      <c r="F264" s="388"/>
      <c r="G264" s="389"/>
      <c r="H264" s="390"/>
      <c r="I264" s="384"/>
      <c r="J264" s="391"/>
      <c r="K264" s="418"/>
      <c r="L264" s="381"/>
      <c r="M264" s="381"/>
      <c r="N264" s="381"/>
      <c r="O264" s="381"/>
      <c r="P264" s="381"/>
    </row>
    <row r="265" spans="1:16" x14ac:dyDescent="0.3">
      <c r="A265" s="372">
        <v>300026</v>
      </c>
      <c r="B265" s="365" t="s">
        <v>156</v>
      </c>
      <c r="C265" s="373" t="s">
        <v>157</v>
      </c>
      <c r="D265" s="374" t="s">
        <v>158</v>
      </c>
      <c r="E265" s="375">
        <v>0.10199999999999999</v>
      </c>
      <c r="F265" s="392"/>
      <c r="G265" s="393">
        <v>1690</v>
      </c>
      <c r="H265" s="394">
        <f>+G265*E265</f>
        <v>172.38</v>
      </c>
      <c r="I265" s="378">
        <f>I252 * (E265 * (1+F265/100))</f>
        <v>0</v>
      </c>
      <c r="J265" s="414">
        <v>0</v>
      </c>
      <c r="K265" s="418"/>
      <c r="L265" s="381"/>
      <c r="M265" s="381"/>
      <c r="N265" s="381"/>
      <c r="O265" s="381"/>
      <c r="P265" s="381"/>
    </row>
    <row r="266" spans="1:16" x14ac:dyDescent="0.3">
      <c r="A266" s="395" t="s">
        <v>159</v>
      </c>
      <c r="B266" s="365"/>
      <c r="C266" s="380"/>
      <c r="D266" s="345"/>
      <c r="E266" s="381"/>
      <c r="F266" s="388"/>
      <c r="G266" s="389" t="s">
        <v>160</v>
      </c>
      <c r="H266" s="415">
        <f>SUM(H265)</f>
        <v>172.38</v>
      </c>
      <c r="I266" s="384"/>
      <c r="J266" s="416">
        <v>0</v>
      </c>
      <c r="K266" s="418"/>
      <c r="L266" s="381"/>
      <c r="M266" s="381"/>
      <c r="N266" s="381"/>
      <c r="O266" s="381"/>
      <c r="P266" s="381"/>
    </row>
    <row r="267" spans="1:16" hidden="1" x14ac:dyDescent="0.3">
      <c r="A267" s="345" t="s">
        <v>161</v>
      </c>
      <c r="B267" s="348"/>
      <c r="C267" s="386" t="s">
        <v>162</v>
      </c>
      <c r="D267" s="345"/>
      <c r="E267" s="381"/>
      <c r="F267" s="388"/>
      <c r="G267" s="389"/>
      <c r="H267" s="390"/>
      <c r="I267" s="384"/>
      <c r="J267" s="391"/>
      <c r="K267" s="418"/>
      <c r="L267" s="381"/>
      <c r="M267" s="381"/>
      <c r="N267" s="381"/>
      <c r="O267" s="381"/>
      <c r="P267" s="381"/>
    </row>
    <row r="268" spans="1:16" hidden="1" x14ac:dyDescent="0.3">
      <c r="A268" s="372"/>
      <c r="B268" s="365"/>
      <c r="C268" s="373"/>
      <c r="D268" s="374"/>
      <c r="E268" s="375"/>
      <c r="F268" s="392"/>
      <c r="G268" s="393"/>
      <c r="H268" s="394"/>
      <c r="I268" s="378"/>
      <c r="J268" s="414"/>
      <c r="K268" s="418"/>
      <c r="L268" s="381"/>
      <c r="M268" s="381"/>
      <c r="N268" s="381"/>
      <c r="O268" s="381"/>
      <c r="P268" s="381"/>
    </row>
    <row r="269" spans="1:16" hidden="1" x14ac:dyDescent="0.3">
      <c r="A269" s="395" t="s">
        <v>163</v>
      </c>
      <c r="B269" s="348"/>
      <c r="C269" s="380"/>
      <c r="D269" s="345"/>
      <c r="E269" s="381"/>
      <c r="F269" s="388"/>
      <c r="G269" s="389" t="s">
        <v>164</v>
      </c>
      <c r="H269" s="394">
        <v>0</v>
      </c>
      <c r="I269" s="384"/>
      <c r="J269" s="414">
        <v>0</v>
      </c>
      <c r="K269" s="418"/>
      <c r="L269" s="381"/>
      <c r="M269" s="381"/>
      <c r="N269" s="381"/>
      <c r="O269" s="381"/>
      <c r="P269" s="381"/>
    </row>
    <row r="270" spans="1:16" x14ac:dyDescent="0.3">
      <c r="A270" s="345"/>
      <c r="B270" s="419"/>
      <c r="C270" s="380"/>
      <c r="D270" s="345"/>
      <c r="E270" s="381"/>
      <c r="F270" s="388"/>
      <c r="G270" s="389"/>
      <c r="H270" s="390"/>
      <c r="I270" s="384"/>
      <c r="J270" s="391"/>
      <c r="K270" s="418"/>
      <c r="L270" s="381"/>
      <c r="M270" s="381"/>
      <c r="N270" s="381"/>
      <c r="O270" s="381"/>
      <c r="P270" s="381"/>
    </row>
    <row r="271" spans="1:16" ht="13.8" thickBot="1" x14ac:dyDescent="0.35">
      <c r="A271" s="345" t="s">
        <v>85</v>
      </c>
      <c r="B271" s="419"/>
      <c r="C271" s="401"/>
      <c r="D271" s="402"/>
      <c r="E271" s="403"/>
      <c r="F271" s="404" t="s">
        <v>165</v>
      </c>
      <c r="G271" s="420">
        <v>20889.68</v>
      </c>
      <c r="H271" s="406">
        <f>+ROUND(H266+H263+H260,0)</f>
        <v>12660</v>
      </c>
      <c r="I271" s="421">
        <f>SUM(J253:J270)/2</f>
        <v>0</v>
      </c>
      <c r="J271" s="408">
        <v>0</v>
      </c>
      <c r="K271" s="418"/>
      <c r="L271" s="381"/>
      <c r="M271" s="381"/>
      <c r="N271" s="381"/>
      <c r="O271" s="381"/>
      <c r="P271" s="381"/>
    </row>
    <row r="272" spans="1:16" ht="14.4" thickTop="1" thickBot="1" x14ac:dyDescent="0.35"/>
    <row r="273" spans="1:16" ht="13.8" thickTop="1" x14ac:dyDescent="0.3">
      <c r="A273" s="345" t="s">
        <v>247</v>
      </c>
      <c r="B273" s="365"/>
      <c r="C273" s="571" t="str">
        <f>+'PRESUPUESTO CASA DE LA CULTURA'!C28</f>
        <v>INSTALACION O CAMBIO DE PUNTO ELECTRICO (INTERRUPTOR Y/O TOMA) #10 1/2"</v>
      </c>
      <c r="D273" s="572"/>
      <c r="E273" s="572"/>
      <c r="F273" s="572"/>
      <c r="G273" s="496"/>
      <c r="H273" s="366" t="s">
        <v>253</v>
      </c>
      <c r="I273" s="367" t="s">
        <v>142</v>
      </c>
      <c r="J273" s="368" t="s">
        <v>88</v>
      </c>
      <c r="K273" s="418"/>
      <c r="L273" s="381"/>
      <c r="M273" s="381"/>
      <c r="N273" s="381"/>
      <c r="O273" s="381"/>
      <c r="P273" s="381"/>
    </row>
    <row r="274" spans="1:16" x14ac:dyDescent="0.3">
      <c r="A274" s="345"/>
      <c r="B274" s="365"/>
      <c r="C274" s="573"/>
      <c r="D274" s="574"/>
      <c r="E274" s="574"/>
      <c r="F274" s="574"/>
      <c r="G274" s="497"/>
      <c r="H274" s="369"/>
      <c r="I274" s="413"/>
      <c r="J274" s="371"/>
      <c r="K274" s="418"/>
      <c r="L274" s="381"/>
      <c r="M274" s="381"/>
      <c r="N274" s="381"/>
      <c r="O274" s="381"/>
      <c r="P274" s="381"/>
    </row>
    <row r="275" spans="1:16" x14ac:dyDescent="0.3">
      <c r="A275" s="372" t="s">
        <v>143</v>
      </c>
      <c r="B275" s="365"/>
      <c r="C275" s="373" t="s">
        <v>81</v>
      </c>
      <c r="D275" s="374" t="s">
        <v>82</v>
      </c>
      <c r="E275" s="375" t="s">
        <v>83</v>
      </c>
      <c r="F275" s="392" t="s">
        <v>144</v>
      </c>
      <c r="G275" s="393" t="s">
        <v>145</v>
      </c>
      <c r="H275" s="394" t="s">
        <v>146</v>
      </c>
      <c r="I275" s="378"/>
      <c r="J275" s="414" t="s">
        <v>146</v>
      </c>
      <c r="K275" s="418"/>
      <c r="L275" s="381"/>
      <c r="M275" s="381"/>
      <c r="N275" s="381"/>
      <c r="O275" s="381"/>
      <c r="P275" s="381"/>
    </row>
    <row r="276" spans="1:16" x14ac:dyDescent="0.3">
      <c r="A276" s="372"/>
      <c r="B276" s="365"/>
      <c r="C276" s="380"/>
      <c r="D276" s="345"/>
      <c r="E276" s="381"/>
      <c r="F276" s="388"/>
      <c r="G276" s="389"/>
      <c r="H276" s="390"/>
      <c r="I276" s="384"/>
      <c r="J276" s="391"/>
      <c r="K276" s="418"/>
      <c r="L276" s="381"/>
      <c r="M276" s="381"/>
      <c r="N276" s="381"/>
      <c r="O276" s="381"/>
      <c r="P276" s="381"/>
    </row>
    <row r="277" spans="1:16" x14ac:dyDescent="0.3">
      <c r="A277" s="372" t="s">
        <v>147</v>
      </c>
      <c r="B277" s="365"/>
      <c r="C277" s="386" t="s">
        <v>148</v>
      </c>
      <c r="D277" s="345"/>
      <c r="E277" s="381"/>
      <c r="F277" s="388"/>
      <c r="G277" s="389"/>
      <c r="H277" s="390"/>
      <c r="I277" s="384"/>
      <c r="J277" s="391"/>
      <c r="K277" s="418"/>
      <c r="L277" s="381"/>
      <c r="M277" s="381"/>
      <c r="N277" s="381"/>
      <c r="O277" s="381"/>
      <c r="P277" s="381"/>
    </row>
    <row r="278" spans="1:16" x14ac:dyDescent="0.3">
      <c r="A278" s="372">
        <v>102145</v>
      </c>
      <c r="B278" s="365" t="s">
        <v>216</v>
      </c>
      <c r="C278" s="373" t="s">
        <v>251</v>
      </c>
      <c r="D278" s="374" t="s">
        <v>82</v>
      </c>
      <c r="E278" s="375">
        <v>1</v>
      </c>
      <c r="F278" s="392">
        <v>1.05</v>
      </c>
      <c r="G278" s="393">
        <v>6000</v>
      </c>
      <c r="H278" s="394">
        <f>+G278*F278*E278</f>
        <v>6300</v>
      </c>
      <c r="I278" s="378">
        <f>I274 * (E278 * (1+F278/100))</f>
        <v>0</v>
      </c>
      <c r="J278" s="414">
        <v>0</v>
      </c>
      <c r="K278" s="418"/>
      <c r="L278" s="381"/>
      <c r="M278" s="381"/>
      <c r="N278" s="381"/>
      <c r="O278" s="381"/>
      <c r="P278" s="381"/>
    </row>
    <row r="279" spans="1:16" x14ac:dyDescent="0.3">
      <c r="A279" s="372">
        <v>100381</v>
      </c>
      <c r="B279" s="365" t="s">
        <v>216</v>
      </c>
      <c r="C279" s="373" t="s">
        <v>249</v>
      </c>
      <c r="D279" s="374" t="s">
        <v>95</v>
      </c>
      <c r="E279" s="375">
        <v>2</v>
      </c>
      <c r="F279" s="392">
        <v>1.05</v>
      </c>
      <c r="G279" s="393">
        <v>5574</v>
      </c>
      <c r="H279" s="394">
        <f>+G279*F279*E279</f>
        <v>11705.4</v>
      </c>
      <c r="I279" s="378">
        <f>I274 * (E279 * (1+F279/100))</f>
        <v>0</v>
      </c>
      <c r="J279" s="414">
        <v>0</v>
      </c>
      <c r="K279" s="418"/>
      <c r="L279" s="381"/>
      <c r="M279" s="381"/>
      <c r="N279" s="381"/>
      <c r="O279" s="381"/>
      <c r="P279" s="381"/>
    </row>
    <row r="280" spans="1:16" x14ac:dyDescent="0.3">
      <c r="A280" s="372">
        <v>101658</v>
      </c>
      <c r="B280" s="365"/>
      <c r="C280" s="463" t="s">
        <v>252</v>
      </c>
      <c r="D280" s="464" t="s">
        <v>82</v>
      </c>
      <c r="E280" s="465">
        <v>1</v>
      </c>
      <c r="F280" s="503">
        <v>1</v>
      </c>
      <c r="G280" s="393">
        <v>2500</v>
      </c>
      <c r="H280" s="394">
        <f>+G280*F280*E280</f>
        <v>2500</v>
      </c>
      <c r="I280" s="378">
        <f>I274 * (E280 * (1+F280/100))</f>
        <v>0</v>
      </c>
      <c r="J280" s="414">
        <v>0</v>
      </c>
      <c r="K280" s="381"/>
    </row>
    <row r="281" spans="1:16" x14ac:dyDescent="0.3">
      <c r="A281" s="372">
        <v>101128</v>
      </c>
      <c r="B281" s="365" t="s">
        <v>215</v>
      </c>
      <c r="C281" s="373" t="s">
        <v>255</v>
      </c>
      <c r="D281" s="374" t="s">
        <v>82</v>
      </c>
      <c r="E281" s="375">
        <v>1</v>
      </c>
      <c r="F281" s="392">
        <v>1</v>
      </c>
      <c r="G281" s="393">
        <v>25000</v>
      </c>
      <c r="H281" s="394">
        <f t="shared" ref="H281" si="7">+G281*F281*E281</f>
        <v>25000</v>
      </c>
      <c r="I281" s="378">
        <f>I274 * (E281 * (1+F281/100))</f>
        <v>0</v>
      </c>
      <c r="J281" s="414">
        <v>0</v>
      </c>
      <c r="K281" s="418"/>
      <c r="L281" s="381"/>
      <c r="M281" s="381"/>
      <c r="N281" s="381"/>
      <c r="O281" s="381"/>
      <c r="P281" s="381"/>
    </row>
    <row r="282" spans="1:16" x14ac:dyDescent="0.3">
      <c r="A282" s="395" t="s">
        <v>149</v>
      </c>
      <c r="B282" s="365"/>
      <c r="C282" s="380"/>
      <c r="D282" s="345"/>
      <c r="E282" s="381"/>
      <c r="F282" s="388"/>
      <c r="G282" s="389" t="s">
        <v>150</v>
      </c>
      <c r="H282" s="415">
        <f>SUM(H278:H281)</f>
        <v>45505.4</v>
      </c>
      <c r="I282" s="384"/>
      <c r="J282" s="416">
        <v>0</v>
      </c>
      <c r="K282" s="418"/>
      <c r="L282" s="381"/>
      <c r="M282" s="381"/>
      <c r="N282" s="381"/>
      <c r="O282" s="381"/>
      <c r="P282" s="381"/>
    </row>
    <row r="283" spans="1:16" x14ac:dyDescent="0.3">
      <c r="A283" s="372" t="s">
        <v>151</v>
      </c>
      <c r="B283" s="365"/>
      <c r="C283" s="386" t="s">
        <v>152</v>
      </c>
      <c r="D283" s="345"/>
      <c r="E283" s="381"/>
      <c r="F283" s="388"/>
      <c r="G283" s="389"/>
      <c r="H283" s="390" t="s">
        <v>254</v>
      </c>
      <c r="I283" s="384"/>
      <c r="J283" s="391"/>
      <c r="K283" s="418"/>
      <c r="L283" s="381"/>
      <c r="M283" s="381"/>
      <c r="N283" s="381"/>
      <c r="O283" s="381"/>
      <c r="P283" s="381"/>
    </row>
    <row r="284" spans="1:16" x14ac:dyDescent="0.3">
      <c r="A284" s="372">
        <v>200018</v>
      </c>
      <c r="B284" s="365" t="s">
        <v>152</v>
      </c>
      <c r="C284" s="373" t="s">
        <v>225</v>
      </c>
      <c r="D284" s="374" t="s">
        <v>176</v>
      </c>
      <c r="E284" s="375">
        <v>0.45</v>
      </c>
      <c r="F284" s="392"/>
      <c r="G284" s="393">
        <f>+[3]M.O.!$C$18*1.2</f>
        <v>36075.599999999999</v>
      </c>
      <c r="H284" s="394">
        <f>+G284*E284</f>
        <v>16234.02</v>
      </c>
      <c r="I284" s="378">
        <f>I274 * (E284 * (1+F284/100))</f>
        <v>0</v>
      </c>
      <c r="J284" s="414">
        <v>0</v>
      </c>
      <c r="K284" s="418"/>
      <c r="L284" s="381"/>
      <c r="M284" s="381"/>
      <c r="N284" s="381"/>
      <c r="O284" s="381"/>
      <c r="P284" s="381"/>
    </row>
    <row r="285" spans="1:16" x14ac:dyDescent="0.3">
      <c r="A285" s="395" t="s">
        <v>153</v>
      </c>
      <c r="B285" s="365"/>
      <c r="C285" s="380"/>
      <c r="D285" s="345"/>
      <c r="E285" s="381"/>
      <c r="F285" s="388"/>
      <c r="G285" s="389" t="s">
        <v>154</v>
      </c>
      <c r="H285" s="415">
        <f>SUM(H284)</f>
        <v>16234.02</v>
      </c>
      <c r="I285" s="384"/>
      <c r="J285" s="416">
        <v>0</v>
      </c>
      <c r="K285" s="418"/>
      <c r="L285" s="381"/>
      <c r="M285" s="381"/>
      <c r="N285" s="381"/>
      <c r="O285" s="381"/>
      <c r="P285" s="381"/>
    </row>
    <row r="286" spans="1:16" x14ac:dyDescent="0.3">
      <c r="A286" s="372" t="s">
        <v>155</v>
      </c>
      <c r="B286" s="365"/>
      <c r="C286" s="398" t="s">
        <v>156</v>
      </c>
      <c r="D286" s="345"/>
      <c r="E286" s="381"/>
      <c r="F286" s="388"/>
      <c r="G286" s="389"/>
      <c r="H286" s="390"/>
      <c r="I286" s="384"/>
      <c r="J286" s="391"/>
      <c r="K286" s="418"/>
      <c r="L286" s="381"/>
      <c r="M286" s="381"/>
      <c r="N286" s="381"/>
      <c r="O286" s="381"/>
      <c r="P286" s="381"/>
    </row>
    <row r="287" spans="1:16" x14ac:dyDescent="0.3">
      <c r="A287" s="372">
        <v>300026</v>
      </c>
      <c r="B287" s="365" t="s">
        <v>156</v>
      </c>
      <c r="C287" s="373" t="s">
        <v>157</v>
      </c>
      <c r="D287" s="374" t="s">
        <v>158</v>
      </c>
      <c r="E287" s="375">
        <v>0.10199999999999999</v>
      </c>
      <c r="F287" s="392"/>
      <c r="G287" s="393">
        <v>1690</v>
      </c>
      <c r="H287" s="394">
        <f>+G287*E287</f>
        <v>172.38</v>
      </c>
      <c r="I287" s="378">
        <f>I274 * (E287 * (1+F287/100))</f>
        <v>0</v>
      </c>
      <c r="J287" s="414">
        <v>0</v>
      </c>
      <c r="K287" s="418"/>
      <c r="L287" s="381"/>
      <c r="M287" s="381"/>
      <c r="N287" s="381"/>
      <c r="O287" s="381"/>
      <c r="P287" s="381"/>
    </row>
    <row r="288" spans="1:16" x14ac:dyDescent="0.3">
      <c r="A288" s="395" t="s">
        <v>159</v>
      </c>
      <c r="B288" s="365"/>
      <c r="C288" s="380"/>
      <c r="D288" s="345"/>
      <c r="E288" s="381"/>
      <c r="F288" s="388"/>
      <c r="G288" s="389" t="s">
        <v>160</v>
      </c>
      <c r="H288" s="415">
        <f>SUM(H287)</f>
        <v>172.38</v>
      </c>
      <c r="I288" s="384"/>
      <c r="J288" s="416">
        <v>0</v>
      </c>
      <c r="K288" s="418"/>
      <c r="L288" s="381"/>
      <c r="M288" s="381"/>
      <c r="N288" s="381"/>
      <c r="O288" s="381"/>
      <c r="P288" s="381"/>
    </row>
    <row r="289" spans="1:16" hidden="1" x14ac:dyDescent="0.3">
      <c r="A289" s="345" t="s">
        <v>161</v>
      </c>
      <c r="B289" s="348"/>
      <c r="C289" s="386" t="s">
        <v>162</v>
      </c>
      <c r="D289" s="345"/>
      <c r="E289" s="381"/>
      <c r="F289" s="388"/>
      <c r="G289" s="389"/>
      <c r="H289" s="390"/>
      <c r="I289" s="384"/>
      <c r="J289" s="391"/>
      <c r="K289" s="418"/>
      <c r="L289" s="381"/>
      <c r="M289" s="381"/>
      <c r="N289" s="381"/>
      <c r="O289" s="381"/>
      <c r="P289" s="381"/>
    </row>
    <row r="290" spans="1:16" hidden="1" x14ac:dyDescent="0.3">
      <c r="A290" s="372"/>
      <c r="B290" s="365"/>
      <c r="C290" s="373"/>
      <c r="D290" s="374"/>
      <c r="E290" s="375"/>
      <c r="F290" s="392"/>
      <c r="G290" s="393"/>
      <c r="H290" s="394"/>
      <c r="I290" s="378"/>
      <c r="J290" s="414"/>
      <c r="K290" s="418"/>
      <c r="L290" s="381"/>
      <c r="M290" s="381"/>
      <c r="N290" s="381"/>
      <c r="O290" s="381"/>
      <c r="P290" s="381"/>
    </row>
    <row r="291" spans="1:16" hidden="1" x14ac:dyDescent="0.3">
      <c r="A291" s="395" t="s">
        <v>163</v>
      </c>
      <c r="B291" s="348"/>
      <c r="C291" s="380"/>
      <c r="D291" s="345"/>
      <c r="E291" s="381"/>
      <c r="F291" s="388"/>
      <c r="G291" s="389" t="s">
        <v>164</v>
      </c>
      <c r="H291" s="394">
        <v>0</v>
      </c>
      <c r="I291" s="384"/>
      <c r="J291" s="414">
        <v>0</v>
      </c>
      <c r="K291" s="418"/>
      <c r="L291" s="381"/>
      <c r="M291" s="381"/>
      <c r="N291" s="381"/>
      <c r="O291" s="381"/>
      <c r="P291" s="381"/>
    </row>
    <row r="292" spans="1:16" x14ac:dyDescent="0.3">
      <c r="A292" s="345"/>
      <c r="B292" s="419"/>
      <c r="C292" s="380"/>
      <c r="D292" s="345"/>
      <c r="E292" s="381"/>
      <c r="F292" s="388"/>
      <c r="G292" s="389"/>
      <c r="H292" s="390"/>
      <c r="I292" s="384"/>
      <c r="J292" s="391"/>
      <c r="K292" s="418"/>
      <c r="L292" s="381"/>
      <c r="M292" s="381"/>
      <c r="N292" s="381"/>
      <c r="O292" s="381"/>
      <c r="P292" s="381"/>
    </row>
    <row r="293" spans="1:16" ht="13.8" thickBot="1" x14ac:dyDescent="0.35">
      <c r="A293" s="345" t="s">
        <v>85</v>
      </c>
      <c r="B293" s="419"/>
      <c r="C293" s="401"/>
      <c r="D293" s="402"/>
      <c r="E293" s="403"/>
      <c r="F293" s="404" t="s">
        <v>165</v>
      </c>
      <c r="G293" s="420">
        <v>20889.68</v>
      </c>
      <c r="H293" s="406">
        <f>+ROUND(H288+H285+H282,0)</f>
        <v>61912</v>
      </c>
      <c r="I293" s="421">
        <f>SUM(J275:J292)/2</f>
        <v>0</v>
      </c>
      <c r="J293" s="408">
        <v>0</v>
      </c>
      <c r="K293" s="418"/>
      <c r="L293" s="381"/>
      <c r="M293" s="381"/>
      <c r="N293" s="381"/>
      <c r="O293" s="381"/>
      <c r="P293" s="381"/>
    </row>
    <row r="294" spans="1:16" ht="14.4" thickTop="1" thickBot="1" x14ac:dyDescent="0.35"/>
    <row r="295" spans="1:16" ht="13.8" thickTop="1" x14ac:dyDescent="0.3">
      <c r="A295" s="345" t="s">
        <v>247</v>
      </c>
      <c r="B295" s="365"/>
      <c r="C295" s="571" t="str">
        <f>+'PRESUPUESTO CASA DE LA CULTURA'!C29</f>
        <v>REPARACIÓN DE CUBIERTA Y CANAL DE AGUAS LLUVIAS CON SELLADO DE GOTERAS Y REPOSICIÓN DE ELEMENTOS DETERIORADOS (INCLUYE ANDAMIO Y EQUIPO DE SEGURIDAD TRABAJO EN ALTURAS)</v>
      </c>
      <c r="D295" s="572"/>
      <c r="E295" s="572"/>
      <c r="F295" s="572"/>
      <c r="G295" s="496"/>
      <c r="H295" s="366" t="s">
        <v>253</v>
      </c>
      <c r="I295" s="367" t="s">
        <v>142</v>
      </c>
      <c r="J295" s="368" t="s">
        <v>88</v>
      </c>
      <c r="K295" s="418"/>
      <c r="L295" s="381"/>
      <c r="M295" s="381"/>
      <c r="N295" s="381"/>
      <c r="O295" s="381"/>
      <c r="P295" s="381"/>
    </row>
    <row r="296" spans="1:16" x14ac:dyDescent="0.3">
      <c r="A296" s="345"/>
      <c r="B296" s="365"/>
      <c r="C296" s="573"/>
      <c r="D296" s="574"/>
      <c r="E296" s="574"/>
      <c r="F296" s="574"/>
      <c r="G296" s="497"/>
      <c r="H296" s="369"/>
      <c r="I296" s="413"/>
      <c r="J296" s="371"/>
      <c r="K296" s="418"/>
      <c r="L296" s="381"/>
      <c r="M296" s="381"/>
      <c r="N296" s="381"/>
      <c r="O296" s="381"/>
      <c r="P296" s="381"/>
    </row>
    <row r="297" spans="1:16" x14ac:dyDescent="0.3">
      <c r="A297" s="372" t="s">
        <v>143</v>
      </c>
      <c r="B297" s="365"/>
      <c r="C297" s="373" t="s">
        <v>81</v>
      </c>
      <c r="D297" s="374" t="s">
        <v>82</v>
      </c>
      <c r="E297" s="375" t="s">
        <v>83</v>
      </c>
      <c r="F297" s="392" t="s">
        <v>144</v>
      </c>
      <c r="G297" s="393" t="s">
        <v>145</v>
      </c>
      <c r="H297" s="394" t="s">
        <v>146</v>
      </c>
      <c r="I297" s="378"/>
      <c r="J297" s="414" t="s">
        <v>146</v>
      </c>
      <c r="K297" s="418"/>
      <c r="L297" s="381"/>
      <c r="M297" s="381"/>
      <c r="N297" s="381"/>
      <c r="O297" s="381"/>
      <c r="P297" s="381"/>
    </row>
    <row r="298" spans="1:16" x14ac:dyDescent="0.3">
      <c r="A298" s="372"/>
      <c r="B298" s="365"/>
      <c r="C298" s="380"/>
      <c r="D298" s="345"/>
      <c r="E298" s="381"/>
      <c r="F298" s="388"/>
      <c r="G298" s="389"/>
      <c r="H298" s="390"/>
      <c r="I298" s="384"/>
      <c r="J298" s="391"/>
      <c r="K298" s="418"/>
      <c r="L298" s="381"/>
      <c r="M298" s="381"/>
      <c r="N298" s="381"/>
      <c r="O298" s="381"/>
      <c r="P298" s="381"/>
    </row>
    <row r="299" spans="1:16" x14ac:dyDescent="0.3">
      <c r="A299" s="372" t="s">
        <v>147</v>
      </c>
      <c r="B299" s="365"/>
      <c r="C299" s="386" t="s">
        <v>148</v>
      </c>
      <c r="D299" s="345"/>
      <c r="E299" s="381"/>
      <c r="F299" s="388"/>
      <c r="G299" s="389"/>
      <c r="H299" s="390"/>
      <c r="I299" s="384"/>
      <c r="J299" s="391"/>
      <c r="K299" s="418"/>
      <c r="L299" s="381"/>
      <c r="M299" s="381"/>
      <c r="N299" s="381"/>
      <c r="O299" s="381"/>
      <c r="P299" s="381"/>
    </row>
    <row r="300" spans="1:16" x14ac:dyDescent="0.3">
      <c r="A300" s="372">
        <v>102145</v>
      </c>
      <c r="B300" s="365" t="s">
        <v>216</v>
      </c>
      <c r="C300" s="373" t="s">
        <v>263</v>
      </c>
      <c r="D300" s="374" t="s">
        <v>95</v>
      </c>
      <c r="E300" s="375">
        <v>0.3</v>
      </c>
      <c r="F300" s="392">
        <v>1</v>
      </c>
      <c r="G300" s="393">
        <v>11500</v>
      </c>
      <c r="H300" s="394">
        <f>+G300*F300*E300</f>
        <v>3450</v>
      </c>
      <c r="I300" s="378">
        <f>I296 * (E300 * (1+F300/100))</f>
        <v>0</v>
      </c>
      <c r="J300" s="414">
        <v>0</v>
      </c>
      <c r="K300" s="418"/>
      <c r="L300" s="381"/>
      <c r="M300" s="381"/>
      <c r="N300" s="381"/>
      <c r="O300" s="381"/>
      <c r="P300" s="381"/>
    </row>
    <row r="301" spans="1:16" x14ac:dyDescent="0.3">
      <c r="A301" s="372">
        <v>100381</v>
      </c>
      <c r="B301" s="365" t="s">
        <v>216</v>
      </c>
      <c r="C301" s="373" t="s">
        <v>264</v>
      </c>
      <c r="D301" s="374" t="s">
        <v>82</v>
      </c>
      <c r="E301" s="375">
        <v>0.2</v>
      </c>
      <c r="F301" s="392">
        <v>1</v>
      </c>
      <c r="G301" s="393">
        <v>16800</v>
      </c>
      <c r="H301" s="394">
        <f>+G301*F301*E301</f>
        <v>3360</v>
      </c>
      <c r="I301" s="378">
        <f>I296 * (E301 * (1+F301/100))</f>
        <v>0</v>
      </c>
      <c r="J301" s="414">
        <v>0</v>
      </c>
      <c r="K301" s="418"/>
      <c r="L301" s="381"/>
      <c r="M301" s="381"/>
      <c r="N301" s="381"/>
      <c r="O301" s="381"/>
      <c r="P301" s="381"/>
    </row>
    <row r="302" spans="1:16" x14ac:dyDescent="0.3">
      <c r="A302" s="372">
        <v>101658</v>
      </c>
      <c r="B302" s="365"/>
      <c r="C302" s="463" t="s">
        <v>265</v>
      </c>
      <c r="D302" s="464" t="s">
        <v>82</v>
      </c>
      <c r="E302" s="465">
        <v>3</v>
      </c>
      <c r="F302" s="392">
        <v>1</v>
      </c>
      <c r="G302" s="393">
        <v>1050</v>
      </c>
      <c r="H302" s="394">
        <f>+G302*F302*E302</f>
        <v>3150</v>
      </c>
      <c r="I302" s="378">
        <f>I296 * (E302 * (1+F302/100))</f>
        <v>0</v>
      </c>
      <c r="J302" s="414">
        <v>0</v>
      </c>
      <c r="K302" s="381"/>
    </row>
    <row r="303" spans="1:16" x14ac:dyDescent="0.3">
      <c r="A303" s="395" t="s">
        <v>149</v>
      </c>
      <c r="B303" s="365"/>
      <c r="C303" s="380"/>
      <c r="D303" s="345"/>
      <c r="E303" s="381"/>
      <c r="F303" s="388"/>
      <c r="G303" s="389" t="s">
        <v>150</v>
      </c>
      <c r="H303" s="415">
        <f>SUM(H300:H302)</f>
        <v>9960</v>
      </c>
      <c r="I303" s="384"/>
      <c r="J303" s="416">
        <v>0</v>
      </c>
      <c r="K303" s="418"/>
      <c r="L303" s="381"/>
      <c r="M303" s="381"/>
      <c r="N303" s="381"/>
      <c r="O303" s="381"/>
      <c r="P303" s="381"/>
    </row>
    <row r="304" spans="1:16" x14ac:dyDescent="0.3">
      <c r="A304" s="372" t="s">
        <v>151</v>
      </c>
      <c r="B304" s="365"/>
      <c r="C304" s="386" t="s">
        <v>152</v>
      </c>
      <c r="D304" s="345"/>
      <c r="E304" s="381"/>
      <c r="F304" s="388"/>
      <c r="G304" s="389"/>
      <c r="H304" s="390" t="s">
        <v>254</v>
      </c>
      <c r="I304" s="384"/>
      <c r="J304" s="391"/>
      <c r="K304" s="418"/>
      <c r="L304" s="381"/>
      <c r="M304" s="381"/>
      <c r="N304" s="381"/>
      <c r="O304" s="381"/>
      <c r="P304" s="381"/>
    </row>
    <row r="305" spans="1:30" x14ac:dyDescent="0.3">
      <c r="A305" s="372">
        <v>200018</v>
      </c>
      <c r="B305" s="365" t="s">
        <v>152</v>
      </c>
      <c r="C305" s="373" t="s">
        <v>304</v>
      </c>
      <c r="D305" s="374" t="s">
        <v>176</v>
      </c>
      <c r="E305" s="375">
        <v>0.45</v>
      </c>
      <c r="F305" s="392"/>
      <c r="G305" s="393">
        <f>+[3]M.O.!$E$5</f>
        <v>11563</v>
      </c>
      <c r="H305" s="394">
        <f>+G305*E305</f>
        <v>5203.3500000000004</v>
      </c>
      <c r="I305" s="378">
        <f>I296 * (E305 * (1+F305/100))</f>
        <v>0</v>
      </c>
      <c r="J305" s="414">
        <v>0</v>
      </c>
      <c r="K305" s="418"/>
      <c r="L305" s="381"/>
      <c r="M305" s="381"/>
      <c r="N305" s="381"/>
      <c r="O305" s="381"/>
      <c r="P305" s="381"/>
    </row>
    <row r="306" spans="1:30" x14ac:dyDescent="0.3">
      <c r="A306" s="395" t="s">
        <v>153</v>
      </c>
      <c r="B306" s="365"/>
      <c r="C306" s="380"/>
      <c r="D306" s="345"/>
      <c r="E306" s="381"/>
      <c r="F306" s="388"/>
      <c r="G306" s="389" t="s">
        <v>154</v>
      </c>
      <c r="H306" s="415">
        <f>SUM(H305)</f>
        <v>5203.3500000000004</v>
      </c>
      <c r="I306" s="384"/>
      <c r="J306" s="416">
        <v>0</v>
      </c>
      <c r="K306" s="418"/>
      <c r="L306" s="381"/>
      <c r="M306" s="381"/>
      <c r="N306" s="381"/>
      <c r="O306" s="381"/>
      <c r="P306" s="381"/>
    </row>
    <row r="307" spans="1:30" x14ac:dyDescent="0.3">
      <c r="A307" s="372" t="s">
        <v>155</v>
      </c>
      <c r="B307" s="365"/>
      <c r="C307" s="398" t="s">
        <v>156</v>
      </c>
      <c r="D307" s="345"/>
      <c r="E307" s="381"/>
      <c r="F307" s="388"/>
      <c r="G307" s="389"/>
      <c r="H307" s="390"/>
      <c r="I307" s="384"/>
      <c r="J307" s="391"/>
      <c r="K307" s="418"/>
      <c r="L307" s="381"/>
      <c r="M307" s="381"/>
      <c r="N307" s="381"/>
      <c r="O307" s="381"/>
      <c r="P307" s="381"/>
    </row>
    <row r="308" spans="1:30" customFormat="1" ht="14.4" x14ac:dyDescent="0.3">
      <c r="A308" s="515">
        <v>300002</v>
      </c>
      <c r="B308" s="516" t="s">
        <v>156</v>
      </c>
      <c r="C308" s="517" t="s">
        <v>177</v>
      </c>
      <c r="D308" s="518" t="s">
        <v>178</v>
      </c>
      <c r="E308" s="519">
        <v>0.5</v>
      </c>
      <c r="F308" s="520"/>
      <c r="G308" s="521">
        <v>1162</v>
      </c>
      <c r="H308" s="394">
        <f>+G308*E308</f>
        <v>581</v>
      </c>
      <c r="I308" s="522">
        <f>I293 * (E308 * (1+F308/100))</f>
        <v>0</v>
      </c>
      <c r="J308" s="523">
        <v>0</v>
      </c>
      <c r="K308" s="524"/>
      <c r="L308" s="525"/>
      <c r="M308" s="525"/>
      <c r="N308" s="525"/>
      <c r="O308" s="525"/>
      <c r="P308" s="525"/>
    </row>
    <row r="309" spans="1:30" x14ac:dyDescent="0.3">
      <c r="A309" s="372">
        <v>300026</v>
      </c>
      <c r="B309" s="365" t="s">
        <v>156</v>
      </c>
      <c r="C309" s="373" t="s">
        <v>157</v>
      </c>
      <c r="D309" s="374" t="s">
        <v>158</v>
      </c>
      <c r="E309" s="375">
        <v>0.10199999999999999</v>
      </c>
      <c r="F309" s="392"/>
      <c r="G309" s="393">
        <v>1690</v>
      </c>
      <c r="H309" s="394">
        <f t="shared" ref="H309:H310" si="8">+G309*E309</f>
        <v>172.38</v>
      </c>
      <c r="I309" s="378" t="e">
        <f>I295 * (E309 * (1+F309/100))</f>
        <v>#VALUE!</v>
      </c>
      <c r="J309" s="414">
        <v>0</v>
      </c>
      <c r="K309" s="418"/>
      <c r="L309" s="381"/>
      <c r="M309" s="381"/>
      <c r="N309" s="381"/>
      <c r="O309" s="381"/>
      <c r="P309" s="381"/>
    </row>
    <row r="310" spans="1:30" x14ac:dyDescent="0.3">
      <c r="A310" s="372">
        <v>300026</v>
      </c>
      <c r="B310" s="365" t="s">
        <v>156</v>
      </c>
      <c r="C310" s="373" t="s">
        <v>330</v>
      </c>
      <c r="D310" s="374" t="s">
        <v>158</v>
      </c>
      <c r="E310" s="375">
        <v>0.15</v>
      </c>
      <c r="F310" s="392"/>
      <c r="G310" s="393">
        <v>15000</v>
      </c>
      <c r="H310" s="394">
        <f t="shared" si="8"/>
        <v>2250</v>
      </c>
      <c r="I310" s="378">
        <f>I296 * (E310 * (1+F310/100))</f>
        <v>0</v>
      </c>
      <c r="J310" s="414">
        <v>0</v>
      </c>
      <c r="K310" s="418"/>
      <c r="L310" s="381"/>
      <c r="M310" s="381"/>
      <c r="N310" s="381"/>
      <c r="O310" s="381"/>
      <c r="P310" s="381"/>
    </row>
    <row r="311" spans="1:30" x14ac:dyDescent="0.3">
      <c r="A311" s="395" t="s">
        <v>159</v>
      </c>
      <c r="B311" s="365"/>
      <c r="C311" s="380"/>
      <c r="D311" s="345"/>
      <c r="E311" s="381"/>
      <c r="F311" s="388"/>
      <c r="G311" s="389" t="s">
        <v>160</v>
      </c>
      <c r="H311" s="415">
        <f>SUM(H308:H310)</f>
        <v>3003.38</v>
      </c>
      <c r="I311" s="384"/>
      <c r="J311" s="416">
        <v>0</v>
      </c>
      <c r="K311" s="418"/>
      <c r="L311" s="381"/>
      <c r="M311" s="381"/>
      <c r="N311" s="381"/>
      <c r="O311" s="381"/>
      <c r="P311" s="381"/>
    </row>
    <row r="312" spans="1:30" hidden="1" x14ac:dyDescent="0.3">
      <c r="A312" s="345" t="s">
        <v>161</v>
      </c>
      <c r="B312" s="348"/>
      <c r="C312" s="386" t="s">
        <v>162</v>
      </c>
      <c r="D312" s="345"/>
      <c r="E312" s="381"/>
      <c r="F312" s="388"/>
      <c r="G312" s="389"/>
      <c r="H312" s="390"/>
      <c r="I312" s="384"/>
      <c r="J312" s="391"/>
      <c r="K312" s="418"/>
      <c r="L312" s="381"/>
      <c r="M312" s="381"/>
      <c r="N312" s="381"/>
      <c r="O312" s="381"/>
      <c r="P312" s="381"/>
    </row>
    <row r="313" spans="1:30" hidden="1" x14ac:dyDescent="0.3">
      <c r="A313" s="372"/>
      <c r="B313" s="365"/>
      <c r="C313" s="373"/>
      <c r="D313" s="374"/>
      <c r="E313" s="375"/>
      <c r="F313" s="392"/>
      <c r="G313" s="393"/>
      <c r="H313" s="394"/>
      <c r="I313" s="378"/>
      <c r="J313" s="414"/>
      <c r="K313" s="418"/>
      <c r="L313" s="381"/>
      <c r="M313" s="381"/>
      <c r="N313" s="381"/>
      <c r="O313" s="381"/>
      <c r="P313" s="381"/>
    </row>
    <row r="314" spans="1:30" hidden="1" x14ac:dyDescent="0.3">
      <c r="A314" s="395" t="s">
        <v>163</v>
      </c>
      <c r="B314" s="348"/>
      <c r="C314" s="380"/>
      <c r="D314" s="345"/>
      <c r="E314" s="381"/>
      <c r="F314" s="388"/>
      <c r="G314" s="389" t="s">
        <v>164</v>
      </c>
      <c r="H314" s="394">
        <v>0</v>
      </c>
      <c r="I314" s="384"/>
      <c r="J314" s="414">
        <v>0</v>
      </c>
      <c r="K314" s="418"/>
      <c r="L314" s="381"/>
      <c r="M314" s="381"/>
      <c r="N314" s="381"/>
      <c r="O314" s="381"/>
      <c r="P314" s="381"/>
    </row>
    <row r="315" spans="1:30" x14ac:dyDescent="0.3">
      <c r="A315" s="345"/>
      <c r="B315" s="419"/>
      <c r="C315" s="380"/>
      <c r="D315" s="345"/>
      <c r="E315" s="381"/>
      <c r="F315" s="388"/>
      <c r="G315" s="389"/>
      <c r="H315" s="390"/>
      <c r="I315" s="384"/>
      <c r="J315" s="391"/>
      <c r="K315" s="418"/>
      <c r="L315" s="381"/>
      <c r="M315" s="381"/>
      <c r="N315" s="381"/>
      <c r="O315" s="381"/>
      <c r="P315" s="381"/>
    </row>
    <row r="316" spans="1:30" ht="13.8" thickBot="1" x14ac:dyDescent="0.35">
      <c r="A316" s="345" t="s">
        <v>85</v>
      </c>
      <c r="B316" s="419"/>
      <c r="C316" s="401"/>
      <c r="D316" s="402"/>
      <c r="E316" s="403"/>
      <c r="F316" s="404" t="s">
        <v>165</v>
      </c>
      <c r="G316" s="420">
        <v>20889.68</v>
      </c>
      <c r="H316" s="406">
        <f>+ROUND(H311+H306+H303,0)</f>
        <v>18167</v>
      </c>
      <c r="I316" s="421">
        <f>SUM(J297:J315)/2</f>
        <v>0</v>
      </c>
      <c r="J316" s="408">
        <v>0</v>
      </c>
      <c r="K316" s="418"/>
      <c r="L316" s="381"/>
      <c r="M316" s="381"/>
      <c r="N316" s="381"/>
      <c r="O316" s="381"/>
      <c r="P316" s="381"/>
    </row>
    <row r="317" spans="1:30" ht="14.4" thickTop="1" thickBot="1" x14ac:dyDescent="0.35"/>
    <row r="318" spans="1:30" s="513" customFormat="1" ht="15" customHeight="1" thickTop="1" x14ac:dyDescent="0.3">
      <c r="A318" s="345" t="s">
        <v>266</v>
      </c>
      <c r="B318" s="348"/>
      <c r="C318" s="583" t="str">
        <f>+'PRESUPUESTO CASA DE LA CULTURA'!C33</f>
        <v>PREPARACION DE SUPERFICIE, SUMINISTRO E INSTALACION DE ENCHAPE (50X50) PARA  PISO EN CERAMICA  TIPO 5 COLOR BEIGE</v>
      </c>
      <c r="D318" s="584"/>
      <c r="E318" s="584"/>
      <c r="F318" s="584"/>
      <c r="G318" s="492"/>
      <c r="H318" s="448" t="s">
        <v>203</v>
      </c>
      <c r="I318" s="449" t="s">
        <v>204</v>
      </c>
      <c r="J318" s="366" t="s">
        <v>205</v>
      </c>
      <c r="K318" s="348"/>
      <c r="L318" s="507">
        <f t="shared" ref="L318:L339" si="9">ROW(O318)</f>
        <v>318</v>
      </c>
      <c r="M318" s="508">
        <f>ROW([5]PRESUPUESTO!$B$31)</f>
        <v>31</v>
      </c>
      <c r="N318" s="509" t="str">
        <f>[5]PRESUPUESTO!$A$31</f>
        <v>190546-9P</v>
      </c>
      <c r="O318" s="510" t="s">
        <v>267</v>
      </c>
      <c r="P318" s="508" t="str">
        <f>[5]PRESUPUESTO!$AG$31</f>
        <v>CAP. 3: ENCHAPES</v>
      </c>
      <c r="Q318" s="508">
        <f>[5]PRESUPUESTO!$AH$31</f>
        <v>29</v>
      </c>
      <c r="R318" s="511"/>
      <c r="S318" s="511"/>
    </row>
    <row r="319" spans="1:30" s="513" customFormat="1" ht="13.05" customHeight="1" x14ac:dyDescent="0.3">
      <c r="A319" s="345"/>
      <c r="B319" s="348"/>
      <c r="C319" s="585"/>
      <c r="D319" s="586"/>
      <c r="E319" s="586"/>
      <c r="F319" s="586"/>
      <c r="G319" s="493"/>
      <c r="H319" s="450" t="s">
        <v>268</v>
      </c>
      <c r="I319" s="512">
        <f>[5]PRESUPUESTO!$AQ$31</f>
        <v>77.75</v>
      </c>
      <c r="J319" s="369"/>
      <c r="K319" s="348"/>
      <c r="L319" s="507">
        <f t="shared" si="9"/>
        <v>319</v>
      </c>
      <c r="M319" s="508">
        <f>ROW([5]PRESUPUESTO!$B$31)</f>
        <v>31</v>
      </c>
      <c r="N319" s="509" t="str">
        <f>[5]PRESUPUESTO!$A$31</f>
        <v>190546-9P</v>
      </c>
      <c r="O319" s="510" t="s">
        <v>267</v>
      </c>
      <c r="P319" s="508" t="str">
        <f>[5]PRESUPUESTO!$AG$31</f>
        <v>CAP. 3: ENCHAPES</v>
      </c>
      <c r="Q319" s="508">
        <f>[5]PRESUPUESTO!$AH$31</f>
        <v>29</v>
      </c>
      <c r="R319" s="511"/>
      <c r="S319" s="511"/>
      <c r="AB319" s="513">
        <f>SUM(AH319:KH319)</f>
        <v>0</v>
      </c>
      <c r="AC319" s="513">
        <f>SUM(KJ319:UJ319)</f>
        <v>0</v>
      </c>
      <c r="AD319" s="513">
        <f>SUM(UL319:AEL319)</f>
        <v>0</v>
      </c>
    </row>
    <row r="320" spans="1:30" s="513" customFormat="1" x14ac:dyDescent="0.3">
      <c r="A320" s="452" t="s">
        <v>143</v>
      </c>
      <c r="B320" s="453"/>
      <c r="C320" s="454" t="s">
        <v>81</v>
      </c>
      <c r="D320" s="455" t="s">
        <v>82</v>
      </c>
      <c r="E320" s="456" t="s">
        <v>83</v>
      </c>
      <c r="F320" s="457" t="s">
        <v>144</v>
      </c>
      <c r="G320" s="458" t="s">
        <v>145</v>
      </c>
      <c r="H320" s="394" t="s">
        <v>146</v>
      </c>
      <c r="I320" s="459"/>
      <c r="J320" s="394" t="s">
        <v>146</v>
      </c>
      <c r="K320" s="348"/>
      <c r="L320" s="507">
        <f t="shared" si="9"/>
        <v>320</v>
      </c>
      <c r="M320" s="508">
        <f>ROW([5]PRESUPUESTO!$B$31)</f>
        <v>31</v>
      </c>
      <c r="N320" s="509" t="str">
        <f>[5]PRESUPUESTO!$A$31</f>
        <v>190546-9P</v>
      </c>
      <c r="O320" s="510" t="s">
        <v>267</v>
      </c>
      <c r="P320" s="508" t="str">
        <f>[5]PRESUPUESTO!$AG$31</f>
        <v>CAP. 3: ENCHAPES</v>
      </c>
      <c r="Q320" s="508">
        <f>[5]PRESUPUESTO!$AH$31</f>
        <v>29</v>
      </c>
      <c r="R320" s="511"/>
      <c r="S320" s="511"/>
    </row>
    <row r="321" spans="1:30" s="513" customFormat="1" x14ac:dyDescent="0.3">
      <c r="A321" s="372"/>
      <c r="B321" s="348"/>
      <c r="C321" s="460"/>
      <c r="D321" s="461"/>
      <c r="E321" s="348"/>
      <c r="F321" s="349"/>
      <c r="G321" s="389"/>
      <c r="H321" s="390"/>
      <c r="I321" s="498"/>
      <c r="J321" s="390"/>
      <c r="K321" s="348"/>
      <c r="L321" s="507">
        <f t="shared" si="9"/>
        <v>321</v>
      </c>
      <c r="M321" s="508">
        <f>ROW([5]PRESUPUESTO!$B$31)</f>
        <v>31</v>
      </c>
      <c r="N321" s="509" t="str">
        <f>[5]PRESUPUESTO!$A$31</f>
        <v>190546-9P</v>
      </c>
      <c r="O321" s="510" t="s">
        <v>267</v>
      </c>
      <c r="P321" s="508" t="str">
        <f>[5]PRESUPUESTO!$AG$31</f>
        <v>CAP. 3: ENCHAPES</v>
      </c>
      <c r="Q321" s="508">
        <f>[5]PRESUPUESTO!$AH$31</f>
        <v>29</v>
      </c>
      <c r="R321" s="511"/>
      <c r="S321" s="511"/>
    </row>
    <row r="322" spans="1:30" s="513" customFormat="1" x14ac:dyDescent="0.3">
      <c r="A322" s="372" t="s">
        <v>147</v>
      </c>
      <c r="B322" s="348"/>
      <c r="C322" s="462" t="s">
        <v>148</v>
      </c>
      <c r="D322" s="461"/>
      <c r="E322" s="348"/>
      <c r="F322" s="349"/>
      <c r="G322" s="389"/>
      <c r="H322" s="390"/>
      <c r="I322" s="499"/>
      <c r="J322" s="390"/>
      <c r="K322" s="348"/>
      <c r="L322" s="507">
        <f t="shared" si="9"/>
        <v>322</v>
      </c>
      <c r="M322" s="508">
        <f>ROW([5]PRESUPUESTO!$B$31)</f>
        <v>31</v>
      </c>
      <c r="N322" s="509" t="str">
        <f>[5]PRESUPUESTO!$A$31</f>
        <v>190546-9P</v>
      </c>
      <c r="O322" s="510" t="s">
        <v>267</v>
      </c>
      <c r="P322" s="508" t="str">
        <f>[5]PRESUPUESTO!$AG$31</f>
        <v>CAP. 3: ENCHAPES</v>
      </c>
      <c r="Q322" s="508">
        <f>[5]PRESUPUESTO!$AH$31</f>
        <v>29</v>
      </c>
      <c r="R322" s="511"/>
      <c r="S322" s="511"/>
    </row>
    <row r="323" spans="1:30" s="513" customFormat="1" x14ac:dyDescent="0.3">
      <c r="A323" s="372">
        <v>100053</v>
      </c>
      <c r="B323" s="365"/>
      <c r="C323" s="463" t="s">
        <v>228</v>
      </c>
      <c r="D323" s="464" t="s">
        <v>229</v>
      </c>
      <c r="E323" s="465">
        <v>2</v>
      </c>
      <c r="F323" s="466"/>
      <c r="G323" s="393">
        <v>30</v>
      </c>
      <c r="H323" s="394">
        <f>+G323*E323</f>
        <v>60</v>
      </c>
      <c r="I323" s="378">
        <f>I319 * (E323 * (1+F323/100))</f>
        <v>155.5</v>
      </c>
      <c r="J323" s="414">
        <v>4665</v>
      </c>
      <c r="K323" s="348"/>
      <c r="L323" s="507">
        <f t="shared" si="9"/>
        <v>323</v>
      </c>
      <c r="M323" s="508">
        <f>ROW([5]PRESUPUESTO!$B$31)</f>
        <v>31</v>
      </c>
      <c r="N323" s="509" t="str">
        <f>[5]PRESUPUESTO!$A$31</f>
        <v>190546-9P</v>
      </c>
      <c r="O323" s="510" t="s">
        <v>267</v>
      </c>
      <c r="P323" s="508" t="str">
        <f>[5]PRESUPUESTO!$AG$31</f>
        <v>CAP. 3: ENCHAPES</v>
      </c>
      <c r="Q323" s="508">
        <f>[5]PRESUPUESTO!$AH$31</f>
        <v>29</v>
      </c>
      <c r="R323" s="511"/>
      <c r="S323" s="511"/>
      <c r="AB323" s="513">
        <f>SUM(AH323:KH323)</f>
        <v>0</v>
      </c>
      <c r="AC323" s="513">
        <f>SUM(KJ323:UJ323)</f>
        <v>0</v>
      </c>
      <c r="AD323" s="513">
        <f>SUM(UL323:AEL323)</f>
        <v>0</v>
      </c>
    </row>
    <row r="324" spans="1:30" s="513" customFormat="1" x14ac:dyDescent="0.3">
      <c r="A324" s="372">
        <v>105133</v>
      </c>
      <c r="B324" s="365"/>
      <c r="C324" s="463" t="s">
        <v>269</v>
      </c>
      <c r="D324" s="464" t="s">
        <v>185</v>
      </c>
      <c r="E324" s="465">
        <v>1</v>
      </c>
      <c r="F324" s="466">
        <v>1</v>
      </c>
      <c r="G324" s="393">
        <v>61000</v>
      </c>
      <c r="H324" s="394">
        <f t="shared" ref="H324:H327" si="10">+G324*E324</f>
        <v>61000</v>
      </c>
      <c r="I324" s="378">
        <f>I319 * (E324 * (1+F324/100))</f>
        <v>78.527500000000003</v>
      </c>
      <c r="J324" s="414">
        <v>4790177.5</v>
      </c>
      <c r="K324" s="348"/>
      <c r="L324" s="507">
        <f t="shared" si="9"/>
        <v>324</v>
      </c>
      <c r="M324" s="508">
        <f>ROW([5]PRESUPUESTO!$B$31)</f>
        <v>31</v>
      </c>
      <c r="N324" s="509" t="str">
        <f>[5]PRESUPUESTO!$A$31</f>
        <v>190546-9P</v>
      </c>
      <c r="O324" s="510" t="s">
        <v>267</v>
      </c>
      <c r="P324" s="508" t="str">
        <f>[5]PRESUPUESTO!$AG$31</f>
        <v>CAP. 3: ENCHAPES</v>
      </c>
      <c r="Q324" s="508">
        <f>[5]PRESUPUESTO!$AH$31</f>
        <v>29</v>
      </c>
      <c r="R324" s="511"/>
      <c r="S324" s="511"/>
      <c r="AB324" s="513">
        <f>SUM(AH324:KH324)</f>
        <v>0</v>
      </c>
      <c r="AC324" s="513">
        <f>SUM(KJ324:UJ324)</f>
        <v>0</v>
      </c>
      <c r="AD324" s="513">
        <f>SUM(UL324:AEL324)</f>
        <v>0</v>
      </c>
    </row>
    <row r="325" spans="1:30" s="513" customFormat="1" x14ac:dyDescent="0.3">
      <c r="A325" s="372">
        <v>105103</v>
      </c>
      <c r="B325" s="365"/>
      <c r="C325" s="463" t="s">
        <v>270</v>
      </c>
      <c r="D325" s="464" t="s">
        <v>196</v>
      </c>
      <c r="E325" s="465">
        <v>4</v>
      </c>
      <c r="F325" s="466"/>
      <c r="G325" s="393">
        <v>1833</v>
      </c>
      <c r="H325" s="394">
        <f t="shared" si="10"/>
        <v>7332</v>
      </c>
      <c r="I325" s="378">
        <f>I319 * (E325 * (1+F325/100))</f>
        <v>311</v>
      </c>
      <c r="J325" s="414">
        <v>570063</v>
      </c>
      <c r="K325" s="348"/>
      <c r="L325" s="507">
        <f t="shared" si="9"/>
        <v>325</v>
      </c>
      <c r="M325" s="508">
        <f>ROW([5]PRESUPUESTO!$B$31)</f>
        <v>31</v>
      </c>
      <c r="N325" s="509" t="str">
        <f>[5]PRESUPUESTO!$A$31</f>
        <v>190546-9P</v>
      </c>
      <c r="O325" s="510" t="s">
        <v>267</v>
      </c>
      <c r="P325" s="508" t="str">
        <f>[5]PRESUPUESTO!$AG$31</f>
        <v>CAP. 3: ENCHAPES</v>
      </c>
      <c r="Q325" s="508">
        <f>[5]PRESUPUESTO!$AH$31</f>
        <v>29</v>
      </c>
      <c r="R325" s="511"/>
      <c r="S325" s="511"/>
      <c r="AB325" s="513">
        <f>SUM(AH325:KH325)</f>
        <v>0</v>
      </c>
      <c r="AC325" s="513">
        <f>SUM(KJ325:UJ325)</f>
        <v>0</v>
      </c>
      <c r="AD325" s="513">
        <f>SUM(UL325:AEL325)</f>
        <v>0</v>
      </c>
    </row>
    <row r="326" spans="1:30" s="513" customFormat="1" x14ac:dyDescent="0.3">
      <c r="A326" s="372">
        <v>102439</v>
      </c>
      <c r="B326" s="365"/>
      <c r="C326" s="463" t="s">
        <v>273</v>
      </c>
      <c r="D326" s="464" t="s">
        <v>196</v>
      </c>
      <c r="E326" s="465">
        <v>0.1</v>
      </c>
      <c r="F326" s="466"/>
      <c r="G326" s="393">
        <v>6995</v>
      </c>
      <c r="H326" s="394">
        <f t="shared" si="10"/>
        <v>699.5</v>
      </c>
      <c r="I326" s="378">
        <f>I319 * (E326 * (1+F326/100))</f>
        <v>7.7750000000000004</v>
      </c>
      <c r="J326" s="414">
        <v>54386.125</v>
      </c>
      <c r="K326" s="348"/>
      <c r="L326" s="507">
        <f t="shared" si="9"/>
        <v>326</v>
      </c>
      <c r="M326" s="508">
        <f>ROW([5]PRESUPUESTO!$B$31)</f>
        <v>31</v>
      </c>
      <c r="N326" s="509" t="str">
        <f>[5]PRESUPUESTO!$A$31</f>
        <v>190546-9P</v>
      </c>
      <c r="O326" s="510" t="s">
        <v>267</v>
      </c>
      <c r="P326" s="508" t="str">
        <f>[5]PRESUPUESTO!$AG$31</f>
        <v>CAP. 3: ENCHAPES</v>
      </c>
      <c r="Q326" s="508">
        <f>[5]PRESUPUESTO!$AH$31</f>
        <v>29</v>
      </c>
      <c r="R326" s="511"/>
      <c r="S326" s="511"/>
      <c r="AB326" s="513">
        <f>SUM(AH326:KH326)</f>
        <v>0</v>
      </c>
      <c r="AC326" s="513">
        <f>SUM(KJ326:UJ326)</f>
        <v>0</v>
      </c>
      <c r="AD326" s="513">
        <f>SUM(UL326:AEL326)</f>
        <v>0</v>
      </c>
    </row>
    <row r="327" spans="1:30" s="513" customFormat="1" x14ac:dyDescent="0.3">
      <c r="A327" s="372">
        <v>100861</v>
      </c>
      <c r="B327" s="365"/>
      <c r="C327" s="463" t="s">
        <v>271</v>
      </c>
      <c r="D327" s="464" t="s">
        <v>196</v>
      </c>
      <c r="E327" s="465">
        <v>0.3</v>
      </c>
      <c r="F327" s="466"/>
      <c r="G327" s="393">
        <v>6337</v>
      </c>
      <c r="H327" s="394">
        <f t="shared" si="10"/>
        <v>1901.1</v>
      </c>
      <c r="I327" s="378">
        <f>I319 * (E327 * (1+F327/100))</f>
        <v>23.324999999999999</v>
      </c>
      <c r="J327" s="414">
        <v>147810.52499999999</v>
      </c>
      <c r="K327" s="348"/>
      <c r="L327" s="507">
        <f t="shared" si="9"/>
        <v>327</v>
      </c>
      <c r="M327" s="508">
        <f>ROW([5]PRESUPUESTO!$B$31)</f>
        <v>31</v>
      </c>
      <c r="N327" s="509" t="str">
        <f>[5]PRESUPUESTO!$A$31</f>
        <v>190546-9P</v>
      </c>
      <c r="O327" s="510" t="s">
        <v>267</v>
      </c>
      <c r="P327" s="508" t="str">
        <f>[5]PRESUPUESTO!$AG$31</f>
        <v>CAP. 3: ENCHAPES</v>
      </c>
      <c r="Q327" s="508">
        <f>[5]PRESUPUESTO!$AH$31</f>
        <v>29</v>
      </c>
      <c r="R327" s="511"/>
      <c r="S327" s="511"/>
      <c r="AB327" s="513">
        <f>SUM(AH327:KH327)</f>
        <v>0</v>
      </c>
      <c r="AC327" s="513">
        <f>SUM(KJ327:UJ327)</f>
        <v>0</v>
      </c>
      <c r="AD327" s="513">
        <f>SUM(UL327:AEL327)</f>
        <v>0</v>
      </c>
    </row>
    <row r="328" spans="1:30" s="513" customFormat="1" x14ac:dyDescent="0.3">
      <c r="A328" s="395" t="s">
        <v>149</v>
      </c>
      <c r="B328" s="348"/>
      <c r="C328" s="460"/>
      <c r="D328" s="461"/>
      <c r="E328" s="348"/>
      <c r="F328" s="349"/>
      <c r="G328" s="389" t="s">
        <v>150</v>
      </c>
      <c r="H328" s="467">
        <f>SUM(H323:H327)</f>
        <v>70992.600000000006</v>
      </c>
      <c r="I328" s="500"/>
      <c r="J328" s="467">
        <v>5567102.1500000004</v>
      </c>
      <c r="K328" s="348"/>
      <c r="L328" s="507">
        <f t="shared" si="9"/>
        <v>328</v>
      </c>
      <c r="M328" s="508">
        <f>ROW([5]PRESUPUESTO!$B$31)</f>
        <v>31</v>
      </c>
      <c r="N328" s="509" t="str">
        <f>[5]PRESUPUESTO!$A$31</f>
        <v>190546-9P</v>
      </c>
      <c r="O328" s="510" t="s">
        <v>267</v>
      </c>
      <c r="P328" s="508" t="str">
        <f>[5]PRESUPUESTO!$AG$31</f>
        <v>CAP. 3: ENCHAPES</v>
      </c>
      <c r="Q328" s="508">
        <f>[5]PRESUPUESTO!$AH$31</f>
        <v>29</v>
      </c>
      <c r="R328" s="511"/>
      <c r="S328" s="511"/>
    </row>
    <row r="329" spans="1:30" s="513" customFormat="1" x14ac:dyDescent="0.3">
      <c r="A329" s="372" t="s">
        <v>151</v>
      </c>
      <c r="B329" s="348"/>
      <c r="C329" s="462" t="s">
        <v>152</v>
      </c>
      <c r="D329" s="461"/>
      <c r="E329" s="348"/>
      <c r="F329" s="349"/>
      <c r="G329" s="389"/>
      <c r="H329" s="390"/>
      <c r="I329" s="499"/>
      <c r="J329" s="390"/>
      <c r="K329" s="348"/>
      <c r="L329" s="507">
        <f t="shared" si="9"/>
        <v>329</v>
      </c>
      <c r="M329" s="508">
        <f>ROW([5]PRESUPUESTO!$B$31)</f>
        <v>31</v>
      </c>
      <c r="N329" s="509" t="str">
        <f>[5]PRESUPUESTO!$A$31</f>
        <v>190546-9P</v>
      </c>
      <c r="O329" s="510" t="s">
        <v>267</v>
      </c>
      <c r="P329" s="508" t="str">
        <f>[5]PRESUPUESTO!$AG$31</f>
        <v>CAP. 3: ENCHAPES</v>
      </c>
      <c r="Q329" s="508">
        <f>[5]PRESUPUESTO!$AH$31</f>
        <v>29</v>
      </c>
      <c r="R329" s="511"/>
      <c r="S329" s="511"/>
    </row>
    <row r="330" spans="1:30" s="513" customFormat="1" x14ac:dyDescent="0.3">
      <c r="A330" s="372">
        <v>200004</v>
      </c>
      <c r="B330" s="365"/>
      <c r="C330" s="463" t="s">
        <v>219</v>
      </c>
      <c r="D330" s="464" t="s">
        <v>176</v>
      </c>
      <c r="E330" s="465">
        <v>0.8</v>
      </c>
      <c r="F330" s="466"/>
      <c r="G330" s="393">
        <f>+[3]M.O.!$C$13*1.2</f>
        <v>36075.599999999999</v>
      </c>
      <c r="H330" s="394">
        <f>+G330*E330</f>
        <v>28860.48</v>
      </c>
      <c r="I330" s="378">
        <f>I319 * (E330 * (1+F330/100))</f>
        <v>62.2</v>
      </c>
      <c r="J330" s="414">
        <v>1693270.6</v>
      </c>
      <c r="K330" s="348"/>
      <c r="L330" s="507">
        <f t="shared" si="9"/>
        <v>330</v>
      </c>
      <c r="M330" s="508">
        <f>ROW([5]PRESUPUESTO!$B$31)</f>
        <v>31</v>
      </c>
      <c r="N330" s="509" t="str">
        <f>[5]PRESUPUESTO!$A$31</f>
        <v>190546-9P</v>
      </c>
      <c r="O330" s="510" t="s">
        <v>267</v>
      </c>
      <c r="P330" s="508" t="str">
        <f>[5]PRESUPUESTO!$AG$31</f>
        <v>CAP. 3: ENCHAPES</v>
      </c>
      <c r="Q330" s="508">
        <f>[5]PRESUPUESTO!$AH$31</f>
        <v>29</v>
      </c>
      <c r="R330" s="511"/>
      <c r="S330" s="511"/>
      <c r="AB330" s="513">
        <f>SUM(AH330:KH330)</f>
        <v>0</v>
      </c>
      <c r="AC330" s="513">
        <f>SUM(KJ330:UJ330)</f>
        <v>0</v>
      </c>
      <c r="AD330" s="513">
        <f>SUM(UL330:AEL330)</f>
        <v>0</v>
      </c>
    </row>
    <row r="331" spans="1:30" s="513" customFormat="1" x14ac:dyDescent="0.3">
      <c r="A331" s="395" t="s">
        <v>153</v>
      </c>
      <c r="B331" s="348"/>
      <c r="C331" s="460"/>
      <c r="D331" s="461"/>
      <c r="E331" s="348"/>
      <c r="F331" s="349"/>
      <c r="G331" s="389" t="s">
        <v>206</v>
      </c>
      <c r="H331" s="467">
        <f>SUM(H330)</f>
        <v>28860.48</v>
      </c>
      <c r="I331" s="500"/>
      <c r="J331" s="467">
        <v>1693270.6</v>
      </c>
      <c r="K331" s="348"/>
      <c r="L331" s="507">
        <f t="shared" si="9"/>
        <v>331</v>
      </c>
      <c r="M331" s="508">
        <f>ROW([5]PRESUPUESTO!$B$31)</f>
        <v>31</v>
      </c>
      <c r="N331" s="509" t="str">
        <f>[5]PRESUPUESTO!$A$31</f>
        <v>190546-9P</v>
      </c>
      <c r="O331" s="510" t="s">
        <v>267</v>
      </c>
      <c r="P331" s="508" t="str">
        <f>[5]PRESUPUESTO!$AG$31</f>
        <v>CAP. 3: ENCHAPES</v>
      </c>
      <c r="Q331" s="508">
        <f>[5]PRESUPUESTO!$AH$31</f>
        <v>29</v>
      </c>
      <c r="R331" s="511"/>
      <c r="S331" s="511"/>
    </row>
    <row r="332" spans="1:30" s="513" customFormat="1" x14ac:dyDescent="0.3">
      <c r="A332" s="372" t="s">
        <v>155</v>
      </c>
      <c r="B332" s="348"/>
      <c r="C332" s="468" t="s">
        <v>156</v>
      </c>
      <c r="D332" s="461"/>
      <c r="E332" s="348"/>
      <c r="F332" s="349"/>
      <c r="G332" s="389"/>
      <c r="H332" s="390"/>
      <c r="I332" s="499"/>
      <c r="J332" s="390"/>
      <c r="K332" s="348"/>
      <c r="L332" s="507">
        <f t="shared" si="9"/>
        <v>332</v>
      </c>
      <c r="M332" s="508">
        <f>ROW([5]PRESUPUESTO!$B$31)</f>
        <v>31</v>
      </c>
      <c r="N332" s="509" t="str">
        <f>[5]PRESUPUESTO!$A$31</f>
        <v>190546-9P</v>
      </c>
      <c r="O332" s="510" t="s">
        <v>267</v>
      </c>
      <c r="P332" s="508" t="str">
        <f>[5]PRESUPUESTO!$AG$31</f>
        <v>CAP. 3: ENCHAPES</v>
      </c>
      <c r="Q332" s="508">
        <f>[5]PRESUPUESTO!$AH$31</f>
        <v>29</v>
      </c>
      <c r="R332" s="511"/>
      <c r="S332" s="511"/>
    </row>
    <row r="333" spans="1:30" s="513" customFormat="1" x14ac:dyDescent="0.3">
      <c r="A333" s="372">
        <v>300026</v>
      </c>
      <c r="B333" s="365"/>
      <c r="C333" s="463" t="s">
        <v>157</v>
      </c>
      <c r="D333" s="464" t="s">
        <v>158</v>
      </c>
      <c r="E333" s="465">
        <v>0.5</v>
      </c>
      <c r="F333" s="466"/>
      <c r="G333" s="393">
        <v>1690</v>
      </c>
      <c r="H333" s="394">
        <f>+G333*E333</f>
        <v>845</v>
      </c>
      <c r="I333" s="378">
        <f>I319 * (E333 * (1+F333/100))</f>
        <v>38.875</v>
      </c>
      <c r="J333" s="414">
        <v>65698.75</v>
      </c>
      <c r="K333" s="348"/>
      <c r="L333" s="507">
        <f t="shared" si="9"/>
        <v>333</v>
      </c>
      <c r="M333" s="508">
        <f>ROW([5]PRESUPUESTO!$B$31)</f>
        <v>31</v>
      </c>
      <c r="N333" s="509" t="str">
        <f>[5]PRESUPUESTO!$A$31</f>
        <v>190546-9P</v>
      </c>
      <c r="O333" s="510" t="s">
        <v>267</v>
      </c>
      <c r="P333" s="508" t="str">
        <f>[5]PRESUPUESTO!$AG$31</f>
        <v>CAP. 3: ENCHAPES</v>
      </c>
      <c r="Q333" s="508">
        <f>[5]PRESUPUESTO!$AH$31</f>
        <v>29</v>
      </c>
      <c r="R333" s="511"/>
      <c r="S333" s="511"/>
      <c r="AB333" s="513">
        <f>SUM(AH333:KH333)</f>
        <v>0</v>
      </c>
      <c r="AC333" s="513">
        <f>SUM(KJ333:UJ333)</f>
        <v>0</v>
      </c>
      <c r="AD333" s="513">
        <f>SUM(UL333:AEL333)</f>
        <v>0</v>
      </c>
    </row>
    <row r="334" spans="1:30" s="513" customFormat="1" x14ac:dyDescent="0.3">
      <c r="A334" s="395" t="s">
        <v>159</v>
      </c>
      <c r="B334" s="348"/>
      <c r="C334" s="460"/>
      <c r="D334" s="461"/>
      <c r="E334" s="348"/>
      <c r="F334" s="349"/>
      <c r="G334" s="389" t="s">
        <v>160</v>
      </c>
      <c r="H334" s="467">
        <f>SUM(H333)</f>
        <v>845</v>
      </c>
      <c r="I334" s="500"/>
      <c r="J334" s="467">
        <v>65698.75</v>
      </c>
      <c r="K334" s="348"/>
      <c r="L334" s="507">
        <f t="shared" si="9"/>
        <v>334</v>
      </c>
      <c r="M334" s="508">
        <f>ROW([5]PRESUPUESTO!$B$31)</f>
        <v>31</v>
      </c>
      <c r="N334" s="509" t="str">
        <f>[5]PRESUPUESTO!$A$31</f>
        <v>190546-9P</v>
      </c>
      <c r="O334" s="510" t="s">
        <v>267</v>
      </c>
      <c r="P334" s="508" t="str">
        <f>[5]PRESUPUESTO!$AG$31</f>
        <v>CAP. 3: ENCHAPES</v>
      </c>
      <c r="Q334" s="508">
        <f>[5]PRESUPUESTO!$AH$31</f>
        <v>29</v>
      </c>
      <c r="R334" s="511"/>
      <c r="S334" s="511"/>
    </row>
    <row r="335" spans="1:30" s="513" customFormat="1" hidden="1" x14ac:dyDescent="0.3">
      <c r="A335" s="345" t="s">
        <v>161</v>
      </c>
      <c r="B335" s="490"/>
      <c r="C335" s="462" t="s">
        <v>162</v>
      </c>
      <c r="D335" s="461"/>
      <c r="E335" s="348"/>
      <c r="F335" s="349"/>
      <c r="G335" s="389"/>
      <c r="H335" s="390"/>
      <c r="I335" s="500"/>
      <c r="J335" s="390"/>
      <c r="K335" s="348"/>
      <c r="L335" s="507">
        <f t="shared" si="9"/>
        <v>335</v>
      </c>
      <c r="M335" s="508">
        <f>ROW([5]PRESUPUESTO!$B$31)</f>
        <v>31</v>
      </c>
      <c r="N335" s="509" t="str">
        <f>[5]PRESUPUESTO!$A$31</f>
        <v>190546-9P</v>
      </c>
      <c r="O335" s="510" t="s">
        <v>267</v>
      </c>
      <c r="P335" s="508" t="str">
        <f>[5]PRESUPUESTO!$AG$31</f>
        <v>CAP. 3: ENCHAPES</v>
      </c>
      <c r="Q335" s="508">
        <f>[5]PRESUPUESTO!$AH$31</f>
        <v>29</v>
      </c>
      <c r="R335" s="511"/>
      <c r="S335" s="511"/>
    </row>
    <row r="336" spans="1:30" s="513" customFormat="1" hidden="1" x14ac:dyDescent="0.3">
      <c r="A336" s="372"/>
      <c r="B336" s="365"/>
      <c r="C336" s="463"/>
      <c r="D336" s="464"/>
      <c r="E336" s="465"/>
      <c r="F336" s="466"/>
      <c r="G336" s="393"/>
      <c r="H336" s="394"/>
      <c r="I336" s="378"/>
      <c r="J336" s="394"/>
      <c r="K336" s="348"/>
      <c r="L336" s="507">
        <f t="shared" si="9"/>
        <v>336</v>
      </c>
      <c r="M336" s="508">
        <f>ROW([5]PRESUPUESTO!$B$31)</f>
        <v>31</v>
      </c>
      <c r="N336" s="509" t="str">
        <f>[5]PRESUPUESTO!$A$31</f>
        <v>190546-9P</v>
      </c>
      <c r="O336" s="510" t="s">
        <v>267</v>
      </c>
      <c r="P336" s="508" t="str">
        <f>[5]PRESUPUESTO!$AG$31</f>
        <v>CAP. 3: ENCHAPES</v>
      </c>
      <c r="Q336" s="508">
        <f>[5]PRESUPUESTO!$AH$31</f>
        <v>29</v>
      </c>
      <c r="R336" s="511"/>
      <c r="S336" s="511"/>
    </row>
    <row r="337" spans="1:30" s="513" customFormat="1" hidden="1" x14ac:dyDescent="0.3">
      <c r="A337" s="395" t="s">
        <v>163</v>
      </c>
      <c r="B337" s="490"/>
      <c r="C337" s="460"/>
      <c r="D337" s="461"/>
      <c r="E337" s="348"/>
      <c r="F337" s="349"/>
      <c r="G337" s="389" t="s">
        <v>184</v>
      </c>
      <c r="H337" s="394">
        <v>0</v>
      </c>
      <c r="I337" s="500"/>
      <c r="J337" s="394">
        <v>0</v>
      </c>
      <c r="K337" s="348"/>
      <c r="L337" s="507">
        <f t="shared" si="9"/>
        <v>337</v>
      </c>
      <c r="M337" s="508">
        <f>ROW([5]PRESUPUESTO!$B$31)</f>
        <v>31</v>
      </c>
      <c r="N337" s="509" t="str">
        <f>[5]PRESUPUESTO!$A$31</f>
        <v>190546-9P</v>
      </c>
      <c r="O337" s="510" t="s">
        <v>267</v>
      </c>
      <c r="P337" s="508" t="str">
        <f>[5]PRESUPUESTO!$AG$31</f>
        <v>CAP. 3: ENCHAPES</v>
      </c>
      <c r="Q337" s="508">
        <f>[5]PRESUPUESTO!$AH$31</f>
        <v>29</v>
      </c>
      <c r="R337" s="511"/>
      <c r="S337" s="511"/>
    </row>
    <row r="338" spans="1:30" s="513" customFormat="1" x14ac:dyDescent="0.3">
      <c r="A338" s="345"/>
      <c r="B338" s="469"/>
      <c r="C338" s="460"/>
      <c r="D338" s="461"/>
      <c r="E338" s="348"/>
      <c r="F338" s="349"/>
      <c r="G338" s="389"/>
      <c r="H338" s="390"/>
      <c r="I338" s="499"/>
      <c r="J338" s="390"/>
      <c r="K338" s="348"/>
      <c r="L338" s="507">
        <f t="shared" si="9"/>
        <v>338</v>
      </c>
      <c r="M338" s="508">
        <f>ROW([5]PRESUPUESTO!$B$31)</f>
        <v>31</v>
      </c>
      <c r="N338" s="509" t="str">
        <f>[5]PRESUPUESTO!$A$31</f>
        <v>190546-9P</v>
      </c>
      <c r="O338" s="510" t="s">
        <v>267</v>
      </c>
      <c r="P338" s="508" t="str">
        <f>[5]PRESUPUESTO!$AG$31</f>
        <v>CAP. 3: ENCHAPES</v>
      </c>
      <c r="Q338" s="508">
        <f>[5]PRESUPUESTO!$AH$31</f>
        <v>29</v>
      </c>
      <c r="R338" s="511"/>
      <c r="S338" s="511"/>
    </row>
    <row r="339" spans="1:30" s="513" customFormat="1" ht="13.8" thickBot="1" x14ac:dyDescent="0.35">
      <c r="A339" s="345" t="s">
        <v>85</v>
      </c>
      <c r="B339" s="469"/>
      <c r="C339" s="470"/>
      <c r="D339" s="471"/>
      <c r="E339" s="472"/>
      <c r="F339" s="473" t="s">
        <v>165</v>
      </c>
      <c r="G339" s="405">
        <v>94226</v>
      </c>
      <c r="H339" s="406">
        <f>+ROUND(H334+H331+H328,0)</f>
        <v>100698</v>
      </c>
      <c r="I339" s="421"/>
      <c r="J339" s="406">
        <v>7326072</v>
      </c>
      <c r="K339" s="348"/>
      <c r="L339" s="507">
        <f t="shared" si="9"/>
        <v>339</v>
      </c>
      <c r="M339" s="508">
        <f>ROW([5]PRESUPUESTO!$B$31)</f>
        <v>31</v>
      </c>
      <c r="N339" s="509" t="str">
        <f>[5]PRESUPUESTO!$A$31</f>
        <v>190546-9P</v>
      </c>
      <c r="O339" s="510" t="s">
        <v>267</v>
      </c>
      <c r="P339" s="508" t="str">
        <f>[5]PRESUPUESTO!$AG$31</f>
        <v>CAP. 3: ENCHAPES</v>
      </c>
      <c r="Q339" s="508">
        <f>[5]PRESUPUESTO!$AH$31</f>
        <v>29</v>
      </c>
      <c r="R339" s="511"/>
      <c r="S339" s="511"/>
    </row>
    <row r="340" spans="1:30" ht="14.4" thickTop="1" thickBot="1" x14ac:dyDescent="0.35"/>
    <row r="341" spans="1:30" s="513" customFormat="1" ht="15" customHeight="1" thickTop="1" x14ac:dyDescent="0.3">
      <c r="A341" s="345" t="s">
        <v>266</v>
      </c>
      <c r="B341" s="348"/>
      <c r="C341" s="583" t="str">
        <f>+'PRESUPUESTO CASA DE LA CULTURA'!C30</f>
        <v>SUMINISTRO E INSTALACION DE COFRE ELECTRICO EXTERIORES DOBLE FONDO 80X70X30</v>
      </c>
      <c r="D341" s="584"/>
      <c r="E341" s="584"/>
      <c r="F341" s="584"/>
      <c r="G341" s="492"/>
      <c r="H341" s="448" t="s">
        <v>203</v>
      </c>
      <c r="I341" s="449" t="s">
        <v>204</v>
      </c>
      <c r="J341" s="366" t="s">
        <v>205</v>
      </c>
      <c r="K341" s="348"/>
      <c r="L341" s="507">
        <f t="shared" ref="L341:L358" si="11">ROW(O341)</f>
        <v>341</v>
      </c>
      <c r="M341" s="508">
        <f>ROW([5]PRESUPUESTO!$B$31)</f>
        <v>31</v>
      </c>
      <c r="N341" s="509" t="str">
        <f>[5]PRESUPUESTO!$A$31</f>
        <v>190546-9P</v>
      </c>
      <c r="O341" s="510" t="s">
        <v>267</v>
      </c>
      <c r="P341" s="508" t="str">
        <f>[5]PRESUPUESTO!$AG$31</f>
        <v>CAP. 3: ENCHAPES</v>
      </c>
      <c r="Q341" s="508">
        <f>[5]PRESUPUESTO!$AH$31</f>
        <v>29</v>
      </c>
      <c r="R341" s="511"/>
      <c r="S341" s="511"/>
    </row>
    <row r="342" spans="1:30" s="513" customFormat="1" ht="13.05" customHeight="1" x14ac:dyDescent="0.3">
      <c r="A342" s="345"/>
      <c r="B342" s="348"/>
      <c r="C342" s="585"/>
      <c r="D342" s="586"/>
      <c r="E342" s="586"/>
      <c r="F342" s="586"/>
      <c r="G342" s="493"/>
      <c r="H342" s="450" t="s">
        <v>268</v>
      </c>
      <c r="I342" s="512">
        <f>[5]PRESUPUESTO!$AQ$31</f>
        <v>77.75</v>
      </c>
      <c r="J342" s="369"/>
      <c r="K342" s="348"/>
      <c r="L342" s="507">
        <f t="shared" si="11"/>
        <v>342</v>
      </c>
      <c r="M342" s="508">
        <f>ROW([5]PRESUPUESTO!$B$31)</f>
        <v>31</v>
      </c>
      <c r="N342" s="509" t="str">
        <f>[5]PRESUPUESTO!$A$31</f>
        <v>190546-9P</v>
      </c>
      <c r="O342" s="510" t="s">
        <v>267</v>
      </c>
      <c r="P342" s="508" t="str">
        <f>[5]PRESUPUESTO!$AG$31</f>
        <v>CAP. 3: ENCHAPES</v>
      </c>
      <c r="Q342" s="508">
        <f>[5]PRESUPUESTO!$AH$31</f>
        <v>29</v>
      </c>
      <c r="R342" s="511"/>
      <c r="S342" s="511"/>
      <c r="AB342" s="513">
        <f>SUM(AH342:KH342)</f>
        <v>0</v>
      </c>
      <c r="AC342" s="513">
        <f>SUM(KJ342:UJ342)</f>
        <v>0</v>
      </c>
      <c r="AD342" s="513">
        <f>SUM(UL342:AEL342)</f>
        <v>0</v>
      </c>
    </row>
    <row r="343" spans="1:30" s="513" customFormat="1" x14ac:dyDescent="0.3">
      <c r="A343" s="452" t="s">
        <v>143</v>
      </c>
      <c r="B343" s="453"/>
      <c r="C343" s="454" t="s">
        <v>81</v>
      </c>
      <c r="D343" s="455" t="s">
        <v>82</v>
      </c>
      <c r="E343" s="456" t="s">
        <v>83</v>
      </c>
      <c r="F343" s="457" t="s">
        <v>144</v>
      </c>
      <c r="G343" s="458" t="s">
        <v>145</v>
      </c>
      <c r="H343" s="394" t="s">
        <v>146</v>
      </c>
      <c r="I343" s="459"/>
      <c r="J343" s="394" t="s">
        <v>146</v>
      </c>
      <c r="K343" s="348"/>
      <c r="L343" s="507">
        <f t="shared" si="11"/>
        <v>343</v>
      </c>
      <c r="M343" s="508">
        <f>ROW([5]PRESUPUESTO!$B$31)</f>
        <v>31</v>
      </c>
      <c r="N343" s="509" t="str">
        <f>[5]PRESUPUESTO!$A$31</f>
        <v>190546-9P</v>
      </c>
      <c r="O343" s="510" t="s">
        <v>267</v>
      </c>
      <c r="P343" s="508" t="str">
        <f>[5]PRESUPUESTO!$AG$31</f>
        <v>CAP. 3: ENCHAPES</v>
      </c>
      <c r="Q343" s="508">
        <f>[5]PRESUPUESTO!$AH$31</f>
        <v>29</v>
      </c>
      <c r="R343" s="511"/>
      <c r="S343" s="511"/>
    </row>
    <row r="344" spans="1:30" s="513" customFormat="1" x14ac:dyDescent="0.3">
      <c r="A344" s="372"/>
      <c r="B344" s="348"/>
      <c r="C344" s="460"/>
      <c r="D344" s="461"/>
      <c r="E344" s="348"/>
      <c r="F344" s="349"/>
      <c r="G344" s="389"/>
      <c r="H344" s="390"/>
      <c r="I344" s="498"/>
      <c r="J344" s="390"/>
      <c r="K344" s="348"/>
      <c r="L344" s="507">
        <f t="shared" si="11"/>
        <v>344</v>
      </c>
      <c r="M344" s="508">
        <f>ROW([5]PRESUPUESTO!$B$31)</f>
        <v>31</v>
      </c>
      <c r="N344" s="509" t="str">
        <f>[5]PRESUPUESTO!$A$31</f>
        <v>190546-9P</v>
      </c>
      <c r="O344" s="510" t="s">
        <v>267</v>
      </c>
      <c r="P344" s="508" t="str">
        <f>[5]PRESUPUESTO!$AG$31</f>
        <v>CAP. 3: ENCHAPES</v>
      </c>
      <c r="Q344" s="508">
        <f>[5]PRESUPUESTO!$AH$31</f>
        <v>29</v>
      </c>
      <c r="R344" s="511"/>
      <c r="S344" s="511"/>
    </row>
    <row r="345" spans="1:30" s="513" customFormat="1" x14ac:dyDescent="0.3">
      <c r="A345" s="372" t="s">
        <v>147</v>
      </c>
      <c r="B345" s="348"/>
      <c r="C345" s="462" t="s">
        <v>148</v>
      </c>
      <c r="D345" s="461"/>
      <c r="E345" s="348"/>
      <c r="F345" s="349"/>
      <c r="G345" s="389"/>
      <c r="H345" s="390"/>
      <c r="I345" s="499"/>
      <c r="J345" s="390"/>
      <c r="K345" s="348"/>
      <c r="L345" s="507">
        <f t="shared" si="11"/>
        <v>345</v>
      </c>
      <c r="M345" s="508">
        <f>ROW([5]PRESUPUESTO!$B$31)</f>
        <v>31</v>
      </c>
      <c r="N345" s="509" t="str">
        <f>[5]PRESUPUESTO!$A$31</f>
        <v>190546-9P</v>
      </c>
      <c r="O345" s="510" t="s">
        <v>267</v>
      </c>
      <c r="P345" s="508" t="str">
        <f>[5]PRESUPUESTO!$AG$31</f>
        <v>CAP. 3: ENCHAPES</v>
      </c>
      <c r="Q345" s="508">
        <f>[5]PRESUPUESTO!$AH$31</f>
        <v>29</v>
      </c>
      <c r="R345" s="511"/>
      <c r="S345" s="511"/>
    </row>
    <row r="346" spans="1:30" s="513" customFormat="1" x14ac:dyDescent="0.3">
      <c r="A346" s="372">
        <v>100053</v>
      </c>
      <c r="B346" s="365"/>
      <c r="C346" s="463" t="s">
        <v>272</v>
      </c>
      <c r="D346" s="464" t="s">
        <v>82</v>
      </c>
      <c r="E346" s="465">
        <v>1</v>
      </c>
      <c r="F346" s="466"/>
      <c r="G346" s="393">
        <v>850000</v>
      </c>
      <c r="H346" s="394">
        <f>+G346*E346</f>
        <v>850000</v>
      </c>
      <c r="I346" s="378">
        <f>I342 * (E346 * (1+F346/100))</f>
        <v>77.75</v>
      </c>
      <c r="J346" s="414">
        <v>4665</v>
      </c>
      <c r="K346" s="348"/>
      <c r="L346" s="507">
        <f t="shared" si="11"/>
        <v>346</v>
      </c>
      <c r="M346" s="508">
        <f>ROW([5]PRESUPUESTO!$B$31)</f>
        <v>31</v>
      </c>
      <c r="N346" s="509" t="str">
        <f>[5]PRESUPUESTO!$A$31</f>
        <v>190546-9P</v>
      </c>
      <c r="O346" s="510" t="s">
        <v>267</v>
      </c>
      <c r="P346" s="508" t="str">
        <f>[5]PRESUPUESTO!$AG$31</f>
        <v>CAP. 3: ENCHAPES</v>
      </c>
      <c r="Q346" s="508">
        <f>[5]PRESUPUESTO!$AH$31</f>
        <v>29</v>
      </c>
      <c r="R346" s="511"/>
      <c r="S346" s="511"/>
      <c r="AB346" s="513">
        <f>SUM(AH346:KH346)</f>
        <v>0</v>
      </c>
      <c r="AC346" s="513">
        <f>SUM(KJ346:UJ346)</f>
        <v>0</v>
      </c>
      <c r="AD346" s="513">
        <f>SUM(UL346:AEL346)</f>
        <v>0</v>
      </c>
    </row>
    <row r="347" spans="1:30" s="513" customFormat="1" x14ac:dyDescent="0.3">
      <c r="A347" s="395" t="s">
        <v>149</v>
      </c>
      <c r="B347" s="348"/>
      <c r="C347" s="460"/>
      <c r="D347" s="461"/>
      <c r="E347" s="348"/>
      <c r="F347" s="349"/>
      <c r="G347" s="389" t="s">
        <v>150</v>
      </c>
      <c r="H347" s="467">
        <f>SUM(H346)</f>
        <v>850000</v>
      </c>
      <c r="I347" s="500"/>
      <c r="J347" s="467">
        <v>5567102.1500000004</v>
      </c>
      <c r="K347" s="348"/>
      <c r="L347" s="507">
        <f t="shared" si="11"/>
        <v>347</v>
      </c>
      <c r="M347" s="508">
        <f>ROW([5]PRESUPUESTO!$B$31)</f>
        <v>31</v>
      </c>
      <c r="N347" s="509" t="str">
        <f>[5]PRESUPUESTO!$A$31</f>
        <v>190546-9P</v>
      </c>
      <c r="O347" s="510" t="s">
        <v>267</v>
      </c>
      <c r="P347" s="508" t="str">
        <f>[5]PRESUPUESTO!$AG$31</f>
        <v>CAP. 3: ENCHAPES</v>
      </c>
      <c r="Q347" s="508">
        <f>[5]PRESUPUESTO!$AH$31</f>
        <v>29</v>
      </c>
      <c r="R347" s="511"/>
      <c r="S347" s="511"/>
    </row>
    <row r="348" spans="1:30" s="513" customFormat="1" x14ac:dyDescent="0.3">
      <c r="A348" s="372" t="s">
        <v>151</v>
      </c>
      <c r="B348" s="348"/>
      <c r="C348" s="462" t="s">
        <v>152</v>
      </c>
      <c r="D348" s="461"/>
      <c r="E348" s="348"/>
      <c r="F348" s="349"/>
      <c r="G348" s="389"/>
      <c r="H348" s="390"/>
      <c r="I348" s="499"/>
      <c r="J348" s="390"/>
      <c r="K348" s="348"/>
      <c r="L348" s="507">
        <f t="shared" si="11"/>
        <v>348</v>
      </c>
      <c r="M348" s="508">
        <f>ROW([5]PRESUPUESTO!$B$31)</f>
        <v>31</v>
      </c>
      <c r="N348" s="509" t="str">
        <f>[5]PRESUPUESTO!$A$31</f>
        <v>190546-9P</v>
      </c>
      <c r="O348" s="510" t="s">
        <v>267</v>
      </c>
      <c r="P348" s="508" t="str">
        <f>[5]PRESUPUESTO!$AG$31</f>
        <v>CAP. 3: ENCHAPES</v>
      </c>
      <c r="Q348" s="508">
        <f>[5]PRESUPUESTO!$AH$31</f>
        <v>29</v>
      </c>
      <c r="R348" s="511"/>
      <c r="S348" s="511"/>
    </row>
    <row r="349" spans="1:30" x14ac:dyDescent="0.3">
      <c r="A349" s="372">
        <v>200018</v>
      </c>
      <c r="B349" s="365" t="s">
        <v>152</v>
      </c>
      <c r="C349" s="373" t="s">
        <v>225</v>
      </c>
      <c r="D349" s="374" t="s">
        <v>176</v>
      </c>
      <c r="E349" s="375">
        <v>3</v>
      </c>
      <c r="F349" s="392"/>
      <c r="G349" s="393">
        <f>+[3]M.O.!$C$13*1.2</f>
        <v>36075.599999999999</v>
      </c>
      <c r="H349" s="394">
        <f>+G349*E349</f>
        <v>108226.79999999999</v>
      </c>
      <c r="I349" s="378">
        <f>I340 * (E349 * (1+F349/100))</f>
        <v>0</v>
      </c>
      <c r="J349" s="414">
        <v>0</v>
      </c>
      <c r="K349" s="418"/>
      <c r="L349" s="381"/>
      <c r="M349" s="381"/>
      <c r="N349" s="381"/>
      <c r="O349" s="381"/>
      <c r="P349" s="381"/>
    </row>
    <row r="350" spans="1:30" s="513" customFormat="1" x14ac:dyDescent="0.3">
      <c r="A350" s="395" t="s">
        <v>153</v>
      </c>
      <c r="B350" s="348"/>
      <c r="C350" s="460"/>
      <c r="D350" s="461"/>
      <c r="E350" s="348"/>
      <c r="F350" s="349"/>
      <c r="G350" s="389" t="s">
        <v>206</v>
      </c>
      <c r="H350" s="467">
        <f>+H349</f>
        <v>108226.79999999999</v>
      </c>
      <c r="I350" s="500"/>
      <c r="J350" s="467">
        <v>1693270.6</v>
      </c>
      <c r="K350" s="348"/>
      <c r="L350" s="507">
        <f t="shared" si="11"/>
        <v>350</v>
      </c>
      <c r="M350" s="508">
        <f>ROW([5]PRESUPUESTO!$B$31)</f>
        <v>31</v>
      </c>
      <c r="N350" s="509" t="str">
        <f>[5]PRESUPUESTO!$A$31</f>
        <v>190546-9P</v>
      </c>
      <c r="O350" s="510" t="s">
        <v>267</v>
      </c>
      <c r="P350" s="508" t="str">
        <f>[5]PRESUPUESTO!$AG$31</f>
        <v>CAP. 3: ENCHAPES</v>
      </c>
      <c r="Q350" s="508">
        <f>[5]PRESUPUESTO!$AH$31</f>
        <v>29</v>
      </c>
      <c r="R350" s="511"/>
      <c r="S350" s="511"/>
    </row>
    <row r="351" spans="1:30" s="513" customFormat="1" x14ac:dyDescent="0.3">
      <c r="A351" s="372" t="s">
        <v>155</v>
      </c>
      <c r="B351" s="348"/>
      <c r="C351" s="468" t="s">
        <v>156</v>
      </c>
      <c r="D351" s="461"/>
      <c r="E351" s="348"/>
      <c r="F351" s="349"/>
      <c r="G351" s="389"/>
      <c r="H351" s="390"/>
      <c r="I351" s="499"/>
      <c r="J351" s="390"/>
      <c r="K351" s="348"/>
      <c r="L351" s="507">
        <f t="shared" si="11"/>
        <v>351</v>
      </c>
      <c r="M351" s="508">
        <f>ROW([5]PRESUPUESTO!$B$31)</f>
        <v>31</v>
      </c>
      <c r="N351" s="509" t="str">
        <f>[5]PRESUPUESTO!$A$31</f>
        <v>190546-9P</v>
      </c>
      <c r="O351" s="510" t="s">
        <v>267</v>
      </c>
      <c r="P351" s="508" t="str">
        <f>[5]PRESUPUESTO!$AG$31</f>
        <v>CAP. 3: ENCHAPES</v>
      </c>
      <c r="Q351" s="508">
        <f>[5]PRESUPUESTO!$AH$31</f>
        <v>29</v>
      </c>
      <c r="R351" s="511"/>
      <c r="S351" s="511"/>
    </row>
    <row r="352" spans="1:30" s="513" customFormat="1" x14ac:dyDescent="0.3">
      <c r="A352" s="372">
        <v>300026</v>
      </c>
      <c r="B352" s="365"/>
      <c r="C352" s="463" t="s">
        <v>157</v>
      </c>
      <c r="D352" s="464" t="s">
        <v>158</v>
      </c>
      <c r="E352" s="465">
        <v>10</v>
      </c>
      <c r="F352" s="466"/>
      <c r="G352" s="393">
        <v>1690</v>
      </c>
      <c r="H352" s="394">
        <f>+G352*E352</f>
        <v>16900</v>
      </c>
      <c r="I352" s="378">
        <f>I342 * (E352 * (1+F352/100))</f>
        <v>777.5</v>
      </c>
      <c r="J352" s="414">
        <v>65698.75</v>
      </c>
      <c r="K352" s="348"/>
      <c r="L352" s="507">
        <f t="shared" si="11"/>
        <v>352</v>
      </c>
      <c r="M352" s="508">
        <f>ROW([5]PRESUPUESTO!$B$31)</f>
        <v>31</v>
      </c>
      <c r="N352" s="509" t="str">
        <f>[5]PRESUPUESTO!$A$31</f>
        <v>190546-9P</v>
      </c>
      <c r="O352" s="510" t="s">
        <v>267</v>
      </c>
      <c r="P352" s="508" t="str">
        <f>[5]PRESUPUESTO!$AG$31</f>
        <v>CAP. 3: ENCHAPES</v>
      </c>
      <c r="Q352" s="508">
        <f>[5]PRESUPUESTO!$AH$31</f>
        <v>29</v>
      </c>
      <c r="R352" s="511"/>
      <c r="S352" s="511"/>
      <c r="AB352" s="513">
        <f>SUM(AH352:KH352)</f>
        <v>0</v>
      </c>
      <c r="AC352" s="513">
        <f>SUM(KJ352:UJ352)</f>
        <v>0</v>
      </c>
      <c r="AD352" s="513">
        <f>SUM(UL352:AEL352)</f>
        <v>0</v>
      </c>
    </row>
    <row r="353" spans="1:19" s="513" customFormat="1" x14ac:dyDescent="0.3">
      <c r="A353" s="395" t="s">
        <v>159</v>
      </c>
      <c r="B353" s="348"/>
      <c r="C353" s="460"/>
      <c r="D353" s="461"/>
      <c r="E353" s="348"/>
      <c r="F353" s="349"/>
      <c r="G353" s="389" t="s">
        <v>160</v>
      </c>
      <c r="H353" s="467">
        <f>SUM(H352)</f>
        <v>16900</v>
      </c>
      <c r="I353" s="500"/>
      <c r="J353" s="467">
        <v>65698.75</v>
      </c>
      <c r="K353" s="348"/>
      <c r="L353" s="507">
        <f t="shared" si="11"/>
        <v>353</v>
      </c>
      <c r="M353" s="508">
        <f>ROW([5]PRESUPUESTO!$B$31)</f>
        <v>31</v>
      </c>
      <c r="N353" s="509" t="str">
        <f>[5]PRESUPUESTO!$A$31</f>
        <v>190546-9P</v>
      </c>
      <c r="O353" s="510" t="s">
        <v>267</v>
      </c>
      <c r="P353" s="508" t="str">
        <f>[5]PRESUPUESTO!$AG$31</f>
        <v>CAP. 3: ENCHAPES</v>
      </c>
      <c r="Q353" s="508">
        <f>[5]PRESUPUESTO!$AH$31</f>
        <v>29</v>
      </c>
      <c r="R353" s="511"/>
      <c r="S353" s="511"/>
    </row>
    <row r="354" spans="1:19" s="513" customFormat="1" hidden="1" x14ac:dyDescent="0.3">
      <c r="A354" s="345" t="s">
        <v>161</v>
      </c>
      <c r="B354" s="490"/>
      <c r="C354" s="462" t="s">
        <v>162</v>
      </c>
      <c r="D354" s="461"/>
      <c r="E354" s="348"/>
      <c r="F354" s="349"/>
      <c r="G354" s="389"/>
      <c r="H354" s="390"/>
      <c r="I354" s="500"/>
      <c r="J354" s="390"/>
      <c r="K354" s="348"/>
      <c r="L354" s="507">
        <f t="shared" si="11"/>
        <v>354</v>
      </c>
      <c r="M354" s="508">
        <f>ROW([5]PRESUPUESTO!$B$31)</f>
        <v>31</v>
      </c>
      <c r="N354" s="509" t="str">
        <f>[5]PRESUPUESTO!$A$31</f>
        <v>190546-9P</v>
      </c>
      <c r="O354" s="510" t="s">
        <v>267</v>
      </c>
      <c r="P354" s="508" t="str">
        <f>[5]PRESUPUESTO!$AG$31</f>
        <v>CAP. 3: ENCHAPES</v>
      </c>
      <c r="Q354" s="508">
        <f>[5]PRESUPUESTO!$AH$31</f>
        <v>29</v>
      </c>
      <c r="R354" s="511"/>
      <c r="S354" s="511"/>
    </row>
    <row r="355" spans="1:19" s="513" customFormat="1" hidden="1" x14ac:dyDescent="0.3">
      <c r="A355" s="372"/>
      <c r="B355" s="365"/>
      <c r="C355" s="463"/>
      <c r="D355" s="464"/>
      <c r="E355" s="465"/>
      <c r="F355" s="466"/>
      <c r="G355" s="393"/>
      <c r="H355" s="394"/>
      <c r="I355" s="378"/>
      <c r="J355" s="394"/>
      <c r="K355" s="348"/>
      <c r="L355" s="507">
        <f t="shared" si="11"/>
        <v>355</v>
      </c>
      <c r="M355" s="508">
        <f>ROW([5]PRESUPUESTO!$B$31)</f>
        <v>31</v>
      </c>
      <c r="N355" s="509" t="str">
        <f>[5]PRESUPUESTO!$A$31</f>
        <v>190546-9P</v>
      </c>
      <c r="O355" s="510" t="s">
        <v>267</v>
      </c>
      <c r="P355" s="508" t="str">
        <f>[5]PRESUPUESTO!$AG$31</f>
        <v>CAP. 3: ENCHAPES</v>
      </c>
      <c r="Q355" s="508">
        <f>[5]PRESUPUESTO!$AH$31</f>
        <v>29</v>
      </c>
      <c r="R355" s="511"/>
      <c r="S355" s="511"/>
    </row>
    <row r="356" spans="1:19" s="513" customFormat="1" hidden="1" x14ac:dyDescent="0.3">
      <c r="A356" s="395" t="s">
        <v>163</v>
      </c>
      <c r="B356" s="490"/>
      <c r="C356" s="460"/>
      <c r="D356" s="461"/>
      <c r="E356" s="348"/>
      <c r="F356" s="349"/>
      <c r="G356" s="389" t="s">
        <v>184</v>
      </c>
      <c r="H356" s="394">
        <v>0</v>
      </c>
      <c r="I356" s="500"/>
      <c r="J356" s="394">
        <v>0</v>
      </c>
      <c r="K356" s="348"/>
      <c r="L356" s="507">
        <f t="shared" si="11"/>
        <v>356</v>
      </c>
      <c r="M356" s="508">
        <f>ROW([5]PRESUPUESTO!$B$31)</f>
        <v>31</v>
      </c>
      <c r="N356" s="509" t="str">
        <f>[5]PRESUPUESTO!$A$31</f>
        <v>190546-9P</v>
      </c>
      <c r="O356" s="510" t="s">
        <v>267</v>
      </c>
      <c r="P356" s="508" t="str">
        <f>[5]PRESUPUESTO!$AG$31</f>
        <v>CAP. 3: ENCHAPES</v>
      </c>
      <c r="Q356" s="508">
        <f>[5]PRESUPUESTO!$AH$31</f>
        <v>29</v>
      </c>
      <c r="R356" s="511"/>
      <c r="S356" s="511"/>
    </row>
    <row r="357" spans="1:19" s="513" customFormat="1" x14ac:dyDescent="0.3">
      <c r="A357" s="345"/>
      <c r="B357" s="469"/>
      <c r="C357" s="460"/>
      <c r="D357" s="461"/>
      <c r="E357" s="348"/>
      <c r="F357" s="349"/>
      <c r="G357" s="389"/>
      <c r="H357" s="390"/>
      <c r="I357" s="499"/>
      <c r="J357" s="390"/>
      <c r="K357" s="348"/>
      <c r="L357" s="507">
        <f t="shared" si="11"/>
        <v>357</v>
      </c>
      <c r="M357" s="508">
        <f>ROW([5]PRESUPUESTO!$B$31)</f>
        <v>31</v>
      </c>
      <c r="N357" s="509" t="str">
        <f>[5]PRESUPUESTO!$A$31</f>
        <v>190546-9P</v>
      </c>
      <c r="O357" s="510" t="s">
        <v>267</v>
      </c>
      <c r="P357" s="508" t="str">
        <f>[5]PRESUPUESTO!$AG$31</f>
        <v>CAP. 3: ENCHAPES</v>
      </c>
      <c r="Q357" s="508">
        <f>[5]PRESUPUESTO!$AH$31</f>
        <v>29</v>
      </c>
      <c r="R357" s="511"/>
      <c r="S357" s="511"/>
    </row>
    <row r="358" spans="1:19" s="513" customFormat="1" ht="13.8" thickBot="1" x14ac:dyDescent="0.35">
      <c r="A358" s="345" t="s">
        <v>85</v>
      </c>
      <c r="B358" s="469"/>
      <c r="C358" s="470"/>
      <c r="D358" s="471"/>
      <c r="E358" s="472"/>
      <c r="F358" s="473" t="s">
        <v>165</v>
      </c>
      <c r="G358" s="405">
        <v>94226</v>
      </c>
      <c r="H358" s="406">
        <f>ROUND(+H353+H350+H347,0)</f>
        <v>975127</v>
      </c>
      <c r="I358" s="421"/>
      <c r="J358" s="406">
        <v>7326072</v>
      </c>
      <c r="K358" s="348"/>
      <c r="L358" s="507">
        <f t="shared" si="11"/>
        <v>358</v>
      </c>
      <c r="M358" s="508">
        <f>ROW([5]PRESUPUESTO!$B$31)</f>
        <v>31</v>
      </c>
      <c r="N358" s="509" t="str">
        <f>[5]PRESUPUESTO!$A$31</f>
        <v>190546-9P</v>
      </c>
      <c r="O358" s="510" t="s">
        <v>267</v>
      </c>
      <c r="P358" s="508" t="str">
        <f>[5]PRESUPUESTO!$AG$31</f>
        <v>CAP. 3: ENCHAPES</v>
      </c>
      <c r="Q358" s="508">
        <f>[5]PRESUPUESTO!$AH$31</f>
        <v>29</v>
      </c>
      <c r="R358" s="511"/>
      <c r="S358" s="511"/>
    </row>
    <row r="359" spans="1:19" ht="14.4" thickTop="1" thickBot="1" x14ac:dyDescent="0.35"/>
    <row r="360" spans="1:19" ht="13.8" thickTop="1" x14ac:dyDescent="0.3">
      <c r="A360" s="345" t="s">
        <v>207</v>
      </c>
      <c r="B360" s="365"/>
      <c r="C360" s="571" t="str">
        <f>+'PRESUPUESTO CASA DE LA CULTURA'!C31</f>
        <v>CONSTRUCCION DE PORTON DE 7.00 X 2.50 M COLOR NEGRO PERFILERIA METALICA SEGÚN ESPECIFICACIONES, ZAPATA Y DADO EN CONCRETO REFORZADO</v>
      </c>
      <c r="D360" s="572"/>
      <c r="E360" s="572"/>
      <c r="F360" s="572"/>
      <c r="G360" s="496"/>
      <c r="H360" s="366" t="s">
        <v>174</v>
      </c>
      <c r="I360" s="367" t="s">
        <v>142</v>
      </c>
      <c r="J360" s="368" t="s">
        <v>88</v>
      </c>
      <c r="K360" s="418"/>
      <c r="L360" s="381"/>
      <c r="M360" s="381"/>
      <c r="N360" s="381"/>
      <c r="O360" s="381"/>
      <c r="P360" s="381"/>
    </row>
    <row r="361" spans="1:19" x14ac:dyDescent="0.3">
      <c r="A361" s="345"/>
      <c r="B361" s="365"/>
      <c r="C361" s="573"/>
      <c r="D361" s="574"/>
      <c r="E361" s="574"/>
      <c r="F361" s="574"/>
      <c r="G361" s="497"/>
      <c r="H361" s="369"/>
      <c r="I361" s="413"/>
      <c r="J361" s="371"/>
      <c r="K361" s="418"/>
      <c r="L361" s="381"/>
      <c r="M361" s="381"/>
      <c r="N361" s="381"/>
      <c r="O361" s="381"/>
      <c r="P361" s="381"/>
    </row>
    <row r="362" spans="1:19" x14ac:dyDescent="0.3">
      <c r="A362" s="372" t="s">
        <v>143</v>
      </c>
      <c r="B362" s="365"/>
      <c r="C362" s="373" t="s">
        <v>81</v>
      </c>
      <c r="D362" s="374" t="s">
        <v>82</v>
      </c>
      <c r="E362" s="375" t="s">
        <v>83</v>
      </c>
      <c r="F362" s="392" t="s">
        <v>144</v>
      </c>
      <c r="G362" s="393" t="s">
        <v>145</v>
      </c>
      <c r="H362" s="394" t="s">
        <v>146</v>
      </c>
      <c r="I362" s="378"/>
      <c r="J362" s="414" t="s">
        <v>146</v>
      </c>
      <c r="K362" s="418"/>
      <c r="L362" s="381"/>
      <c r="M362" s="381"/>
      <c r="N362" s="381"/>
      <c r="O362" s="381"/>
      <c r="P362" s="381"/>
    </row>
    <row r="363" spans="1:19" x14ac:dyDescent="0.3">
      <c r="A363" s="372"/>
      <c r="B363" s="365"/>
      <c r="C363" s="380"/>
      <c r="D363" s="345"/>
      <c r="E363" s="381"/>
      <c r="F363" s="388"/>
      <c r="G363" s="389"/>
      <c r="H363" s="390"/>
      <c r="I363" s="384"/>
      <c r="J363" s="391"/>
      <c r="K363" s="418"/>
      <c r="L363" s="381"/>
      <c r="M363" s="381"/>
      <c r="N363" s="381"/>
      <c r="O363" s="381"/>
      <c r="P363" s="381"/>
    </row>
    <row r="364" spans="1:19" x14ac:dyDescent="0.3">
      <c r="A364" s="372" t="s">
        <v>147</v>
      </c>
      <c r="B364" s="365"/>
      <c r="C364" s="386" t="s">
        <v>148</v>
      </c>
      <c r="D364" s="345"/>
      <c r="E364" s="381"/>
      <c r="F364" s="388"/>
      <c r="G364" s="389"/>
      <c r="H364" s="390"/>
      <c r="I364" s="384"/>
      <c r="J364" s="391"/>
      <c r="K364" s="418"/>
      <c r="L364" s="381"/>
      <c r="M364" s="381"/>
      <c r="N364" s="381"/>
      <c r="O364" s="381"/>
      <c r="P364" s="381"/>
    </row>
    <row r="365" spans="1:19" x14ac:dyDescent="0.3">
      <c r="A365" s="372">
        <v>100894</v>
      </c>
      <c r="B365" s="365" t="s">
        <v>209</v>
      </c>
      <c r="C365" s="373" t="s">
        <v>275</v>
      </c>
      <c r="D365" s="374" t="s">
        <v>82</v>
      </c>
      <c r="E365" s="375">
        <v>6</v>
      </c>
      <c r="F365" s="392">
        <v>1.05</v>
      </c>
      <c r="G365" s="393">
        <v>61000</v>
      </c>
      <c r="H365" s="394">
        <f>+G365*F365*E365</f>
        <v>384300</v>
      </c>
      <c r="I365" s="378">
        <f>I361 * (E365 * (1+F365/100))</f>
        <v>0</v>
      </c>
      <c r="J365" s="414">
        <v>0</v>
      </c>
      <c r="K365" s="418"/>
      <c r="L365" s="381"/>
      <c r="M365" s="381"/>
      <c r="N365" s="381"/>
      <c r="O365" s="381"/>
      <c r="P365" s="381"/>
    </row>
    <row r="366" spans="1:19" x14ac:dyDescent="0.3">
      <c r="A366" s="372">
        <v>102435</v>
      </c>
      <c r="B366" s="365" t="s">
        <v>209</v>
      </c>
      <c r="C366" s="373" t="s">
        <v>276</v>
      </c>
      <c r="D366" s="374" t="s">
        <v>82</v>
      </c>
      <c r="E366" s="375">
        <v>41</v>
      </c>
      <c r="F366" s="392">
        <v>1.05</v>
      </c>
      <c r="G366" s="393">
        <v>39000</v>
      </c>
      <c r="H366" s="394">
        <f>+G366*F366*E366</f>
        <v>1678950</v>
      </c>
      <c r="I366" s="378">
        <f>I361 * (E366 * (1+F366/100))</f>
        <v>0</v>
      </c>
      <c r="J366" s="414">
        <v>0</v>
      </c>
      <c r="K366" s="418"/>
      <c r="L366" s="381"/>
      <c r="M366" s="381"/>
      <c r="N366" s="381"/>
      <c r="O366" s="381"/>
      <c r="P366" s="381"/>
    </row>
    <row r="367" spans="1:19" x14ac:dyDescent="0.3">
      <c r="A367" s="372">
        <v>101572</v>
      </c>
      <c r="B367" s="365" t="s">
        <v>208</v>
      </c>
      <c r="C367" s="373" t="s">
        <v>277</v>
      </c>
      <c r="D367" s="374" t="s">
        <v>82</v>
      </c>
      <c r="E367" s="375">
        <v>2</v>
      </c>
      <c r="F367" s="392">
        <v>1.05</v>
      </c>
      <c r="G367" s="393">
        <v>197000</v>
      </c>
      <c r="H367" s="394">
        <f t="shared" ref="H367:H369" si="12">+G367*F367*E367</f>
        <v>413700</v>
      </c>
      <c r="I367" s="378">
        <f>I361 * (E367 * (1+F367/100))</f>
        <v>0</v>
      </c>
      <c r="J367" s="414">
        <v>0</v>
      </c>
      <c r="K367" s="418"/>
      <c r="L367" s="381"/>
      <c r="M367" s="381"/>
      <c r="N367" s="381"/>
      <c r="O367" s="381"/>
      <c r="P367" s="381"/>
    </row>
    <row r="368" spans="1:19" x14ac:dyDescent="0.3">
      <c r="A368" s="372">
        <v>101378</v>
      </c>
      <c r="B368" s="365" t="s">
        <v>215</v>
      </c>
      <c r="C368" s="373" t="s">
        <v>278</v>
      </c>
      <c r="D368" s="374" t="s">
        <v>279</v>
      </c>
      <c r="E368" s="375">
        <v>4.5</v>
      </c>
      <c r="F368" s="392">
        <v>1</v>
      </c>
      <c r="G368" s="393">
        <v>1</v>
      </c>
      <c r="H368" s="394">
        <f t="shared" si="12"/>
        <v>4.5</v>
      </c>
      <c r="I368" s="378">
        <f>I361 * (E368 * (1+F368/100))</f>
        <v>0</v>
      </c>
      <c r="J368" s="414">
        <v>0</v>
      </c>
      <c r="K368" s="418"/>
      <c r="L368" s="381"/>
      <c r="M368" s="381"/>
      <c r="N368" s="381"/>
      <c r="O368" s="381"/>
      <c r="P368" s="381"/>
    </row>
    <row r="369" spans="1:23" x14ac:dyDescent="0.3">
      <c r="A369" s="372">
        <v>100075</v>
      </c>
      <c r="B369" s="365" t="s">
        <v>216</v>
      </c>
      <c r="C369" s="373" t="s">
        <v>280</v>
      </c>
      <c r="D369" s="374" t="s">
        <v>212</v>
      </c>
      <c r="E369" s="375">
        <v>2</v>
      </c>
      <c r="F369" s="392">
        <v>1</v>
      </c>
      <c r="G369" s="393">
        <v>65000</v>
      </c>
      <c r="H369" s="394">
        <f t="shared" si="12"/>
        <v>130000</v>
      </c>
      <c r="I369" s="378">
        <f>I361 * (E369 * (1+F369/100))</f>
        <v>0</v>
      </c>
      <c r="J369" s="414">
        <v>0</v>
      </c>
      <c r="K369" s="418"/>
      <c r="L369" s="381"/>
      <c r="M369" s="381"/>
      <c r="N369" s="381"/>
      <c r="O369" s="381"/>
      <c r="P369" s="381"/>
    </row>
    <row r="370" spans="1:23" x14ac:dyDescent="0.3">
      <c r="A370" s="372">
        <v>101572</v>
      </c>
      <c r="B370" s="365" t="s">
        <v>208</v>
      </c>
      <c r="C370" s="373" t="s">
        <v>281</v>
      </c>
      <c r="D370" s="374" t="s">
        <v>82</v>
      </c>
      <c r="E370" s="375">
        <v>6</v>
      </c>
      <c r="F370" s="392">
        <v>1</v>
      </c>
      <c r="G370" s="393">
        <v>35000</v>
      </c>
      <c r="H370" s="394">
        <f t="shared" ref="H370:H372" si="13">+G370*F370*E370</f>
        <v>210000</v>
      </c>
      <c r="I370" s="378">
        <f>I364 * (E370 * (1+F370/100))</f>
        <v>0</v>
      </c>
      <c r="J370" s="414">
        <v>0</v>
      </c>
      <c r="K370" s="418"/>
      <c r="L370" s="381"/>
      <c r="M370" s="381"/>
      <c r="N370" s="381"/>
      <c r="O370" s="381"/>
      <c r="P370" s="381"/>
      <c r="V370" s="476">
        <f>0.5*0.5*0.3</f>
        <v>7.4999999999999997E-2</v>
      </c>
      <c r="W370" s="476">
        <f>+V370*3</f>
        <v>0.22499999999999998</v>
      </c>
    </row>
    <row r="371" spans="1:23" x14ac:dyDescent="0.3">
      <c r="A371" s="372">
        <v>101378</v>
      </c>
      <c r="B371" s="365" t="s">
        <v>215</v>
      </c>
      <c r="C371" s="373" t="s">
        <v>283</v>
      </c>
      <c r="D371" s="374" t="s">
        <v>282</v>
      </c>
      <c r="E371" s="375">
        <v>1</v>
      </c>
      <c r="F371" s="392">
        <v>1</v>
      </c>
      <c r="G371" s="393">
        <v>160000</v>
      </c>
      <c r="H371" s="394">
        <f t="shared" si="13"/>
        <v>160000</v>
      </c>
      <c r="I371" s="378">
        <f>I364 * (E371 * (1+F371/100))</f>
        <v>0</v>
      </c>
      <c r="J371" s="414">
        <v>0</v>
      </c>
      <c r="K371" s="418"/>
      <c r="L371" s="381"/>
      <c r="M371" s="381"/>
      <c r="N371" s="381"/>
      <c r="O371" s="381"/>
      <c r="P371" s="381"/>
    </row>
    <row r="372" spans="1:23" x14ac:dyDescent="0.3">
      <c r="A372" s="372">
        <v>100075</v>
      </c>
      <c r="B372" s="365" t="s">
        <v>216</v>
      </c>
      <c r="C372" s="373" t="s">
        <v>280</v>
      </c>
      <c r="D372" s="374" t="s">
        <v>212</v>
      </c>
      <c r="E372" s="375">
        <v>2</v>
      </c>
      <c r="F372" s="392">
        <v>1</v>
      </c>
      <c r="G372" s="393">
        <v>65000</v>
      </c>
      <c r="H372" s="394">
        <f t="shared" si="13"/>
        <v>130000</v>
      </c>
      <c r="I372" s="378">
        <f>I364 * (E372 * (1+F372/100))</f>
        <v>0</v>
      </c>
      <c r="J372" s="414">
        <v>0</v>
      </c>
      <c r="K372" s="418"/>
      <c r="L372" s="381"/>
      <c r="M372" s="381"/>
      <c r="N372" s="381"/>
      <c r="O372" s="381"/>
      <c r="P372" s="381"/>
    </row>
    <row r="373" spans="1:23" x14ac:dyDescent="0.3">
      <c r="A373" s="372">
        <v>101378</v>
      </c>
      <c r="B373" s="365" t="s">
        <v>215</v>
      </c>
      <c r="C373" s="373" t="str">
        <f>+C392</f>
        <v>MEZCLA CONCRETO 1:2:3 3100 PSI - 22,0 Mpa</v>
      </c>
      <c r="D373" s="374" t="s">
        <v>97</v>
      </c>
      <c r="E373" s="375">
        <v>0.71199999999999997</v>
      </c>
      <c r="F373" s="392">
        <v>1.1000000000000001</v>
      </c>
      <c r="G373" s="393">
        <f>+H416</f>
        <v>801013</v>
      </c>
      <c r="H373" s="394">
        <f t="shared" ref="H373:H374" si="14">+G373*F373*E373</f>
        <v>627353.38159999996</v>
      </c>
      <c r="I373" s="378">
        <f>I366 * (E373 * (1+F373/100))</f>
        <v>0</v>
      </c>
      <c r="J373" s="414">
        <v>0</v>
      </c>
      <c r="K373" s="418"/>
      <c r="L373" s="381"/>
      <c r="M373" s="381"/>
      <c r="N373" s="381"/>
      <c r="O373" s="381"/>
      <c r="P373" s="381"/>
    </row>
    <row r="374" spans="1:23" x14ac:dyDescent="0.3">
      <c r="A374" s="372">
        <v>100075</v>
      </c>
      <c r="B374" s="365" t="s">
        <v>216</v>
      </c>
      <c r="C374" s="373" t="s">
        <v>300</v>
      </c>
      <c r="D374" s="374" t="s">
        <v>279</v>
      </c>
      <c r="E374" s="375">
        <v>50</v>
      </c>
      <c r="F374" s="392">
        <v>1.05</v>
      </c>
      <c r="G374" s="393">
        <v>4700</v>
      </c>
      <c r="H374" s="394">
        <f t="shared" si="14"/>
        <v>246750</v>
      </c>
      <c r="I374" s="378">
        <f>I366 * (E374 * (1+F374/100))</f>
        <v>0</v>
      </c>
      <c r="J374" s="414">
        <v>0</v>
      </c>
      <c r="K374" s="418"/>
      <c r="L374" s="381"/>
      <c r="M374" s="381"/>
      <c r="N374" s="381"/>
      <c r="O374" s="381"/>
      <c r="P374" s="381"/>
    </row>
    <row r="375" spans="1:23" x14ac:dyDescent="0.3">
      <c r="A375" s="372">
        <v>100075</v>
      </c>
      <c r="B375" s="365" t="s">
        <v>216</v>
      </c>
      <c r="C375" s="373" t="s">
        <v>301</v>
      </c>
      <c r="D375" s="374" t="s">
        <v>158</v>
      </c>
      <c r="E375" s="375">
        <v>1</v>
      </c>
      <c r="F375" s="392">
        <v>1</v>
      </c>
      <c r="G375" s="393">
        <v>70000</v>
      </c>
      <c r="H375" s="394">
        <f t="shared" ref="H375" si="15">+G375*F375*E375</f>
        <v>70000</v>
      </c>
      <c r="I375" s="378">
        <f>I367 * (E375 * (1+F375/100))</f>
        <v>0</v>
      </c>
      <c r="J375" s="414">
        <v>0</v>
      </c>
      <c r="K375" s="418"/>
      <c r="L375" s="381"/>
      <c r="M375" s="381"/>
      <c r="N375" s="381"/>
      <c r="O375" s="381"/>
      <c r="P375" s="381"/>
    </row>
    <row r="376" spans="1:23" x14ac:dyDescent="0.3">
      <c r="A376" s="395" t="s">
        <v>149</v>
      </c>
      <c r="B376" s="365"/>
      <c r="C376" s="380"/>
      <c r="D376" s="345"/>
      <c r="E376" s="381"/>
      <c r="F376" s="388"/>
      <c r="G376" s="389" t="s">
        <v>150</v>
      </c>
      <c r="H376" s="394">
        <f>SUM(H365:H375)</f>
        <v>4051057.8816</v>
      </c>
      <c r="I376" s="384"/>
      <c r="J376" s="416">
        <v>0</v>
      </c>
      <c r="K376" s="418"/>
      <c r="L376" s="381"/>
      <c r="M376" s="381"/>
      <c r="N376" s="381"/>
      <c r="O376" s="381"/>
      <c r="P376" s="381"/>
    </row>
    <row r="377" spans="1:23" x14ac:dyDescent="0.3">
      <c r="A377" s="372" t="s">
        <v>151</v>
      </c>
      <c r="B377" s="365"/>
      <c r="C377" s="386" t="s">
        <v>152</v>
      </c>
      <c r="D377" s="345"/>
      <c r="E377" s="381"/>
      <c r="F377" s="388"/>
      <c r="G377" s="389"/>
      <c r="H377" s="390"/>
      <c r="I377" s="384"/>
      <c r="J377" s="391"/>
      <c r="K377" s="418"/>
      <c r="L377" s="381"/>
      <c r="M377" s="381"/>
      <c r="N377" s="381"/>
      <c r="O377" s="381"/>
      <c r="P377" s="381"/>
    </row>
    <row r="378" spans="1:23" x14ac:dyDescent="0.3">
      <c r="A378" s="372">
        <v>200004</v>
      </c>
      <c r="B378" s="365" t="s">
        <v>152</v>
      </c>
      <c r="C378" s="373" t="s">
        <v>302</v>
      </c>
      <c r="D378" s="374" t="s">
        <v>176</v>
      </c>
      <c r="E378" s="375">
        <v>8.6999999999999993</v>
      </c>
      <c r="F378" s="392"/>
      <c r="G378" s="393">
        <f>+[3]M.O.!$C$17+[3]M.O.!$E$5</f>
        <v>50876</v>
      </c>
      <c r="H378" s="394">
        <f>+G378*E378</f>
        <v>442621.19999999995</v>
      </c>
      <c r="I378" s="378">
        <f>I361 * (E378 * (1+F378/100))</f>
        <v>0</v>
      </c>
      <c r="J378" s="414">
        <v>0</v>
      </c>
      <c r="K378" s="418"/>
      <c r="L378" s="381"/>
      <c r="M378" s="381"/>
      <c r="N378" s="381"/>
      <c r="O378" s="381"/>
      <c r="P378" s="381"/>
    </row>
    <row r="379" spans="1:23" x14ac:dyDescent="0.3">
      <c r="A379" s="372">
        <v>200017</v>
      </c>
      <c r="B379" s="365" t="s">
        <v>152</v>
      </c>
      <c r="C379" s="373" t="s">
        <v>307</v>
      </c>
      <c r="D379" s="374" t="s">
        <v>176</v>
      </c>
      <c r="E379" s="375">
        <v>5</v>
      </c>
      <c r="F379" s="392"/>
      <c r="G379" s="393">
        <f>+[3]M.O.!$C$14</f>
        <v>41626</v>
      </c>
      <c r="H379" s="394">
        <f t="shared" ref="H379:H380" si="16">+G379*E379</f>
        <v>208130</v>
      </c>
      <c r="I379" s="378">
        <f>I361 * (E379 * (1+F379/100))</f>
        <v>0</v>
      </c>
      <c r="J379" s="414">
        <v>0</v>
      </c>
      <c r="K379" s="418"/>
      <c r="L379" s="381"/>
      <c r="M379" s="381"/>
      <c r="N379" s="381"/>
      <c r="O379" s="381"/>
      <c r="P379" s="381"/>
    </row>
    <row r="380" spans="1:23" x14ac:dyDescent="0.3">
      <c r="A380" s="372">
        <v>200026</v>
      </c>
      <c r="B380" s="365" t="s">
        <v>152</v>
      </c>
      <c r="C380" s="373" t="s">
        <v>220</v>
      </c>
      <c r="D380" s="374" t="s">
        <v>176</v>
      </c>
      <c r="E380" s="375">
        <v>5.5</v>
      </c>
      <c r="F380" s="392"/>
      <c r="G380" s="393">
        <f>+[3]M.O.!$C$13*1.1</f>
        <v>33069.300000000003</v>
      </c>
      <c r="H380" s="394">
        <f t="shared" si="16"/>
        <v>181881.15000000002</v>
      </c>
      <c r="I380" s="378">
        <f>I361 * (E380 * (1+F380/100))</f>
        <v>0</v>
      </c>
      <c r="J380" s="414">
        <v>0</v>
      </c>
      <c r="K380" s="418"/>
      <c r="L380" s="381"/>
      <c r="M380" s="381"/>
      <c r="N380" s="381"/>
      <c r="O380" s="381"/>
      <c r="P380" s="381"/>
    </row>
    <row r="381" spans="1:23" x14ac:dyDescent="0.3">
      <c r="A381" s="395" t="s">
        <v>153</v>
      </c>
      <c r="B381" s="365"/>
      <c r="C381" s="380"/>
      <c r="D381" s="345"/>
      <c r="E381" s="381"/>
      <c r="F381" s="388"/>
      <c r="G381" s="389" t="s">
        <v>154</v>
      </c>
      <c r="H381" s="415">
        <f>SUM(H378:H380)</f>
        <v>832632.35</v>
      </c>
      <c r="I381" s="384"/>
      <c r="J381" s="416">
        <v>0</v>
      </c>
      <c r="K381" s="418"/>
      <c r="L381" s="381"/>
      <c r="M381" s="381"/>
      <c r="N381" s="381"/>
      <c r="O381" s="381"/>
      <c r="P381" s="381"/>
    </row>
    <row r="382" spans="1:23" x14ac:dyDescent="0.3">
      <c r="A382" s="372" t="s">
        <v>155</v>
      </c>
      <c r="B382" s="365"/>
      <c r="C382" s="398" t="s">
        <v>156</v>
      </c>
      <c r="D382" s="345"/>
      <c r="E382" s="381"/>
      <c r="F382" s="388"/>
      <c r="G382" s="389"/>
      <c r="H382" s="390"/>
      <c r="I382" s="384"/>
      <c r="J382" s="391"/>
      <c r="K382" s="418"/>
      <c r="L382" s="381"/>
      <c r="M382" s="381"/>
      <c r="N382" s="381"/>
      <c r="O382" s="381"/>
      <c r="P382" s="381"/>
    </row>
    <row r="383" spans="1:23" x14ac:dyDescent="0.3">
      <c r="A383" s="372">
        <v>300026</v>
      </c>
      <c r="B383" s="365" t="s">
        <v>156</v>
      </c>
      <c r="C383" s="373" t="s">
        <v>157</v>
      </c>
      <c r="D383" s="374" t="s">
        <v>158</v>
      </c>
      <c r="E383" s="375">
        <v>1.0150000000000001</v>
      </c>
      <c r="F383" s="392"/>
      <c r="G383" s="393">
        <v>1690</v>
      </c>
      <c r="H383" s="394">
        <v>1715.35</v>
      </c>
      <c r="I383" s="378">
        <f>I361 * (E383 * (1+F383/100))</f>
        <v>0</v>
      </c>
      <c r="J383" s="414">
        <v>0</v>
      </c>
      <c r="K383" s="418"/>
      <c r="L383" s="381"/>
      <c r="M383" s="381"/>
      <c r="N383" s="381"/>
      <c r="O383" s="381"/>
      <c r="P383" s="381"/>
    </row>
    <row r="384" spans="1:23" x14ac:dyDescent="0.3">
      <c r="A384" s="372">
        <v>300019</v>
      </c>
      <c r="B384" s="365" t="s">
        <v>156</v>
      </c>
      <c r="C384" s="373" t="s">
        <v>221</v>
      </c>
      <c r="D384" s="374" t="s">
        <v>200</v>
      </c>
      <c r="E384" s="375">
        <v>0.1</v>
      </c>
      <c r="F384" s="392"/>
      <c r="G384" s="393">
        <v>106</v>
      </c>
      <c r="H384" s="394">
        <v>10.6</v>
      </c>
      <c r="I384" s="378">
        <f>I361 * (E384 * (1+F384/100))</f>
        <v>0</v>
      </c>
      <c r="J384" s="414">
        <v>0</v>
      </c>
      <c r="K384" s="418"/>
      <c r="L384" s="381"/>
      <c r="M384" s="381"/>
      <c r="N384" s="381"/>
      <c r="O384" s="381"/>
      <c r="P384" s="381"/>
    </row>
    <row r="385" spans="1:16" x14ac:dyDescent="0.3">
      <c r="A385" s="395" t="s">
        <v>159</v>
      </c>
      <c r="B385" s="365"/>
      <c r="C385" s="380"/>
      <c r="D385" s="345"/>
      <c r="E385" s="381"/>
      <c r="F385" s="388"/>
      <c r="G385" s="389" t="s">
        <v>160</v>
      </c>
      <c r="H385" s="415">
        <f>SUM(H383:H384)</f>
        <v>1725.9499999999998</v>
      </c>
      <c r="I385" s="384"/>
      <c r="J385" s="416">
        <v>0</v>
      </c>
      <c r="K385" s="418"/>
      <c r="L385" s="381"/>
      <c r="M385" s="381"/>
      <c r="N385" s="381"/>
      <c r="O385" s="381"/>
      <c r="P385" s="381"/>
    </row>
    <row r="386" spans="1:16" hidden="1" x14ac:dyDescent="0.3">
      <c r="A386" s="345" t="s">
        <v>161</v>
      </c>
      <c r="B386" s="348"/>
      <c r="C386" s="386" t="s">
        <v>162</v>
      </c>
      <c r="D386" s="345"/>
      <c r="E386" s="381"/>
      <c r="F386" s="388"/>
      <c r="G386" s="389"/>
      <c r="H386" s="390"/>
      <c r="I386" s="384"/>
      <c r="J386" s="391"/>
      <c r="K386" s="418"/>
      <c r="L386" s="381"/>
      <c r="M386" s="381"/>
      <c r="N386" s="381"/>
      <c r="O386" s="381"/>
      <c r="P386" s="381"/>
    </row>
    <row r="387" spans="1:16" hidden="1" x14ac:dyDescent="0.3">
      <c r="A387" s="372"/>
      <c r="B387" s="365"/>
      <c r="C387" s="373"/>
      <c r="D387" s="374"/>
      <c r="E387" s="375"/>
      <c r="F387" s="392"/>
      <c r="G387" s="393"/>
      <c r="H387" s="394"/>
      <c r="I387" s="378"/>
      <c r="J387" s="414"/>
      <c r="K387" s="418"/>
      <c r="L387" s="381"/>
      <c r="M387" s="381"/>
      <c r="N387" s="381"/>
      <c r="O387" s="381"/>
      <c r="P387" s="381"/>
    </row>
    <row r="388" spans="1:16" hidden="1" x14ac:dyDescent="0.3">
      <c r="A388" s="395" t="s">
        <v>163</v>
      </c>
      <c r="B388" s="348"/>
      <c r="C388" s="380"/>
      <c r="D388" s="345"/>
      <c r="E388" s="381"/>
      <c r="F388" s="388"/>
      <c r="G388" s="389" t="s">
        <v>164</v>
      </c>
      <c r="H388" s="394">
        <v>0</v>
      </c>
      <c r="I388" s="384"/>
      <c r="J388" s="414">
        <v>0</v>
      </c>
      <c r="K388" s="418"/>
      <c r="L388" s="381"/>
      <c r="M388" s="381"/>
      <c r="N388" s="381"/>
      <c r="O388" s="381"/>
      <c r="P388" s="381"/>
    </row>
    <row r="389" spans="1:16" x14ac:dyDescent="0.3">
      <c r="A389" s="345"/>
      <c r="B389" s="419"/>
      <c r="C389" s="380"/>
      <c r="D389" s="345"/>
      <c r="E389" s="381"/>
      <c r="F389" s="388"/>
      <c r="G389" s="389"/>
      <c r="H389" s="390"/>
      <c r="I389" s="384"/>
      <c r="J389" s="391"/>
      <c r="K389" s="418"/>
      <c r="L389" s="381"/>
      <c r="M389" s="381"/>
      <c r="N389" s="381"/>
      <c r="O389" s="381"/>
      <c r="P389" s="381"/>
    </row>
    <row r="390" spans="1:16" ht="13.8" thickBot="1" x14ac:dyDescent="0.35">
      <c r="A390" s="345" t="s">
        <v>85</v>
      </c>
      <c r="B390" s="419"/>
      <c r="C390" s="401"/>
      <c r="D390" s="402"/>
      <c r="E390" s="403"/>
      <c r="F390" s="404" t="s">
        <v>165</v>
      </c>
      <c r="G390" s="420">
        <v>54701.22</v>
      </c>
      <c r="H390" s="406">
        <f>+ROUND(H385+H381+H376,0)</f>
        <v>4885416</v>
      </c>
      <c r="I390" s="421">
        <f>SUM(J362:J389)/2</f>
        <v>0</v>
      </c>
      <c r="J390" s="408">
        <v>0</v>
      </c>
      <c r="K390" s="418"/>
      <c r="L390" s="381"/>
      <c r="M390" s="381"/>
      <c r="N390" s="381"/>
      <c r="O390" s="381"/>
      <c r="P390" s="381"/>
    </row>
    <row r="391" spans="1:16" ht="14.4" thickTop="1" thickBot="1" x14ac:dyDescent="0.35"/>
    <row r="392" spans="1:16" ht="13.8" thickTop="1" x14ac:dyDescent="0.3">
      <c r="A392" s="345" t="s">
        <v>284</v>
      </c>
      <c r="B392" s="365"/>
      <c r="C392" s="571" t="s">
        <v>285</v>
      </c>
      <c r="D392" s="572"/>
      <c r="E392" s="572"/>
      <c r="F392" s="572"/>
      <c r="G392" s="496"/>
      <c r="H392" s="366" t="s">
        <v>286</v>
      </c>
      <c r="I392" s="367" t="s">
        <v>142</v>
      </c>
      <c r="J392" s="368" t="s">
        <v>88</v>
      </c>
    </row>
    <row r="393" spans="1:16" x14ac:dyDescent="0.3">
      <c r="A393" s="345"/>
      <c r="B393" s="365"/>
      <c r="C393" s="573"/>
      <c r="D393" s="574"/>
      <c r="E393" s="574"/>
      <c r="F393" s="574"/>
      <c r="G393" s="497"/>
      <c r="H393" s="369" t="s">
        <v>287</v>
      </c>
      <c r="I393" s="413">
        <f>I597+I632+I670+I705+I737+I770+I805+I949</f>
        <v>0</v>
      </c>
      <c r="J393" s="371"/>
    </row>
    <row r="394" spans="1:16" x14ac:dyDescent="0.3">
      <c r="A394" s="372" t="s">
        <v>143</v>
      </c>
      <c r="B394" s="365"/>
      <c r="C394" s="373" t="s">
        <v>81</v>
      </c>
      <c r="D394" s="374" t="s">
        <v>82</v>
      </c>
      <c r="E394" s="375" t="s">
        <v>83</v>
      </c>
      <c r="F394" s="392" t="s">
        <v>144</v>
      </c>
      <c r="G394" s="393" t="s">
        <v>145</v>
      </c>
      <c r="H394" s="394" t="s">
        <v>146</v>
      </c>
      <c r="I394" s="378"/>
      <c r="J394" s="414" t="s">
        <v>146</v>
      </c>
    </row>
    <row r="395" spans="1:16" x14ac:dyDescent="0.3">
      <c r="A395" s="372"/>
      <c r="B395" s="365"/>
      <c r="C395" s="380"/>
      <c r="D395" s="345"/>
      <c r="E395" s="381"/>
      <c r="F395" s="388"/>
      <c r="G395" s="389"/>
      <c r="H395" s="390"/>
      <c r="I395" s="384"/>
      <c r="J395" s="391"/>
    </row>
    <row r="396" spans="1:16" x14ac:dyDescent="0.3">
      <c r="A396" s="372" t="s">
        <v>147</v>
      </c>
      <c r="B396" s="365"/>
      <c r="C396" s="386" t="s">
        <v>148</v>
      </c>
      <c r="D396" s="345"/>
      <c r="E396" s="381"/>
      <c r="F396" s="388"/>
      <c r="G396" s="389"/>
      <c r="H396" s="390"/>
      <c r="I396" s="384"/>
      <c r="J396" s="391"/>
    </row>
    <row r="397" spans="1:16" x14ac:dyDescent="0.3">
      <c r="A397" s="372">
        <v>100053</v>
      </c>
      <c r="B397" s="365" t="s">
        <v>215</v>
      </c>
      <c r="C397" s="373" t="s">
        <v>228</v>
      </c>
      <c r="D397" s="374" t="s">
        <v>229</v>
      </c>
      <c r="E397" s="375">
        <v>190</v>
      </c>
      <c r="F397" s="392">
        <v>3</v>
      </c>
      <c r="G397" s="393">
        <v>32</v>
      </c>
      <c r="H397" s="394">
        <f t="shared" ref="H397:H402" si="17">TRUNC(E397* (1 + F397 / 100) * G397,2)</f>
        <v>6262.4</v>
      </c>
      <c r="I397" s="378">
        <f>I393 * (E397 * (1+F397/100))</f>
        <v>0</v>
      </c>
      <c r="J397" s="414">
        <f>H397 * I393</f>
        <v>0</v>
      </c>
    </row>
    <row r="398" spans="1:16" x14ac:dyDescent="0.3">
      <c r="A398" s="372">
        <v>100558</v>
      </c>
      <c r="B398" s="365" t="s">
        <v>288</v>
      </c>
      <c r="C398" s="373" t="s">
        <v>289</v>
      </c>
      <c r="D398" s="374" t="s">
        <v>196</v>
      </c>
      <c r="E398" s="375">
        <v>350</v>
      </c>
      <c r="F398" s="392">
        <v>3</v>
      </c>
      <c r="G398" s="393">
        <v>800</v>
      </c>
      <c r="H398" s="394">
        <f>TRUNC(E398* (1 + F398 / 100) * G398,2)</f>
        <v>288400</v>
      </c>
      <c r="I398" s="378">
        <f>I393 * (E398 * (1+F398/100))</f>
        <v>0</v>
      </c>
      <c r="J398" s="414">
        <f>H398 * I393</f>
        <v>0</v>
      </c>
    </row>
    <row r="399" spans="1:16" x14ac:dyDescent="0.3">
      <c r="A399" s="372">
        <v>100123</v>
      </c>
      <c r="B399" s="365" t="s">
        <v>290</v>
      </c>
      <c r="C399" s="373" t="s">
        <v>291</v>
      </c>
      <c r="D399" s="374" t="s">
        <v>97</v>
      </c>
      <c r="E399" s="375">
        <v>0.56000000000000005</v>
      </c>
      <c r="F399" s="392">
        <v>3</v>
      </c>
      <c r="G399" s="393">
        <v>190000</v>
      </c>
      <c r="H399" s="394">
        <f t="shared" si="17"/>
        <v>109592</v>
      </c>
      <c r="I399" s="378">
        <f>I393 * (E399 * (1+F399/100))</f>
        <v>0</v>
      </c>
      <c r="J399" s="414">
        <f>H399 * I393</f>
        <v>0</v>
      </c>
    </row>
    <row r="400" spans="1:16" x14ac:dyDescent="0.3">
      <c r="A400" s="372">
        <v>100962</v>
      </c>
      <c r="B400" s="365" t="s">
        <v>290</v>
      </c>
      <c r="C400" s="373" t="s">
        <v>292</v>
      </c>
      <c r="D400" s="374" t="s">
        <v>97</v>
      </c>
      <c r="E400" s="375">
        <v>0.84</v>
      </c>
      <c r="F400" s="392">
        <v>3</v>
      </c>
      <c r="G400" s="393">
        <v>163000</v>
      </c>
      <c r="H400" s="394">
        <f t="shared" si="17"/>
        <v>141027.6</v>
      </c>
      <c r="I400" s="378">
        <f>I393 * (E400 * (1+F400/100))</f>
        <v>0</v>
      </c>
      <c r="J400" s="414">
        <f>H400 * I393</f>
        <v>0</v>
      </c>
    </row>
    <row r="401" spans="1:10" x14ac:dyDescent="0.3">
      <c r="A401" s="372">
        <v>100932</v>
      </c>
      <c r="B401" s="365" t="s">
        <v>293</v>
      </c>
      <c r="C401" s="373" t="s">
        <v>294</v>
      </c>
      <c r="D401" s="374" t="s">
        <v>212</v>
      </c>
      <c r="E401" s="375">
        <v>0.1</v>
      </c>
      <c r="F401" s="392"/>
      <c r="G401" s="393">
        <v>16500</v>
      </c>
      <c r="H401" s="394">
        <f t="shared" si="17"/>
        <v>1650</v>
      </c>
      <c r="I401" s="378">
        <f>I393 * (E401 * (1+F401/100))</f>
        <v>0</v>
      </c>
      <c r="J401" s="414">
        <f>H401 * I393</f>
        <v>0</v>
      </c>
    </row>
    <row r="402" spans="1:10" x14ac:dyDescent="0.3">
      <c r="A402" s="372">
        <v>100011</v>
      </c>
      <c r="B402" s="365" t="s">
        <v>293</v>
      </c>
      <c r="C402" s="373" t="s">
        <v>295</v>
      </c>
      <c r="D402" s="374" t="s">
        <v>212</v>
      </c>
      <c r="E402" s="375">
        <v>6.0000000000000001E-3</v>
      </c>
      <c r="F402" s="392"/>
      <c r="G402" s="393">
        <v>95000</v>
      </c>
      <c r="H402" s="394">
        <f t="shared" si="17"/>
        <v>570</v>
      </c>
      <c r="I402" s="378">
        <f>I393 * (E402 * (1+F402/100))</f>
        <v>0</v>
      </c>
      <c r="J402" s="414">
        <f>H402 * I393</f>
        <v>0</v>
      </c>
    </row>
    <row r="403" spans="1:10" x14ac:dyDescent="0.3">
      <c r="A403" s="395" t="s">
        <v>149</v>
      </c>
      <c r="B403" s="365"/>
      <c r="C403" s="380"/>
      <c r="D403" s="345"/>
      <c r="E403" s="381"/>
      <c r="F403" s="388"/>
      <c r="G403" s="389" t="s">
        <v>150</v>
      </c>
      <c r="H403" s="415">
        <f>SUM(H396:H402)</f>
        <v>547502</v>
      </c>
      <c r="I403" s="384"/>
      <c r="J403" s="416">
        <f>SUM(J396:J402)</f>
        <v>0</v>
      </c>
    </row>
    <row r="404" spans="1:10" x14ac:dyDescent="0.3">
      <c r="A404" s="372" t="s">
        <v>151</v>
      </c>
      <c r="B404" s="365"/>
      <c r="C404" s="386" t="s">
        <v>152</v>
      </c>
      <c r="D404" s="345"/>
      <c r="E404" s="381"/>
      <c r="F404" s="388"/>
      <c r="G404" s="389"/>
      <c r="H404" s="390"/>
      <c r="I404" s="384"/>
      <c r="J404" s="391"/>
    </row>
    <row r="405" spans="1:10" x14ac:dyDescent="0.3">
      <c r="A405" s="372">
        <v>207000</v>
      </c>
      <c r="B405" s="365" t="s">
        <v>152</v>
      </c>
      <c r="C405" s="373" t="s">
        <v>296</v>
      </c>
      <c r="D405" s="374" t="s">
        <v>176</v>
      </c>
      <c r="E405" s="375">
        <v>4.1500000000000004</v>
      </c>
      <c r="F405" s="392"/>
      <c r="G405" s="393">
        <f>+[3]M.O.!$E$5*4</f>
        <v>46252</v>
      </c>
      <c r="H405" s="394">
        <f>TRUNC(E405* (1 + F405 / 100) * G405,2)</f>
        <v>191945.8</v>
      </c>
      <c r="I405" s="378">
        <f>I393 * (E405 * (1+F405/100))</f>
        <v>0</v>
      </c>
      <c r="J405" s="391">
        <f>H405 * I393</f>
        <v>0</v>
      </c>
    </row>
    <row r="406" spans="1:10" x14ac:dyDescent="0.3">
      <c r="A406" s="372">
        <v>207500</v>
      </c>
      <c r="B406" s="365" t="s">
        <v>152</v>
      </c>
      <c r="C406" s="373" t="s">
        <v>297</v>
      </c>
      <c r="D406" s="374" t="s">
        <v>298</v>
      </c>
      <c r="E406" s="375">
        <v>2.8</v>
      </c>
      <c r="F406" s="392"/>
      <c r="G406" s="393">
        <f>+[3]M.O.!$E$6</f>
        <v>18500</v>
      </c>
      <c r="H406" s="394">
        <f>TRUNC(E406* (1 + F406 / 100) * G406,2)</f>
        <v>51800</v>
      </c>
      <c r="I406" s="378">
        <f>I393 * (E406 * (1+F406/100))</f>
        <v>0</v>
      </c>
      <c r="J406" s="391">
        <f>H406 * I393</f>
        <v>0</v>
      </c>
    </row>
    <row r="407" spans="1:10" x14ac:dyDescent="0.3">
      <c r="A407" s="395" t="s">
        <v>153</v>
      </c>
      <c r="B407" s="365"/>
      <c r="C407" s="380"/>
      <c r="D407" s="345"/>
      <c r="E407" s="381"/>
      <c r="F407" s="388"/>
      <c r="G407" s="389" t="s">
        <v>154</v>
      </c>
      <c r="H407" s="415">
        <f>SUM(H404:H406)</f>
        <v>243745.8</v>
      </c>
      <c r="I407" s="384"/>
      <c r="J407" s="415">
        <f>SUM(J404:J406)</f>
        <v>0</v>
      </c>
    </row>
    <row r="408" spans="1:10" x14ac:dyDescent="0.3">
      <c r="A408" s="372" t="s">
        <v>155</v>
      </c>
      <c r="B408" s="365"/>
      <c r="C408" s="398" t="s">
        <v>156</v>
      </c>
      <c r="D408" s="345"/>
      <c r="E408" s="381"/>
      <c r="F408" s="388"/>
      <c r="G408" s="389"/>
      <c r="H408" s="390"/>
      <c r="I408" s="384"/>
      <c r="J408" s="391"/>
    </row>
    <row r="409" spans="1:10" x14ac:dyDescent="0.3">
      <c r="A409" s="372">
        <v>308003</v>
      </c>
      <c r="B409" s="365" t="s">
        <v>156</v>
      </c>
      <c r="C409" s="373" t="s">
        <v>299</v>
      </c>
      <c r="D409" s="374" t="s">
        <v>200</v>
      </c>
      <c r="E409" s="375">
        <v>0.06</v>
      </c>
      <c r="F409" s="392"/>
      <c r="G409" s="393">
        <v>90000</v>
      </c>
      <c r="H409" s="394">
        <f>TRUNC(E409* (1 + F409 / 100) * G409,2)</f>
        <v>5400</v>
      </c>
      <c r="I409" s="378">
        <f>I393 * (E409 * (1+F409/100))</f>
        <v>0</v>
      </c>
      <c r="J409" s="414">
        <f>H409 * I393</f>
        <v>0</v>
      </c>
    </row>
    <row r="410" spans="1:10" x14ac:dyDescent="0.3">
      <c r="A410" s="372">
        <v>300026</v>
      </c>
      <c r="B410" s="365" t="s">
        <v>156</v>
      </c>
      <c r="C410" s="373" t="s">
        <v>157</v>
      </c>
      <c r="D410" s="374" t="s">
        <v>158</v>
      </c>
      <c r="E410" s="375">
        <v>2.5832000000000002</v>
      </c>
      <c r="F410" s="392"/>
      <c r="G410" s="393">
        <v>1690</v>
      </c>
      <c r="H410" s="394">
        <f>TRUNC(E410* (1 + F410 / 100) * G410,2)</f>
        <v>4365.6000000000004</v>
      </c>
      <c r="I410" s="378">
        <f>I393 * (E410 * (1+F410/100))</f>
        <v>0</v>
      </c>
      <c r="J410" s="414">
        <f>H410 * I393</f>
        <v>0</v>
      </c>
    </row>
    <row r="411" spans="1:10" x14ac:dyDescent="0.3">
      <c r="A411" s="395" t="s">
        <v>159</v>
      </c>
      <c r="B411" s="365"/>
      <c r="C411" s="380"/>
      <c r="D411" s="345"/>
      <c r="E411" s="381"/>
      <c r="F411" s="388"/>
      <c r="G411" s="389" t="s">
        <v>160</v>
      </c>
      <c r="H411" s="415">
        <f>SUM(H408:H410)</f>
        <v>9765.6</v>
      </c>
      <c r="I411" s="384"/>
      <c r="J411" s="416">
        <f>SUM(J408:J410)</f>
        <v>0</v>
      </c>
    </row>
    <row r="412" spans="1:10" x14ac:dyDescent="0.3">
      <c r="A412" s="345" t="s">
        <v>161</v>
      </c>
      <c r="B412" s="348"/>
      <c r="C412" s="386" t="s">
        <v>162</v>
      </c>
      <c r="D412" s="345"/>
      <c r="E412" s="381"/>
      <c r="F412" s="388"/>
      <c r="G412" s="389"/>
      <c r="H412" s="390"/>
      <c r="I412" s="384"/>
      <c r="J412" s="391"/>
    </row>
    <row r="413" spans="1:10" x14ac:dyDescent="0.3">
      <c r="A413" s="372"/>
      <c r="B413" s="365"/>
      <c r="C413" s="373"/>
      <c r="D413" s="374"/>
      <c r="E413" s="375"/>
      <c r="F413" s="392"/>
      <c r="G413" s="393"/>
      <c r="H413" s="394"/>
      <c r="I413" s="378"/>
      <c r="J413" s="414"/>
    </row>
    <row r="414" spans="1:10" x14ac:dyDescent="0.3">
      <c r="A414" s="395" t="s">
        <v>163</v>
      </c>
      <c r="B414" s="348"/>
      <c r="C414" s="380"/>
      <c r="D414" s="345"/>
      <c r="E414" s="381"/>
      <c r="F414" s="388"/>
      <c r="G414" s="389" t="s">
        <v>164</v>
      </c>
      <c r="H414" s="394">
        <f>SUM(H412:H413)</f>
        <v>0</v>
      </c>
      <c r="I414" s="384"/>
      <c r="J414" s="414">
        <f>SUM(J412:J413)</f>
        <v>0</v>
      </c>
    </row>
    <row r="415" spans="1:10" x14ac:dyDescent="0.3">
      <c r="A415" s="345"/>
      <c r="B415" s="419"/>
      <c r="C415" s="380"/>
      <c r="D415" s="345"/>
      <c r="E415" s="381"/>
      <c r="F415" s="388"/>
      <c r="G415" s="389"/>
      <c r="H415" s="390"/>
      <c r="I415" s="514">
        <f>I416-H416</f>
        <v>-801013</v>
      </c>
      <c r="J415" s="391">
        <f>I393*H415</f>
        <v>0</v>
      </c>
    </row>
    <row r="416" spans="1:10" ht="13.8" thickBot="1" x14ac:dyDescent="0.35">
      <c r="A416" s="345" t="s">
        <v>85</v>
      </c>
      <c r="B416" s="419"/>
      <c r="C416" s="401"/>
      <c r="D416" s="402"/>
      <c r="E416" s="403"/>
      <c r="F416" s="404" t="s">
        <v>165</v>
      </c>
      <c r="G416" s="405">
        <f>SUM(H394:H415)/2</f>
        <v>801013.40000000014</v>
      </c>
      <c r="H416" s="406">
        <f>IF($A$2="CD",IF($A$3=1,ROUND(SUM(H394:H415)/2,0),IF($A$3=3,ROUND(SUM(H394:H415)/2,0),SUM(H394:H415)/2)),SUM(H394:H415)/2)</f>
        <v>801013</v>
      </c>
      <c r="I416" s="421">
        <f>SUM(J394:J415)/2</f>
        <v>0</v>
      </c>
      <c r="J416" s="408">
        <f>IF($A$2="CD",IF($A$3=1,ROUND(SUM(J394:J415)/2,0),IF($A$3=3,ROUND(SUM(J394:J415)/2,0),SUM(J394:J415)/2)),SUM(J394:J415)/2)</f>
        <v>0</v>
      </c>
    </row>
    <row r="417" ht="13.8" thickTop="1" x14ac:dyDescent="0.3"/>
  </sheetData>
  <mergeCells count="26">
    <mergeCell ref="C251:F252"/>
    <mergeCell ref="C273:F274"/>
    <mergeCell ref="C4:E5"/>
    <mergeCell ref="F4:H5"/>
    <mergeCell ref="C10:F11"/>
    <mergeCell ref="C1:C2"/>
    <mergeCell ref="D1:E2"/>
    <mergeCell ref="F1:F2"/>
    <mergeCell ref="G1:G2"/>
    <mergeCell ref="H1:H2"/>
    <mergeCell ref="C392:F393"/>
    <mergeCell ref="G7:H7"/>
    <mergeCell ref="C57:F58"/>
    <mergeCell ref="C6:F7"/>
    <mergeCell ref="C29:F30"/>
    <mergeCell ref="C79:F80"/>
    <mergeCell ref="C205:F206"/>
    <mergeCell ref="C108:F109"/>
    <mergeCell ref="C127:F128"/>
    <mergeCell ref="C185:F186"/>
    <mergeCell ref="C360:F361"/>
    <mergeCell ref="C295:F296"/>
    <mergeCell ref="C318:F319"/>
    <mergeCell ref="C341:F342"/>
    <mergeCell ref="C158:F159"/>
    <mergeCell ref="C229:F230"/>
  </mergeCells>
  <conditionalFormatting sqref="C6:F7">
    <cfRule type="cellIs" dxfId="2" priority="1" stopIfTrue="1" operator="equal">
      <formula>"ESCRIBA AQUÍ EL NOMBRE DE LA OBRA"</formula>
    </cfRule>
  </conditionalFormatting>
  <conditionalFormatting sqref="G6">
    <cfRule type="expression" dxfId="1" priority="3" stopIfTrue="1">
      <formula>$H$6=0</formula>
    </cfRule>
  </conditionalFormatting>
  <conditionalFormatting sqref="H6">
    <cfRule type="cellIs" dxfId="0" priority="2" stopIfTrue="1" operator="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6</vt:i4>
      </vt:variant>
    </vt:vector>
  </HeadingPairs>
  <TitlesOfParts>
    <vt:vector size="8" baseType="lpstr">
      <vt:lpstr>PRESUPUESTO CASA DE LA CULTURA</vt:lpstr>
      <vt:lpstr>ANALISIS</vt:lpstr>
      <vt:lpstr>Adm</vt:lpstr>
      <vt:lpstr>'PRESUPUESTO CASA DE LA CULTURA'!Área_de_impresión</vt:lpstr>
      <vt:lpstr>Imprev</vt:lpstr>
      <vt:lpstr>IvaSUtl</vt:lpstr>
      <vt:lpstr>TtlCD</vt:lpstr>
      <vt:lpstr>Utilidad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17</dc:creator>
  <cp:lastModifiedBy>S</cp:lastModifiedBy>
  <cp:lastPrinted>2025-08-08T16:32:29Z</cp:lastPrinted>
  <dcterms:created xsi:type="dcterms:W3CDTF">2024-08-28T15:01:59Z</dcterms:created>
  <dcterms:modified xsi:type="dcterms:W3CDTF">2025-08-08T16:32:47Z</dcterms:modified>
</cp:coreProperties>
</file>