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LIO\CUBIERTA\"/>
    </mc:Choice>
  </mc:AlternateContent>
  <xr:revisionPtr revIDLastSave="0" documentId="13_ncr:1_{8C9360AA-4F1B-416F-84AA-C3F3740D08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 ALCALDIA" sheetId="4" r:id="rId1"/>
    <sheet name="ANALISIS" sheetId="3" r:id="rId2"/>
  </sheets>
  <externalReferences>
    <externalReference r:id="rId3"/>
    <externalReference r:id="rId4"/>
  </externalReferences>
  <definedNames>
    <definedName name="Adm">'PRESUPUESTO ALCALDIA'!$F$51</definedName>
    <definedName name="Imprev">'PRESUPUESTO ALCALDIA'!$F$52</definedName>
    <definedName name="IvaSUtl">'PRESUPUESTO ALCALDIA'!$F$56</definedName>
    <definedName name="SbtPpto">'PRESUPUESTO ALCALDIA'!$G$22</definedName>
    <definedName name="TtlCD">'PRESUPUESTO ALCALDIA'!$G$50</definedName>
    <definedName name="Utilidad">'PRESUPUESTO ALCALDIA'!$F$53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4" l="1"/>
  <c r="E19" i="4"/>
  <c r="E17" i="4"/>
  <c r="I102" i="3"/>
  <c r="I96" i="3"/>
  <c r="H96" i="3"/>
  <c r="I95" i="3"/>
  <c r="H95" i="3"/>
  <c r="I92" i="3"/>
  <c r="H92" i="3"/>
  <c r="H93" i="3" s="1"/>
  <c r="I89" i="3"/>
  <c r="H89" i="3"/>
  <c r="H88" i="3"/>
  <c r="H90" i="3" s="1"/>
  <c r="I88" i="3"/>
  <c r="H113" i="3"/>
  <c r="H114" i="3" s="1"/>
  <c r="H110" i="3"/>
  <c r="H111" i="3" s="1"/>
  <c r="I119" i="3"/>
  <c r="I113" i="3"/>
  <c r="I110" i="3"/>
  <c r="H97" i="3" l="1"/>
  <c r="H102" i="3" s="1"/>
  <c r="F19" i="4" s="1"/>
  <c r="G19" i="4" s="1"/>
  <c r="H119" i="3"/>
  <c r="J29" i="3" l="1"/>
  <c r="H29" i="3"/>
  <c r="H25" i="3"/>
  <c r="H26" i="3" s="1"/>
  <c r="H21" i="3"/>
  <c r="H17" i="3"/>
  <c r="H16" i="3"/>
  <c r="C15" i="3"/>
  <c r="I11" i="3"/>
  <c r="I25" i="3" s="1"/>
  <c r="H11" i="3"/>
  <c r="I15" i="3" l="1"/>
  <c r="I16" i="3"/>
  <c r="J17" i="3"/>
  <c r="J16" i="3"/>
  <c r="I17" i="3"/>
  <c r="J25" i="3"/>
  <c r="J26" i="3" s="1"/>
  <c r="E18" i="4" l="1"/>
  <c r="E20" i="4" s="1"/>
  <c r="G20" i="4" s="1"/>
  <c r="H73" i="3"/>
  <c r="H74" i="3"/>
  <c r="I74" i="3"/>
  <c r="F55" i="4"/>
  <c r="H70" i="3"/>
  <c r="H71" i="3" s="1"/>
  <c r="H67" i="3"/>
  <c r="G66" i="3"/>
  <c r="E66" i="3"/>
  <c r="I66" i="3" s="1"/>
  <c r="C18" i="4"/>
  <c r="H45" i="3"/>
  <c r="H39" i="3"/>
  <c r="H38" i="3"/>
  <c r="H42" i="3"/>
  <c r="H43" i="3" s="1"/>
  <c r="G15" i="3" s="1"/>
  <c r="H15" i="3" s="1"/>
  <c r="I39" i="3"/>
  <c r="I51" i="3"/>
  <c r="I45" i="3"/>
  <c r="I38" i="3"/>
  <c r="I80" i="3"/>
  <c r="I42" i="3" s="1"/>
  <c r="I73" i="3"/>
  <c r="I70" i="3"/>
  <c r="I67" i="3"/>
  <c r="H75" i="3" l="1"/>
  <c r="H66" i="3"/>
  <c r="H68" i="3" s="1"/>
  <c r="H18" i="3"/>
  <c r="J15" i="3"/>
  <c r="H40" i="3"/>
  <c r="H51" i="3" s="1"/>
  <c r="F17" i="4" s="1"/>
  <c r="G17" i="4" s="1"/>
  <c r="H80" i="3" l="1"/>
  <c r="F18" i="4" s="1"/>
  <c r="G18" i="4" s="1"/>
  <c r="J18" i="3"/>
  <c r="I31" i="3" s="1"/>
  <c r="K20" i="4" l="1"/>
  <c r="K18" i="4"/>
  <c r="K17" i="4"/>
  <c r="R16" i="4"/>
  <c r="AP12" i="4"/>
  <c r="G2" i="4"/>
  <c r="C6" i="3"/>
  <c r="C4" i="3"/>
  <c r="I3" i="3"/>
  <c r="D3" i="3"/>
  <c r="A2" i="3"/>
  <c r="F1" i="3"/>
  <c r="P20" i="4"/>
  <c r="R20" i="4"/>
  <c r="P18" i="4"/>
  <c r="H3" i="3"/>
  <c r="G3" i="3"/>
  <c r="F3" i="3"/>
  <c r="I81" i="4"/>
  <c r="C75" i="4"/>
  <c r="AR70" i="4"/>
  <c r="F68" i="4"/>
  <c r="AS66" i="4"/>
  <c r="AH66" i="4"/>
  <c r="AG66" i="4"/>
  <c r="T66" i="4"/>
  <c r="S66" i="4"/>
  <c r="R66" i="4"/>
  <c r="Q66" i="4"/>
  <c r="P66" i="4"/>
  <c r="N66" i="4"/>
  <c r="G66" i="4"/>
  <c r="F66" i="4"/>
  <c r="AH65" i="4"/>
  <c r="AG65" i="4"/>
  <c r="AH64" i="4"/>
  <c r="AG64" i="4"/>
  <c r="AS63" i="4"/>
  <c r="AH63" i="4"/>
  <c r="AG63" i="4"/>
  <c r="N63" i="4"/>
  <c r="G63" i="4"/>
  <c r="AR59" i="4"/>
  <c r="G58" i="4"/>
  <c r="L57" i="4"/>
  <c r="K57" i="4"/>
  <c r="J57" i="4"/>
  <c r="H57" i="4"/>
  <c r="AR56" i="4"/>
  <c r="AR53" i="4"/>
  <c r="AR52" i="4"/>
  <c r="M52" i="4"/>
  <c r="AR51" i="4"/>
  <c r="L44" i="4"/>
  <c r="K44" i="4"/>
  <c r="J44" i="4"/>
  <c r="H44" i="4"/>
  <c r="AR43" i="4"/>
  <c r="F42" i="4"/>
  <c r="AR41" i="4"/>
  <c r="AR40" i="4"/>
  <c r="M40" i="4"/>
  <c r="AR39" i="4"/>
  <c r="AS38" i="4"/>
  <c r="AS40" i="4" s="1"/>
  <c r="G38" i="4"/>
  <c r="G41" i="4" s="1"/>
  <c r="L35" i="4"/>
  <c r="K35" i="4"/>
  <c r="J35" i="4"/>
  <c r="H35" i="4"/>
  <c r="AR34" i="4"/>
  <c r="F33" i="4"/>
  <c r="AR32" i="4"/>
  <c r="AR31" i="4"/>
  <c r="AR30" i="4"/>
  <c r="AS29" i="4"/>
  <c r="G29" i="4"/>
  <c r="G32" i="4" s="1"/>
  <c r="N26" i="4"/>
  <c r="N27" i="4" s="1"/>
  <c r="N24" i="4"/>
  <c r="N25" i="4" s="1"/>
  <c r="F22" i="4"/>
  <c r="AR22" i="4" s="1"/>
  <c r="AO20" i="4"/>
  <c r="AQ20" i="4" s="1"/>
  <c r="AH20" i="4"/>
  <c r="AG20" i="4"/>
  <c r="AO18" i="4"/>
  <c r="AQ18" i="4" s="1"/>
  <c r="AH18" i="4"/>
  <c r="AG18" i="4"/>
  <c r="AO17" i="4"/>
  <c r="AQ17" i="4" s="1"/>
  <c r="AH17" i="4"/>
  <c r="AG17" i="4"/>
  <c r="AO16" i="4"/>
  <c r="AQ16" i="4" s="1"/>
  <c r="AH16" i="4"/>
  <c r="AG16" i="4"/>
  <c r="AH15" i="4"/>
  <c r="AG15" i="4"/>
  <c r="AH14" i="4"/>
  <c r="AG14" i="4"/>
  <c r="N12" i="4"/>
  <c r="G12" i="4"/>
  <c r="G9" i="4"/>
  <c r="AH4" i="4"/>
  <c r="AG4" i="4"/>
  <c r="B2" i="4"/>
  <c r="O1" i="4" s="1"/>
  <c r="DN1" i="4"/>
  <c r="DP1" i="4" s="1"/>
  <c r="DG1" i="4"/>
  <c r="DF1" i="4"/>
  <c r="CS1" i="4"/>
  <c r="CL1" i="4"/>
  <c r="CK1" i="4"/>
  <c r="CE1" i="4"/>
  <c r="DQ1" i="4" s="1"/>
  <c r="F1" i="4"/>
  <c r="F53" i="3" l="1"/>
  <c r="F121" i="3"/>
  <c r="F54" i="3"/>
  <c r="F122" i="3"/>
  <c r="F56" i="3"/>
  <c r="F124" i="3"/>
  <c r="F55" i="3"/>
  <c r="F123" i="3"/>
  <c r="J31" i="3"/>
  <c r="H31" i="3"/>
  <c r="F16" i="4" s="1"/>
  <c r="G16" i="4" s="1"/>
  <c r="G22" i="4" s="1"/>
  <c r="R18" i="4"/>
  <c r="P16" i="4"/>
  <c r="R17" i="4"/>
  <c r="R22" i="4" s="1"/>
  <c r="P17" i="4"/>
  <c r="Q16" i="4"/>
  <c r="AS41" i="4"/>
  <c r="AS43" i="4" s="1"/>
  <c r="CF1" i="4"/>
  <c r="CM1" i="4" s="1"/>
  <c r="AS39" i="4"/>
  <c r="U63" i="4"/>
  <c r="AS68" i="4"/>
  <c r="AR55" i="4"/>
  <c r="G68" i="4"/>
  <c r="H6" i="3"/>
  <c r="E3" i="3"/>
  <c r="AR42" i="4"/>
  <c r="N29" i="4"/>
  <c r="AS32" i="4"/>
  <c r="AS34" i="4" s="1"/>
  <c r="G31" i="4"/>
  <c r="N31" i="4" s="1"/>
  <c r="AR33" i="4"/>
  <c r="G34" i="4"/>
  <c r="N34" i="4" s="1"/>
  <c r="N32" i="4"/>
  <c r="DR1" i="4"/>
  <c r="N41" i="4"/>
  <c r="G43" i="4"/>
  <c r="N43" i="4" s="1"/>
  <c r="G40" i="4"/>
  <c r="N40" i="4" s="1"/>
  <c r="AS31" i="4"/>
  <c r="N38" i="4"/>
  <c r="G30" i="4"/>
  <c r="G39" i="4"/>
  <c r="AS30" i="4"/>
  <c r="S20" i="4" l="1"/>
  <c r="P22" i="4"/>
  <c r="P24" i="4" s="1"/>
  <c r="Q17" i="4"/>
  <c r="T17" i="4" s="1"/>
  <c r="Q18" i="4"/>
  <c r="T18" i="4" s="1"/>
  <c r="AS42" i="4"/>
  <c r="AS44" i="4" s="1"/>
  <c r="AS49" i="4" s="1"/>
  <c r="AS33" i="4"/>
  <c r="AS35" i="4" s="1"/>
  <c r="AS48" i="4" s="1"/>
  <c r="Q20" i="4"/>
  <c r="N30" i="4"/>
  <c r="G33" i="4"/>
  <c r="N39" i="4"/>
  <c r="G42" i="4"/>
  <c r="T20" i="4" l="1"/>
  <c r="P26" i="4"/>
  <c r="H17" i="4"/>
  <c r="M17" i="4" s="1"/>
  <c r="N20" i="4"/>
  <c r="H20" i="4"/>
  <c r="M20" i="4" s="1"/>
  <c r="H18" i="4"/>
  <c r="M18" i="4" s="1"/>
  <c r="Q22" i="4"/>
  <c r="N42" i="4"/>
  <c r="G44" i="4"/>
  <c r="N33" i="4"/>
  <c r="G35" i="4"/>
  <c r="AR20" i="4" l="1"/>
  <c r="AS20" i="4" s="1"/>
  <c r="N18" i="4"/>
  <c r="AR17" i="4"/>
  <c r="AS17" i="4" s="1"/>
  <c r="N17" i="4"/>
  <c r="AR18" i="4"/>
  <c r="AS18" i="4" s="1"/>
  <c r="G48" i="4"/>
  <c r="I35" i="4"/>
  <c r="N35" i="4"/>
  <c r="G49" i="4"/>
  <c r="I44" i="4"/>
  <c r="N44" i="4"/>
  <c r="S16" i="4" l="1"/>
  <c r="I20" i="4"/>
  <c r="L20" i="4" s="1"/>
  <c r="S22" i="4" l="1"/>
  <c r="T16" i="4"/>
  <c r="I17" i="4"/>
  <c r="L17" i="4" s="1"/>
  <c r="I18" i="4"/>
  <c r="L18" i="4" s="1"/>
  <c r="H16" i="4"/>
  <c r="M16" i="4" s="1"/>
  <c r="M22" i="4" s="1"/>
  <c r="G50" i="4"/>
  <c r="AR16" i="4"/>
  <c r="AS16" i="4" s="1"/>
  <c r="G54" i="4" l="1"/>
  <c r="G52" i="4"/>
  <c r="G51" i="4"/>
  <c r="G55" i="4"/>
  <c r="T22" i="4"/>
  <c r="AS14" i="4"/>
  <c r="N16" i="4"/>
  <c r="G27" i="4" l="1"/>
  <c r="N22" i="4"/>
  <c r="N23" i="4" s="1"/>
  <c r="AS22" i="4"/>
  <c r="AS50" i="4" s="1"/>
  <c r="AS52" i="4" s="1"/>
  <c r="N14" i="4"/>
  <c r="U14" i="4" s="1"/>
  <c r="M42" i="4" l="1"/>
  <c r="N52" i="4"/>
  <c r="N51" i="4"/>
  <c r="I16" i="4"/>
  <c r="L16" i="4" s="1"/>
  <c r="L22" i="4" s="1"/>
  <c r="G53" i="4"/>
  <c r="N53" i="4" s="1"/>
  <c r="M33" i="4"/>
  <c r="M55" i="4"/>
  <c r="N50" i="4"/>
  <c r="AS51" i="4"/>
  <c r="AS53" i="4"/>
  <c r="AS56" i="4" s="1"/>
  <c r="N55" i="4" l="1"/>
  <c r="G56" i="4"/>
  <c r="N56" i="4" s="1"/>
  <c r="AS55" i="4"/>
  <c r="AS57" i="4" s="1"/>
  <c r="AS70" i="4" s="1"/>
  <c r="AS71" i="4" s="1"/>
  <c r="AS59" i="4" s="1"/>
  <c r="G57" i="4" l="1"/>
  <c r="N57" i="4" s="1"/>
  <c r="AS73" i="4"/>
  <c r="AS1" i="4" s="1"/>
  <c r="I57" i="4" l="1"/>
  <c r="G71" i="4"/>
  <c r="G59" i="4" s="1"/>
  <c r="G73" i="4" s="1"/>
  <c r="G1" i="4" s="1"/>
  <c r="H1" i="3" s="1"/>
</calcChain>
</file>

<file path=xl/sharedStrings.xml><?xml version="1.0" encoding="utf-8"?>
<sst xmlns="http://schemas.openxmlformats.org/spreadsheetml/2006/main" count="486" uniqueCount="249">
  <si>
    <t>2015.1</t>
  </si>
  <si>
    <t>2022.1</t>
  </si>
  <si>
    <t>www.sagut.com</t>
  </si>
  <si>
    <t>Unit  CD</t>
  </si>
  <si>
    <t>Unit  CT</t>
  </si>
  <si>
    <t>Decimales</t>
  </si>
  <si>
    <t>Durac</t>
  </si>
  <si>
    <t>CT</t>
  </si>
  <si>
    <t>CD</t>
  </si>
  <si>
    <t>CASA</t>
  </si>
  <si>
    <t>DOBLECLIC AQUÍ PARA OCULTAR</t>
  </si>
  <si>
    <t>C1</t>
  </si>
  <si>
    <t>C2</t>
  </si>
  <si>
    <t>C3</t>
  </si>
  <si>
    <t>C4</t>
  </si>
  <si>
    <t>C5</t>
  </si>
  <si>
    <t>C6</t>
  </si>
  <si>
    <t xml:space="preserve"> </t>
  </si>
  <si>
    <t xml:space="preserve">Valor Final del Contrato  $ </t>
  </si>
  <si>
    <t xml:space="preserve">Inicio  </t>
  </si>
  <si>
    <t>Precios Base</t>
  </si>
  <si>
    <t>Fin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</si>
  <si>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</si>
  <si>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</si>
  <si>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</si>
  <si>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</si>
  <si>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</si>
  <si>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</si>
  <si>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</si>
  <si>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</si>
  <si>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</si>
  <si>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</si>
  <si>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</si>
  <si>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</si>
  <si>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</si>
  <si>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</si>
  <si>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</si>
  <si>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</si>
  <si>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</si>
  <si>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</si>
  <si>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</si>
  <si>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</si>
  <si>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</si>
  <si>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</si>
  <si>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</si>
  <si>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</si>
  <si>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</si>
  <si>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</si>
  <si>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</si>
  <si>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</si>
  <si>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</si>
  <si>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</si>
  <si>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</si>
  <si>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</si>
  <si>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</si>
  <si>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</si>
  <si>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</si>
  <si>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</si>
  <si>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</si>
  <si>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</si>
  <si>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</si>
  <si>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</si>
  <si>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</si>
  <si>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</si>
  <si>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</si>
  <si>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</si>
  <si>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</si>
  <si>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</si>
  <si>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</si>
  <si>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ALCALDIA MUNICIPAL DE PATIA</t>
  </si>
  <si>
    <t>PRESUPUESTO</t>
  </si>
  <si>
    <t>ITEMS POR COMPONENTES</t>
  </si>
  <si>
    <t>CANTIDADES DEFINITIVAS DE OBRA</t>
  </si>
  <si>
    <t>DE OBRA</t>
  </si>
  <si>
    <t>Otros</t>
  </si>
  <si>
    <t>Equipo</t>
  </si>
  <si>
    <t>M. de Obra</t>
  </si>
  <si>
    <t>Materiales</t>
  </si>
  <si>
    <t>Unit CD</t>
  </si>
  <si>
    <t>PRESUP.</t>
  </si>
  <si>
    <t>MODIF.</t>
  </si>
  <si>
    <t>CANT. DEFINIT.</t>
  </si>
  <si>
    <t>VR.UNIT.</t>
  </si>
  <si>
    <t>VR. DEFINIT.</t>
  </si>
  <si>
    <t>Obra:</t>
  </si>
  <si>
    <t>FECHA:</t>
  </si>
  <si>
    <t>ENCAB</t>
  </si>
  <si>
    <t>ITEM</t>
  </si>
  <si>
    <t>DESCRIPCION</t>
  </si>
  <si>
    <t>UND</t>
  </si>
  <si>
    <t>CANT.</t>
  </si>
  <si>
    <t>VR. UNIT</t>
  </si>
  <si>
    <t>C.D.</t>
  </si>
  <si>
    <t>C.T.</t>
  </si>
  <si>
    <t>DURAC</t>
  </si>
  <si>
    <t>VR. TOTAL</t>
  </si>
  <si>
    <t>VR. C.D.</t>
  </si>
  <si>
    <t>CAP</t>
  </si>
  <si>
    <t>.</t>
  </si>
  <si>
    <t>COD</t>
  </si>
  <si>
    <t>IM0141</t>
  </si>
  <si>
    <t>SEÑALIZACION CON CINTA</t>
  </si>
  <si>
    <t>ML</t>
  </si>
  <si>
    <t>081007-1P</t>
  </si>
  <si>
    <t>M3</t>
  </si>
  <si>
    <t>080104-2P</t>
  </si>
  <si>
    <t>080207-3P</t>
  </si>
  <si>
    <t>STCAP</t>
  </si>
  <si>
    <t>SUBTTL</t>
  </si>
  <si>
    <t>SUBTTLOC</t>
  </si>
  <si>
    <t>VALOR COSTOS DIRECTOS OBRA CIVIL</t>
  </si>
  <si>
    <t>SUBTTLSM</t>
  </si>
  <si>
    <t>VALOR COSTOS DIRECTOS SUMINISTRO</t>
  </si>
  <si>
    <t>COSTINDOC</t>
  </si>
  <si>
    <t>COSTOS INDIRECTOS OBRA CIVIL</t>
  </si>
  <si>
    <t>TTLCDOC</t>
  </si>
  <si>
    <t>ADMOC</t>
  </si>
  <si>
    <t>ADMINISTRACION</t>
  </si>
  <si>
    <t>IMPROC</t>
  </si>
  <si>
    <t>IMPREVISTOS</t>
  </si>
  <si>
    <t>UTLOC</t>
  </si>
  <si>
    <t>UTILIDAD</t>
  </si>
  <si>
    <t>TTLAIUOC</t>
  </si>
  <si>
    <t>TOTAL AIU</t>
  </si>
  <si>
    <t>IVAOC</t>
  </si>
  <si>
    <t>IVA SOBRE LA UTILIDAD</t>
  </si>
  <si>
    <t>TTLPPTOOC</t>
  </si>
  <si>
    <t>VALOR TOTAL PRESUPUESTO DE OBRA CIVIL</t>
  </si>
  <si>
    <t>COSTINDSM</t>
  </si>
  <si>
    <t>COSTOS INDIRECTOS SUMINISTRO</t>
  </si>
  <si>
    <t>TTLCDSM</t>
  </si>
  <si>
    <t>ADMSM</t>
  </si>
  <si>
    <t>IMPRSM</t>
  </si>
  <si>
    <t>UTLSM</t>
  </si>
  <si>
    <t>TTLAIUSM</t>
  </si>
  <si>
    <t>IVASM</t>
  </si>
  <si>
    <t>TTLPPTOSM</t>
  </si>
  <si>
    <t>VALOR TOTAL PRESUPUESTO DE SUMINISTRO</t>
  </si>
  <si>
    <t>COSTIND</t>
  </si>
  <si>
    <t>COSTOS INDIRECTOS</t>
  </si>
  <si>
    <t>TTLOC</t>
  </si>
  <si>
    <t>COSTO TOTAL      OBRA CIVIL</t>
  </si>
  <si>
    <t>TTLSM</t>
  </si>
  <si>
    <t>COSTO TOTAL   SUMINISTRO</t>
  </si>
  <si>
    <t>TTLCD</t>
  </si>
  <si>
    <t>VALOR COSTOS DIRECTOS</t>
  </si>
  <si>
    <t>ADM</t>
  </si>
  <si>
    <t>IMPR</t>
  </si>
  <si>
    <t>UTL</t>
  </si>
  <si>
    <t>TTLAIU</t>
  </si>
  <si>
    <t>IVA</t>
  </si>
  <si>
    <t>TTLPPTO</t>
  </si>
  <si>
    <t>VALOR TOTAL PRESUPUESTO</t>
  </si>
  <si>
    <t>VALOR TOTAL CONTRATO</t>
  </si>
  <si>
    <t>IVAMANT</t>
  </si>
  <si>
    <t>IVA SOBRE COSTOS DIRECTOS + INDIRECTOS</t>
  </si>
  <si>
    <t>IVA SOBRE C. DIRECTOS + INDIRECTOS</t>
  </si>
  <si>
    <t>OUT_AIU</t>
  </si>
  <si>
    <t>ITEMS  POR  FUERA  DE   AIU:</t>
  </si>
  <si>
    <t>ITEMS  POR  FUERA  DE   AIU</t>
  </si>
  <si>
    <t>#</t>
  </si>
  <si>
    <t>ESCRIBA AQUÍ EL NOMBRE DEL CAPITULO</t>
  </si>
  <si>
    <t>STOUTAIU</t>
  </si>
  <si>
    <t>VALOR TOTAL  ITEMS  POR FUERA DE   AIU</t>
  </si>
  <si>
    <t>INTERV</t>
  </si>
  <si>
    <t>INTERVENTORIA</t>
  </si>
  <si>
    <t>SUBTTLF</t>
  </si>
  <si>
    <t>TOTAL</t>
  </si>
  <si>
    <t>TTLPPTOF</t>
  </si>
  <si>
    <t>VRLTR</t>
  </si>
  <si>
    <t>PLAZO DE ENTREGA:              (DIAS CALENDARIO)</t>
  </si>
  <si>
    <t>JUAN FERNANDO IBARRA ESPINOSA</t>
  </si>
  <si>
    <t>Secretario de infraestructura y Vivieda Municipal</t>
  </si>
  <si>
    <t>Aplicación SAGUT
Cel. 310 824 6976</t>
  </si>
  <si>
    <t>Vr. Presup.</t>
  </si>
  <si>
    <t>MODIF</t>
  </si>
  <si>
    <t>ANALISIS  DE  PRECIOS  UNITARIOS</t>
  </si>
  <si>
    <t>CANT. TOTAL</t>
  </si>
  <si>
    <t>CODIGO</t>
  </si>
  <si>
    <t>DESP.%</t>
  </si>
  <si>
    <t>PRECIO UNIT</t>
  </si>
  <si>
    <t>VALOR TOTAL</t>
  </si>
  <si>
    <t>G1</t>
  </si>
  <si>
    <t>MATERIALES</t>
  </si>
  <si>
    <t>STG1</t>
  </si>
  <si>
    <t>SUBTOTAL MATERIALES</t>
  </si>
  <si>
    <t>G2</t>
  </si>
  <si>
    <t>MANO DE OBRA</t>
  </si>
  <si>
    <t>STG2</t>
  </si>
  <si>
    <t>SUBTOTAL MANO DE OBRA</t>
  </si>
  <si>
    <t>G3</t>
  </si>
  <si>
    <t>EQUIPO</t>
  </si>
  <si>
    <t>HERRAMIENTA MENOR</t>
  </si>
  <si>
    <t>GLB</t>
  </si>
  <si>
    <t>STG3</t>
  </si>
  <si>
    <t>SUBTOTAL EQUIPO</t>
  </si>
  <si>
    <t>G4</t>
  </si>
  <si>
    <t>OTROS</t>
  </si>
  <si>
    <t>STG4</t>
  </si>
  <si>
    <t>SUBTOTAL OTROS</t>
  </si>
  <si>
    <t>COSTO DIRECTO</t>
  </si>
  <si>
    <t>EM_AIU</t>
  </si>
  <si>
    <t>IMP</t>
  </si>
  <si>
    <t>STAIU</t>
  </si>
  <si>
    <t>TOTAL COSTOS INDIRECTOS</t>
  </si>
  <si>
    <t>TTL</t>
  </si>
  <si>
    <t>VALOR TOTAL ITEM</t>
  </si>
  <si>
    <t>calima</t>
  </si>
  <si>
    <t>ITEM 180816</t>
  </si>
  <si>
    <t>Unidad: M2</t>
  </si>
  <si>
    <t>CUBIERTA</t>
  </si>
  <si>
    <t>M.O. CARP.TALLER 1 AYUDANTE-1 OFI</t>
  </si>
  <si>
    <t>HC</t>
  </si>
  <si>
    <t>ANDAMIO METALICO TUBULAR</t>
  </si>
  <si>
    <t>U/D</t>
  </si>
  <si>
    <t>REALIZAR LA REPARACION DE LA CUBIERTA DEL INMUEBLE UBICADO EN LA CARRERA 3 No. 4-37 DE EL BORDO CAUCA DE PROPIEDAD DE LA ADMINISTRACION MUNICIPAL DE PATIA CAUCA.</t>
  </si>
  <si>
    <t>ITEM 240505</t>
  </si>
  <si>
    <t>M.O. ALBANILERIA 1 AYUDANTE</t>
  </si>
  <si>
    <t>DESMONTE DE CUBIERTA H&lt;= 4M (INCLUYE ACARREO MENOR A 2KM Y DISPOSICION)</t>
  </si>
  <si>
    <t>M.O. CARGUE Y DESCARGUE 1 AYUDANTE-1 OFI</t>
  </si>
  <si>
    <t>TRANSPORTE</t>
  </si>
  <si>
    <t>ACARREO</t>
  </si>
  <si>
    <t>ACARREO DE MATERIAL SOBRANTE &lt; 2KM</t>
  </si>
  <si>
    <t>DESMONTE DE CUBIERTA H&lt;= 4M (INCLUYE ACARREO Y DISPOSICION FINAL SEGÚN SUPERVISOR)</t>
  </si>
  <si>
    <t>SUBTOTAL TRANSPORTE</t>
  </si>
  <si>
    <t>M2</t>
  </si>
  <si>
    <t>SUMINISTRO E INSTALACION DE TEJA ZINC TRAPEZOIDAL</t>
  </si>
  <si>
    <t>TEJA ZINC TRAPEZOIDAL UTIL 6M X 0,8M</t>
  </si>
  <si>
    <t>TORNILLO ZIN 3/4</t>
  </si>
  <si>
    <t>ESLINGAS, ARNES Y LINEA DE VIDA</t>
  </si>
  <si>
    <t>ASEO GENERAL</t>
  </si>
  <si>
    <t>ITEM IM0141</t>
  </si>
  <si>
    <t>Unidad: ML</t>
  </si>
  <si>
    <t>ME0109</t>
  </si>
  <si>
    <t>BASICO</t>
  </si>
  <si>
    <t>HIERROS</t>
  </si>
  <si>
    <t>HIERRO de 60000 PSI 420 MPA</t>
  </si>
  <si>
    <t>KLS</t>
  </si>
  <si>
    <t>VARIOS</t>
  </si>
  <si>
    <t>CINTA SEGURIDAD PREVENTIVA ROLLO 500M - 7CM</t>
  </si>
  <si>
    <t>ROL</t>
  </si>
  <si>
    <t>1 AYUDANTE</t>
  </si>
  <si>
    <t>DIA</t>
  </si>
  <si>
    <t>ITEM 310105</t>
  </si>
  <si>
    <t>IMPLEMENTOS DE ASEO ESCOBA, TRAPERO Y JABON</t>
  </si>
  <si>
    <t>SUMINISTRO E INSTALACION DE CANALES METALICOS (INCLUYE TAPAS, CODO Y BAJANTE)</t>
  </si>
  <si>
    <t>CANAL GALVANIZADO PINTADO</t>
  </si>
  <si>
    <t>TREINTA Y TRES MILLONES SETECIENTOS SESENTA Y CINCO MIL CINCUENTA DE PESOS M/CTE</t>
  </si>
  <si>
    <t>OBRAS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</si>
</sst>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#,##0_ ;\-#,##0\ "/>
    <numFmt numFmtId="167" formatCode="d\-mmm\-yyyy"/>
    <numFmt numFmtId="168" formatCode="0.0%"/>
    <numFmt numFmtId="169" formatCode="_(* #,##0.00_);_(* \(#,##0.00\);_(* &quot;-&quot;??_);_(@_)"/>
    <numFmt numFmtId="170" formatCode="0.00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8"/>
      <color theme="1" tint="0.34998626667073579"/>
      <name val="Arial Narrow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sz val="9"/>
      <color indexed="22"/>
      <name val="Arial Narrow"/>
      <family val="2"/>
    </font>
    <font>
      <b/>
      <sz val="9"/>
      <color theme="3" tint="-0.249977111117893"/>
      <name val="Arial Narrow"/>
      <family val="2"/>
    </font>
    <font>
      <b/>
      <sz val="11"/>
      <color indexed="10"/>
      <name val="Arial Narrow"/>
      <family val="2"/>
    </font>
    <font>
      <sz val="10"/>
      <color indexed="9"/>
      <name val="Arial Narrow"/>
      <family val="2"/>
    </font>
    <font>
      <sz val="8"/>
      <color rgb="FF000000"/>
      <name val="Arial Narrow"/>
      <family val="2"/>
    </font>
    <font>
      <b/>
      <sz val="9"/>
      <color indexed="8"/>
      <name val="Arial Narrow"/>
      <family val="2"/>
    </font>
    <font>
      <sz val="9"/>
      <color indexed="8"/>
      <name val="Arial Narrow"/>
      <family val="2"/>
    </font>
    <font>
      <sz val="9"/>
      <color theme="0" tint="-0.499984740745262"/>
      <name val="Arial Narrow"/>
      <family val="2"/>
    </font>
    <font>
      <sz val="10"/>
      <color indexed="22"/>
      <name val="Arial Narrow"/>
      <family val="2"/>
    </font>
    <font>
      <sz val="11"/>
      <color theme="1"/>
      <name val="Arial Narrow"/>
      <family val="2"/>
    </font>
    <font>
      <u/>
      <sz val="9"/>
      <color indexed="12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8"/>
      <color indexed="12"/>
      <name val="Arial Narrow"/>
      <family val="2"/>
    </font>
    <font>
      <u/>
      <sz val="8"/>
      <color rgb="FF000000"/>
      <name val="Arial Narrow"/>
      <family val="2"/>
    </font>
    <font>
      <sz val="8"/>
      <name val="Arial Narrow"/>
      <family val="2"/>
    </font>
    <font>
      <sz val="8"/>
      <color indexed="22"/>
      <name val="Arial Narrow"/>
      <family val="2"/>
    </font>
    <font>
      <b/>
      <sz val="11"/>
      <color indexed="8"/>
      <name val="Arial Narrow"/>
      <family val="2"/>
    </font>
    <font>
      <b/>
      <sz val="12"/>
      <color theme="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11"/>
      <name val="Arial Narrow"/>
      <family val="2"/>
    </font>
    <font>
      <b/>
      <sz val="10"/>
      <color indexed="9"/>
      <name val="Arial Narrow"/>
      <family val="2"/>
    </font>
    <font>
      <sz val="10"/>
      <color indexed="8"/>
      <name val="Arial Narrow"/>
      <family val="2"/>
    </font>
    <font>
      <sz val="10"/>
      <color rgb="FFFF0000"/>
      <name val="Arial Narrow"/>
      <family val="2"/>
    </font>
    <font>
      <u/>
      <sz val="10"/>
      <color indexed="12"/>
      <name val="Arial Narrow"/>
      <family val="2"/>
    </font>
    <font>
      <b/>
      <sz val="10"/>
      <color indexed="8"/>
      <name val="Arial Narrow"/>
      <family val="2"/>
    </font>
    <font>
      <sz val="9"/>
      <color indexed="10"/>
      <name val="Arial Narrow"/>
      <family val="2"/>
    </font>
    <font>
      <b/>
      <sz val="11"/>
      <color indexed="12"/>
      <name val="Arial Narrow"/>
      <family val="2"/>
    </font>
    <font>
      <sz val="10"/>
      <color theme="1" tint="4.9989318521683403E-2"/>
      <name val="Arial Narrow"/>
      <family val="2"/>
    </font>
    <font>
      <sz val="10"/>
      <name val="Arial"/>
      <family val="2"/>
    </font>
    <font>
      <sz val="10"/>
      <color indexed="22"/>
      <name val="Arial"/>
      <family val="2"/>
    </font>
    <font>
      <sz val="9"/>
      <name val="Arial"/>
      <family val="2"/>
    </font>
    <font>
      <sz val="9"/>
      <color indexed="22"/>
      <name val="Arial"/>
      <family val="2"/>
    </font>
    <font>
      <b/>
      <sz val="9"/>
      <name val="Arial"/>
      <family val="2"/>
    </font>
    <font>
      <sz val="11"/>
      <name val="Arial Narrow"/>
      <family val="2"/>
    </font>
  </fonts>
  <fills count="3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rgb="FFD8ECBC"/>
        </stop>
      </gradientFill>
    </fill>
    <fill>
      <patternFill patternType="solid">
        <fgColor indexed="42"/>
        <bgColor indexed="64"/>
      </patternFill>
    </fill>
    <fill>
      <gradientFill degree="270">
        <stop position="0">
          <color theme="0"/>
        </stop>
        <stop position="1">
          <color theme="7" tint="0.80001220740379042"/>
        </stop>
      </gradientFill>
    </fill>
    <fill>
      <gradientFill degree="270">
        <stop position="0">
          <color theme="0"/>
        </stop>
        <stop position="1">
          <color rgb="FFECF2F8"/>
        </stop>
      </gradientFill>
    </fill>
    <fill>
      <patternFill patternType="solid">
        <fgColor rgb="FFDEDEDE"/>
        <bgColor auto="1"/>
      </patternFill>
    </fill>
    <fill>
      <patternFill patternType="solid">
        <fgColor rgb="FFDEDED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DF2F7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rgb="FFE4ECF4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FFFDFB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8EFD9"/>
        <bgColor indexed="64"/>
      </patternFill>
    </fill>
    <fill>
      <patternFill patternType="solid">
        <fgColor rgb="FFDFE9C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/>
      <right style="thin">
        <color indexed="64"/>
      </right>
      <top style="thick">
        <color indexed="10"/>
      </top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 style="thick">
        <color indexed="10"/>
      </right>
      <top/>
      <bottom/>
      <diagonal/>
    </border>
    <border>
      <left style="thick">
        <color indexed="10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thick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66FF"/>
      </left>
      <right style="thick">
        <color rgb="FFC00000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0066FF"/>
      </left>
      <right style="thick">
        <color rgb="FFC00000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41" fontId="1" fillId="0" borderId="0" applyFont="0" applyFill="0" applyBorder="0" applyAlignment="0" applyProtection="0"/>
  </cellStyleXfs>
  <cellXfs count="717">
    <xf numFmtId="0" fontId="0" fillId="0" borderId="0" xfId="0"/>
    <xf numFmtId="165" fontId="3" fillId="4" borderId="0" xfId="1" applyNumberFormat="1" applyFont="1" applyFill="1" applyAlignment="1" applyProtection="1">
      <alignment horizontal="center" vertical="center"/>
      <protection hidden="1"/>
    </xf>
    <xf numFmtId="0" fontId="5" fillId="0" borderId="20" xfId="0" applyFont="1" applyBorder="1" applyAlignment="1" applyProtection="1">
      <alignment vertical="top" wrapText="1"/>
      <protection hidden="1"/>
    </xf>
    <xf numFmtId="0" fontId="4" fillId="6" borderId="0" xfId="0" applyFont="1" applyFill="1" applyAlignment="1" applyProtection="1">
      <alignment horizontal="center" vertical="center" wrapText="1"/>
      <protection hidden="1"/>
    </xf>
    <xf numFmtId="167" fontId="6" fillId="0" borderId="58" xfId="1" applyNumberFormat="1" applyFont="1" applyBorder="1" applyAlignment="1" applyProtection="1">
      <alignment horizontal="centerContinuous" vertical="top"/>
      <protection locked="0"/>
    </xf>
    <xf numFmtId="167" fontId="6" fillId="0" borderId="59" xfId="1" applyNumberFormat="1" applyFont="1" applyBorder="1" applyAlignment="1" applyProtection="1">
      <alignment horizontal="centerContinuous" vertical="top"/>
      <protection locked="0"/>
    </xf>
    <xf numFmtId="167" fontId="5" fillId="0" borderId="0" xfId="1" applyNumberFormat="1" applyFont="1" applyAlignment="1" applyProtection="1">
      <alignment horizontal="center" vertical="top"/>
      <protection hidden="1"/>
    </xf>
    <xf numFmtId="0" fontId="5" fillId="0" borderId="62" xfId="0" applyFont="1" applyBorder="1" applyAlignment="1" applyProtection="1">
      <alignment vertical="top" wrapText="1"/>
      <protection hidden="1"/>
    </xf>
    <xf numFmtId="0" fontId="5" fillId="0" borderId="26" xfId="0" applyFont="1" applyBorder="1" applyAlignment="1" applyProtection="1">
      <alignment vertical="top" wrapText="1"/>
      <protection hidden="1"/>
    </xf>
    <xf numFmtId="0" fontId="5" fillId="10" borderId="75" xfId="0" applyFont="1" applyFill="1" applyBorder="1" applyAlignment="1" applyProtection="1">
      <alignment vertical="top" wrapText="1"/>
      <protection hidden="1"/>
    </xf>
    <xf numFmtId="0" fontId="5" fillId="25" borderId="12" xfId="0" applyFont="1" applyFill="1" applyBorder="1" applyAlignment="1" applyProtection="1">
      <alignment horizontal="left" vertical="top" indent="1"/>
      <protection hidden="1"/>
    </xf>
    <xf numFmtId="0" fontId="5" fillId="0" borderId="0" xfId="0" applyFont="1" applyAlignment="1" applyProtection="1">
      <alignment vertical="top" wrapText="1"/>
      <protection hidden="1"/>
    </xf>
    <xf numFmtId="167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horizontal="right" vertical="center"/>
    </xf>
    <xf numFmtId="49" fontId="8" fillId="2" borderId="0" xfId="0" applyNumberFormat="1" applyFont="1" applyFill="1" applyAlignment="1">
      <alignment horizontal="center"/>
    </xf>
    <xf numFmtId="0" fontId="9" fillId="3" borderId="0" xfId="0" applyFont="1" applyFill="1" applyAlignment="1" applyProtection="1">
      <alignment horizontal="center" vertical="center"/>
      <protection hidden="1"/>
    </xf>
    <xf numFmtId="0" fontId="10" fillId="3" borderId="0" xfId="0" applyFont="1" applyFill="1" applyAlignment="1" applyProtection="1">
      <alignment horizontal="left" vertical="center"/>
      <protection hidden="1"/>
    </xf>
    <xf numFmtId="0" fontId="11" fillId="3" borderId="0" xfId="0" applyFont="1" applyFill="1" applyAlignment="1" applyProtection="1">
      <alignment vertical="center"/>
      <protection hidden="1"/>
    </xf>
    <xf numFmtId="0" fontId="12" fillId="3" borderId="1" xfId="3" applyFont="1" applyFill="1" applyBorder="1" applyAlignment="1" applyProtection="1">
      <alignment horizontal="center" wrapText="1"/>
      <protection hidden="1"/>
    </xf>
    <xf numFmtId="165" fontId="6" fillId="4" borderId="2" xfId="1" applyNumberFormat="1" applyFont="1" applyFill="1" applyBorder="1" applyAlignment="1" applyProtection="1">
      <alignment vertical="center"/>
      <protection hidden="1"/>
    </xf>
    <xf numFmtId="165" fontId="13" fillId="4" borderId="0" xfId="1" applyNumberFormat="1" applyFont="1" applyFill="1" applyAlignment="1" applyProtection="1">
      <alignment horizontal="center" vertical="center"/>
      <protection hidden="1"/>
    </xf>
    <xf numFmtId="165" fontId="14" fillId="4" borderId="0" xfId="1" applyNumberFormat="1" applyFont="1" applyFill="1" applyAlignment="1" applyProtection="1">
      <alignment horizontal="center" vertical="center"/>
      <protection hidden="1"/>
    </xf>
    <xf numFmtId="165" fontId="13" fillId="4" borderId="1" xfId="1" applyNumberFormat="1" applyFont="1" applyFill="1" applyBorder="1" applyAlignment="1" applyProtection="1">
      <alignment horizontal="center" vertical="center"/>
      <protection hidden="1"/>
    </xf>
    <xf numFmtId="165" fontId="5" fillId="4" borderId="0" xfId="1" applyNumberFormat="1" applyFont="1" applyFill="1" applyAlignment="1" applyProtection="1">
      <alignment horizontal="left"/>
      <protection hidden="1"/>
    </xf>
    <xf numFmtId="165" fontId="5" fillId="4" borderId="6" xfId="1" applyNumberFormat="1" applyFont="1" applyFill="1" applyBorder="1" applyAlignment="1" applyProtection="1">
      <alignment horizontal="left"/>
      <protection hidden="1"/>
    </xf>
    <xf numFmtId="0" fontId="16" fillId="4" borderId="7" xfId="0" applyFont="1" applyFill="1" applyBorder="1" applyProtection="1">
      <protection hidden="1"/>
    </xf>
    <xf numFmtId="0" fontId="16" fillId="4" borderId="8" xfId="0" applyFont="1" applyFill="1" applyBorder="1" applyProtection="1">
      <protection hidden="1"/>
    </xf>
    <xf numFmtId="0" fontId="16" fillId="4" borderId="9" xfId="0" applyFont="1" applyFill="1" applyBorder="1" applyProtection="1">
      <protection hidden="1"/>
    </xf>
    <xf numFmtId="0" fontId="16" fillId="4" borderId="10" xfId="0" applyFont="1" applyFill="1" applyBorder="1" applyProtection="1">
      <protection hidden="1"/>
    </xf>
    <xf numFmtId="0" fontId="16" fillId="4" borderId="11" xfId="0" applyFont="1" applyFill="1" applyBorder="1" applyProtection="1">
      <protection hidden="1"/>
    </xf>
    <xf numFmtId="0" fontId="5" fillId="4" borderId="0" xfId="0" applyFont="1" applyFill="1" applyProtection="1">
      <protection hidden="1"/>
    </xf>
    <xf numFmtId="0" fontId="17" fillId="4" borderId="12" xfId="0" applyFont="1" applyFill="1" applyBorder="1" applyProtection="1">
      <protection hidden="1"/>
    </xf>
    <xf numFmtId="0" fontId="17" fillId="4" borderId="13" xfId="0" applyFont="1" applyFill="1" applyBorder="1" applyProtection="1">
      <protection hidden="1"/>
    </xf>
    <xf numFmtId="0" fontId="6" fillId="4" borderId="14" xfId="0" applyFont="1" applyFill="1" applyBorder="1" applyAlignment="1" applyProtection="1">
      <alignment horizontal="right" vertical="center"/>
      <protection hidden="1"/>
    </xf>
    <xf numFmtId="165" fontId="6" fillId="4" borderId="15" xfId="1" applyNumberFormat="1" applyFont="1" applyFill="1" applyBorder="1" applyAlignment="1" applyProtection="1">
      <alignment vertical="center"/>
      <protection hidden="1"/>
    </xf>
    <xf numFmtId="0" fontId="17" fillId="4" borderId="16" xfId="0" applyFont="1" applyFill="1" applyBorder="1" applyProtection="1">
      <protection hidden="1"/>
    </xf>
    <xf numFmtId="0" fontId="17" fillId="5" borderId="17" xfId="0" applyFont="1" applyFill="1" applyBorder="1" applyProtection="1">
      <protection hidden="1"/>
    </xf>
    <xf numFmtId="0" fontId="17" fillId="0" borderId="16" xfId="0" applyFont="1" applyBorder="1" applyProtection="1">
      <protection hidden="1"/>
    </xf>
    <xf numFmtId="0" fontId="18" fillId="0" borderId="0" xfId="3" applyFont="1" applyAlignment="1" applyProtection="1">
      <alignment horizontal="center"/>
    </xf>
    <xf numFmtId="0" fontId="17" fillId="0" borderId="0" xfId="0" applyFont="1" applyProtection="1">
      <protection hidden="1"/>
    </xf>
    <xf numFmtId="49" fontId="17" fillId="7" borderId="18" xfId="0" applyNumberFormat="1" applyFont="1" applyFill="1" applyBorder="1" applyAlignment="1">
      <alignment horizontal="center" vertical="top" wrapText="1"/>
    </xf>
    <xf numFmtId="0" fontId="5" fillId="0" borderId="19" xfId="0" applyFont="1" applyBorder="1" applyAlignment="1" applyProtection="1">
      <alignment horizontal="center" vertical="top" wrapText="1"/>
      <protection locked="0" hidden="1"/>
    </xf>
    <xf numFmtId="0" fontId="17" fillId="0" borderId="20" xfId="0" applyFont="1" applyBorder="1" applyAlignment="1" applyProtection="1">
      <alignment horizontal="center" vertical="top" wrapText="1"/>
      <protection hidden="1"/>
    </xf>
    <xf numFmtId="0" fontId="17" fillId="0" borderId="20" xfId="0" applyFont="1" applyBorder="1" applyAlignment="1" applyProtection="1">
      <alignment horizontal="right" vertical="top" wrapText="1"/>
      <protection hidden="1"/>
    </xf>
    <xf numFmtId="4" fontId="17" fillId="0" borderId="20" xfId="1" applyNumberFormat="1" applyFont="1" applyBorder="1" applyAlignment="1" applyProtection="1">
      <alignment horizontal="right" vertical="top" wrapText="1"/>
      <protection hidden="1"/>
    </xf>
    <xf numFmtId="4" fontId="17" fillId="0" borderId="21" xfId="1" applyNumberFormat="1" applyFont="1" applyBorder="1" applyAlignment="1" applyProtection="1">
      <alignment horizontal="right" vertical="top" wrapText="1"/>
      <protection hidden="1"/>
    </xf>
    <xf numFmtId="165" fontId="17" fillId="0" borderId="22" xfId="1" applyNumberFormat="1" applyFont="1" applyBorder="1" applyAlignment="1" applyProtection="1">
      <alignment horizontal="right" vertical="top" wrapText="1"/>
      <protection hidden="1"/>
    </xf>
    <xf numFmtId="165" fontId="17" fillId="0" borderId="20" xfId="1" applyNumberFormat="1" applyFont="1" applyBorder="1" applyAlignment="1" applyProtection="1">
      <alignment horizontal="right" vertical="top" wrapText="1"/>
      <protection hidden="1"/>
    </xf>
    <xf numFmtId="166" fontId="17" fillId="0" borderId="23" xfId="1" applyNumberFormat="1" applyFont="1" applyBorder="1" applyAlignment="1" applyProtection="1">
      <alignment horizontal="right" vertical="top" wrapText="1"/>
      <protection hidden="1"/>
    </xf>
    <xf numFmtId="166" fontId="17" fillId="0" borderId="24" xfId="1" applyNumberFormat="1" applyFont="1" applyBorder="1" applyAlignment="1" applyProtection="1">
      <alignment horizontal="right" vertical="top" wrapText="1"/>
      <protection hidden="1"/>
    </xf>
    <xf numFmtId="165" fontId="17" fillId="0" borderId="1" xfId="1" applyNumberFormat="1" applyFont="1" applyBorder="1" applyAlignment="1" applyProtection="1">
      <alignment horizontal="right" vertical="top" wrapText="1"/>
      <protection hidden="1"/>
    </xf>
    <xf numFmtId="165" fontId="17" fillId="0" borderId="0" xfId="1" applyNumberFormat="1" applyFont="1" applyAlignment="1" applyProtection="1">
      <alignment horizontal="right" vertical="top"/>
      <protection hidden="1"/>
    </xf>
    <xf numFmtId="3" fontId="17" fillId="0" borderId="25" xfId="1" applyNumberFormat="1" applyFont="1" applyBorder="1" applyAlignment="1" applyProtection="1">
      <alignment horizontal="right" vertical="top"/>
      <protection hidden="1"/>
    </xf>
    <xf numFmtId="3" fontId="17" fillId="0" borderId="26" xfId="1" applyNumberFormat="1" applyFont="1" applyBorder="1" applyAlignment="1" applyProtection="1">
      <alignment horizontal="right" vertical="top"/>
      <protection hidden="1"/>
    </xf>
    <xf numFmtId="3" fontId="17" fillId="0" borderId="27" xfId="1" applyNumberFormat="1" applyFont="1" applyBorder="1" applyAlignment="1" applyProtection="1">
      <alignment horizontal="right" vertical="top"/>
      <protection hidden="1"/>
    </xf>
    <xf numFmtId="3" fontId="6" fillId="0" borderId="28" xfId="1" applyNumberFormat="1" applyFont="1" applyBorder="1" applyAlignment="1" applyProtection="1">
      <alignment horizontal="right" vertical="top"/>
      <protection hidden="1"/>
    </xf>
    <xf numFmtId="43" fontId="11" fillId="0" borderId="0" xfId="1" applyFont="1" applyAlignment="1" applyProtection="1">
      <alignment vertical="top"/>
      <protection hidden="1"/>
    </xf>
    <xf numFmtId="0" fontId="17" fillId="0" borderId="0" xfId="0" applyFont="1"/>
    <xf numFmtId="0" fontId="16" fillId="2" borderId="7" xfId="0" applyFont="1" applyFill="1" applyBorder="1" applyProtection="1">
      <protection hidden="1"/>
    </xf>
    <xf numFmtId="0" fontId="16" fillId="2" borderId="8" xfId="0" applyFont="1" applyFill="1" applyBorder="1" applyProtection="1">
      <protection hidden="1"/>
    </xf>
    <xf numFmtId="0" fontId="16" fillId="2" borderId="9" xfId="0" applyFont="1" applyFill="1" applyBorder="1" applyProtection="1">
      <protection hidden="1"/>
    </xf>
    <xf numFmtId="0" fontId="16" fillId="2" borderId="10" xfId="0" applyFont="1" applyFill="1" applyBorder="1" applyProtection="1">
      <protection hidden="1"/>
    </xf>
    <xf numFmtId="0" fontId="16" fillId="2" borderId="11" xfId="0" applyFont="1" applyFill="1" applyBorder="1" applyProtection="1">
      <protection hidden="1"/>
    </xf>
    <xf numFmtId="2" fontId="17" fillId="0" borderId="18" xfId="0" applyNumberFormat="1" applyFont="1" applyBorder="1"/>
    <xf numFmtId="0" fontId="19" fillId="0" borderId="26" xfId="4" applyFont="1" applyBorder="1" applyAlignment="1">
      <alignment vertical="top"/>
    </xf>
    <xf numFmtId="2" fontId="17" fillId="0" borderId="29" xfId="0" applyNumberFormat="1" applyFont="1" applyBorder="1"/>
    <xf numFmtId="4" fontId="17" fillId="0" borderId="20" xfId="0" applyNumberFormat="1" applyFont="1" applyBorder="1"/>
    <xf numFmtId="4" fontId="17" fillId="0" borderId="30" xfId="1" applyNumberFormat="1" applyFont="1" applyBorder="1" applyAlignment="1" applyProtection="1">
      <alignment horizontal="right" vertical="top"/>
      <protection hidden="1"/>
    </xf>
    <xf numFmtId="0" fontId="17" fillId="5" borderId="31" xfId="0" applyFont="1" applyFill="1" applyBorder="1"/>
    <xf numFmtId="0" fontId="20" fillId="3" borderId="0" xfId="0" quotePrefix="1" applyFont="1" applyFill="1" applyAlignment="1" applyProtection="1">
      <alignment horizontal="center" vertical="center"/>
      <protection hidden="1"/>
    </xf>
    <xf numFmtId="0" fontId="21" fillId="3" borderId="0" xfId="0" applyFont="1" applyFill="1" applyAlignment="1" applyProtection="1">
      <alignment horizontal="left" vertical="center"/>
      <protection hidden="1"/>
    </xf>
    <xf numFmtId="0" fontId="17" fillId="3" borderId="0" xfId="0" applyFont="1" applyFill="1" applyProtection="1">
      <protection hidden="1"/>
    </xf>
    <xf numFmtId="0" fontId="22" fillId="3" borderId="1" xfId="3" applyFont="1" applyFill="1" applyBorder="1" applyAlignment="1" applyProtection="1">
      <alignment vertical="top" wrapText="1"/>
      <protection hidden="1"/>
    </xf>
    <xf numFmtId="165" fontId="23" fillId="4" borderId="1" xfId="0" applyNumberFormat="1" applyFont="1" applyFill="1" applyBorder="1" applyAlignment="1" applyProtection="1">
      <alignment horizontal="right" vertical="center"/>
      <protection hidden="1"/>
    </xf>
    <xf numFmtId="164" fontId="24" fillId="4" borderId="0" xfId="0" applyNumberFormat="1" applyFont="1" applyFill="1" applyAlignment="1" applyProtection="1">
      <alignment horizontal="right" vertical="center"/>
      <protection hidden="1"/>
    </xf>
    <xf numFmtId="166" fontId="25" fillId="4" borderId="1" xfId="0" applyNumberFormat="1" applyFont="1" applyFill="1" applyBorder="1" applyAlignment="1" applyProtection="1">
      <alignment horizontal="center" vertical="center"/>
      <protection hidden="1"/>
    </xf>
    <xf numFmtId="164" fontId="7" fillId="4" borderId="0" xfId="0" applyNumberFormat="1" applyFont="1" applyFill="1" applyAlignment="1" applyProtection="1">
      <alignment horizontal="right" vertical="center"/>
      <protection hidden="1"/>
    </xf>
    <xf numFmtId="164" fontId="7" fillId="4" borderId="6" xfId="0" applyNumberFormat="1" applyFont="1" applyFill="1" applyBorder="1" applyAlignment="1" applyProtection="1">
      <alignment horizontal="right" vertical="center"/>
      <protection hidden="1"/>
    </xf>
    <xf numFmtId="0" fontId="17" fillId="4" borderId="0" xfId="0" applyFont="1" applyFill="1" applyProtection="1">
      <protection hidden="1"/>
    </xf>
    <xf numFmtId="0" fontId="26" fillId="4" borderId="0" xfId="0" applyFont="1" applyFill="1" applyAlignment="1" applyProtection="1">
      <alignment vertical="center"/>
      <protection hidden="1"/>
    </xf>
    <xf numFmtId="0" fontId="17" fillId="5" borderId="31" xfId="0" applyFont="1" applyFill="1" applyBorder="1" applyProtection="1">
      <protection hidden="1"/>
    </xf>
    <xf numFmtId="0" fontId="18" fillId="0" borderId="0" xfId="3" applyFont="1" applyAlignment="1" applyProtection="1">
      <alignment horizontal="center" wrapText="1"/>
      <protection hidden="1"/>
    </xf>
    <xf numFmtId="0" fontId="17" fillId="0" borderId="0" xfId="0" applyFont="1" applyAlignment="1">
      <alignment horizontal="center"/>
    </xf>
    <xf numFmtId="0" fontId="22" fillId="3" borderId="35" xfId="3" applyFont="1" applyFill="1" applyBorder="1" applyAlignment="1" applyProtection="1">
      <alignment vertical="top" wrapText="1"/>
      <protection hidden="1"/>
    </xf>
    <xf numFmtId="0" fontId="12" fillId="3" borderId="0" xfId="0" applyFont="1" applyFill="1" applyAlignment="1" applyProtection="1">
      <alignment horizontal="center" wrapText="1"/>
      <protection hidden="1"/>
    </xf>
    <xf numFmtId="165" fontId="23" fillId="4" borderId="0" xfId="0" applyNumberFormat="1" applyFont="1" applyFill="1" applyAlignment="1" applyProtection="1">
      <alignment horizontal="right" vertical="center"/>
      <protection hidden="1"/>
    </xf>
    <xf numFmtId="166" fontId="25" fillId="4" borderId="0" xfId="0" applyNumberFormat="1" applyFont="1" applyFill="1" applyAlignment="1" applyProtection="1">
      <alignment horizontal="center" vertical="center"/>
      <protection hidden="1"/>
    </xf>
    <xf numFmtId="165" fontId="15" fillId="4" borderId="0" xfId="1" applyNumberFormat="1" applyFont="1" applyFill="1" applyAlignment="1" applyProtection="1">
      <alignment horizontal="center" vertical="center"/>
      <protection hidden="1"/>
    </xf>
    <xf numFmtId="164" fontId="7" fillId="0" borderId="0" xfId="0" applyNumberFormat="1" applyFont="1" applyAlignment="1" applyProtection="1">
      <alignment horizontal="right" vertical="center"/>
      <protection hidden="1"/>
    </xf>
    <xf numFmtId="164" fontId="7" fillId="0" borderId="6" xfId="0" applyNumberFormat="1" applyFont="1" applyBorder="1" applyAlignment="1" applyProtection="1">
      <alignment horizontal="right" vertical="center"/>
      <protection hidden="1"/>
    </xf>
    <xf numFmtId="0" fontId="26" fillId="0" borderId="0" xfId="0" applyFont="1" applyAlignment="1" applyProtection="1">
      <alignment vertical="center"/>
      <protection hidden="1"/>
    </xf>
    <xf numFmtId="49" fontId="17" fillId="0" borderId="0" xfId="0" applyNumberFormat="1" applyFont="1" applyAlignment="1">
      <alignment vertical="top"/>
    </xf>
    <xf numFmtId="0" fontId="27" fillId="0" borderId="39" xfId="0" applyFont="1" applyBorder="1" applyAlignment="1" applyProtection="1">
      <alignment horizontal="centerContinuous" vertical="center" wrapText="1"/>
      <protection locked="0"/>
    </xf>
    <xf numFmtId="0" fontId="27" fillId="0" borderId="37" xfId="0" applyFont="1" applyBorder="1" applyAlignment="1" applyProtection="1">
      <alignment horizontal="centerContinuous" vertical="center" wrapText="1"/>
      <protection locked="0"/>
    </xf>
    <xf numFmtId="0" fontId="27" fillId="0" borderId="40" xfId="0" applyFont="1" applyBorder="1" applyAlignment="1" applyProtection="1">
      <alignment horizontal="centerContinuous" vertical="center" wrapText="1"/>
      <protection locked="0"/>
    </xf>
    <xf numFmtId="0" fontId="27" fillId="0" borderId="0" xfId="0" applyFont="1" applyAlignment="1" applyProtection="1">
      <alignment horizontal="center" vertical="center" wrapText="1"/>
      <protection hidden="1"/>
    </xf>
    <xf numFmtId="0" fontId="27" fillId="8" borderId="41" xfId="0" applyFont="1" applyFill="1" applyBorder="1" applyAlignment="1" applyProtection="1">
      <alignment horizontal="centerContinuous" vertical="center"/>
      <protection locked="0"/>
    </xf>
    <xf numFmtId="0" fontId="27" fillId="8" borderId="42" xfId="0" applyFont="1" applyFill="1" applyBorder="1" applyAlignment="1" applyProtection="1">
      <alignment horizontal="centerContinuous" vertical="center"/>
      <protection locked="0"/>
    </xf>
    <xf numFmtId="0" fontId="27" fillId="8" borderId="43" xfId="0" applyFont="1" applyFill="1" applyBorder="1" applyAlignment="1" applyProtection="1">
      <alignment horizontal="centerContinuous" vertical="center"/>
      <protection locked="0"/>
    </xf>
    <xf numFmtId="0" fontId="28" fillId="0" borderId="0" xfId="0" applyFont="1" applyAlignment="1" applyProtection="1">
      <alignment horizontal="center" vertical="top"/>
      <protection hidden="1"/>
    </xf>
    <xf numFmtId="0" fontId="28" fillId="0" borderId="6" xfId="0" applyFont="1" applyBorder="1" applyAlignment="1" applyProtection="1">
      <alignment horizontal="center" vertical="top"/>
      <protection hidden="1"/>
    </xf>
    <xf numFmtId="0" fontId="17" fillId="0" borderId="0" xfId="0" applyFont="1" applyProtection="1">
      <protection locked="0"/>
    </xf>
    <xf numFmtId="0" fontId="17" fillId="5" borderId="31" xfId="0" applyFont="1" applyFill="1" applyBorder="1" applyProtection="1">
      <protection locked="0"/>
    </xf>
    <xf numFmtId="0" fontId="17" fillId="0" borderId="0" xfId="0" applyFont="1" applyAlignment="1" applyProtection="1">
      <alignment horizontal="center"/>
      <protection hidden="1"/>
    </xf>
    <xf numFmtId="0" fontId="27" fillId="0" borderId="47" xfId="0" applyFont="1" applyBorder="1" applyAlignment="1" applyProtection="1">
      <alignment horizontal="centerContinuous" vertical="center" wrapText="1"/>
      <protection locked="0"/>
    </xf>
    <xf numFmtId="0" fontId="27" fillId="0" borderId="45" xfId="0" applyFont="1" applyBorder="1" applyAlignment="1" applyProtection="1">
      <alignment horizontal="centerContinuous" vertical="center" wrapText="1"/>
      <protection locked="0"/>
    </xf>
    <xf numFmtId="0" fontId="27" fillId="0" borderId="48" xfId="0" applyFont="1" applyBorder="1" applyAlignment="1" applyProtection="1">
      <alignment horizontal="centerContinuous" vertical="center" wrapText="1"/>
      <protection locked="0"/>
    </xf>
    <xf numFmtId="0" fontId="29" fillId="10" borderId="49" xfId="0" applyFont="1" applyFill="1" applyBorder="1" applyAlignment="1">
      <alignment horizontal="center" vertical="center"/>
    </xf>
    <xf numFmtId="0" fontId="29" fillId="10" borderId="50" xfId="0" applyFont="1" applyFill="1" applyBorder="1" applyAlignment="1">
      <alignment horizontal="center" vertical="center"/>
    </xf>
    <xf numFmtId="0" fontId="29" fillId="10" borderId="51" xfId="0" applyFont="1" applyFill="1" applyBorder="1" applyAlignment="1">
      <alignment horizontal="center" vertical="center"/>
    </xf>
    <xf numFmtId="0" fontId="30" fillId="10" borderId="49" xfId="0" applyFont="1" applyFill="1" applyBorder="1" applyAlignment="1">
      <alignment horizontal="center" vertical="center"/>
    </xf>
    <xf numFmtId="0" fontId="30" fillId="10" borderId="50" xfId="0" applyFont="1" applyFill="1" applyBorder="1" applyAlignment="1">
      <alignment horizontal="center" vertical="center"/>
    </xf>
    <xf numFmtId="0" fontId="30" fillId="10" borderId="51" xfId="0" applyFont="1" applyFill="1" applyBorder="1" applyAlignment="1">
      <alignment horizontal="center" vertical="center"/>
    </xf>
    <xf numFmtId="0" fontId="5" fillId="0" borderId="12" xfId="0" applyFont="1" applyBorder="1" applyAlignment="1" applyProtection="1">
      <alignment horizontal="right" vertical="top"/>
      <protection locked="0"/>
    </xf>
    <xf numFmtId="15" fontId="5" fillId="0" borderId="56" xfId="0" applyNumberFormat="1" applyFont="1" applyBorder="1" applyAlignment="1" applyProtection="1">
      <alignment horizontal="center" vertical="top" wrapText="1"/>
      <protection locked="0"/>
    </xf>
    <xf numFmtId="15" fontId="5" fillId="0" borderId="0" xfId="0" applyNumberFormat="1" applyFont="1" applyAlignment="1" applyProtection="1">
      <alignment horizontal="center" vertical="top" wrapText="1"/>
      <protection hidden="1"/>
    </xf>
    <xf numFmtId="15" fontId="5" fillId="0" borderId="54" xfId="0" applyNumberFormat="1" applyFont="1" applyBorder="1" applyAlignment="1" applyProtection="1">
      <alignment horizontal="center" vertical="top" wrapText="1"/>
      <protection hidden="1"/>
    </xf>
    <xf numFmtId="43" fontId="7" fillId="0" borderId="0" xfId="1" applyFont="1" applyAlignment="1" applyProtection="1">
      <alignment horizontal="center" vertical="top"/>
      <protection hidden="1"/>
    </xf>
    <xf numFmtId="43" fontId="7" fillId="0" borderId="6" xfId="1" applyFont="1" applyBorder="1" applyAlignment="1" applyProtection="1">
      <alignment horizontal="center" vertical="top"/>
      <protection hidden="1"/>
    </xf>
    <xf numFmtId="167" fontId="17" fillId="0" borderId="0" xfId="1" applyNumberFormat="1" applyFont="1" applyAlignment="1" applyProtection="1">
      <alignment horizontal="center" vertical="top"/>
      <protection hidden="1"/>
    </xf>
    <xf numFmtId="167" fontId="17" fillId="0" borderId="6" xfId="1" applyNumberFormat="1" applyFont="1" applyBorder="1" applyAlignment="1" applyProtection="1">
      <alignment horizontal="center" vertical="top"/>
      <protection hidden="1"/>
    </xf>
    <xf numFmtId="0" fontId="17" fillId="0" borderId="0" xfId="0" applyFont="1" applyAlignment="1" applyProtection="1">
      <alignment vertical="top"/>
      <protection locked="0"/>
    </xf>
    <xf numFmtId="0" fontId="17" fillId="0" borderId="0" xfId="0" applyFont="1" applyAlignment="1" applyProtection="1">
      <alignment vertical="top" wrapText="1"/>
      <protection locked="0"/>
    </xf>
    <xf numFmtId="0" fontId="17" fillId="0" borderId="0" xfId="0" applyFont="1" applyAlignment="1" applyProtection="1">
      <alignment horizontal="center" vertical="top"/>
      <protection locked="0"/>
    </xf>
    <xf numFmtId="0" fontId="17" fillId="0" borderId="0" xfId="0" applyFont="1" applyAlignment="1" applyProtection="1">
      <alignment horizontal="right" vertical="top"/>
      <protection locked="0"/>
    </xf>
    <xf numFmtId="165" fontId="17" fillId="0" borderId="0" xfId="1" applyNumberFormat="1" applyFont="1" applyAlignment="1" applyProtection="1">
      <alignment vertical="top"/>
      <protection locked="0"/>
    </xf>
    <xf numFmtId="43" fontId="17" fillId="0" borderId="0" xfId="1" applyFont="1" applyAlignment="1" applyProtection="1">
      <alignment vertical="top"/>
      <protection hidden="1"/>
    </xf>
    <xf numFmtId="43" fontId="17" fillId="0" borderId="6" xfId="1" applyFont="1" applyBorder="1" applyAlignment="1" applyProtection="1">
      <alignment vertical="top"/>
      <protection hidden="1"/>
    </xf>
    <xf numFmtId="0" fontId="5" fillId="0" borderId="0" xfId="0" applyFont="1" applyProtection="1">
      <protection locked="0"/>
    </xf>
    <xf numFmtId="49" fontId="17" fillId="2" borderId="0" xfId="0" applyNumberFormat="1" applyFont="1" applyFill="1" applyAlignment="1">
      <alignment vertical="top"/>
    </xf>
    <xf numFmtId="0" fontId="6" fillId="11" borderId="15" xfId="0" applyFont="1" applyFill="1" applyBorder="1" applyAlignment="1" applyProtection="1">
      <alignment horizontal="center" vertical="center"/>
      <protection hidden="1"/>
    </xf>
    <xf numFmtId="4" fontId="6" fillId="11" borderId="15" xfId="0" applyNumberFormat="1" applyFont="1" applyFill="1" applyBorder="1" applyAlignment="1" applyProtection="1">
      <alignment horizontal="center" vertical="center"/>
      <protection hidden="1"/>
    </xf>
    <xf numFmtId="4" fontId="6" fillId="11" borderId="15" xfId="1" applyNumberFormat="1" applyFont="1" applyFill="1" applyBorder="1" applyAlignment="1" applyProtection="1">
      <alignment horizontal="center" vertical="center" wrapText="1"/>
      <protection hidden="1"/>
    </xf>
    <xf numFmtId="165" fontId="23" fillId="0" borderId="15" xfId="1" applyNumberFormat="1" applyFont="1" applyBorder="1" applyAlignment="1" applyProtection="1">
      <alignment horizontal="center" vertical="center"/>
      <protection hidden="1"/>
    </xf>
    <xf numFmtId="166" fontId="23" fillId="0" borderId="15" xfId="1" applyNumberFormat="1" applyFont="1" applyBorder="1" applyAlignment="1" applyProtection="1">
      <alignment horizontal="center" vertical="center"/>
      <protection hidden="1"/>
    </xf>
    <xf numFmtId="43" fontId="6" fillId="12" borderId="15" xfId="1" applyFont="1" applyFill="1" applyBorder="1" applyAlignment="1" applyProtection="1">
      <alignment horizontal="center" vertical="center" wrapText="1"/>
      <protection hidden="1"/>
    </xf>
    <xf numFmtId="43" fontId="29" fillId="13" borderId="15" xfId="1" applyFont="1" applyFill="1" applyBorder="1" applyAlignment="1" applyProtection="1">
      <alignment horizontal="center" vertical="center" wrapText="1"/>
      <protection hidden="1"/>
    </xf>
    <xf numFmtId="43" fontId="6" fillId="13" borderId="15" xfId="1" applyFont="1" applyFill="1" applyBorder="1" applyAlignment="1" applyProtection="1">
      <alignment horizontal="center" vertical="center" wrapText="1"/>
      <protection hidden="1"/>
    </xf>
    <xf numFmtId="0" fontId="30" fillId="14" borderId="15" xfId="0" applyFont="1" applyFill="1" applyBorder="1" applyAlignment="1" applyProtection="1">
      <alignment horizontal="center" vertical="center"/>
      <protection hidden="1"/>
    </xf>
    <xf numFmtId="4" fontId="30" fillId="14" borderId="15" xfId="0" applyNumberFormat="1" applyFont="1" applyFill="1" applyBorder="1" applyAlignment="1" applyProtection="1">
      <alignment horizontal="center" vertical="center"/>
      <protection hidden="1"/>
    </xf>
    <xf numFmtId="0" fontId="17" fillId="0" borderId="0" xfId="0" applyFont="1" applyAlignment="1">
      <alignment vertical="top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horizontal="center" vertical="top"/>
    </xf>
    <xf numFmtId="0" fontId="17" fillId="0" borderId="0" xfId="0" applyFont="1" applyAlignment="1" applyProtection="1">
      <alignment horizontal="right" vertical="top"/>
      <protection hidden="1"/>
    </xf>
    <xf numFmtId="4" fontId="17" fillId="0" borderId="0" xfId="0" applyNumberFormat="1" applyFont="1" applyAlignment="1">
      <alignment vertical="top"/>
    </xf>
    <xf numFmtId="4" fontId="17" fillId="0" borderId="0" xfId="1" applyNumberFormat="1" applyFont="1" applyAlignment="1">
      <alignment vertical="top"/>
    </xf>
    <xf numFmtId="166" fontId="17" fillId="0" borderId="0" xfId="0" applyNumberFormat="1" applyFont="1"/>
    <xf numFmtId="4" fontId="17" fillId="0" borderId="0" xfId="0" applyNumberFormat="1" applyFont="1"/>
    <xf numFmtId="49" fontId="17" fillId="7" borderId="60" xfId="0" applyNumberFormat="1" applyFont="1" applyFill="1" applyBorder="1" applyAlignment="1">
      <alignment horizontal="center" vertical="top"/>
    </xf>
    <xf numFmtId="0" fontId="31" fillId="5" borderId="41" xfId="0" applyFont="1" applyFill="1" applyBorder="1" applyAlignment="1" applyProtection="1">
      <alignment horizontal="center" vertical="top" wrapText="1"/>
      <protection locked="0" hidden="1"/>
    </xf>
    <xf numFmtId="0" fontId="31" fillId="5" borderId="42" xfId="0" applyFont="1" applyFill="1" applyBorder="1" applyAlignment="1" applyProtection="1">
      <alignment vertical="top"/>
      <protection locked="0"/>
    </xf>
    <xf numFmtId="0" fontId="6" fillId="5" borderId="42" xfId="0" applyFont="1" applyFill="1" applyBorder="1" applyAlignment="1" applyProtection="1">
      <alignment vertical="top" wrapText="1"/>
      <protection hidden="1"/>
    </xf>
    <xf numFmtId="4" fontId="6" fillId="5" borderId="42" xfId="0" applyNumberFormat="1" applyFont="1" applyFill="1" applyBorder="1" applyAlignment="1" applyProtection="1">
      <alignment vertical="top" wrapText="1"/>
      <protection hidden="1"/>
    </xf>
    <xf numFmtId="4" fontId="31" fillId="5" borderId="43" xfId="0" applyNumberFormat="1" applyFont="1" applyFill="1" applyBorder="1" applyAlignment="1" applyProtection="1">
      <alignment horizontal="right" vertical="top" wrapText="1"/>
      <protection hidden="1"/>
    </xf>
    <xf numFmtId="0" fontId="17" fillId="0" borderId="18" xfId="0" applyFont="1" applyBorder="1" applyProtection="1">
      <protection hidden="1"/>
    </xf>
    <xf numFmtId="0" fontId="17" fillId="0" borderId="22" xfId="0" applyFont="1" applyBorder="1" applyProtection="1">
      <protection hidden="1"/>
    </xf>
    <xf numFmtId="166" fontId="17" fillId="0" borderId="22" xfId="0" applyNumberFormat="1" applyFont="1" applyBorder="1" applyProtection="1">
      <protection hidden="1"/>
    </xf>
    <xf numFmtId="3" fontId="31" fillId="0" borderId="45" xfId="0" applyNumberFormat="1" applyFont="1" applyBorder="1" applyAlignment="1" applyProtection="1">
      <alignment horizontal="right" vertical="top" wrapText="1"/>
      <protection hidden="1"/>
    </xf>
    <xf numFmtId="43" fontId="11" fillId="15" borderId="61" xfId="1" applyFont="1" applyFill="1" applyBorder="1" applyAlignment="1" applyProtection="1">
      <alignment vertical="top"/>
      <protection hidden="1"/>
    </xf>
    <xf numFmtId="43" fontId="11" fillId="15" borderId="62" xfId="1" applyFont="1" applyFill="1" applyBorder="1" applyAlignment="1" applyProtection="1">
      <alignment vertical="top"/>
      <protection hidden="1"/>
    </xf>
    <xf numFmtId="43" fontId="11" fillId="15" borderId="63" xfId="1" applyFont="1" applyFill="1" applyBorder="1" applyAlignment="1" applyProtection="1">
      <alignment vertical="top"/>
      <protection hidden="1"/>
    </xf>
    <xf numFmtId="43" fontId="32" fillId="15" borderId="64" xfId="1" applyFont="1" applyFill="1" applyBorder="1" applyAlignment="1" applyProtection="1">
      <alignment vertical="top"/>
      <protection hidden="1"/>
    </xf>
    <xf numFmtId="0" fontId="16" fillId="0" borderId="0" xfId="0" applyFont="1" applyProtection="1">
      <protection hidden="1"/>
    </xf>
    <xf numFmtId="0" fontId="17" fillId="5" borderId="41" xfId="0" applyFont="1" applyFill="1" applyBorder="1" applyProtection="1">
      <protection locked="0"/>
    </xf>
    <xf numFmtId="0" fontId="17" fillId="5" borderId="42" xfId="0" applyFont="1" applyFill="1" applyBorder="1" applyProtection="1">
      <protection locked="0"/>
    </xf>
    <xf numFmtId="4" fontId="17" fillId="5" borderId="42" xfId="0" applyNumberFormat="1" applyFont="1" applyFill="1" applyBorder="1" applyProtection="1">
      <protection locked="0"/>
    </xf>
    <xf numFmtId="49" fontId="17" fillId="7" borderId="65" xfId="0" applyNumberFormat="1" applyFont="1" applyFill="1" applyBorder="1" applyAlignment="1">
      <alignment horizontal="center" vertical="top"/>
    </xf>
    <xf numFmtId="0" fontId="5" fillId="0" borderId="66" xfId="0" applyFont="1" applyBorder="1" applyAlignment="1" applyProtection="1">
      <alignment horizontal="center" vertical="top"/>
      <protection locked="0" hidden="1"/>
    </xf>
    <xf numFmtId="0" fontId="17" fillId="0" borderId="62" xfId="0" applyFont="1" applyBorder="1" applyAlignment="1" applyProtection="1">
      <alignment horizontal="center" vertical="top"/>
      <protection hidden="1"/>
    </xf>
    <xf numFmtId="165" fontId="17" fillId="0" borderId="22" xfId="1" applyNumberFormat="1" applyFont="1" applyFill="1" applyBorder="1" applyAlignment="1" applyProtection="1">
      <alignment horizontal="right" vertical="top"/>
      <protection hidden="1"/>
    </xf>
    <xf numFmtId="165" fontId="17" fillId="0" borderId="20" xfId="1" applyNumberFormat="1" applyFont="1" applyFill="1" applyBorder="1" applyAlignment="1" applyProtection="1">
      <alignment horizontal="right" vertical="top"/>
      <protection hidden="1"/>
    </xf>
    <xf numFmtId="165" fontId="17" fillId="0" borderId="20" xfId="1" applyNumberFormat="1" applyFont="1" applyBorder="1" applyAlignment="1" applyProtection="1">
      <alignment horizontal="right" vertical="top"/>
      <protection hidden="1"/>
    </xf>
    <xf numFmtId="166" fontId="17" fillId="0" borderId="23" xfId="1" applyNumberFormat="1" applyFont="1" applyBorder="1" applyAlignment="1" applyProtection="1">
      <alignment horizontal="right" vertical="top"/>
      <protection hidden="1"/>
    </xf>
    <xf numFmtId="166" fontId="17" fillId="0" borderId="24" xfId="1" applyNumberFormat="1" applyFont="1" applyBorder="1" applyAlignment="1" applyProtection="1">
      <alignment horizontal="right" vertical="top"/>
      <protection hidden="1"/>
    </xf>
    <xf numFmtId="165" fontId="17" fillId="0" borderId="68" xfId="1" applyNumberFormat="1" applyFont="1" applyBorder="1" applyAlignment="1" applyProtection="1">
      <alignment horizontal="right" vertical="top"/>
      <protection hidden="1"/>
    </xf>
    <xf numFmtId="49" fontId="17" fillId="7" borderId="18" xfId="0" applyNumberFormat="1" applyFont="1" applyFill="1" applyBorder="1" applyAlignment="1">
      <alignment horizontal="center" vertical="top"/>
    </xf>
    <xf numFmtId="0" fontId="5" fillId="0" borderId="19" xfId="0" applyFont="1" applyBorder="1" applyAlignment="1" applyProtection="1">
      <alignment horizontal="center" vertical="top"/>
      <protection locked="0" hidden="1"/>
    </xf>
    <xf numFmtId="0" fontId="17" fillId="0" borderId="20" xfId="0" applyFont="1" applyBorder="1" applyAlignment="1" applyProtection="1">
      <alignment horizontal="center" vertical="top"/>
      <protection hidden="1"/>
    </xf>
    <xf numFmtId="0" fontId="17" fillId="0" borderId="20" xfId="0" applyFont="1" applyBorder="1" applyAlignment="1" applyProtection="1">
      <alignment horizontal="right" vertical="top"/>
      <protection hidden="1"/>
    </xf>
    <xf numFmtId="4" fontId="17" fillId="0" borderId="20" xfId="1" applyNumberFormat="1" applyFont="1" applyBorder="1" applyAlignment="1" applyProtection="1">
      <alignment horizontal="right" vertical="top"/>
      <protection hidden="1"/>
    </xf>
    <xf numFmtId="165" fontId="17" fillId="0" borderId="1" xfId="1" applyNumberFormat="1" applyFont="1" applyBorder="1" applyAlignment="1" applyProtection="1">
      <alignment horizontal="right" vertical="top"/>
      <protection hidden="1"/>
    </xf>
    <xf numFmtId="49" fontId="17" fillId="7" borderId="18" xfId="0" quotePrefix="1" applyNumberFormat="1" applyFont="1" applyFill="1" applyBorder="1" applyAlignment="1">
      <alignment horizontal="center" vertical="top" wrapText="1"/>
    </xf>
    <xf numFmtId="49" fontId="17" fillId="7" borderId="18" xfId="0" quotePrefix="1" applyNumberFormat="1" applyFont="1" applyFill="1" applyBorder="1" applyAlignment="1">
      <alignment horizontal="center" vertical="top"/>
    </xf>
    <xf numFmtId="49" fontId="17" fillId="7" borderId="69" xfId="0" applyNumberFormat="1" applyFont="1" applyFill="1" applyBorder="1" applyAlignment="1">
      <alignment horizontal="center" vertical="top"/>
    </xf>
    <xf numFmtId="0" fontId="5" fillId="0" borderId="70" xfId="0" applyFont="1" applyBorder="1" applyAlignment="1" applyProtection="1">
      <alignment horizontal="center" vertical="top"/>
      <protection locked="0" hidden="1"/>
    </xf>
    <xf numFmtId="0" fontId="17" fillId="0" borderId="26" xfId="0" applyFont="1" applyBorder="1" applyAlignment="1" applyProtection="1">
      <alignment horizontal="center" vertical="top"/>
      <protection hidden="1"/>
    </xf>
    <xf numFmtId="165" fontId="17" fillId="0" borderId="26" xfId="1" applyNumberFormat="1" applyFont="1" applyBorder="1" applyAlignment="1" applyProtection="1">
      <alignment horizontal="right" vertical="top"/>
      <protection hidden="1"/>
    </xf>
    <xf numFmtId="165" fontId="17" fillId="0" borderId="72" xfId="1" applyNumberFormat="1" applyFont="1" applyBorder="1" applyAlignment="1" applyProtection="1">
      <alignment horizontal="right" vertical="top"/>
      <protection hidden="1"/>
    </xf>
    <xf numFmtId="2" fontId="17" fillId="10" borderId="29" xfId="0" applyNumberFormat="1" applyFont="1" applyFill="1" applyBorder="1"/>
    <xf numFmtId="49" fontId="17" fillId="7" borderId="73" xfId="0" applyNumberFormat="1" applyFont="1" applyFill="1" applyBorder="1" applyAlignment="1">
      <alignment horizontal="center" vertical="top"/>
    </xf>
    <xf numFmtId="0" fontId="5" fillId="10" borderId="74" xfId="0" applyFont="1" applyFill="1" applyBorder="1" applyAlignment="1" applyProtection="1">
      <alignment horizontal="center" vertical="top"/>
      <protection locked="0" hidden="1"/>
    </xf>
    <xf numFmtId="0" fontId="17" fillId="10" borderId="75" xfId="0" applyFont="1" applyFill="1" applyBorder="1" applyAlignment="1" applyProtection="1">
      <alignment horizontal="center" vertical="top"/>
      <protection hidden="1"/>
    </xf>
    <xf numFmtId="165" fontId="31" fillId="0" borderId="15" xfId="1" applyNumberFormat="1" applyFont="1" applyBorder="1" applyAlignment="1" applyProtection="1">
      <alignment horizontal="right" vertical="top"/>
      <protection hidden="1"/>
    </xf>
    <xf numFmtId="3" fontId="17" fillId="15" borderId="77" xfId="1" applyNumberFormat="1" applyFont="1" applyFill="1" applyBorder="1" applyAlignment="1" applyProtection="1">
      <alignment horizontal="right" vertical="top"/>
      <protection hidden="1"/>
    </xf>
    <xf numFmtId="3" fontId="17" fillId="15" borderId="78" xfId="1" applyNumberFormat="1" applyFont="1" applyFill="1" applyBorder="1" applyAlignment="1" applyProtection="1">
      <alignment horizontal="right" vertical="top"/>
      <protection hidden="1"/>
    </xf>
    <xf numFmtId="3" fontId="17" fillId="15" borderId="79" xfId="1" applyNumberFormat="1" applyFont="1" applyFill="1" applyBorder="1" applyAlignment="1" applyProtection="1">
      <alignment horizontal="right" vertical="top"/>
      <protection hidden="1"/>
    </xf>
    <xf numFmtId="3" fontId="6" fillId="15" borderId="80" xfId="1" applyNumberFormat="1" applyFont="1" applyFill="1" applyBorder="1" applyAlignment="1" applyProtection="1">
      <alignment horizontal="right" vertical="top"/>
      <protection hidden="1"/>
    </xf>
    <xf numFmtId="0" fontId="17" fillId="10" borderId="74" xfId="0" applyFont="1" applyFill="1" applyBorder="1"/>
    <xf numFmtId="0" fontId="17" fillId="10" borderId="75" xfId="0" applyFont="1" applyFill="1" applyBorder="1"/>
    <xf numFmtId="0" fontId="17" fillId="0" borderId="0" xfId="0" applyFont="1" applyAlignment="1">
      <alignment horizontal="right" vertical="top"/>
    </xf>
    <xf numFmtId="166" fontId="31" fillId="5" borderId="43" xfId="0" applyNumberFormat="1" applyFont="1" applyFill="1" applyBorder="1" applyAlignment="1" applyProtection="1">
      <alignment horizontal="right" vertical="top" wrapText="1"/>
      <protection hidden="1"/>
    </xf>
    <xf numFmtId="0" fontId="17" fillId="0" borderId="62" xfId="0" applyFont="1" applyBorder="1" applyAlignment="1" applyProtection="1">
      <alignment horizontal="right" vertical="top"/>
      <protection locked="0" hidden="1"/>
    </xf>
    <xf numFmtId="165" fontId="17" fillId="0" borderId="62" xfId="1" applyNumberFormat="1" applyFont="1" applyBorder="1" applyAlignment="1" applyProtection="1">
      <alignment horizontal="right" vertical="top"/>
      <protection hidden="1"/>
    </xf>
    <xf numFmtId="166" fontId="17" fillId="0" borderId="67" xfId="1" applyNumberFormat="1" applyFont="1" applyBorder="1" applyAlignment="1" applyProtection="1">
      <alignment horizontal="right" vertical="top"/>
      <protection hidden="1"/>
    </xf>
    <xf numFmtId="165" fontId="17" fillId="0" borderId="81" xfId="1" applyNumberFormat="1" applyFont="1" applyBorder="1" applyAlignment="1" applyProtection="1">
      <alignment horizontal="right" vertical="top"/>
      <protection hidden="1"/>
    </xf>
    <xf numFmtId="165" fontId="17" fillId="0" borderId="63" xfId="1" applyNumberFormat="1" applyFont="1" applyBorder="1" applyAlignment="1" applyProtection="1">
      <alignment horizontal="right" vertical="top"/>
      <protection hidden="1"/>
    </xf>
    <xf numFmtId="165" fontId="17" fillId="0" borderId="64" xfId="1" applyNumberFormat="1" applyFont="1" applyBorder="1" applyAlignment="1" applyProtection="1">
      <alignment horizontal="right" vertical="top"/>
      <protection hidden="1"/>
    </xf>
    <xf numFmtId="2" fontId="17" fillId="5" borderId="29" xfId="0" applyNumberFormat="1" applyFont="1" applyFill="1" applyBorder="1"/>
    <xf numFmtId="165" fontId="17" fillId="0" borderId="20" xfId="0" applyNumberFormat="1" applyFont="1" applyBorder="1"/>
    <xf numFmtId="165" fontId="17" fillId="5" borderId="30" xfId="1" applyNumberFormat="1" applyFont="1" applyFill="1" applyBorder="1" applyAlignment="1" applyProtection="1">
      <alignment horizontal="right" vertical="top"/>
      <protection hidden="1"/>
    </xf>
    <xf numFmtId="0" fontId="17" fillId="0" borderId="26" xfId="0" applyFont="1" applyBorder="1" applyAlignment="1" applyProtection="1">
      <alignment horizontal="right" vertical="top"/>
      <protection locked="0" hidden="1"/>
    </xf>
    <xf numFmtId="166" fontId="17" fillId="0" borderId="30" xfId="1" applyNumberFormat="1" applyFont="1" applyBorder="1" applyAlignment="1" applyProtection="1">
      <alignment horizontal="right" vertical="top"/>
      <protection hidden="1"/>
    </xf>
    <xf numFmtId="165" fontId="17" fillId="0" borderId="71" xfId="1" applyNumberFormat="1" applyFont="1" applyBorder="1" applyAlignment="1" applyProtection="1">
      <alignment horizontal="right" vertical="top"/>
      <protection hidden="1"/>
    </xf>
    <xf numFmtId="165" fontId="17" fillId="0" borderId="27" xfId="1" applyNumberFormat="1" applyFont="1" applyBorder="1" applyAlignment="1" applyProtection="1">
      <alignment horizontal="right" vertical="top"/>
      <protection hidden="1"/>
    </xf>
    <xf numFmtId="165" fontId="17" fillId="0" borderId="28" xfId="1" applyNumberFormat="1" applyFont="1" applyBorder="1" applyAlignment="1" applyProtection="1">
      <alignment horizontal="right" vertical="top"/>
      <protection hidden="1"/>
    </xf>
    <xf numFmtId="165" fontId="17" fillId="10" borderId="30" xfId="1" applyNumberFormat="1" applyFont="1" applyFill="1" applyBorder="1" applyAlignment="1" applyProtection="1">
      <alignment horizontal="right" vertical="top"/>
      <protection hidden="1"/>
    </xf>
    <xf numFmtId="0" fontId="17" fillId="10" borderId="75" xfId="0" applyFont="1" applyFill="1" applyBorder="1" applyAlignment="1" applyProtection="1">
      <alignment horizontal="right" vertical="top"/>
      <protection locked="0" hidden="1"/>
    </xf>
    <xf numFmtId="165" fontId="6" fillId="10" borderId="75" xfId="1" applyNumberFormat="1" applyFont="1" applyFill="1" applyBorder="1" applyAlignment="1" applyProtection="1">
      <alignment horizontal="right" vertical="top"/>
      <protection hidden="1"/>
    </xf>
    <xf numFmtId="166" fontId="31" fillId="10" borderId="76" xfId="1" applyNumberFormat="1" applyFont="1" applyFill="1" applyBorder="1" applyAlignment="1" applyProtection="1">
      <alignment horizontal="right" vertical="top"/>
      <protection hidden="1"/>
    </xf>
    <xf numFmtId="43" fontId="31" fillId="10" borderId="76" xfId="1" applyFont="1" applyFill="1" applyBorder="1" applyAlignment="1" applyProtection="1">
      <alignment horizontal="right" vertical="top"/>
      <protection hidden="1"/>
    </xf>
    <xf numFmtId="43" fontId="17" fillId="0" borderId="0" xfId="1" applyFont="1" applyAlignment="1">
      <alignment vertical="top"/>
    </xf>
    <xf numFmtId="49" fontId="7" fillId="2" borderId="0" xfId="0" applyNumberFormat="1" applyFont="1" applyFill="1" applyAlignment="1">
      <alignment horizontal="center" vertical="center"/>
    </xf>
    <xf numFmtId="0" fontId="17" fillId="0" borderId="0" xfId="0" applyFont="1" applyAlignment="1" applyProtection="1">
      <alignment vertical="center"/>
      <protection hidden="1"/>
    </xf>
    <xf numFmtId="0" fontId="17" fillId="16" borderId="12" xfId="0" applyFont="1" applyFill="1" applyBorder="1" applyAlignment="1" applyProtection="1">
      <alignment vertical="center"/>
      <protection hidden="1"/>
    </xf>
    <xf numFmtId="0" fontId="17" fillId="16" borderId="13" xfId="0" applyFont="1" applyFill="1" applyBorder="1" applyAlignment="1" applyProtection="1">
      <alignment vertical="center"/>
      <protection hidden="1"/>
    </xf>
    <xf numFmtId="4" fontId="31" fillId="16" borderId="13" xfId="0" applyNumberFormat="1" applyFont="1" applyFill="1" applyBorder="1" applyAlignment="1" applyProtection="1">
      <alignment horizontal="right" vertical="center"/>
      <protection hidden="1"/>
    </xf>
    <xf numFmtId="4" fontId="31" fillId="16" borderId="14" xfId="1" applyNumberFormat="1" applyFont="1" applyFill="1" applyBorder="1" applyAlignment="1" applyProtection="1">
      <alignment horizontal="right" vertical="center"/>
      <protection hidden="1"/>
    </xf>
    <xf numFmtId="165" fontId="31" fillId="17" borderId="25" xfId="1" applyNumberFormat="1" applyFont="1" applyFill="1" applyBorder="1" applyAlignment="1" applyProtection="1">
      <alignment horizontal="right" vertical="center"/>
      <protection hidden="1"/>
    </xf>
    <xf numFmtId="165" fontId="31" fillId="17" borderId="26" xfId="1" applyNumberFormat="1" applyFont="1" applyFill="1" applyBorder="1" applyAlignment="1" applyProtection="1">
      <alignment horizontal="right" vertical="center"/>
      <protection hidden="1"/>
    </xf>
    <xf numFmtId="166" fontId="29" fillId="17" borderId="26" xfId="1" applyNumberFormat="1" applyFont="1" applyFill="1" applyBorder="1" applyAlignment="1" applyProtection="1">
      <alignment horizontal="right" vertical="center"/>
      <protection hidden="1"/>
    </xf>
    <xf numFmtId="166" fontId="29" fillId="17" borderId="28" xfId="1" applyNumberFormat="1" applyFont="1" applyFill="1" applyBorder="1" applyAlignment="1" applyProtection="1">
      <alignment horizontal="right" vertical="center"/>
      <protection hidden="1"/>
    </xf>
    <xf numFmtId="3" fontId="31" fillId="17" borderId="14" xfId="1" applyNumberFormat="1" applyFont="1" applyFill="1" applyBorder="1" applyAlignment="1" applyProtection="1">
      <alignment horizontal="right" vertical="center"/>
      <protection hidden="1"/>
    </xf>
    <xf numFmtId="43" fontId="17" fillId="0" borderId="0" xfId="1" applyFont="1" applyAlignment="1" applyProtection="1">
      <alignment vertical="center"/>
      <protection hidden="1"/>
    </xf>
    <xf numFmtId="3" fontId="31" fillId="8" borderId="49" xfId="1" applyNumberFormat="1" applyFont="1" applyFill="1" applyBorder="1" applyAlignment="1" applyProtection="1">
      <alignment horizontal="right" vertical="center"/>
      <protection hidden="1"/>
    </xf>
    <xf numFmtId="3" fontId="31" fillId="8" borderId="50" xfId="1" applyNumberFormat="1" applyFont="1" applyFill="1" applyBorder="1" applyAlignment="1" applyProtection="1">
      <alignment horizontal="right" vertical="center"/>
      <protection hidden="1"/>
    </xf>
    <xf numFmtId="0" fontId="33" fillId="0" borderId="0" xfId="0" applyFont="1" applyAlignment="1" applyProtection="1">
      <alignment vertical="center"/>
      <protection hidden="1"/>
    </xf>
    <xf numFmtId="0" fontId="33" fillId="0" borderId="6" xfId="0" applyFont="1" applyBorder="1" applyAlignment="1" applyProtection="1">
      <alignment vertical="center"/>
      <protection hidden="1"/>
    </xf>
    <xf numFmtId="0" fontId="16" fillId="2" borderId="7" xfId="0" applyFont="1" applyFill="1" applyBorder="1" applyAlignment="1" applyProtection="1">
      <alignment vertical="center"/>
      <protection hidden="1"/>
    </xf>
    <xf numFmtId="0" fontId="16" fillId="2" borderId="8" xfId="0" applyFont="1" applyFill="1" applyBorder="1" applyAlignment="1" applyProtection="1">
      <alignment vertical="center"/>
      <protection hidden="1"/>
    </xf>
    <xf numFmtId="0" fontId="16" fillId="2" borderId="9" xfId="0" applyFont="1" applyFill="1" applyBorder="1" applyAlignment="1" applyProtection="1">
      <alignment vertical="center"/>
      <protection hidden="1"/>
    </xf>
    <xf numFmtId="0" fontId="16" fillId="2" borderId="10" xfId="0" applyFont="1" applyFill="1" applyBorder="1" applyAlignment="1" applyProtection="1">
      <alignment vertical="center"/>
      <protection hidden="1"/>
    </xf>
    <xf numFmtId="0" fontId="16" fillId="2" borderId="11" xfId="0" applyFont="1" applyFill="1" applyBorder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locked="0"/>
    </xf>
    <xf numFmtId="0" fontId="17" fillId="9" borderId="12" xfId="0" applyFont="1" applyFill="1" applyBorder="1" applyAlignment="1" applyProtection="1">
      <alignment vertical="center"/>
      <protection hidden="1"/>
    </xf>
    <xf numFmtId="0" fontId="17" fillId="9" borderId="13" xfId="0" applyFont="1" applyFill="1" applyBorder="1" applyAlignment="1" applyProtection="1">
      <alignment vertical="center"/>
      <protection hidden="1"/>
    </xf>
    <xf numFmtId="4" fontId="31" fillId="9" borderId="13" xfId="0" applyNumberFormat="1" applyFont="1" applyFill="1" applyBorder="1" applyAlignment="1" applyProtection="1">
      <alignment horizontal="right" vertical="center"/>
      <protection hidden="1"/>
    </xf>
    <xf numFmtId="4" fontId="31" fillId="9" borderId="14" xfId="1" applyNumberFormat="1" applyFont="1" applyFill="1" applyBorder="1" applyAlignment="1" applyProtection="1">
      <alignment horizontal="right" vertical="center"/>
      <protection hidden="1"/>
    </xf>
    <xf numFmtId="0" fontId="17" fillId="5" borderId="31" xfId="0" applyFont="1" applyFill="1" applyBorder="1" applyAlignment="1" applyProtection="1">
      <alignment vertical="center"/>
      <protection locked="0"/>
    </xf>
    <xf numFmtId="0" fontId="17" fillId="0" borderId="0" xfId="0" applyFont="1" applyAlignment="1" applyProtection="1">
      <alignment vertical="top"/>
      <protection hidden="1"/>
    </xf>
    <xf numFmtId="0" fontId="17" fillId="0" borderId="0" xfId="0" applyFont="1" applyAlignment="1" applyProtection="1">
      <alignment vertical="top" wrapText="1"/>
      <protection hidden="1"/>
    </xf>
    <xf numFmtId="0" fontId="17" fillId="0" borderId="0" xfId="0" applyFont="1" applyAlignment="1" applyProtection="1">
      <alignment horizontal="center" vertical="top"/>
      <protection hidden="1"/>
    </xf>
    <xf numFmtId="166" fontId="17" fillId="0" borderId="0" xfId="1" applyNumberFormat="1" applyFont="1" applyAlignment="1" applyProtection="1">
      <alignment vertical="top"/>
      <protection hidden="1"/>
    </xf>
    <xf numFmtId="166" fontId="17" fillId="0" borderId="0" xfId="0" applyNumberFormat="1" applyFont="1" applyProtection="1">
      <protection hidden="1"/>
    </xf>
    <xf numFmtId="43" fontId="33" fillId="0" borderId="0" xfId="1" applyFont="1" applyAlignment="1" applyProtection="1">
      <alignment vertical="top"/>
      <protection hidden="1"/>
    </xf>
    <xf numFmtId="43" fontId="33" fillId="0" borderId="6" xfId="1" applyFont="1" applyBorder="1" applyAlignment="1" applyProtection="1">
      <alignment vertical="top"/>
      <protection hidden="1"/>
    </xf>
    <xf numFmtId="166" fontId="17" fillId="0" borderId="0" xfId="0" applyNumberFormat="1" applyFont="1" applyProtection="1">
      <protection locked="0"/>
    </xf>
    <xf numFmtId="0" fontId="17" fillId="18" borderId="12" xfId="0" applyFont="1" applyFill="1" applyBorder="1" applyAlignment="1" applyProtection="1">
      <alignment vertical="center"/>
      <protection hidden="1"/>
    </xf>
    <xf numFmtId="0" fontId="17" fillId="18" borderId="13" xfId="0" applyFont="1" applyFill="1" applyBorder="1" applyAlignment="1" applyProtection="1">
      <alignment vertical="center"/>
      <protection hidden="1"/>
    </xf>
    <xf numFmtId="165" fontId="31" fillId="18" borderId="13" xfId="0" applyNumberFormat="1" applyFont="1" applyFill="1" applyBorder="1" applyAlignment="1" applyProtection="1">
      <alignment horizontal="right" vertical="center"/>
      <protection hidden="1"/>
    </xf>
    <xf numFmtId="166" fontId="31" fillId="18" borderId="14" xfId="1" applyNumberFormat="1" applyFont="1" applyFill="1" applyBorder="1" applyAlignment="1" applyProtection="1">
      <alignment horizontal="right" vertical="center"/>
      <protection hidden="1"/>
    </xf>
    <xf numFmtId="3" fontId="31" fillId="17" borderId="49" xfId="1" applyNumberFormat="1" applyFont="1" applyFill="1" applyBorder="1" applyAlignment="1" applyProtection="1">
      <alignment horizontal="right" vertical="center"/>
      <protection hidden="1"/>
    </xf>
    <xf numFmtId="3" fontId="31" fillId="17" borderId="50" xfId="1" applyNumberFormat="1" applyFont="1" applyFill="1" applyBorder="1" applyAlignment="1" applyProtection="1">
      <alignment horizontal="right" vertical="center"/>
      <protection hidden="1"/>
    </xf>
    <xf numFmtId="0" fontId="17" fillId="19" borderId="12" xfId="0" applyFont="1" applyFill="1" applyBorder="1" applyAlignment="1" applyProtection="1">
      <alignment vertical="center"/>
      <protection hidden="1"/>
    </xf>
    <xf numFmtId="0" fontId="17" fillId="19" borderId="13" xfId="0" applyFont="1" applyFill="1" applyBorder="1" applyAlignment="1" applyProtection="1">
      <alignment vertical="center"/>
      <protection hidden="1"/>
    </xf>
    <xf numFmtId="165" fontId="31" fillId="19" borderId="13" xfId="0" applyNumberFormat="1" applyFont="1" applyFill="1" applyBorder="1" applyAlignment="1" applyProtection="1">
      <alignment horizontal="right" vertical="center"/>
      <protection hidden="1"/>
    </xf>
    <xf numFmtId="166" fontId="31" fillId="19" borderId="14" xfId="1" applyNumberFormat="1" applyFont="1" applyFill="1" applyBorder="1" applyAlignment="1" applyProtection="1">
      <alignment horizontal="right" vertical="center"/>
      <protection hidden="1"/>
    </xf>
    <xf numFmtId="166" fontId="34" fillId="0" borderId="0" xfId="1" applyNumberFormat="1" applyFont="1" applyAlignment="1" applyProtection="1">
      <alignment horizontal="right" vertical="top"/>
      <protection hidden="1"/>
    </xf>
    <xf numFmtId="49" fontId="7" fillId="2" borderId="0" xfId="0" applyNumberFormat="1" applyFont="1" applyFill="1" applyAlignment="1">
      <alignment horizontal="center" vertical="top"/>
    </xf>
    <xf numFmtId="0" fontId="31" fillId="20" borderId="12" xfId="0" applyFont="1" applyFill="1" applyBorder="1" applyAlignment="1" applyProtection="1">
      <alignment vertical="top" wrapText="1"/>
      <protection hidden="1"/>
    </xf>
    <xf numFmtId="0" fontId="17" fillId="20" borderId="13" xfId="0" applyFont="1" applyFill="1" applyBorder="1" applyAlignment="1" applyProtection="1">
      <alignment horizontal="center" vertical="top"/>
      <protection hidden="1"/>
    </xf>
    <xf numFmtId="0" fontId="17" fillId="20" borderId="13" xfId="0" applyFont="1" applyFill="1" applyBorder="1" applyAlignment="1" applyProtection="1">
      <alignment horizontal="right" vertical="top"/>
      <protection hidden="1"/>
    </xf>
    <xf numFmtId="0" fontId="17" fillId="20" borderId="13" xfId="0" applyFont="1" applyFill="1" applyBorder="1" applyAlignment="1" applyProtection="1">
      <alignment vertical="top"/>
      <protection hidden="1"/>
    </xf>
    <xf numFmtId="166" fontId="17" fillId="20" borderId="14" xfId="1" applyNumberFormat="1" applyFont="1" applyFill="1" applyBorder="1" applyAlignment="1" applyProtection="1">
      <alignment vertical="top"/>
      <protection hidden="1"/>
    </xf>
    <xf numFmtId="43" fontId="17" fillId="0" borderId="53" xfId="1" applyFont="1" applyBorder="1" applyAlignment="1" applyProtection="1">
      <alignment vertical="top"/>
      <protection hidden="1"/>
    </xf>
    <xf numFmtId="43" fontId="17" fillId="0" borderId="54" xfId="1" applyFont="1" applyBorder="1" applyAlignment="1" applyProtection="1">
      <alignment vertical="top"/>
      <protection hidden="1"/>
    </xf>
    <xf numFmtId="166" fontId="17" fillId="0" borderId="54" xfId="1" applyNumberFormat="1" applyFont="1" applyBorder="1" applyAlignment="1" applyProtection="1">
      <alignment vertical="top"/>
      <protection hidden="1"/>
    </xf>
    <xf numFmtId="166" fontId="17" fillId="0" borderId="55" xfId="1" applyNumberFormat="1" applyFont="1" applyBorder="1" applyAlignment="1" applyProtection="1">
      <alignment vertical="top"/>
      <protection hidden="1"/>
    </xf>
    <xf numFmtId="43" fontId="17" fillId="12" borderId="14" xfId="1" applyFont="1" applyFill="1" applyBorder="1" applyAlignment="1" applyProtection="1">
      <alignment vertical="top"/>
      <protection hidden="1"/>
    </xf>
    <xf numFmtId="49" fontId="7" fillId="2" borderId="0" xfId="0" applyNumberFormat="1" applyFont="1" applyFill="1" applyAlignment="1">
      <alignment horizontal="center"/>
    </xf>
    <xf numFmtId="0" fontId="17" fillId="21" borderId="83" xfId="0" applyFont="1" applyFill="1" applyBorder="1" applyProtection="1">
      <protection hidden="1"/>
    </xf>
    <xf numFmtId="0" fontId="17" fillId="21" borderId="81" xfId="0" applyFont="1" applyFill="1" applyBorder="1" applyProtection="1">
      <protection hidden="1"/>
    </xf>
    <xf numFmtId="0" fontId="6" fillId="21" borderId="84" xfId="0" applyFont="1" applyFill="1" applyBorder="1" applyAlignment="1" applyProtection="1">
      <alignment horizontal="right"/>
      <protection hidden="1"/>
    </xf>
    <xf numFmtId="166" fontId="6" fillId="21" borderId="64" xfId="1" applyNumberFormat="1" applyFont="1" applyFill="1" applyBorder="1" applyAlignment="1" applyProtection="1">
      <alignment vertical="top"/>
      <protection hidden="1"/>
    </xf>
    <xf numFmtId="165" fontId="6" fillId="0" borderId="35" xfId="1" applyNumberFormat="1" applyFont="1" applyBorder="1" applyAlignment="1" applyProtection="1">
      <alignment vertical="top"/>
      <protection hidden="1"/>
    </xf>
    <xf numFmtId="165" fontId="6" fillId="0" borderId="0" xfId="1" applyNumberFormat="1" applyFont="1" applyAlignment="1" applyProtection="1">
      <alignment vertical="top"/>
      <protection hidden="1"/>
    </xf>
    <xf numFmtId="166" fontId="6" fillId="0" borderId="0" xfId="1" applyNumberFormat="1" applyFont="1" applyAlignment="1" applyProtection="1">
      <alignment vertical="top"/>
      <protection hidden="1"/>
    </xf>
    <xf numFmtId="166" fontId="6" fillId="0" borderId="85" xfId="1" applyNumberFormat="1" applyFont="1" applyBorder="1" applyAlignment="1" applyProtection="1">
      <alignment vertical="top"/>
      <protection hidden="1"/>
    </xf>
    <xf numFmtId="165" fontId="6" fillId="0" borderId="64" xfId="1" applyNumberFormat="1" applyFont="1" applyBorder="1" applyAlignment="1" applyProtection="1">
      <alignment vertical="top"/>
      <protection hidden="1"/>
    </xf>
    <xf numFmtId="0" fontId="17" fillId="0" borderId="6" xfId="0" applyFont="1" applyBorder="1" applyProtection="1">
      <protection hidden="1"/>
    </xf>
    <xf numFmtId="0" fontId="17" fillId="21" borderId="86" xfId="0" applyFont="1" applyFill="1" applyBorder="1" applyProtection="1">
      <protection hidden="1"/>
    </xf>
    <xf numFmtId="0" fontId="17" fillId="21" borderId="22" xfId="0" applyFont="1" applyFill="1" applyBorder="1" applyProtection="1">
      <protection hidden="1"/>
    </xf>
    <xf numFmtId="0" fontId="17" fillId="21" borderId="22" xfId="0" applyFont="1" applyFill="1" applyBorder="1" applyAlignment="1" applyProtection="1">
      <alignment horizontal="right"/>
      <protection hidden="1"/>
    </xf>
    <xf numFmtId="10" fontId="17" fillId="21" borderId="29" xfId="0" applyNumberFormat="1" applyFont="1" applyFill="1" applyBorder="1" applyAlignment="1" applyProtection="1">
      <alignment horizontal="center"/>
      <protection hidden="1"/>
    </xf>
    <xf numFmtId="166" fontId="17" fillId="21" borderId="24" xfId="1" applyNumberFormat="1" applyFont="1" applyFill="1" applyBorder="1" applyProtection="1">
      <protection hidden="1"/>
    </xf>
    <xf numFmtId="165" fontId="17" fillId="0" borderId="35" xfId="1" applyNumberFormat="1" applyFont="1" applyBorder="1" applyProtection="1">
      <protection hidden="1"/>
    </xf>
    <xf numFmtId="165" fontId="17" fillId="0" borderId="0" xfId="1" applyNumberFormat="1" applyFont="1" applyProtection="1">
      <protection hidden="1"/>
    </xf>
    <xf numFmtId="166" fontId="17" fillId="0" borderId="0" xfId="1" applyNumberFormat="1" applyFont="1" applyProtection="1">
      <protection hidden="1"/>
    </xf>
    <xf numFmtId="166" fontId="17" fillId="0" borderId="85" xfId="1" applyNumberFormat="1" applyFont="1" applyBorder="1" applyProtection="1">
      <protection hidden="1"/>
    </xf>
    <xf numFmtId="165" fontId="17" fillId="0" borderId="24" xfId="1" applyNumberFormat="1" applyFont="1" applyBorder="1" applyProtection="1">
      <protection hidden="1"/>
    </xf>
    <xf numFmtId="0" fontId="17" fillId="21" borderId="87" xfId="0" applyFont="1" applyFill="1" applyBorder="1" applyProtection="1">
      <protection hidden="1"/>
    </xf>
    <xf numFmtId="0" fontId="17" fillId="21" borderId="71" xfId="0" applyFont="1" applyFill="1" applyBorder="1" applyProtection="1">
      <protection hidden="1"/>
    </xf>
    <xf numFmtId="0" fontId="17" fillId="21" borderId="71" xfId="0" applyFont="1" applyFill="1" applyBorder="1" applyAlignment="1" applyProtection="1">
      <alignment horizontal="right"/>
      <protection hidden="1"/>
    </xf>
    <xf numFmtId="10" fontId="17" fillId="21" borderId="82" xfId="0" applyNumberFormat="1" applyFont="1" applyFill="1" applyBorder="1" applyAlignment="1" applyProtection="1">
      <alignment horizontal="center"/>
      <protection hidden="1"/>
    </xf>
    <xf numFmtId="166" fontId="17" fillId="21" borderId="28" xfId="1" applyNumberFormat="1" applyFont="1" applyFill="1" applyBorder="1" applyProtection="1">
      <protection hidden="1"/>
    </xf>
    <xf numFmtId="165" fontId="17" fillId="0" borderId="28" xfId="1" applyNumberFormat="1" applyFont="1" applyBorder="1" applyProtection="1">
      <protection hidden="1"/>
    </xf>
    <xf numFmtId="165" fontId="17" fillId="0" borderId="6" xfId="1" applyNumberFormat="1" applyFont="1" applyBorder="1" applyProtection="1">
      <protection hidden="1"/>
    </xf>
    <xf numFmtId="0" fontId="17" fillId="21" borderId="88" xfId="0" applyFont="1" applyFill="1" applyBorder="1" applyProtection="1">
      <protection hidden="1"/>
    </xf>
    <xf numFmtId="0" fontId="17" fillId="21" borderId="89" xfId="0" applyFont="1" applyFill="1" applyBorder="1" applyProtection="1">
      <protection hidden="1"/>
    </xf>
    <xf numFmtId="0" fontId="6" fillId="21" borderId="89" xfId="0" applyFont="1" applyFill="1" applyBorder="1" applyAlignment="1" applyProtection="1">
      <alignment horizontal="right"/>
      <protection hidden="1"/>
    </xf>
    <xf numFmtId="10" fontId="6" fillId="21" borderId="90" xfId="0" applyNumberFormat="1" applyFont="1" applyFill="1" applyBorder="1" applyAlignment="1" applyProtection="1">
      <alignment horizontal="center"/>
      <protection hidden="1"/>
    </xf>
    <xf numFmtId="166" fontId="6" fillId="21" borderId="28" xfId="1" applyNumberFormat="1" applyFont="1" applyFill="1" applyBorder="1" applyProtection="1">
      <protection hidden="1"/>
    </xf>
    <xf numFmtId="165" fontId="6" fillId="0" borderId="35" xfId="1" applyNumberFormat="1" applyFont="1" applyBorder="1" applyProtection="1">
      <protection hidden="1"/>
    </xf>
    <xf numFmtId="165" fontId="6" fillId="0" borderId="0" xfId="1" applyNumberFormat="1" applyFont="1" applyProtection="1">
      <protection hidden="1"/>
    </xf>
    <xf numFmtId="166" fontId="6" fillId="0" borderId="0" xfId="1" applyNumberFormat="1" applyFont="1" applyProtection="1">
      <protection hidden="1"/>
    </xf>
    <xf numFmtId="166" fontId="6" fillId="0" borderId="85" xfId="1" applyNumberFormat="1" applyFont="1" applyBorder="1" applyProtection="1">
      <protection hidden="1"/>
    </xf>
    <xf numFmtId="165" fontId="6" fillId="0" borderId="28" xfId="1" applyNumberFormat="1" applyFont="1" applyBorder="1" applyProtection="1">
      <protection hidden="1"/>
    </xf>
    <xf numFmtId="165" fontId="6" fillId="0" borderId="0" xfId="0" applyNumberFormat="1" applyFont="1" applyProtection="1">
      <protection hidden="1"/>
    </xf>
    <xf numFmtId="165" fontId="6" fillId="0" borderId="6" xfId="0" applyNumberFormat="1" applyFont="1" applyBorder="1" applyProtection="1">
      <protection hidden="1"/>
    </xf>
    <xf numFmtId="0" fontId="5" fillId="21" borderId="89" xfId="0" applyFont="1" applyFill="1" applyBorder="1" applyAlignment="1" applyProtection="1">
      <alignment horizontal="right"/>
      <protection hidden="1"/>
    </xf>
    <xf numFmtId="10" fontId="5" fillId="21" borderId="90" xfId="0" applyNumberFormat="1" applyFont="1" applyFill="1" applyBorder="1" applyAlignment="1" applyProtection="1">
      <alignment horizontal="center"/>
      <protection hidden="1"/>
    </xf>
    <xf numFmtId="166" fontId="6" fillId="21" borderId="91" xfId="1" applyNumberFormat="1" applyFont="1" applyFill="1" applyBorder="1" applyProtection="1">
      <protection hidden="1"/>
    </xf>
    <xf numFmtId="165" fontId="6" fillId="0" borderId="91" xfId="1" applyNumberFormat="1" applyFont="1" applyBorder="1" applyProtection="1">
      <protection hidden="1"/>
    </xf>
    <xf numFmtId="0" fontId="35" fillId="20" borderId="12" xfId="3" applyFont="1" applyFill="1" applyBorder="1" applyAlignment="1" applyProtection="1">
      <protection hidden="1"/>
    </xf>
    <xf numFmtId="0" fontId="17" fillId="20" borderId="13" xfId="0" applyFont="1" applyFill="1" applyBorder="1" applyProtection="1">
      <protection hidden="1"/>
    </xf>
    <xf numFmtId="0" fontId="31" fillId="20" borderId="13" xfId="0" applyFont="1" applyFill="1" applyBorder="1" applyAlignment="1" applyProtection="1">
      <alignment horizontal="right"/>
      <protection hidden="1"/>
    </xf>
    <xf numFmtId="166" fontId="31" fillId="20" borderId="14" xfId="0" applyNumberFormat="1" applyFont="1" applyFill="1" applyBorder="1" applyAlignment="1" applyProtection="1">
      <alignment horizontal="right"/>
      <protection hidden="1"/>
    </xf>
    <xf numFmtId="3" fontId="31" fillId="0" borderId="47" xfId="0" applyNumberFormat="1" applyFont="1" applyBorder="1" applyAlignment="1" applyProtection="1">
      <alignment horizontal="right"/>
      <protection hidden="1"/>
    </xf>
    <xf numFmtId="165" fontId="11" fillId="0" borderId="45" xfId="0" applyNumberFormat="1" applyFont="1" applyBorder="1" applyProtection="1">
      <protection hidden="1"/>
    </xf>
    <xf numFmtId="3" fontId="31" fillId="0" borderId="45" xfId="0" applyNumberFormat="1" applyFont="1" applyBorder="1" applyAlignment="1" applyProtection="1">
      <alignment horizontal="right"/>
      <protection hidden="1"/>
    </xf>
    <xf numFmtId="166" fontId="31" fillId="0" borderId="45" xfId="0" applyNumberFormat="1" applyFont="1" applyBorder="1" applyAlignment="1" applyProtection="1">
      <alignment horizontal="right"/>
      <protection hidden="1"/>
    </xf>
    <xf numFmtId="166" fontId="31" fillId="0" borderId="46" xfId="0" applyNumberFormat="1" applyFont="1" applyBorder="1" applyAlignment="1" applyProtection="1">
      <alignment horizontal="right"/>
      <protection locked="0"/>
    </xf>
    <xf numFmtId="3" fontId="31" fillId="12" borderId="14" xfId="0" applyNumberFormat="1" applyFont="1" applyFill="1" applyBorder="1" applyAlignment="1" applyProtection="1">
      <alignment horizontal="right"/>
      <protection hidden="1"/>
    </xf>
    <xf numFmtId="49" fontId="7" fillId="0" borderId="0" xfId="0" applyNumberFormat="1" applyFont="1" applyAlignment="1">
      <alignment horizontal="center"/>
    </xf>
    <xf numFmtId="0" fontId="6" fillId="0" borderId="0" xfId="0" applyFont="1" applyAlignment="1" applyProtection="1">
      <alignment horizontal="right"/>
      <protection hidden="1"/>
    </xf>
    <xf numFmtId="166" fontId="5" fillId="0" borderId="0" xfId="0" applyNumberFormat="1" applyFont="1" applyAlignment="1" applyProtection="1">
      <alignment horizontal="right"/>
      <protection hidden="1"/>
    </xf>
    <xf numFmtId="166" fontId="6" fillId="0" borderId="0" xfId="0" applyNumberFormat="1" applyFont="1" applyProtection="1">
      <protection hidden="1"/>
    </xf>
    <xf numFmtId="0" fontId="31" fillId="19" borderId="12" xfId="0" applyFont="1" applyFill="1" applyBorder="1" applyAlignment="1" applyProtection="1">
      <alignment vertical="top" wrapText="1"/>
      <protection hidden="1"/>
    </xf>
    <xf numFmtId="0" fontId="17" fillId="19" borderId="13" xfId="0" applyFont="1" applyFill="1" applyBorder="1" applyAlignment="1" applyProtection="1">
      <alignment horizontal="center" vertical="top"/>
      <protection hidden="1"/>
    </xf>
    <xf numFmtId="0" fontId="17" fillId="19" borderId="13" xfId="0" applyFont="1" applyFill="1" applyBorder="1" applyAlignment="1" applyProtection="1">
      <alignment horizontal="right" vertical="top"/>
      <protection hidden="1"/>
    </xf>
    <xf numFmtId="0" fontId="17" fillId="19" borderId="13" xfId="0" applyFont="1" applyFill="1" applyBorder="1" applyAlignment="1" applyProtection="1">
      <alignment vertical="top"/>
      <protection hidden="1"/>
    </xf>
    <xf numFmtId="166" fontId="17" fillId="19" borderId="14" xfId="1" applyNumberFormat="1" applyFont="1" applyFill="1" applyBorder="1" applyAlignment="1" applyProtection="1">
      <alignment vertical="top"/>
      <protection hidden="1"/>
    </xf>
    <xf numFmtId="0" fontId="17" fillId="22" borderId="83" xfId="0" applyFont="1" applyFill="1" applyBorder="1" applyProtection="1">
      <protection hidden="1"/>
    </xf>
    <xf numFmtId="0" fontId="17" fillId="22" borderId="81" xfId="0" applyFont="1" applyFill="1" applyBorder="1" applyProtection="1">
      <protection hidden="1"/>
    </xf>
    <xf numFmtId="0" fontId="6" fillId="22" borderId="84" xfId="0" applyFont="1" applyFill="1" applyBorder="1" applyAlignment="1" applyProtection="1">
      <alignment horizontal="right"/>
      <protection hidden="1"/>
    </xf>
    <xf numFmtId="166" fontId="6" fillId="22" borderId="64" xfId="1" applyNumberFormat="1" applyFont="1" applyFill="1" applyBorder="1" applyAlignment="1" applyProtection="1">
      <alignment vertical="top"/>
      <protection hidden="1"/>
    </xf>
    <xf numFmtId="0" fontId="17" fillId="22" borderId="86" xfId="0" applyFont="1" applyFill="1" applyBorder="1" applyProtection="1">
      <protection hidden="1"/>
    </xf>
    <xf numFmtId="0" fontId="17" fillId="22" borderId="22" xfId="0" applyFont="1" applyFill="1" applyBorder="1" applyProtection="1">
      <protection hidden="1"/>
    </xf>
    <xf numFmtId="0" fontId="17" fillId="22" borderId="22" xfId="0" applyFont="1" applyFill="1" applyBorder="1" applyAlignment="1" applyProtection="1">
      <alignment horizontal="right"/>
      <protection hidden="1"/>
    </xf>
    <xf numFmtId="10" fontId="17" fillId="22" borderId="29" xfId="0" applyNumberFormat="1" applyFont="1" applyFill="1" applyBorder="1" applyAlignment="1" applyProtection="1">
      <alignment horizontal="center"/>
      <protection hidden="1"/>
    </xf>
    <xf numFmtId="166" fontId="17" fillId="22" borderId="24" xfId="1" applyNumberFormat="1" applyFont="1" applyFill="1" applyBorder="1" applyProtection="1">
      <protection hidden="1"/>
    </xf>
    <xf numFmtId="0" fontId="17" fillId="22" borderId="87" xfId="0" applyFont="1" applyFill="1" applyBorder="1" applyProtection="1">
      <protection hidden="1"/>
    </xf>
    <xf numFmtId="0" fontId="17" fillId="22" borderId="71" xfId="0" applyFont="1" applyFill="1" applyBorder="1" applyProtection="1">
      <protection hidden="1"/>
    </xf>
    <xf numFmtId="0" fontId="17" fillId="22" borderId="71" xfId="0" applyFont="1" applyFill="1" applyBorder="1" applyAlignment="1" applyProtection="1">
      <alignment horizontal="right"/>
      <protection hidden="1"/>
    </xf>
    <xf numFmtId="10" fontId="17" fillId="22" borderId="82" xfId="0" applyNumberFormat="1" applyFont="1" applyFill="1" applyBorder="1" applyAlignment="1" applyProtection="1">
      <alignment horizontal="center"/>
      <protection hidden="1"/>
    </xf>
    <xf numFmtId="166" fontId="17" fillId="22" borderId="28" xfId="1" applyNumberFormat="1" applyFont="1" applyFill="1" applyBorder="1" applyProtection="1">
      <protection hidden="1"/>
    </xf>
    <xf numFmtId="0" fontId="17" fillId="22" borderId="88" xfId="0" applyFont="1" applyFill="1" applyBorder="1" applyProtection="1">
      <protection hidden="1"/>
    </xf>
    <xf numFmtId="0" fontId="17" fillId="22" borderId="89" xfId="0" applyFont="1" applyFill="1" applyBorder="1" applyProtection="1">
      <protection hidden="1"/>
    </xf>
    <xf numFmtId="0" fontId="6" fillId="22" borderId="89" xfId="0" applyFont="1" applyFill="1" applyBorder="1" applyAlignment="1" applyProtection="1">
      <alignment horizontal="right"/>
      <protection hidden="1"/>
    </xf>
    <xf numFmtId="10" fontId="6" fillId="22" borderId="90" xfId="0" applyNumberFormat="1" applyFont="1" applyFill="1" applyBorder="1" applyAlignment="1" applyProtection="1">
      <alignment horizontal="center"/>
      <protection hidden="1"/>
    </xf>
    <xf numFmtId="166" fontId="6" fillId="22" borderId="28" xfId="1" applyNumberFormat="1" applyFont="1" applyFill="1" applyBorder="1" applyProtection="1">
      <protection hidden="1"/>
    </xf>
    <xf numFmtId="0" fontId="5" fillId="22" borderId="89" xfId="0" applyFont="1" applyFill="1" applyBorder="1" applyAlignment="1" applyProtection="1">
      <alignment horizontal="right"/>
      <protection hidden="1"/>
    </xf>
    <xf numFmtId="10" fontId="5" fillId="22" borderId="90" xfId="0" applyNumberFormat="1" applyFont="1" applyFill="1" applyBorder="1" applyAlignment="1" applyProtection="1">
      <alignment horizontal="center"/>
      <protection hidden="1"/>
    </xf>
    <xf numFmtId="166" fontId="6" fillId="22" borderId="91" xfId="1" applyNumberFormat="1" applyFont="1" applyFill="1" applyBorder="1" applyProtection="1">
      <protection hidden="1"/>
    </xf>
    <xf numFmtId="0" fontId="35" fillId="19" borderId="12" xfId="3" applyFont="1" applyFill="1" applyBorder="1" applyAlignment="1" applyProtection="1">
      <protection hidden="1"/>
    </xf>
    <xf numFmtId="0" fontId="17" fillId="19" borderId="13" xfId="0" applyFont="1" applyFill="1" applyBorder="1" applyProtection="1">
      <protection hidden="1"/>
    </xf>
    <xf numFmtId="0" fontId="31" fillId="19" borderId="13" xfId="0" applyFont="1" applyFill="1" applyBorder="1" applyAlignment="1" applyProtection="1">
      <alignment horizontal="right"/>
      <protection hidden="1"/>
    </xf>
    <xf numFmtId="166" fontId="31" fillId="19" borderId="14" xfId="0" applyNumberFormat="1" applyFont="1" applyFill="1" applyBorder="1" applyAlignment="1" applyProtection="1">
      <alignment horizontal="right"/>
      <protection hidden="1"/>
    </xf>
    <xf numFmtId="49" fontId="17" fillId="0" borderId="0" xfId="0" applyNumberFormat="1" applyFont="1"/>
    <xf numFmtId="0" fontId="17" fillId="0" borderId="6" xfId="0" applyFont="1" applyBorder="1"/>
    <xf numFmtId="0" fontId="31" fillId="23" borderId="12" xfId="0" applyFont="1" applyFill="1" applyBorder="1" applyAlignment="1" applyProtection="1">
      <alignment vertical="top" wrapText="1"/>
      <protection hidden="1"/>
    </xf>
    <xf numFmtId="0" fontId="17" fillId="23" borderId="13" xfId="0" applyFont="1" applyFill="1" applyBorder="1" applyAlignment="1" applyProtection="1">
      <alignment horizontal="center" vertical="top"/>
      <protection hidden="1"/>
    </xf>
    <xf numFmtId="0" fontId="17" fillId="23" borderId="13" xfId="0" applyFont="1" applyFill="1" applyBorder="1" applyAlignment="1" applyProtection="1">
      <alignment horizontal="right" vertical="top"/>
      <protection hidden="1"/>
    </xf>
    <xf numFmtId="0" fontId="17" fillId="23" borderId="13" xfId="0" applyFont="1" applyFill="1" applyBorder="1" applyAlignment="1" applyProtection="1">
      <alignment vertical="top"/>
      <protection hidden="1"/>
    </xf>
    <xf numFmtId="166" fontId="17" fillId="23" borderId="14" xfId="1" applyNumberFormat="1" applyFont="1" applyFill="1" applyBorder="1" applyAlignment="1" applyProtection="1">
      <alignment vertical="top"/>
      <protection hidden="1"/>
    </xf>
    <xf numFmtId="166" fontId="17" fillId="24" borderId="14" xfId="1" applyNumberFormat="1" applyFont="1" applyFill="1" applyBorder="1" applyAlignment="1" applyProtection="1">
      <alignment vertical="top"/>
      <protection hidden="1"/>
    </xf>
    <xf numFmtId="0" fontId="17" fillId="0" borderId="88" xfId="0" applyFont="1" applyBorder="1" applyProtection="1">
      <protection hidden="1"/>
    </xf>
    <xf numFmtId="0" fontId="17" fillId="0" borderId="89" xfId="0" applyFont="1" applyBorder="1" applyProtection="1">
      <protection hidden="1"/>
    </xf>
    <xf numFmtId="0" fontId="6" fillId="0" borderId="89" xfId="0" applyFont="1" applyBorder="1" applyAlignment="1" applyProtection="1">
      <alignment horizontal="right"/>
      <protection hidden="1"/>
    </xf>
    <xf numFmtId="10" fontId="5" fillId="0" borderId="90" xfId="0" applyNumberFormat="1" applyFont="1" applyBorder="1" applyAlignment="1" applyProtection="1">
      <alignment horizontal="right"/>
      <protection hidden="1"/>
    </xf>
    <xf numFmtId="166" fontId="6" fillId="0" borderId="91" xfId="1" applyNumberFormat="1" applyFont="1" applyBorder="1" applyProtection="1">
      <protection hidden="1"/>
    </xf>
    <xf numFmtId="0" fontId="17" fillId="0" borderId="83" xfId="0" applyFont="1" applyBorder="1" applyProtection="1">
      <protection hidden="1"/>
    </xf>
    <xf numFmtId="0" fontId="17" fillId="0" borderId="81" xfId="0" applyFont="1" applyBorder="1" applyProtection="1">
      <protection hidden="1"/>
    </xf>
    <xf numFmtId="0" fontId="6" fillId="0" borderId="84" xfId="0" applyFont="1" applyBorder="1" applyAlignment="1" applyProtection="1">
      <alignment horizontal="right"/>
      <protection hidden="1"/>
    </xf>
    <xf numFmtId="166" fontId="6" fillId="0" borderId="64" xfId="1" applyNumberFormat="1" applyFont="1" applyBorder="1" applyAlignment="1" applyProtection="1">
      <alignment vertical="top"/>
      <protection hidden="1"/>
    </xf>
    <xf numFmtId="0" fontId="17" fillId="0" borderId="86" xfId="0" applyFont="1" applyBorder="1" applyProtection="1">
      <protection hidden="1"/>
    </xf>
    <xf numFmtId="0" fontId="17" fillId="0" borderId="22" xfId="0" applyFont="1" applyBorder="1" applyAlignment="1" applyProtection="1">
      <alignment horizontal="right"/>
      <protection hidden="1"/>
    </xf>
    <xf numFmtId="10" fontId="17" fillId="0" borderId="29" xfId="0" applyNumberFormat="1" applyFont="1" applyBorder="1" applyAlignment="1" applyProtection="1">
      <alignment horizontal="center"/>
      <protection hidden="1"/>
    </xf>
    <xf numFmtId="166" fontId="17" fillId="0" borderId="24" xfId="1" applyNumberFormat="1" applyFont="1" applyBorder="1" applyProtection="1">
      <protection hidden="1"/>
    </xf>
    <xf numFmtId="0" fontId="17" fillId="0" borderId="87" xfId="0" applyFont="1" applyBorder="1" applyProtection="1">
      <protection hidden="1"/>
    </xf>
    <xf numFmtId="0" fontId="17" fillId="0" borderId="71" xfId="0" applyFont="1" applyBorder="1" applyProtection="1">
      <protection hidden="1"/>
    </xf>
    <xf numFmtId="0" fontId="17" fillId="0" borderId="71" xfId="0" applyFont="1" applyBorder="1" applyAlignment="1" applyProtection="1">
      <alignment horizontal="right"/>
      <protection hidden="1"/>
    </xf>
    <xf numFmtId="10" fontId="17" fillId="0" borderId="82" xfId="0" applyNumberFormat="1" applyFont="1" applyBorder="1" applyAlignment="1" applyProtection="1">
      <alignment horizontal="center"/>
      <protection hidden="1"/>
    </xf>
    <xf numFmtId="166" fontId="17" fillId="0" borderId="28" xfId="1" applyNumberFormat="1" applyFont="1" applyBorder="1" applyProtection="1">
      <protection hidden="1"/>
    </xf>
    <xf numFmtId="10" fontId="6" fillId="0" borderId="90" xfId="0" applyNumberFormat="1" applyFont="1" applyBorder="1" applyAlignment="1" applyProtection="1">
      <alignment horizontal="center"/>
      <protection hidden="1"/>
    </xf>
    <xf numFmtId="166" fontId="6" fillId="0" borderId="28" xfId="1" applyNumberFormat="1" applyFont="1" applyBorder="1" applyProtection="1">
      <protection hidden="1"/>
    </xf>
    <xf numFmtId="10" fontId="6" fillId="0" borderId="82" xfId="0" applyNumberFormat="1" applyFont="1" applyBorder="1" applyAlignment="1" applyProtection="1">
      <alignment horizontal="center"/>
      <protection hidden="1"/>
    </xf>
    <xf numFmtId="0" fontId="5" fillId="0" borderId="89" xfId="0" applyFont="1" applyBorder="1" applyAlignment="1" applyProtection="1">
      <alignment horizontal="right"/>
      <protection hidden="1"/>
    </xf>
    <xf numFmtId="10" fontId="5" fillId="0" borderId="90" xfId="0" applyNumberFormat="1" applyFont="1" applyBorder="1" applyAlignment="1" applyProtection="1">
      <alignment horizontal="center"/>
      <protection hidden="1"/>
    </xf>
    <xf numFmtId="0" fontId="35" fillId="16" borderId="12" xfId="3" applyFont="1" applyFill="1" applyBorder="1" applyAlignment="1" applyProtection="1">
      <protection hidden="1"/>
    </xf>
    <xf numFmtId="0" fontId="17" fillId="16" borderId="13" xfId="0" applyFont="1" applyFill="1" applyBorder="1" applyProtection="1">
      <protection hidden="1"/>
    </xf>
    <xf numFmtId="0" fontId="31" fillId="16" borderId="13" xfId="0" applyFont="1" applyFill="1" applyBorder="1" applyAlignment="1" applyProtection="1">
      <alignment horizontal="right"/>
      <protection hidden="1"/>
    </xf>
    <xf numFmtId="0" fontId="35" fillId="24" borderId="12" xfId="3" applyFont="1" applyFill="1" applyBorder="1" applyAlignment="1" applyProtection="1">
      <protection hidden="1"/>
    </xf>
    <xf numFmtId="0" fontId="17" fillId="24" borderId="13" xfId="0" applyFont="1" applyFill="1" applyBorder="1" applyProtection="1">
      <protection hidden="1"/>
    </xf>
    <xf numFmtId="0" fontId="31" fillId="24" borderId="13" xfId="0" applyFont="1" applyFill="1" applyBorder="1" applyAlignment="1" applyProtection="1">
      <alignment horizontal="right"/>
      <protection hidden="1"/>
    </xf>
    <xf numFmtId="166" fontId="31" fillId="24" borderId="14" xfId="0" applyNumberFormat="1" applyFont="1" applyFill="1" applyBorder="1" applyAlignment="1" applyProtection="1">
      <alignment horizontal="right"/>
      <protection hidden="1"/>
    </xf>
    <xf numFmtId="0" fontId="17" fillId="5" borderId="12" xfId="0" applyFont="1" applyFill="1" applyBorder="1"/>
    <xf numFmtId="0" fontId="17" fillId="5" borderId="13" xfId="0" applyFont="1" applyFill="1" applyBorder="1"/>
    <xf numFmtId="0" fontId="5" fillId="5" borderId="13" xfId="0" applyFont="1" applyFill="1" applyBorder="1" applyAlignment="1">
      <alignment horizontal="right"/>
    </xf>
    <xf numFmtId="9" fontId="5" fillId="5" borderId="14" xfId="0" applyNumberFormat="1" applyFont="1" applyFill="1" applyBorder="1" applyAlignment="1">
      <alignment horizontal="center"/>
    </xf>
    <xf numFmtId="166" fontId="17" fillId="5" borderId="15" xfId="0" applyNumberFormat="1" applyFont="1" applyFill="1" applyBorder="1"/>
    <xf numFmtId="49" fontId="5" fillId="7" borderId="0" xfId="0" applyNumberFormat="1" applyFont="1" applyFill="1"/>
    <xf numFmtId="0" fontId="17" fillId="25" borderId="12" xfId="0" applyFont="1" applyFill="1" applyBorder="1" applyProtection="1">
      <protection hidden="1"/>
    </xf>
    <xf numFmtId="0" fontId="31" fillId="25" borderId="13" xfId="0" applyFont="1" applyFill="1" applyBorder="1" applyAlignment="1" applyProtection="1">
      <alignment vertical="center"/>
      <protection hidden="1"/>
    </xf>
    <xf numFmtId="0" fontId="17" fillId="25" borderId="13" xfId="0" applyFont="1" applyFill="1" applyBorder="1" applyAlignment="1" applyProtection="1">
      <alignment horizontal="center" vertical="top"/>
      <protection hidden="1"/>
    </xf>
    <xf numFmtId="0" fontId="17" fillId="25" borderId="13" xfId="0" applyFont="1" applyFill="1" applyBorder="1" applyAlignment="1" applyProtection="1">
      <alignment horizontal="right" vertical="top"/>
      <protection hidden="1"/>
    </xf>
    <xf numFmtId="165" fontId="17" fillId="25" borderId="13" xfId="1" applyNumberFormat="1" applyFont="1" applyFill="1" applyBorder="1" applyAlignment="1" applyProtection="1">
      <alignment horizontal="right" vertical="top"/>
      <protection hidden="1"/>
    </xf>
    <xf numFmtId="166" fontId="17" fillId="25" borderId="13" xfId="1" applyNumberFormat="1" applyFont="1" applyFill="1" applyBorder="1" applyAlignment="1" applyProtection="1">
      <alignment horizontal="right" vertical="top"/>
      <protection hidden="1"/>
    </xf>
    <xf numFmtId="165" fontId="17" fillId="25" borderId="14" xfId="1" applyNumberFormat="1" applyFont="1" applyFill="1" applyBorder="1" applyAlignment="1" applyProtection="1">
      <alignment horizontal="right" vertical="top"/>
      <protection hidden="1"/>
    </xf>
    <xf numFmtId="0" fontId="17" fillId="25" borderId="13" xfId="0" applyFont="1" applyFill="1" applyBorder="1" applyProtection="1">
      <protection locked="0"/>
    </xf>
    <xf numFmtId="166" fontId="17" fillId="25" borderId="14" xfId="0" applyNumberFormat="1" applyFont="1" applyFill="1" applyBorder="1" applyProtection="1">
      <protection locked="0"/>
    </xf>
    <xf numFmtId="0" fontId="17" fillId="0" borderId="35" xfId="0" applyFont="1" applyBorder="1" applyProtection="1">
      <protection hidden="1"/>
    </xf>
    <xf numFmtId="166" fontId="17" fillId="0" borderId="85" xfId="1" applyNumberFormat="1" applyFont="1" applyBorder="1" applyAlignment="1" applyProtection="1">
      <alignment horizontal="right" vertical="top"/>
      <protection hidden="1"/>
    </xf>
    <xf numFmtId="166" fontId="17" fillId="0" borderId="0" xfId="1" applyNumberFormat="1" applyFont="1" applyAlignment="1" applyProtection="1">
      <alignment horizontal="right" vertical="top"/>
      <protection hidden="1"/>
    </xf>
    <xf numFmtId="165" fontId="17" fillId="25" borderId="1" xfId="1" applyNumberFormat="1" applyFont="1" applyFill="1" applyBorder="1" applyAlignment="1" applyProtection="1">
      <alignment horizontal="right" vertical="top"/>
      <protection hidden="1"/>
    </xf>
    <xf numFmtId="0" fontId="17" fillId="0" borderId="35" xfId="0" applyFont="1" applyBorder="1" applyProtection="1">
      <protection locked="0"/>
    </xf>
    <xf numFmtId="166" fontId="17" fillId="0" borderId="85" xfId="0" applyNumberFormat="1" applyFont="1" applyBorder="1" applyProtection="1">
      <protection locked="0"/>
    </xf>
    <xf numFmtId="0" fontId="17" fillId="8" borderId="12" xfId="0" applyFont="1" applyFill="1" applyBorder="1" applyProtection="1">
      <protection hidden="1"/>
    </xf>
    <xf numFmtId="0" fontId="17" fillId="8" borderId="13" xfId="0" applyFont="1" applyFill="1" applyBorder="1"/>
    <xf numFmtId="0" fontId="6" fillId="8" borderId="13" xfId="0" applyFont="1" applyFill="1" applyBorder="1" applyAlignment="1">
      <alignment horizontal="right" indent="1"/>
    </xf>
    <xf numFmtId="166" fontId="17" fillId="8" borderId="13" xfId="0" applyNumberFormat="1" applyFont="1" applyFill="1" applyBorder="1"/>
    <xf numFmtId="0" fontId="17" fillId="8" borderId="46" xfId="0" applyFont="1" applyFill="1" applyBorder="1"/>
    <xf numFmtId="0" fontId="17" fillId="8" borderId="12" xfId="0" applyFont="1" applyFill="1" applyBorder="1"/>
    <xf numFmtId="0" fontId="5" fillId="8" borderId="13" xfId="0" applyFont="1" applyFill="1" applyBorder="1" applyAlignment="1">
      <alignment horizontal="right" indent="1"/>
    </xf>
    <xf numFmtId="166" fontId="17" fillId="8" borderId="15" xfId="0" applyNumberFormat="1" applyFont="1" applyFill="1" applyBorder="1"/>
    <xf numFmtId="165" fontId="17" fillId="0" borderId="0" xfId="1" applyNumberFormat="1" applyFont="1" applyFill="1" applyAlignment="1" applyProtection="1">
      <alignment horizontal="right" vertical="top"/>
      <protection hidden="1"/>
    </xf>
    <xf numFmtId="0" fontId="17" fillId="26" borderId="83" xfId="0" applyFont="1" applyFill="1" applyBorder="1"/>
    <xf numFmtId="0" fontId="17" fillId="26" borderId="81" xfId="0" applyFont="1" applyFill="1" applyBorder="1"/>
    <xf numFmtId="0" fontId="5" fillId="26" borderId="81" xfId="0" applyFont="1" applyFill="1" applyBorder="1" applyAlignment="1">
      <alignment horizontal="right"/>
    </xf>
    <xf numFmtId="9" fontId="17" fillId="26" borderId="92" xfId="2" applyFont="1" applyFill="1" applyBorder="1" applyAlignment="1">
      <alignment horizontal="center"/>
    </xf>
    <xf numFmtId="166" fontId="17" fillId="26" borderId="68" xfId="0" applyNumberFormat="1" applyFont="1" applyFill="1" applyBorder="1"/>
    <xf numFmtId="0" fontId="17" fillId="26" borderId="47" xfId="0" applyFont="1" applyFill="1" applyBorder="1"/>
    <xf numFmtId="0" fontId="17" fillId="26" borderId="45" xfId="0" applyFont="1" applyFill="1" applyBorder="1"/>
    <xf numFmtId="0" fontId="5" fillId="26" borderId="45" xfId="0" applyFont="1" applyFill="1" applyBorder="1" applyAlignment="1">
      <alignment horizontal="right"/>
    </xf>
    <xf numFmtId="0" fontId="6" fillId="26" borderId="45" xfId="0" applyFont="1" applyFill="1" applyBorder="1" applyAlignment="1">
      <alignment horizontal="right"/>
    </xf>
    <xf numFmtId="166" fontId="17" fillId="26" borderId="93" xfId="0" applyNumberFormat="1" applyFont="1" applyFill="1" applyBorder="1"/>
    <xf numFmtId="0" fontId="17" fillId="27" borderId="12" xfId="0" applyFont="1" applyFill="1" applyBorder="1"/>
    <xf numFmtId="0" fontId="17" fillId="27" borderId="13" xfId="0" applyFont="1" applyFill="1" applyBorder="1"/>
    <xf numFmtId="0" fontId="6" fillId="27" borderId="13" xfId="0" applyFont="1" applyFill="1" applyBorder="1" applyAlignment="1">
      <alignment horizontal="right"/>
    </xf>
    <xf numFmtId="166" fontId="17" fillId="27" borderId="15" xfId="0" applyNumberFormat="1" applyFont="1" applyFill="1" applyBorder="1"/>
    <xf numFmtId="0" fontId="31" fillId="12" borderId="13" xfId="0" applyFont="1" applyFill="1" applyBorder="1" applyProtection="1">
      <protection hidden="1"/>
    </xf>
    <xf numFmtId="166" fontId="31" fillId="12" borderId="13" xfId="0" applyNumberFormat="1" applyFont="1" applyFill="1" applyBorder="1" applyProtection="1">
      <protection hidden="1"/>
    </xf>
    <xf numFmtId="0" fontId="31" fillId="12" borderId="14" xfId="0" applyFont="1" applyFill="1" applyBorder="1" applyProtection="1">
      <protection hidden="1"/>
    </xf>
    <xf numFmtId="165" fontId="6" fillId="0" borderId="35" xfId="0" applyNumberFormat="1" applyFont="1" applyBorder="1" applyProtection="1">
      <protection hidden="1"/>
    </xf>
    <xf numFmtId="0" fontId="7" fillId="0" borderId="54" xfId="0" applyFont="1" applyBorder="1" applyAlignment="1" applyProtection="1">
      <alignment vertical="center" wrapText="1"/>
      <protection hidden="1"/>
    </xf>
    <xf numFmtId="166" fontId="7" fillId="0" borderId="54" xfId="0" applyNumberFormat="1" applyFont="1" applyBorder="1" applyAlignment="1" applyProtection="1">
      <alignment vertical="center" wrapText="1"/>
      <protection hidden="1"/>
    </xf>
    <xf numFmtId="0" fontId="7" fillId="0" borderId="55" xfId="0" applyFont="1" applyBorder="1" applyAlignment="1" applyProtection="1">
      <alignment vertical="center" wrapText="1"/>
      <protection hidden="1"/>
    </xf>
    <xf numFmtId="0" fontId="7" fillId="0" borderId="45" xfId="0" applyFont="1" applyBorder="1" applyAlignment="1" applyProtection="1">
      <alignment vertical="center" wrapText="1"/>
      <protection hidden="1"/>
    </xf>
    <xf numFmtId="166" fontId="7" fillId="0" borderId="45" xfId="0" applyNumberFormat="1" applyFont="1" applyBorder="1" applyAlignment="1" applyProtection="1">
      <alignment vertical="center" wrapText="1"/>
      <protection hidden="1"/>
    </xf>
    <xf numFmtId="0" fontId="7" fillId="0" borderId="46" xfId="0" applyFont="1" applyBorder="1" applyAlignment="1" applyProtection="1">
      <alignment vertical="center" wrapText="1"/>
      <protection hidden="1"/>
    </xf>
    <xf numFmtId="165" fontId="17" fillId="0" borderId="0" xfId="0" applyNumberFormat="1" applyFont="1" applyProtection="1">
      <protection hidden="1"/>
    </xf>
    <xf numFmtId="3" fontId="36" fillId="0" borderId="0" xfId="0" applyNumberFormat="1" applyFont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/>
      <protection hidden="1"/>
    </xf>
    <xf numFmtId="0" fontId="17" fillId="0" borderId="45" xfId="0" applyFont="1" applyBorder="1" applyProtection="1">
      <protection hidden="1"/>
    </xf>
    <xf numFmtId="49" fontId="17" fillId="0" borderId="94" xfId="0" applyNumberFormat="1" applyFont="1" applyBorder="1"/>
    <xf numFmtId="0" fontId="5" fillId="0" borderId="0" xfId="0" applyFont="1" applyProtection="1">
      <protection hidden="1"/>
    </xf>
    <xf numFmtId="0" fontId="17" fillId="0" borderId="95" xfId="0" applyFont="1" applyBorder="1" applyProtection="1">
      <protection hidden="1"/>
    </xf>
    <xf numFmtId="0" fontId="17" fillId="0" borderId="94" xfId="0" applyFont="1" applyBorder="1" applyProtection="1">
      <protection locked="0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53" xfId="0" applyFont="1" applyFill="1" applyBorder="1" applyAlignment="1" applyProtection="1">
      <alignment horizontal="center" vertical="center"/>
      <protection hidden="1"/>
    </xf>
    <xf numFmtId="0" fontId="7" fillId="2" borderId="54" xfId="0" applyFont="1" applyFill="1" applyBorder="1" applyAlignment="1" applyProtection="1">
      <alignment horizontal="right"/>
      <protection hidden="1"/>
    </xf>
    <xf numFmtId="49" fontId="37" fillId="2" borderId="0" xfId="0" applyNumberFormat="1" applyFont="1" applyFill="1" applyAlignment="1">
      <alignment horizontal="center"/>
    </xf>
    <xf numFmtId="0" fontId="7" fillId="29" borderId="47" xfId="0" applyFont="1" applyFill="1" applyBorder="1" applyProtection="1">
      <protection hidden="1"/>
    </xf>
    <xf numFmtId="0" fontId="7" fillId="29" borderId="45" xfId="0" applyFont="1" applyFill="1" applyBorder="1" applyAlignment="1" applyProtection="1">
      <alignment horizontal="right"/>
      <protection hidden="1"/>
    </xf>
    <xf numFmtId="0" fontId="37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49" fontId="38" fillId="2" borderId="2" xfId="0" applyNumberFormat="1" applyFont="1" applyFill="1" applyBorder="1" applyAlignment="1" applyProtection="1">
      <alignment horizontal="center"/>
      <protection hidden="1"/>
    </xf>
    <xf numFmtId="168" fontId="39" fillId="2" borderId="2" xfId="0" applyNumberFormat="1" applyFont="1" applyFill="1" applyBorder="1" applyAlignment="1">
      <alignment horizontal="center"/>
    </xf>
    <xf numFmtId="168" fontId="17" fillId="2" borderId="2" xfId="2" applyNumberFormat="1" applyFont="1" applyFill="1" applyBorder="1" applyAlignment="1">
      <alignment horizontal="center"/>
    </xf>
    <xf numFmtId="168" fontId="17" fillId="2" borderId="2" xfId="0" applyNumberFormat="1" applyFont="1" applyFill="1" applyBorder="1" applyAlignment="1">
      <alignment horizontal="center"/>
    </xf>
    <xf numFmtId="9" fontId="7" fillId="2" borderId="15" xfId="0" applyNumberFormat="1" applyFont="1" applyFill="1" applyBorder="1" applyProtection="1">
      <protection hidden="1"/>
    </xf>
    <xf numFmtId="0" fontId="7" fillId="2" borderId="15" xfId="0" applyFont="1" applyFill="1" applyBorder="1" applyAlignment="1" applyProtection="1">
      <alignment horizontal="right"/>
      <protection hidden="1"/>
    </xf>
    <xf numFmtId="0" fontId="7" fillId="0" borderId="0" xfId="0" applyFont="1" applyAlignment="1">
      <alignment horizont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 wrapText="1"/>
    </xf>
    <xf numFmtId="0" fontId="7" fillId="0" borderId="96" xfId="0" applyFont="1" applyBorder="1" applyAlignment="1">
      <alignment horizontal="center"/>
    </xf>
    <xf numFmtId="0" fontId="7" fillId="2" borderId="96" xfId="0" applyFont="1" applyFill="1" applyBorder="1" applyAlignment="1">
      <alignment horizontal="center"/>
    </xf>
    <xf numFmtId="0" fontId="5" fillId="0" borderId="12" xfId="0" applyFont="1" applyBorder="1" applyAlignment="1">
      <alignment horizontal="right" vertical="top"/>
    </xf>
    <xf numFmtId="15" fontId="5" fillId="0" borderId="0" xfId="0" applyNumberFormat="1" applyFont="1" applyAlignment="1">
      <alignment vertical="top"/>
    </xf>
    <xf numFmtId="15" fontId="5" fillId="0" borderId="0" xfId="0" applyNumberFormat="1" applyFont="1" applyAlignment="1">
      <alignment horizontal="right" vertical="top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horizontal="right"/>
      <protection hidden="1"/>
    </xf>
    <xf numFmtId="0" fontId="5" fillId="0" borderId="124" xfId="0" applyFont="1" applyBorder="1" applyAlignment="1" applyProtection="1">
      <alignment horizontal="center" vertical="top"/>
      <protection locked="0" hidden="1"/>
    </xf>
    <xf numFmtId="0" fontId="5" fillId="0" borderId="125" xfId="0" applyFont="1" applyBorder="1" applyAlignment="1" applyProtection="1">
      <alignment vertical="top" wrapText="1"/>
      <protection hidden="1"/>
    </xf>
    <xf numFmtId="0" fontId="17" fillId="0" borderId="125" xfId="0" applyFont="1" applyBorder="1" applyAlignment="1" applyProtection="1">
      <alignment horizontal="center" vertical="top"/>
      <protection hidden="1"/>
    </xf>
    <xf numFmtId="0" fontId="5" fillId="0" borderId="15" xfId="0" applyFont="1" applyBorder="1" applyAlignment="1" applyProtection="1">
      <alignment horizontal="center" vertical="top" wrapText="1"/>
      <protection locked="0" hidden="1"/>
    </xf>
    <xf numFmtId="0" fontId="5" fillId="0" borderId="15" xfId="0" applyFont="1" applyBorder="1" applyAlignment="1" applyProtection="1">
      <alignment vertical="top" wrapText="1"/>
      <protection hidden="1"/>
    </xf>
    <xf numFmtId="0" fontId="17" fillId="0" borderId="15" xfId="0" applyFont="1" applyBorder="1" applyAlignment="1" applyProtection="1">
      <alignment horizontal="center" vertical="top" wrapText="1"/>
      <protection hidden="1"/>
    </xf>
    <xf numFmtId="4" fontId="17" fillId="0" borderId="15" xfId="1" applyNumberFormat="1" applyFont="1" applyBorder="1" applyAlignment="1" applyProtection="1">
      <alignment horizontal="right" vertical="top" wrapText="1"/>
      <protection hidden="1"/>
    </xf>
    <xf numFmtId="0" fontId="5" fillId="0" borderId="15" xfId="0" applyFont="1" applyBorder="1" applyAlignment="1" applyProtection="1">
      <alignment horizontal="center" vertical="top"/>
      <protection locked="0" hidden="1"/>
    </xf>
    <xf numFmtId="0" fontId="17" fillId="0" borderId="15" xfId="0" applyFont="1" applyBorder="1" applyAlignment="1" applyProtection="1">
      <alignment horizontal="center" vertical="top"/>
      <protection hidden="1"/>
    </xf>
    <xf numFmtId="0" fontId="17" fillId="0" borderId="125" xfId="0" applyFont="1" applyBorder="1" applyAlignment="1" applyProtection="1">
      <alignment horizontal="right" vertical="top"/>
      <protection hidden="1"/>
    </xf>
    <xf numFmtId="4" fontId="17" fillId="0" borderId="125" xfId="1" applyNumberFormat="1" applyFont="1" applyBorder="1" applyAlignment="1" applyProtection="1">
      <alignment horizontal="right" vertical="top"/>
      <protection hidden="1"/>
    </xf>
    <xf numFmtId="4" fontId="17" fillId="0" borderId="126" xfId="1" applyNumberFormat="1" applyFont="1" applyBorder="1" applyAlignment="1" applyProtection="1">
      <alignment horizontal="right" vertical="top"/>
      <protection hidden="1"/>
    </xf>
    <xf numFmtId="0" fontId="17" fillId="0" borderId="15" xfId="0" applyFont="1" applyBorder="1" applyAlignment="1" applyProtection="1">
      <alignment horizontal="right" vertical="top"/>
      <protection hidden="1"/>
    </xf>
    <xf numFmtId="4" fontId="17" fillId="0" borderId="15" xfId="1" applyNumberFormat="1" applyFont="1" applyBorder="1" applyAlignment="1" applyProtection="1">
      <alignment horizontal="right" vertical="top"/>
      <protection hidden="1"/>
    </xf>
    <xf numFmtId="0" fontId="17" fillId="0" borderId="15" xfId="0" applyFont="1" applyBorder="1" applyAlignment="1" applyProtection="1">
      <alignment horizontal="right" vertical="top" wrapText="1"/>
      <protection hidden="1"/>
    </xf>
    <xf numFmtId="0" fontId="40" fillId="0" borderId="0" xfId="0" applyFont="1"/>
    <xf numFmtId="0" fontId="41" fillId="0" borderId="0" xfId="0" applyFont="1"/>
    <xf numFmtId="0" fontId="40" fillId="0" borderId="0" xfId="0" applyFont="1" applyAlignment="1">
      <alignment horizontal="right"/>
    </xf>
    <xf numFmtId="0" fontId="42" fillId="0" borderId="0" xfId="0" applyFont="1"/>
    <xf numFmtId="43" fontId="1" fillId="0" borderId="0" xfId="1"/>
    <xf numFmtId="41" fontId="40" fillId="0" borderId="0" xfId="5" applyFont="1" applyFill="1"/>
    <xf numFmtId="0" fontId="42" fillId="0" borderId="0" xfId="0" applyFont="1" applyAlignment="1">
      <alignment horizontal="center"/>
    </xf>
    <xf numFmtId="0" fontId="43" fillId="0" borderId="0" xfId="0" applyFont="1" applyProtection="1">
      <protection hidden="1"/>
    </xf>
    <xf numFmtId="0" fontId="40" fillId="16" borderId="37" xfId="0" applyFont="1" applyFill="1" applyBorder="1" applyAlignment="1" applyProtection="1">
      <alignment horizontal="center"/>
      <protection hidden="1"/>
    </xf>
    <xf numFmtId="43" fontId="44" fillId="16" borderId="40" xfId="1" applyFont="1" applyFill="1" applyBorder="1" applyAlignment="1" applyProtection="1">
      <alignment horizontal="right" vertical="center"/>
      <protection hidden="1"/>
    </xf>
    <xf numFmtId="0" fontId="42" fillId="16" borderId="100" xfId="0" applyFont="1" applyFill="1" applyBorder="1" applyAlignment="1">
      <alignment horizontal="center"/>
    </xf>
    <xf numFmtId="43" fontId="44" fillId="16" borderId="101" xfId="1" applyFont="1" applyFill="1" applyBorder="1" applyAlignment="1" applyProtection="1">
      <alignment horizontal="right" vertical="center"/>
      <protection hidden="1"/>
    </xf>
    <xf numFmtId="0" fontId="40" fillId="16" borderId="0" xfId="0" applyFont="1" applyFill="1" applyAlignment="1" applyProtection="1">
      <alignment horizontal="center"/>
      <protection hidden="1"/>
    </xf>
    <xf numFmtId="43" fontId="44" fillId="16" borderId="96" xfId="1" applyFont="1" applyFill="1" applyBorder="1" applyAlignment="1" applyProtection="1">
      <alignment horizontal="right" vertical="center"/>
      <protection hidden="1"/>
    </xf>
    <xf numFmtId="0" fontId="42" fillId="16" borderId="103" xfId="0" applyFont="1" applyFill="1" applyBorder="1" applyAlignment="1">
      <alignment horizontal="center"/>
    </xf>
    <xf numFmtId="43" fontId="44" fillId="16" borderId="104" xfId="1" applyFont="1" applyFill="1" applyBorder="1" applyAlignment="1" applyProtection="1">
      <alignment horizontal="right" vertical="center"/>
      <protection hidden="1"/>
    </xf>
    <xf numFmtId="0" fontId="42" fillId="0" borderId="0" xfId="0" quotePrefix="1" applyFont="1" applyAlignment="1">
      <alignment horizontal="center"/>
    </xf>
    <xf numFmtId="0" fontId="42" fillId="0" borderId="105" xfId="0" applyFont="1" applyBorder="1" applyAlignment="1">
      <alignment horizontal="left" vertical="top"/>
    </xf>
    <xf numFmtId="0" fontId="42" fillId="0" borderId="26" xfId="0" applyFont="1" applyBorder="1" applyAlignment="1">
      <alignment horizontal="center"/>
    </xf>
    <xf numFmtId="0" fontId="42" fillId="0" borderId="26" xfId="0" applyFont="1" applyBorder="1"/>
    <xf numFmtId="0" fontId="42" fillId="0" borderId="26" xfId="0" applyFont="1" applyBorder="1" applyAlignment="1">
      <alignment horizontal="right"/>
    </xf>
    <xf numFmtId="43" fontId="42" fillId="0" borderId="26" xfId="1" applyFont="1" applyBorder="1" applyAlignment="1" applyProtection="1">
      <alignment horizontal="right"/>
      <protection hidden="1"/>
    </xf>
    <xf numFmtId="43" fontId="42" fillId="0" borderId="106" xfId="1" applyFont="1" applyBorder="1" applyAlignment="1" applyProtection="1">
      <alignment horizontal="right" vertical="center"/>
      <protection hidden="1"/>
    </xf>
    <xf numFmtId="0" fontId="42" fillId="0" borderId="107" xfId="0" applyFont="1" applyBorder="1"/>
    <xf numFmtId="43" fontId="42" fillId="0" borderId="120" xfId="1" applyFont="1" applyBorder="1" applyAlignment="1" applyProtection="1">
      <alignment horizontal="right" vertical="center"/>
      <protection hidden="1"/>
    </xf>
    <xf numFmtId="0" fontId="42" fillId="0" borderId="108" xfId="0" applyFont="1" applyBorder="1" applyAlignment="1">
      <alignment horizontal="left" vertical="top"/>
    </xf>
    <xf numFmtId="0" fontId="42" fillId="0" borderId="0" xfId="0" applyFont="1" applyAlignment="1">
      <alignment horizontal="right"/>
    </xf>
    <xf numFmtId="43" fontId="42" fillId="0" borderId="0" xfId="1" applyFont="1" applyAlignment="1" applyProtection="1">
      <alignment horizontal="right"/>
      <protection hidden="1"/>
    </xf>
    <xf numFmtId="43" fontId="42" fillId="0" borderId="96" xfId="1" applyFont="1" applyBorder="1" applyAlignment="1" applyProtection="1">
      <alignment horizontal="right" vertical="center"/>
      <protection hidden="1"/>
    </xf>
    <xf numFmtId="0" fontId="42" fillId="0" borderId="103" xfId="0" applyFont="1" applyBorder="1"/>
    <xf numFmtId="43" fontId="42" fillId="0" borderId="104" xfId="1" applyFont="1" applyBorder="1" applyAlignment="1" applyProtection="1">
      <alignment horizontal="right" vertical="center"/>
      <protection hidden="1"/>
    </xf>
    <xf numFmtId="0" fontId="44" fillId="0" borderId="108" xfId="0" applyFont="1" applyBorder="1" applyAlignment="1">
      <alignment horizontal="left" vertical="top"/>
    </xf>
    <xf numFmtId="4" fontId="42" fillId="0" borderId="0" xfId="0" applyNumberFormat="1" applyFont="1" applyAlignment="1">
      <alignment horizontal="center"/>
    </xf>
    <xf numFmtId="43" fontId="44" fillId="0" borderId="109" xfId="1" applyFont="1" applyBorder="1" applyAlignment="1" applyProtection="1">
      <alignment horizontal="right" vertical="center"/>
      <protection hidden="1"/>
    </xf>
    <xf numFmtId="43" fontId="44" fillId="0" borderId="110" xfId="1" applyFont="1" applyBorder="1" applyAlignment="1" applyProtection="1">
      <alignment horizontal="right" vertical="center"/>
      <protection hidden="1"/>
    </xf>
    <xf numFmtId="0" fontId="44" fillId="0" borderId="108" xfId="0" quotePrefix="1" applyFont="1" applyBorder="1" applyAlignment="1">
      <alignment horizontal="left" vertical="top"/>
    </xf>
    <xf numFmtId="0" fontId="40" fillId="0" borderId="0" xfId="0" applyFont="1" applyProtection="1">
      <protection hidden="1"/>
    </xf>
    <xf numFmtId="41" fontId="42" fillId="0" borderId="0" xfId="5" applyFont="1" applyFill="1"/>
    <xf numFmtId="165" fontId="43" fillId="0" borderId="0" xfId="1" applyNumberFormat="1" applyFont="1" applyProtection="1">
      <protection hidden="1"/>
    </xf>
    <xf numFmtId="4" fontId="42" fillId="16" borderId="98" xfId="0" applyNumberFormat="1" applyFont="1" applyFill="1" applyBorder="1" applyAlignment="1">
      <alignment horizontal="left" vertical="top"/>
    </xf>
    <xf numFmtId="0" fontId="42" fillId="16" borderId="111" xfId="0" applyFont="1" applyFill="1" applyBorder="1" applyAlignment="1">
      <alignment horizontal="center"/>
    </xf>
    <xf numFmtId="0" fontId="42" fillId="16" borderId="112" xfId="0" applyFont="1" applyFill="1" applyBorder="1"/>
    <xf numFmtId="0" fontId="44" fillId="16" borderId="112" xfId="0" applyFont="1" applyFill="1" applyBorder="1" applyAlignment="1">
      <alignment horizontal="right"/>
    </xf>
    <xf numFmtId="169" fontId="42" fillId="16" borderId="112" xfId="0" applyNumberFormat="1" applyFont="1" applyFill="1" applyBorder="1" applyAlignment="1" applyProtection="1">
      <alignment horizontal="right"/>
      <protection hidden="1"/>
    </xf>
    <xf numFmtId="43" fontId="44" fillId="16" borderId="113" xfId="1" applyFont="1" applyFill="1" applyBorder="1" applyAlignment="1" applyProtection="1">
      <alignment horizontal="right"/>
      <protection hidden="1"/>
    </xf>
    <xf numFmtId="0" fontId="42" fillId="16" borderId="57" xfId="0" applyFont="1" applyFill="1" applyBorder="1"/>
    <xf numFmtId="43" fontId="44" fillId="16" borderId="114" xfId="1" applyFont="1" applyFill="1" applyBorder="1" applyAlignment="1" applyProtection="1">
      <alignment horizontal="right"/>
      <protection hidden="1"/>
    </xf>
    <xf numFmtId="165" fontId="43" fillId="0" borderId="0" xfId="1" applyNumberFormat="1" applyFont="1" applyFill="1" applyProtection="1">
      <protection hidden="1"/>
    </xf>
    <xf numFmtId="4" fontId="42" fillId="0" borderId="108" xfId="0" applyNumberFormat="1" applyFont="1" applyBorder="1" applyAlignment="1">
      <alignment horizontal="left" vertical="top"/>
    </xf>
    <xf numFmtId="0" fontId="44" fillId="0" borderId="0" xfId="0" applyFont="1" applyAlignment="1">
      <alignment horizontal="right"/>
    </xf>
    <xf numFmtId="169" fontId="42" fillId="0" borderId="0" xfId="0" applyNumberFormat="1" applyFont="1" applyAlignment="1" applyProtection="1">
      <alignment horizontal="right"/>
      <protection hidden="1"/>
    </xf>
    <xf numFmtId="43" fontId="44" fillId="0" borderId="96" xfId="1" applyFont="1" applyFill="1" applyBorder="1" applyAlignment="1" applyProtection="1">
      <alignment horizontal="right"/>
      <protection hidden="1"/>
    </xf>
    <xf numFmtId="43" fontId="44" fillId="0" borderId="104" xfId="1" applyFont="1" applyFill="1" applyBorder="1" applyAlignment="1" applyProtection="1">
      <alignment horizontal="right"/>
      <protection hidden="1"/>
    </xf>
    <xf numFmtId="15" fontId="5" fillId="0" borderId="56" xfId="0" applyNumberFormat="1" applyFont="1" applyBorder="1" applyAlignment="1">
      <alignment horizontal="center" vertical="top"/>
    </xf>
    <xf numFmtId="0" fontId="44" fillId="0" borderId="115" xfId="0" applyFont="1" applyBorder="1" applyAlignment="1">
      <alignment horizontal="left" vertical="top"/>
    </xf>
    <xf numFmtId="0" fontId="42" fillId="0" borderId="116" xfId="0" applyFont="1" applyBorder="1" applyAlignment="1">
      <alignment horizontal="center"/>
    </xf>
    <xf numFmtId="0" fontId="42" fillId="0" borderId="116" xfId="0" applyFont="1" applyBorder="1"/>
    <xf numFmtId="0" fontId="42" fillId="0" borderId="116" xfId="0" applyFont="1" applyBorder="1" applyAlignment="1">
      <alignment horizontal="right"/>
    </xf>
    <xf numFmtId="43" fontId="42" fillId="0" borderId="116" xfId="1" applyFont="1" applyBorder="1" applyAlignment="1" applyProtection="1">
      <alignment horizontal="right"/>
      <protection hidden="1"/>
    </xf>
    <xf numFmtId="43" fontId="42" fillId="0" borderId="117" xfId="1" applyFont="1" applyBorder="1" applyAlignment="1" applyProtection="1">
      <alignment horizontal="right" vertical="center"/>
      <protection hidden="1"/>
    </xf>
    <xf numFmtId="43" fontId="42" fillId="0" borderId="118" xfId="1" applyFont="1" applyBorder="1" applyAlignment="1" applyProtection="1">
      <alignment horizontal="right" vertical="center"/>
      <protection hidden="1"/>
    </xf>
    <xf numFmtId="0" fontId="42" fillId="0" borderId="121" xfId="0" applyFont="1" applyBorder="1" applyAlignment="1">
      <alignment horizontal="left" vertical="top"/>
    </xf>
    <xf numFmtId="0" fontId="42" fillId="0" borderId="122" xfId="0" applyFont="1" applyBorder="1" applyAlignment="1">
      <alignment horizontal="center"/>
    </xf>
    <xf numFmtId="0" fontId="42" fillId="0" borderId="122" xfId="0" applyFont="1" applyBorder="1"/>
    <xf numFmtId="168" fontId="42" fillId="0" borderId="26" xfId="2" applyNumberFormat="1" applyFont="1" applyBorder="1" applyAlignment="1">
      <alignment horizontal="right"/>
    </xf>
    <xf numFmtId="43" fontId="42" fillId="0" borderId="122" xfId="1" applyFont="1" applyBorder="1" applyAlignment="1" applyProtection="1">
      <alignment horizontal="right"/>
      <protection hidden="1"/>
    </xf>
    <xf numFmtId="43" fontId="42" fillId="0" borderId="123" xfId="1" applyFont="1" applyBorder="1" applyAlignment="1" applyProtection="1">
      <alignment horizontal="right" vertical="center"/>
      <protection hidden="1"/>
    </xf>
    <xf numFmtId="43" fontId="44" fillId="0" borderId="0" xfId="1" applyFont="1" applyAlignment="1" applyProtection="1">
      <alignment horizontal="right"/>
      <protection hidden="1"/>
    </xf>
    <xf numFmtId="43" fontId="44" fillId="0" borderId="96" xfId="1" applyFont="1" applyBorder="1" applyAlignment="1" applyProtection="1">
      <alignment horizontal="right" vertical="center"/>
      <protection hidden="1"/>
    </xf>
    <xf numFmtId="169" fontId="42" fillId="0" borderId="103" xfId="0" applyNumberFormat="1" applyFont="1" applyBorder="1"/>
    <xf numFmtId="43" fontId="44" fillId="0" borderId="104" xfId="1" applyFont="1" applyBorder="1" applyAlignment="1" applyProtection="1">
      <alignment horizontal="right" vertical="center"/>
      <protection hidden="1"/>
    </xf>
    <xf numFmtId="0" fontId="42" fillId="16" borderId="119" xfId="0" applyFont="1" applyFill="1" applyBorder="1" applyAlignment="1">
      <alignment horizontal="left" vertical="top"/>
    </xf>
    <xf numFmtId="0" fontId="42" fillId="16" borderId="112" xfId="0" applyFont="1" applyFill="1" applyBorder="1" applyAlignment="1">
      <alignment horizontal="center"/>
    </xf>
    <xf numFmtId="43" fontId="42" fillId="16" borderId="112" xfId="1" applyFont="1" applyFill="1" applyBorder="1" applyAlignment="1" applyProtection="1">
      <alignment horizontal="right"/>
      <protection hidden="1"/>
    </xf>
    <xf numFmtId="170" fontId="42" fillId="0" borderId="26" xfId="0" applyNumberFormat="1" applyFont="1" applyBorder="1"/>
    <xf numFmtId="0" fontId="17" fillId="0" borderId="89" xfId="0" applyFont="1" applyBorder="1" applyAlignment="1" applyProtection="1">
      <alignment horizontal="right"/>
      <protection hidden="1"/>
    </xf>
    <xf numFmtId="10" fontId="17" fillId="0" borderId="90" xfId="0" applyNumberFormat="1" applyFont="1" applyBorder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17" fillId="16" borderId="37" xfId="0" applyFont="1" applyFill="1" applyBorder="1" applyAlignment="1" applyProtection="1">
      <alignment horizontal="center"/>
      <protection hidden="1"/>
    </xf>
    <xf numFmtId="43" fontId="29" fillId="16" borderId="40" xfId="1" applyFont="1" applyFill="1" applyBorder="1" applyAlignment="1" applyProtection="1">
      <alignment horizontal="right" vertical="center"/>
      <protection hidden="1"/>
    </xf>
    <xf numFmtId="0" fontId="7" fillId="16" borderId="100" xfId="0" applyFont="1" applyFill="1" applyBorder="1" applyAlignment="1">
      <alignment horizontal="center"/>
    </xf>
    <xf numFmtId="43" fontId="29" fillId="16" borderId="101" xfId="1" applyFont="1" applyFill="1" applyBorder="1" applyAlignment="1" applyProtection="1">
      <alignment horizontal="right" vertical="center"/>
      <protection hidden="1"/>
    </xf>
    <xf numFmtId="0" fontId="17" fillId="16" borderId="0" xfId="0" applyFont="1" applyFill="1" applyAlignment="1" applyProtection="1">
      <alignment horizontal="center"/>
      <protection hidden="1"/>
    </xf>
    <xf numFmtId="43" fontId="29" fillId="16" borderId="96" xfId="1" applyFont="1" applyFill="1" applyBorder="1" applyAlignment="1" applyProtection="1">
      <alignment horizontal="right" vertical="center"/>
      <protection hidden="1"/>
    </xf>
    <xf numFmtId="2" fontId="7" fillId="16" borderId="103" xfId="0" applyNumberFormat="1" applyFont="1" applyFill="1" applyBorder="1" applyAlignment="1">
      <alignment horizontal="center"/>
    </xf>
    <xf numFmtId="43" fontId="29" fillId="16" borderId="104" xfId="1" applyFont="1" applyFill="1" applyBorder="1" applyAlignment="1" applyProtection="1">
      <alignment horizontal="right" vertical="center"/>
      <protection hidden="1"/>
    </xf>
    <xf numFmtId="0" fontId="7" fillId="0" borderId="0" xfId="0" quotePrefix="1" applyFont="1" applyAlignment="1">
      <alignment horizontal="center"/>
    </xf>
    <xf numFmtId="0" fontId="7" fillId="0" borderId="105" xfId="0" applyFont="1" applyBorder="1" applyAlignment="1">
      <alignment horizontal="left" vertical="top"/>
    </xf>
    <xf numFmtId="0" fontId="7" fillId="0" borderId="26" xfId="0" applyFont="1" applyBorder="1" applyAlignment="1">
      <alignment horizontal="center"/>
    </xf>
    <xf numFmtId="0" fontId="7" fillId="0" borderId="26" xfId="0" applyFont="1" applyBorder="1"/>
    <xf numFmtId="43" fontId="7" fillId="0" borderId="26" xfId="1" applyFont="1" applyFill="1" applyBorder="1" applyAlignment="1" applyProtection="1">
      <alignment horizontal="right"/>
      <protection hidden="1"/>
    </xf>
    <xf numFmtId="43" fontId="7" fillId="0" borderId="106" xfId="1" applyFont="1" applyFill="1" applyBorder="1" applyAlignment="1" applyProtection="1">
      <alignment horizontal="right" vertical="center"/>
      <protection hidden="1"/>
    </xf>
    <xf numFmtId="0" fontId="7" fillId="0" borderId="107" xfId="0" applyFont="1" applyBorder="1"/>
    <xf numFmtId="43" fontId="7" fillId="0" borderId="120" xfId="1" applyFont="1" applyFill="1" applyBorder="1" applyAlignment="1" applyProtection="1">
      <alignment horizontal="right" vertical="center"/>
      <protection hidden="1"/>
    </xf>
    <xf numFmtId="0" fontId="7" fillId="0" borderId="108" xfId="0" applyFont="1" applyBorder="1" applyAlignment="1">
      <alignment horizontal="left" vertical="top"/>
    </xf>
    <xf numFmtId="0" fontId="7" fillId="0" borderId="0" xfId="0" applyFont="1"/>
    <xf numFmtId="43" fontId="7" fillId="0" borderId="0" xfId="1" applyFont="1" applyFill="1" applyBorder="1" applyAlignment="1" applyProtection="1">
      <alignment horizontal="right"/>
      <protection hidden="1"/>
    </xf>
    <xf numFmtId="43" fontId="7" fillId="0" borderId="96" xfId="1" applyFont="1" applyFill="1" applyBorder="1" applyAlignment="1" applyProtection="1">
      <alignment horizontal="right" vertical="center"/>
      <protection hidden="1"/>
    </xf>
    <xf numFmtId="0" fontId="7" fillId="0" borderId="103" xfId="0" applyFont="1" applyBorder="1"/>
    <xf numFmtId="43" fontId="7" fillId="0" borderId="104" xfId="1" applyFont="1" applyFill="1" applyBorder="1" applyAlignment="1" applyProtection="1">
      <alignment horizontal="right" vertical="center"/>
      <protection hidden="1"/>
    </xf>
    <xf numFmtId="0" fontId="29" fillId="0" borderId="108" xfId="0" applyFont="1" applyBorder="1" applyAlignment="1">
      <alignment horizontal="left" vertical="top"/>
    </xf>
    <xf numFmtId="43" fontId="29" fillId="0" borderId="109" xfId="1" applyFont="1" applyFill="1" applyBorder="1" applyAlignment="1" applyProtection="1">
      <alignment horizontal="right" vertical="center"/>
      <protection hidden="1"/>
    </xf>
    <xf numFmtId="0" fontId="7" fillId="0" borderId="0" xfId="0" applyFont="1" applyAlignment="1">
      <alignment horizontal="right"/>
    </xf>
    <xf numFmtId="43" fontId="7" fillId="0" borderId="0" xfId="1" applyFont="1" applyAlignment="1" applyProtection="1">
      <alignment horizontal="right"/>
      <protection hidden="1"/>
    </xf>
    <xf numFmtId="43" fontId="7" fillId="0" borderId="96" xfId="1" applyFont="1" applyBorder="1" applyAlignment="1" applyProtection="1">
      <alignment horizontal="right" vertical="center"/>
      <protection hidden="1"/>
    </xf>
    <xf numFmtId="43" fontId="7" fillId="0" borderId="104" xfId="1" applyFont="1" applyBorder="1" applyAlignment="1" applyProtection="1">
      <alignment horizontal="right" vertical="center"/>
      <protection hidden="1"/>
    </xf>
    <xf numFmtId="0" fontId="7" fillId="0" borderId="26" xfId="0" applyFont="1" applyBorder="1" applyAlignment="1">
      <alignment horizontal="right"/>
    </xf>
    <xf numFmtId="43" fontId="7" fillId="0" borderId="26" xfId="1" applyFont="1" applyBorder="1" applyAlignment="1" applyProtection="1">
      <alignment horizontal="right"/>
      <protection hidden="1"/>
    </xf>
    <xf numFmtId="43" fontId="7" fillId="0" borderId="106" xfId="1" applyFont="1" applyBorder="1" applyAlignment="1" applyProtection="1">
      <alignment horizontal="right" vertical="center"/>
      <protection hidden="1"/>
    </xf>
    <xf numFmtId="4" fontId="7" fillId="0" borderId="0" xfId="0" applyNumberFormat="1" applyFont="1" applyAlignment="1">
      <alignment horizontal="center"/>
    </xf>
    <xf numFmtId="43" fontId="7" fillId="0" borderId="109" xfId="1" applyFont="1" applyFill="1" applyBorder="1" applyAlignment="1" applyProtection="1">
      <alignment horizontal="right" vertical="center"/>
      <protection hidden="1"/>
    </xf>
    <xf numFmtId="43" fontId="7" fillId="0" borderId="110" xfId="1" applyFont="1" applyFill="1" applyBorder="1" applyAlignment="1" applyProtection="1">
      <alignment horizontal="right" vertical="center"/>
      <protection hidden="1"/>
    </xf>
    <xf numFmtId="0" fontId="29" fillId="0" borderId="108" xfId="0" quotePrefix="1" applyFont="1" applyBorder="1" applyAlignment="1">
      <alignment horizontal="left" vertical="top"/>
    </xf>
    <xf numFmtId="0" fontId="7" fillId="0" borderId="105" xfId="0" quotePrefix="1" applyFont="1" applyBorder="1" applyAlignment="1">
      <alignment horizontal="left" vertical="top"/>
    </xf>
    <xf numFmtId="165" fontId="8" fillId="0" borderId="0" xfId="1" applyNumberFormat="1" applyFont="1" applyFill="1" applyProtection="1">
      <protection hidden="1"/>
    </xf>
    <xf numFmtId="4" fontId="7" fillId="16" borderId="98" xfId="0" applyNumberFormat="1" applyFont="1" applyFill="1" applyBorder="1" applyAlignment="1">
      <alignment horizontal="left" vertical="top"/>
    </xf>
    <xf numFmtId="0" fontId="7" fillId="16" borderId="111" xfId="0" applyFont="1" applyFill="1" applyBorder="1" applyAlignment="1">
      <alignment horizontal="center"/>
    </xf>
    <xf numFmtId="0" fontId="7" fillId="16" borderId="112" xfId="0" applyFont="1" applyFill="1" applyBorder="1"/>
    <xf numFmtId="0" fontId="29" fillId="16" borderId="112" xfId="0" applyFont="1" applyFill="1" applyBorder="1" applyAlignment="1">
      <alignment horizontal="right"/>
    </xf>
    <xf numFmtId="43" fontId="7" fillId="16" borderId="112" xfId="0" applyNumberFormat="1" applyFont="1" applyFill="1" applyBorder="1" applyAlignment="1" applyProtection="1">
      <alignment horizontal="right"/>
      <protection hidden="1"/>
    </xf>
    <xf numFmtId="43" fontId="29" fillId="16" borderId="113" xfId="1" applyFont="1" applyFill="1" applyBorder="1" applyAlignment="1" applyProtection="1">
      <alignment horizontal="right"/>
      <protection hidden="1"/>
    </xf>
    <xf numFmtId="43" fontId="7" fillId="16" borderId="57" xfId="0" applyNumberFormat="1" applyFont="1" applyFill="1" applyBorder="1"/>
    <xf numFmtId="43" fontId="29" fillId="16" borderId="114" xfId="1" applyFont="1" applyFill="1" applyBorder="1" applyAlignment="1" applyProtection="1">
      <alignment horizontal="right"/>
      <protection hidden="1"/>
    </xf>
    <xf numFmtId="4" fontId="45" fillId="16" borderId="14" xfId="1" applyNumberFormat="1" applyFont="1" applyFill="1" applyBorder="1" applyAlignment="1" applyProtection="1">
      <alignment horizontal="right" vertical="center"/>
      <protection hidden="1"/>
    </xf>
    <xf numFmtId="0" fontId="31" fillId="0" borderId="53" xfId="0" applyFont="1" applyBorder="1" applyAlignment="1" applyProtection="1">
      <alignment horizontal="right" vertical="center" wrapText="1"/>
      <protection hidden="1"/>
    </xf>
    <xf numFmtId="0" fontId="31" fillId="0" borderId="54" xfId="0" applyFont="1" applyBorder="1" applyAlignment="1" applyProtection="1">
      <alignment horizontal="right" vertical="center" wrapText="1"/>
      <protection hidden="1"/>
    </xf>
    <xf numFmtId="0" fontId="31" fillId="0" borderId="55" xfId="0" applyFont="1" applyBorder="1" applyAlignment="1" applyProtection="1">
      <alignment horizontal="right" vertical="center" wrapText="1"/>
      <protection hidden="1"/>
    </xf>
    <xf numFmtId="0" fontId="31" fillId="0" borderId="47" xfId="0" applyFont="1" applyBorder="1" applyAlignment="1" applyProtection="1">
      <alignment horizontal="right" vertical="center" wrapText="1"/>
      <protection hidden="1"/>
    </xf>
    <xf numFmtId="0" fontId="31" fillId="0" borderId="45" xfId="0" applyFont="1" applyBorder="1" applyAlignment="1" applyProtection="1">
      <alignment horizontal="right" vertical="center" wrapText="1"/>
      <protection hidden="1"/>
    </xf>
    <xf numFmtId="0" fontId="31" fillId="0" borderId="46" xfId="0" applyFont="1" applyBorder="1" applyAlignment="1" applyProtection="1">
      <alignment horizontal="right" vertical="center" wrapText="1"/>
      <protection hidden="1"/>
    </xf>
    <xf numFmtId="165" fontId="25" fillId="0" borderId="2" xfId="0" applyNumberFormat="1" applyFont="1" applyBorder="1" applyAlignment="1">
      <alignment horizontal="center" vertical="center"/>
    </xf>
    <xf numFmtId="165" fontId="25" fillId="0" borderId="93" xfId="0" applyNumberFormat="1" applyFont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wrapText="1"/>
      <protection hidden="1"/>
    </xf>
    <xf numFmtId="165" fontId="15" fillId="4" borderId="3" xfId="1" applyNumberFormat="1" applyFont="1" applyFill="1" applyBorder="1" applyAlignment="1" applyProtection="1">
      <alignment horizontal="center" vertical="center"/>
      <protection hidden="1"/>
    </xf>
    <xf numFmtId="165" fontId="15" fillId="4" borderId="4" xfId="1" applyNumberFormat="1" applyFont="1" applyFill="1" applyBorder="1" applyAlignment="1" applyProtection="1">
      <alignment horizontal="center" vertical="center"/>
      <protection hidden="1"/>
    </xf>
    <xf numFmtId="165" fontId="15" fillId="4" borderId="5" xfId="1" applyNumberFormat="1" applyFont="1" applyFill="1" applyBorder="1" applyAlignment="1" applyProtection="1">
      <alignment horizontal="center" vertical="center"/>
      <protection hidden="1"/>
    </xf>
    <xf numFmtId="165" fontId="15" fillId="4" borderId="32" xfId="1" applyNumberFormat="1" applyFont="1" applyFill="1" applyBorder="1" applyAlignment="1" applyProtection="1">
      <alignment horizontal="center" vertical="center"/>
      <protection hidden="1"/>
    </xf>
    <xf numFmtId="165" fontId="15" fillId="4" borderId="33" xfId="1" applyNumberFormat="1" applyFont="1" applyFill="1" applyBorder="1" applyAlignment="1" applyProtection="1">
      <alignment horizontal="center" vertical="center"/>
      <protection hidden="1"/>
    </xf>
    <xf numFmtId="165" fontId="15" fillId="4" borderId="34" xfId="1" applyNumberFormat="1" applyFont="1" applyFill="1" applyBorder="1" applyAlignment="1" applyProtection="1">
      <alignment horizontal="center" vertical="center"/>
      <protection hidden="1"/>
    </xf>
    <xf numFmtId="0" fontId="4" fillId="6" borderId="0" xfId="0" applyFont="1" applyFill="1" applyAlignment="1" applyProtection="1">
      <alignment horizontal="center" vertical="center" wrapText="1"/>
      <protection hidden="1"/>
    </xf>
    <xf numFmtId="0" fontId="27" fillId="0" borderId="36" xfId="0" applyFont="1" applyBorder="1" applyAlignment="1" applyProtection="1">
      <alignment horizontal="center" vertical="center" wrapText="1"/>
      <protection locked="0"/>
    </xf>
    <xf numFmtId="0" fontId="27" fillId="0" borderId="37" xfId="0" applyFont="1" applyBorder="1" applyAlignment="1" applyProtection="1">
      <alignment horizontal="center" vertical="center"/>
      <protection locked="0"/>
    </xf>
    <xf numFmtId="0" fontId="27" fillId="0" borderId="38" xfId="0" applyFont="1" applyBorder="1" applyAlignment="1" applyProtection="1">
      <alignment horizontal="center" vertical="center"/>
      <protection locked="0"/>
    </xf>
    <xf numFmtId="0" fontId="27" fillId="0" borderId="44" xfId="0" applyFont="1" applyBorder="1" applyAlignment="1" applyProtection="1">
      <alignment horizontal="center" vertical="center"/>
      <protection locked="0"/>
    </xf>
    <xf numFmtId="0" fontId="27" fillId="0" borderId="45" xfId="0" applyFont="1" applyBorder="1" applyAlignment="1" applyProtection="1">
      <alignment horizontal="center" vertical="center"/>
      <protection locked="0"/>
    </xf>
    <xf numFmtId="0" fontId="27" fillId="0" borderId="46" xfId="0" applyFont="1" applyBorder="1" applyAlignment="1" applyProtection="1">
      <alignment horizontal="center" vertical="center"/>
      <protection locked="0"/>
    </xf>
    <xf numFmtId="0" fontId="27" fillId="9" borderId="41" xfId="0" applyFont="1" applyFill="1" applyBorder="1" applyAlignment="1" applyProtection="1">
      <alignment horizontal="center" vertical="center"/>
      <protection locked="0"/>
    </xf>
    <xf numFmtId="0" fontId="27" fillId="9" borderId="42" xfId="0" applyFont="1" applyFill="1" applyBorder="1" applyAlignment="1" applyProtection="1">
      <alignment horizontal="center" vertical="center"/>
      <protection locked="0"/>
    </xf>
    <xf numFmtId="0" fontId="27" fillId="9" borderId="43" xfId="0" applyFont="1" applyFill="1" applyBorder="1" applyAlignment="1" applyProtection="1">
      <alignment horizontal="center" vertical="center"/>
      <protection locked="0"/>
    </xf>
    <xf numFmtId="0" fontId="5" fillId="0" borderId="52" xfId="0" applyFont="1" applyBorder="1" applyAlignment="1" applyProtection="1">
      <alignment horizontal="center" vertical="top" wrapText="1"/>
      <protection locked="0"/>
    </xf>
    <xf numFmtId="0" fontId="5" fillId="0" borderId="57" xfId="0" applyFont="1" applyBorder="1" applyAlignment="1" applyProtection="1">
      <alignment horizontal="center" vertical="top" wrapText="1"/>
      <protection locked="0"/>
    </xf>
    <xf numFmtId="0" fontId="5" fillId="0" borderId="53" xfId="0" applyFont="1" applyBorder="1" applyAlignment="1" applyProtection="1">
      <alignment horizontal="left" vertical="top" wrapText="1"/>
      <protection locked="0"/>
    </xf>
    <xf numFmtId="0" fontId="17" fillId="0" borderId="54" xfId="0" applyFont="1" applyBorder="1" applyAlignment="1" applyProtection="1">
      <alignment horizontal="left" vertical="top" wrapText="1"/>
      <protection locked="0"/>
    </xf>
    <xf numFmtId="0" fontId="17" fillId="0" borderId="55" xfId="0" applyFont="1" applyBorder="1" applyAlignment="1" applyProtection="1">
      <alignment horizontal="left" vertical="top" wrapText="1"/>
      <protection locked="0"/>
    </xf>
    <xf numFmtId="0" fontId="17" fillId="0" borderId="32" xfId="0" applyFont="1" applyBorder="1" applyAlignment="1" applyProtection="1">
      <alignment horizontal="left" vertical="top" wrapText="1"/>
      <protection locked="0"/>
    </xf>
    <xf numFmtId="0" fontId="17" fillId="0" borderId="33" xfId="0" applyFont="1" applyBorder="1" applyAlignment="1" applyProtection="1">
      <alignment horizontal="left" vertical="top" wrapText="1"/>
      <protection locked="0"/>
    </xf>
    <xf numFmtId="0" fontId="17" fillId="0" borderId="34" xfId="0" applyFont="1" applyBorder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center" vertical="center" wrapText="1"/>
      <protection hidden="1"/>
    </xf>
    <xf numFmtId="0" fontId="31" fillId="20" borderId="12" xfId="0" applyFont="1" applyFill="1" applyBorder="1" applyAlignment="1" applyProtection="1">
      <alignment vertical="top" wrapText="1"/>
      <protection hidden="1"/>
    </xf>
    <xf numFmtId="0" fontId="31" fillId="20" borderId="13" xfId="0" applyFont="1" applyFill="1" applyBorder="1" applyAlignment="1" applyProtection="1">
      <alignment vertical="top" wrapText="1"/>
      <protection hidden="1"/>
    </xf>
    <xf numFmtId="0" fontId="31" fillId="19" borderId="12" xfId="0" applyFont="1" applyFill="1" applyBorder="1" applyAlignment="1" applyProtection="1">
      <alignment vertical="top" wrapText="1"/>
      <protection hidden="1"/>
    </xf>
    <xf numFmtId="0" fontId="31" fillId="19" borderId="13" xfId="0" applyFont="1" applyFill="1" applyBorder="1" applyAlignment="1" applyProtection="1">
      <alignment vertical="top" wrapText="1"/>
      <protection hidden="1"/>
    </xf>
    <xf numFmtId="0" fontId="31" fillId="24" borderId="12" xfId="0" applyFont="1" applyFill="1" applyBorder="1" applyAlignment="1" applyProtection="1">
      <alignment vertical="top" wrapText="1"/>
      <protection hidden="1"/>
    </xf>
    <xf numFmtId="0" fontId="31" fillId="24" borderId="13" xfId="0" applyFont="1" applyFill="1" applyBorder="1" applyAlignment="1" applyProtection="1">
      <alignment vertical="top" wrapText="1"/>
      <protection hidden="1"/>
    </xf>
    <xf numFmtId="0" fontId="31" fillId="11" borderId="12" xfId="0" applyFont="1" applyFill="1" applyBorder="1" applyAlignment="1" applyProtection="1">
      <alignment horizontal="center"/>
      <protection hidden="1"/>
    </xf>
    <xf numFmtId="0" fontId="31" fillId="11" borderId="13" xfId="0" applyFont="1" applyFill="1" applyBorder="1" applyAlignment="1" applyProtection="1">
      <alignment horizontal="center"/>
      <protection hidden="1"/>
    </xf>
    <xf numFmtId="166" fontId="31" fillId="11" borderId="14" xfId="0" applyNumberFormat="1" applyFont="1" applyFill="1" applyBorder="1" applyAlignment="1" applyProtection="1">
      <alignment horizontal="center"/>
      <protection hidden="1"/>
    </xf>
    <xf numFmtId="0" fontId="7" fillId="0" borderId="53" xfId="0" applyFont="1" applyBorder="1" applyAlignment="1" applyProtection="1">
      <alignment horizontal="center" vertical="center" wrapText="1"/>
      <protection hidden="1"/>
    </xf>
    <xf numFmtId="0" fontId="7" fillId="0" borderId="54" xfId="0" applyFont="1" applyBorder="1" applyAlignment="1" applyProtection="1">
      <alignment horizontal="center" vertical="center" wrapText="1"/>
      <protection hidden="1"/>
    </xf>
    <xf numFmtId="166" fontId="7" fillId="0" borderId="55" xfId="0" applyNumberFormat="1" applyFont="1" applyBorder="1" applyAlignment="1" applyProtection="1">
      <alignment horizontal="center" vertical="center" wrapText="1"/>
      <protection hidden="1"/>
    </xf>
    <xf numFmtId="0" fontId="7" fillId="0" borderId="47" xfId="0" applyFont="1" applyBorder="1" applyAlignment="1" applyProtection="1">
      <alignment horizontal="center" vertical="center" wrapText="1"/>
      <protection hidden="1"/>
    </xf>
    <xf numFmtId="0" fontId="7" fillId="0" borderId="45" xfId="0" applyFont="1" applyBorder="1" applyAlignment="1" applyProtection="1">
      <alignment horizontal="center" vertical="center" wrapText="1"/>
      <protection hidden="1"/>
    </xf>
    <xf numFmtId="166" fontId="7" fillId="0" borderId="46" xfId="0" applyNumberFormat="1" applyFont="1" applyBorder="1" applyAlignment="1" applyProtection="1">
      <alignment horizontal="center" vertical="center" wrapText="1"/>
      <protection hidden="1"/>
    </xf>
    <xf numFmtId="0" fontId="27" fillId="0" borderId="36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12" fillId="28" borderId="0" xfId="0" applyFont="1" applyFill="1" applyAlignment="1">
      <alignment horizontal="center" vertical="center" wrapText="1"/>
    </xf>
    <xf numFmtId="0" fontId="12" fillId="28" borderId="0" xfId="0" applyFont="1" applyFill="1" applyAlignment="1">
      <alignment horizontal="center" vertical="center"/>
    </xf>
    <xf numFmtId="0" fontId="12" fillId="28" borderId="45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 wrapText="1"/>
    </xf>
    <xf numFmtId="0" fontId="23" fillId="4" borderId="93" xfId="0" applyFont="1" applyFill="1" applyBorder="1" applyAlignment="1">
      <alignment horizontal="center" vertical="center" wrapText="1"/>
    </xf>
    <xf numFmtId="0" fontId="5" fillId="4" borderId="53" xfId="0" applyFont="1" applyFill="1" applyBorder="1" applyAlignment="1">
      <alignment horizontal="right" vertical="center"/>
    </xf>
    <xf numFmtId="0" fontId="5" fillId="4" borderId="47" xfId="0" applyFont="1" applyFill="1" applyBorder="1" applyAlignment="1">
      <alignment horizontal="right" vertical="center"/>
    </xf>
    <xf numFmtId="43" fontId="29" fillId="4" borderId="55" xfId="1" applyFont="1" applyFill="1" applyBorder="1" applyAlignment="1">
      <alignment horizontal="center" vertical="center"/>
    </xf>
    <xf numFmtId="43" fontId="29" fillId="4" borderId="46" xfId="1" applyFont="1" applyFill="1" applyBorder="1" applyAlignment="1">
      <alignment horizontal="center" vertical="center"/>
    </xf>
    <xf numFmtId="0" fontId="44" fillId="16" borderId="36" xfId="0" applyFont="1" applyFill="1" applyBorder="1" applyAlignment="1">
      <alignment horizontal="left" vertical="top" wrapText="1"/>
    </xf>
    <xf numFmtId="0" fontId="44" fillId="16" borderId="37" xfId="0" applyFont="1" applyFill="1" applyBorder="1" applyAlignment="1">
      <alignment horizontal="left" vertical="top" wrapText="1"/>
    </xf>
    <xf numFmtId="0" fontId="44" fillId="16" borderId="102" xfId="0" applyFont="1" applyFill="1" applyBorder="1" applyAlignment="1">
      <alignment horizontal="left" vertical="top" wrapText="1"/>
    </xf>
    <xf numFmtId="0" fontId="44" fillId="16" borderId="22" xfId="0" applyFont="1" applyFill="1" applyBorder="1" applyAlignment="1">
      <alignment horizontal="left" vertical="top" wrapText="1"/>
    </xf>
    <xf numFmtId="167" fontId="5" fillId="0" borderId="32" xfId="0" applyNumberFormat="1" applyFont="1" applyBorder="1" applyAlignment="1">
      <alignment horizontal="center" vertical="center"/>
    </xf>
    <xf numFmtId="167" fontId="5" fillId="0" borderId="99" xfId="0" applyNumberFormat="1" applyFont="1" applyBorder="1" applyAlignment="1">
      <alignment horizontal="center" vertical="center"/>
    </xf>
    <xf numFmtId="0" fontId="17" fillId="30" borderId="97" xfId="0" applyFont="1" applyFill="1" applyBorder="1" applyAlignment="1">
      <alignment horizontal="left" vertical="top" wrapText="1"/>
    </xf>
    <xf numFmtId="0" fontId="17" fillId="30" borderId="54" xfId="0" applyFont="1" applyFill="1" applyBorder="1" applyAlignment="1">
      <alignment horizontal="left" vertical="top" wrapText="1"/>
    </xf>
    <xf numFmtId="0" fontId="17" fillId="30" borderId="85" xfId="0" applyFont="1" applyFill="1" applyBorder="1" applyAlignment="1">
      <alignment horizontal="left" vertical="top" wrapText="1"/>
    </xf>
    <xf numFmtId="0" fontId="17" fillId="30" borderId="98" xfId="0" applyFont="1" applyFill="1" applyBorder="1" applyAlignment="1">
      <alignment horizontal="left" vertical="top" wrapText="1"/>
    </xf>
    <xf numFmtId="0" fontId="17" fillId="30" borderId="33" xfId="0" applyFont="1" applyFill="1" applyBorder="1" applyAlignment="1">
      <alignment horizontal="left" vertical="top" wrapText="1"/>
    </xf>
    <xf numFmtId="0" fontId="17" fillId="30" borderId="34" xfId="0" applyFont="1" applyFill="1" applyBorder="1" applyAlignment="1">
      <alignment horizontal="left" vertical="top" wrapText="1"/>
    </xf>
    <xf numFmtId="0" fontId="29" fillId="16" borderId="36" xfId="0" applyFont="1" applyFill="1" applyBorder="1" applyAlignment="1">
      <alignment horizontal="left" vertical="top" wrapText="1"/>
    </xf>
    <xf numFmtId="0" fontId="29" fillId="16" borderId="37" xfId="0" applyFont="1" applyFill="1" applyBorder="1" applyAlignment="1">
      <alignment horizontal="left" vertical="top" wrapText="1"/>
    </xf>
    <xf numFmtId="0" fontId="29" fillId="16" borderId="102" xfId="0" applyFont="1" applyFill="1" applyBorder="1" applyAlignment="1">
      <alignment horizontal="left" vertical="top" wrapText="1"/>
    </xf>
    <xf numFmtId="0" fontId="29" fillId="16" borderId="22" xfId="0" applyFont="1" applyFill="1" applyBorder="1" applyAlignment="1">
      <alignment horizontal="left" vertical="top" wrapText="1"/>
    </xf>
  </cellXfs>
  <cellStyles count="6">
    <cellStyle name="Hipervínculo" xfId="3" builtinId="8"/>
    <cellStyle name="Millares" xfId="1" builtinId="3"/>
    <cellStyle name="Millares [0]" xfId="5" builtinId="6"/>
    <cellStyle name="Normal" xfId="0" builtinId="0"/>
    <cellStyle name="Normal 5" xfId="4" xr:uid="{00000000-0005-0000-0000-000003000000}"/>
    <cellStyle name="Porcentaje" xfId="2" builtinId="5"/>
  </cellStyles>
  <dxfs count="37">
    <dxf>
      <font>
        <condense val="0"/>
        <extend val="0"/>
        <color indexed="9"/>
      </font>
      <border>
        <bottom/>
      </border>
    </dxf>
    <dxf>
      <font>
        <b val="0"/>
        <i val="0"/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b val="0"/>
        <i val="0"/>
        <color auto="1"/>
      </font>
      <fill>
        <patternFill>
          <bgColor rgb="FFFFFF99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TA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fraestructura\Desktop\2025\1.%20CONVENIO%20PAV%20PIEDRASENTADA\PPTO%20PAV%20PIED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ALCALDIA"/>
      <sheetName val="ANALISIS"/>
      <sheetName val="PRESUPUESTO JAC"/>
      <sheetName val="INSUMOS"/>
      <sheetName val="PRESUPUESTO COMERCIAL"/>
    </sheetNames>
    <sheetDataSet>
      <sheetData sheetId="0">
        <row r="16">
          <cell r="AQ16">
            <v>36</v>
          </cell>
        </row>
        <row r="17">
          <cell r="B17">
            <v>1.2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A89"/>
  <sheetViews>
    <sheetView showGridLines="0" tabSelected="1" topLeftCell="B52" zoomScaleNormal="100" workbookViewId="0">
      <selection activeCell="AZ16" sqref="AZ16"/>
    </sheetView>
  </sheetViews>
  <sheetFormatPr baseColWidth="10" defaultColWidth="11.28515625" defaultRowHeight="16.5" x14ac:dyDescent="0.3"/>
  <cols>
    <col min="1" max="1" width="0" style="57" hidden="1" customWidth="1"/>
    <col min="2" max="2" width="9" style="57" customWidth="1"/>
    <col min="3" max="3" width="41.7109375" style="57" customWidth="1"/>
    <col min="4" max="4" width="6.140625" style="57" customWidth="1"/>
    <col min="5" max="5" width="12.7109375" style="57" customWidth="1"/>
    <col min="6" max="6" width="14.7109375" style="57" customWidth="1"/>
    <col min="7" max="7" width="18.7109375" style="57" customWidth="1"/>
    <col min="8" max="39" width="0" style="57" hidden="1" customWidth="1"/>
    <col min="40" max="40" width="2.28515625" style="57" customWidth="1"/>
    <col min="41" max="46" width="0" style="57" hidden="1" customWidth="1"/>
    <col min="47" max="47" width="0.7109375" style="57" customWidth="1"/>
    <col min="48" max="49" width="11.28515625" style="57"/>
    <col min="50" max="50" width="14.28515625" style="57" customWidth="1"/>
    <col min="51" max="51" width="11.28515625" style="57"/>
    <col min="52" max="52" width="13.28515625" style="57" customWidth="1"/>
    <col min="53" max="109" width="11.28515625" style="57"/>
    <col min="110" max="112" width="0" style="57" hidden="1" customWidth="1"/>
    <col min="113" max="16384" width="11.28515625" style="57"/>
  </cols>
  <sheetData>
    <row r="1" spans="1:183" s="39" customFormat="1" ht="12.2" hidden="1" customHeight="1" thickTop="1" x14ac:dyDescent="0.3">
      <c r="A1" s="14" t="s">
        <v>0</v>
      </c>
      <c r="B1" s="15" t="s">
        <v>1</v>
      </c>
      <c r="C1" s="16"/>
      <c r="D1" s="17"/>
      <c r="E1" s="18" t="s">
        <v>2</v>
      </c>
      <c r="F1" s="639" t="str">
        <f>"Duración  Obra    " &amp; G80 &amp; " Días"</f>
        <v>Duración  Obra    30 Días</v>
      </c>
      <c r="G1" s="19">
        <f>G73</f>
        <v>33765050</v>
      </c>
      <c r="H1" s="20" t="s">
        <v>3</v>
      </c>
      <c r="I1" s="20" t="s">
        <v>4</v>
      </c>
      <c r="J1" s="21" t="s">
        <v>5</v>
      </c>
      <c r="K1" s="21" t="s">
        <v>6</v>
      </c>
      <c r="L1" s="20" t="s">
        <v>7</v>
      </c>
      <c r="M1" s="20" t="s">
        <v>8</v>
      </c>
      <c r="N1" s="22" t="s">
        <v>9</v>
      </c>
      <c r="O1" s="1" t="str">
        <f>B2</f>
        <v>CD</v>
      </c>
      <c r="P1" s="640" t="s">
        <v>10</v>
      </c>
      <c r="Q1" s="641"/>
      <c r="R1" s="641"/>
      <c r="S1" s="641"/>
      <c r="T1" s="642"/>
      <c r="U1" s="23"/>
      <c r="V1" s="23"/>
      <c r="W1" s="23"/>
      <c r="X1" s="23"/>
      <c r="Y1" s="23"/>
      <c r="Z1" s="23"/>
      <c r="AA1" s="23"/>
      <c r="AB1" s="23"/>
      <c r="AC1" s="23"/>
      <c r="AD1" s="23"/>
      <c r="AE1" s="24"/>
      <c r="AF1" s="25" t="s">
        <v>11</v>
      </c>
      <c r="AG1" s="26" t="s">
        <v>12</v>
      </c>
      <c r="AH1" s="27" t="s">
        <v>13</v>
      </c>
      <c r="AI1" s="27" t="s">
        <v>14</v>
      </c>
      <c r="AJ1" s="27" t="s">
        <v>15</v>
      </c>
      <c r="AK1" s="28" t="s">
        <v>16</v>
      </c>
      <c r="AL1" s="29"/>
      <c r="AM1" s="30" t="s">
        <v>17</v>
      </c>
      <c r="AN1" s="30"/>
      <c r="AO1" s="31"/>
      <c r="AP1" s="32"/>
      <c r="AQ1" s="32"/>
      <c r="AR1" s="33" t="s">
        <v>18</v>
      </c>
      <c r="AS1" s="34">
        <f>AS73</f>
        <v>20563687</v>
      </c>
      <c r="AT1" s="35"/>
      <c r="AU1" s="36"/>
      <c r="AV1" s="37"/>
      <c r="AW1" s="37"/>
      <c r="AX1" s="37"/>
      <c r="AY1" s="38" t="s">
        <v>19</v>
      </c>
      <c r="AZ1" s="646" t="s">
        <v>20</v>
      </c>
      <c r="BZ1" s="40"/>
      <c r="CA1" s="41"/>
      <c r="CB1" s="2"/>
      <c r="CC1" s="42"/>
      <c r="CD1" s="43"/>
      <c r="CE1" s="44">
        <f>IF($A$2="CD",CG1,IF($A$2="CT",CH1,"Correg CT"))</f>
        <v>0</v>
      </c>
      <c r="CF1" s="45">
        <f>ROUND(CD1 * CE1,$J$2)</f>
        <v>0</v>
      </c>
      <c r="CG1" s="46"/>
      <c r="CH1" s="47"/>
      <c r="CI1" s="47">
        <v>1</v>
      </c>
      <c r="CJ1" s="47"/>
      <c r="CK1" s="48">
        <f>ROUND(CH1 * CD1,$J$2)</f>
        <v>0</v>
      </c>
      <c r="CL1" s="49">
        <f>ROUND(CG1 * CD1,$J$2)</f>
        <v>0</v>
      </c>
      <c r="CM1" s="50">
        <f>CF1*$N$2</f>
        <v>0</v>
      </c>
      <c r="CN1" s="51"/>
      <c r="CO1" s="52"/>
      <c r="CP1" s="53"/>
      <c r="CQ1" s="53"/>
      <c r="CR1" s="54"/>
      <c r="CS1" s="55">
        <f>CO1+CP1+CQ1+CR1</f>
        <v>0</v>
      </c>
      <c r="CT1" s="56"/>
      <c r="CV1" s="57"/>
      <c r="CW1" s="57"/>
      <c r="CX1" s="57"/>
      <c r="CY1" s="57"/>
      <c r="CZ1" s="57"/>
      <c r="DA1" s="57"/>
      <c r="DB1" s="57"/>
      <c r="DC1" s="57"/>
      <c r="DD1" s="57"/>
      <c r="DE1" s="58"/>
      <c r="DF1" s="59" t="str">
        <f>"CAP. " &amp; $B$14 &amp; ": " &amp; $C$14</f>
        <v>CAP. 1: OBRAS</v>
      </c>
      <c r="DG1" s="60">
        <f>ROW($B$14)</f>
        <v>14</v>
      </c>
      <c r="DH1" s="60"/>
      <c r="DI1" s="60"/>
      <c r="DJ1" s="61"/>
      <c r="DK1" s="62"/>
      <c r="DL1" s="57"/>
      <c r="DM1" s="57"/>
      <c r="DN1" s="63">
        <f>CD1</f>
        <v>0</v>
      </c>
      <c r="DO1" s="64"/>
      <c r="DP1" s="65">
        <f>DN1+DO1</f>
        <v>0</v>
      </c>
      <c r="DQ1" s="66">
        <f>CE1</f>
        <v>0</v>
      </c>
      <c r="DR1" s="67">
        <f>ROUND(DP1 * DQ1,$J$2)</f>
        <v>0</v>
      </c>
      <c r="DS1" s="57"/>
      <c r="DT1" s="68"/>
      <c r="DU1" s="57"/>
      <c r="DV1" s="57"/>
      <c r="DW1" s="57"/>
      <c r="DX1" s="57"/>
      <c r="DY1" s="57"/>
      <c r="DZ1" s="57"/>
      <c r="EA1" s="57"/>
      <c r="EB1" s="57"/>
      <c r="EC1" s="57"/>
      <c r="ED1" s="57"/>
      <c r="EE1" s="57"/>
      <c r="EF1" s="57"/>
      <c r="EG1" s="57"/>
      <c r="EH1" s="57"/>
      <c r="EI1" s="57"/>
      <c r="EJ1" s="57"/>
      <c r="EK1" s="57"/>
      <c r="EL1" s="57"/>
      <c r="EM1" s="57"/>
      <c r="EN1" s="57"/>
      <c r="EO1" s="57"/>
      <c r="EP1" s="57"/>
      <c r="EQ1" s="57"/>
      <c r="ER1" s="57"/>
      <c r="ES1" s="57"/>
      <c r="ET1" s="57"/>
      <c r="EU1" s="57"/>
      <c r="EV1" s="57"/>
      <c r="EW1" s="57"/>
      <c r="EX1" s="57"/>
      <c r="EY1" s="57"/>
      <c r="EZ1" s="57"/>
      <c r="FA1" s="57"/>
      <c r="FB1" s="57"/>
      <c r="FC1" s="57"/>
      <c r="FD1" s="57"/>
      <c r="FE1" s="57"/>
      <c r="FF1" s="57"/>
      <c r="FG1" s="57"/>
      <c r="FH1" s="57"/>
      <c r="FI1" s="57"/>
      <c r="FJ1" s="57"/>
      <c r="FK1" s="57"/>
      <c r="FL1" s="57"/>
      <c r="FM1" s="57"/>
      <c r="FN1" s="57"/>
      <c r="FO1" s="57"/>
      <c r="FP1" s="57"/>
      <c r="FQ1" s="57"/>
      <c r="FR1" s="57"/>
      <c r="FS1" s="57"/>
      <c r="FT1" s="57"/>
      <c r="FU1" s="57"/>
      <c r="FV1" s="57"/>
      <c r="FW1" s="57"/>
      <c r="FX1" s="57"/>
      <c r="FY1" s="57"/>
      <c r="FZ1" s="57"/>
      <c r="GA1" s="57"/>
    </row>
    <row r="2" spans="1:183" s="39" customFormat="1" ht="12.2" hidden="1" customHeight="1" thickBot="1" x14ac:dyDescent="0.35">
      <c r="A2" s="14" t="s">
        <v>8</v>
      </c>
      <c r="B2" s="69" t="str">
        <f>IF($A$2="CD","CD",IF($A$2="CT","CT",""))</f>
        <v>CD</v>
      </c>
      <c r="C2" s="70"/>
      <c r="D2" s="71"/>
      <c r="E2" s="72"/>
      <c r="F2" s="639"/>
      <c r="G2" s="73" t="e">
        <f>IF(#REF!=1,"CHEQ. INSUMOS","Insumos ok.")</f>
        <v>#REF!</v>
      </c>
      <c r="H2" s="74">
        <v>2</v>
      </c>
      <c r="I2" s="74">
        <v>3</v>
      </c>
      <c r="J2" s="74">
        <v>0</v>
      </c>
      <c r="K2" s="74"/>
      <c r="L2" s="74"/>
      <c r="M2" s="74"/>
      <c r="N2" s="75">
        <v>1</v>
      </c>
      <c r="O2" s="76"/>
      <c r="P2" s="643"/>
      <c r="Q2" s="644"/>
      <c r="R2" s="644"/>
      <c r="S2" s="644"/>
      <c r="T2" s="645"/>
      <c r="U2" s="76"/>
      <c r="V2" s="76"/>
      <c r="W2" s="76"/>
      <c r="X2" s="76"/>
      <c r="Y2" s="76"/>
      <c r="Z2" s="76"/>
      <c r="AA2" s="76"/>
      <c r="AB2" s="76"/>
      <c r="AC2" s="76"/>
      <c r="AD2" s="76"/>
      <c r="AE2" s="77"/>
      <c r="AF2" s="25"/>
      <c r="AG2" s="26"/>
      <c r="AH2" s="27"/>
      <c r="AI2" s="27"/>
      <c r="AJ2" s="27"/>
      <c r="AK2" s="28"/>
      <c r="AL2" s="29"/>
      <c r="AM2" s="78"/>
      <c r="AN2" s="78"/>
      <c r="AO2" s="78"/>
      <c r="AP2" s="78"/>
      <c r="AQ2" s="78"/>
      <c r="AR2" s="79"/>
      <c r="AS2" s="78"/>
      <c r="AT2" s="78"/>
      <c r="AU2" s="80"/>
      <c r="AY2" s="81" t="s">
        <v>21</v>
      </c>
      <c r="AZ2" s="646"/>
      <c r="BZ2" s="82" t="s">
        <v>22</v>
      </c>
      <c r="CA2" s="82" t="s">
        <v>23</v>
      </c>
      <c r="CB2" s="82" t="s">
        <v>24</v>
      </c>
      <c r="CC2" s="82" t="s">
        <v>25</v>
      </c>
      <c r="CD2" s="82" t="s">
        <v>26</v>
      </c>
      <c r="CE2" s="82" t="s">
        <v>27</v>
      </c>
      <c r="CF2" s="82" t="s">
        <v>28</v>
      </c>
      <c r="CG2" s="82" t="s">
        <v>29</v>
      </c>
      <c r="CH2" s="82" t="s">
        <v>30</v>
      </c>
      <c r="CI2" s="82" t="s">
        <v>31</v>
      </c>
      <c r="CJ2" s="82" t="s">
        <v>32</v>
      </c>
      <c r="CK2" s="82" t="s">
        <v>33</v>
      </c>
      <c r="CL2" s="82" t="s">
        <v>34</v>
      </c>
      <c r="CM2" s="82" t="s">
        <v>35</v>
      </c>
      <c r="CN2" s="82" t="s">
        <v>36</v>
      </c>
      <c r="CO2" s="82" t="s">
        <v>37</v>
      </c>
      <c r="CP2" s="82" t="s">
        <v>38</v>
      </c>
      <c r="CQ2" s="82" t="s">
        <v>39</v>
      </c>
      <c r="CR2" s="82" t="s">
        <v>40</v>
      </c>
      <c r="CS2" s="82" t="s">
        <v>41</v>
      </c>
      <c r="CT2" s="82" t="s">
        <v>42</v>
      </c>
      <c r="CU2" s="82" t="s">
        <v>43</v>
      </c>
      <c r="CV2" s="82" t="s">
        <v>44</v>
      </c>
      <c r="CW2" s="82" t="s">
        <v>45</v>
      </c>
      <c r="CX2" s="82" t="s">
        <v>46</v>
      </c>
      <c r="CY2" s="82" t="s">
        <v>47</v>
      </c>
      <c r="CZ2" s="82" t="s">
        <v>48</v>
      </c>
      <c r="DA2" s="82" t="s">
        <v>49</v>
      </c>
      <c r="DB2" s="82" t="s">
        <v>50</v>
      </c>
      <c r="DC2" s="82" t="s">
        <v>51</v>
      </c>
      <c r="DD2" s="82" t="s">
        <v>52</v>
      </c>
      <c r="DE2" s="82" t="s">
        <v>53</v>
      </c>
      <c r="DF2" s="82" t="s">
        <v>54</v>
      </c>
      <c r="DG2" s="82" t="s">
        <v>55</v>
      </c>
      <c r="DH2" s="82" t="s">
        <v>56</v>
      </c>
      <c r="DI2" s="82" t="s">
        <v>57</v>
      </c>
      <c r="DJ2" s="82" t="s">
        <v>58</v>
      </c>
      <c r="DK2" s="82" t="s">
        <v>59</v>
      </c>
      <c r="DL2" s="82" t="s">
        <v>60</v>
      </c>
      <c r="DM2" s="82" t="s">
        <v>61</v>
      </c>
      <c r="DN2" s="82" t="s">
        <v>62</v>
      </c>
      <c r="DO2" s="82" t="s">
        <v>63</v>
      </c>
      <c r="DP2" s="82" t="s">
        <v>64</v>
      </c>
      <c r="DQ2" s="82" t="s">
        <v>65</v>
      </c>
      <c r="DR2" s="82" t="s">
        <v>66</v>
      </c>
      <c r="DS2" s="82" t="s">
        <v>67</v>
      </c>
      <c r="DT2" s="82" t="s">
        <v>68</v>
      </c>
    </row>
    <row r="3" spans="1:183" s="39" customFormat="1" ht="12.2" hidden="1" customHeight="1" x14ac:dyDescent="0.3">
      <c r="A3" s="14"/>
      <c r="B3" s="69"/>
      <c r="C3" s="70"/>
      <c r="D3" s="71"/>
      <c r="E3" s="83"/>
      <c r="F3" s="84"/>
      <c r="G3" s="85"/>
      <c r="H3" s="74"/>
      <c r="I3" s="74"/>
      <c r="J3" s="74"/>
      <c r="K3" s="74"/>
      <c r="L3" s="74"/>
      <c r="M3" s="74"/>
      <c r="N3" s="86"/>
      <c r="O3" s="76"/>
      <c r="P3" s="87"/>
      <c r="Q3" s="87"/>
      <c r="R3" s="87"/>
      <c r="S3" s="87"/>
      <c r="T3" s="87"/>
      <c r="U3" s="88"/>
      <c r="V3" s="88"/>
      <c r="W3" s="88"/>
      <c r="X3" s="88"/>
      <c r="Y3" s="88"/>
      <c r="Z3" s="88"/>
      <c r="AA3" s="88"/>
      <c r="AB3" s="88"/>
      <c r="AC3" s="88"/>
      <c r="AD3" s="88"/>
      <c r="AE3" s="89"/>
      <c r="AF3" s="58"/>
      <c r="AG3" s="59"/>
      <c r="AH3" s="60"/>
      <c r="AI3" s="60"/>
      <c r="AJ3" s="60"/>
      <c r="AK3" s="61"/>
      <c r="AL3" s="62"/>
      <c r="AP3" s="81"/>
      <c r="AQ3" s="3"/>
      <c r="AR3" s="90"/>
      <c r="AU3" s="80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82"/>
      <c r="CN3" s="82"/>
      <c r="CO3" s="82"/>
      <c r="CP3" s="82"/>
      <c r="CQ3" s="82"/>
      <c r="CR3" s="82"/>
      <c r="CS3" s="82"/>
      <c r="CT3" s="82"/>
      <c r="CU3" s="82"/>
      <c r="CV3" s="82"/>
      <c r="CW3" s="82"/>
      <c r="CX3" s="82"/>
      <c r="CY3" s="82"/>
      <c r="CZ3" s="82"/>
      <c r="DA3" s="82"/>
      <c r="DB3" s="82"/>
      <c r="DC3" s="82"/>
      <c r="DD3" s="82"/>
      <c r="DE3" s="82"/>
      <c r="DF3" s="82"/>
      <c r="DG3" s="82"/>
      <c r="DH3" s="82"/>
      <c r="DI3" s="82"/>
      <c r="DJ3" s="82"/>
      <c r="DK3" s="82"/>
      <c r="DL3" s="82"/>
      <c r="DM3" s="82"/>
      <c r="DN3" s="82"/>
      <c r="DO3" s="82"/>
      <c r="DP3" s="82"/>
      <c r="DQ3" s="82"/>
      <c r="DR3" s="82"/>
      <c r="DS3" s="82"/>
      <c r="DT3" s="82"/>
    </row>
    <row r="4" spans="1:183" s="39" customFormat="1" ht="12.2" hidden="1" customHeight="1" x14ac:dyDescent="0.3">
      <c r="A4" s="14"/>
      <c r="B4" s="69"/>
      <c r="C4" s="70"/>
      <c r="D4" s="71"/>
      <c r="E4" s="83"/>
      <c r="F4" s="84"/>
      <c r="G4" s="85"/>
      <c r="H4" s="74"/>
      <c r="I4" s="74"/>
      <c r="J4" s="74"/>
      <c r="K4" s="74"/>
      <c r="L4" s="74"/>
      <c r="M4" s="74"/>
      <c r="N4" s="86"/>
      <c r="O4" s="76"/>
      <c r="P4" s="87"/>
      <c r="Q4" s="87"/>
      <c r="R4" s="87"/>
      <c r="S4" s="87"/>
      <c r="T4" s="87"/>
      <c r="U4" s="88"/>
      <c r="V4" s="88"/>
      <c r="W4" s="88"/>
      <c r="X4" s="88"/>
      <c r="Y4" s="88"/>
      <c r="Z4" s="88"/>
      <c r="AA4" s="88"/>
      <c r="AB4" s="88"/>
      <c r="AC4" s="88"/>
      <c r="AD4" s="88"/>
      <c r="AE4" s="89"/>
      <c r="AF4" s="58"/>
      <c r="AG4" s="59" t="str">
        <f>"CAP. " &amp; $B$4 &amp; ": " &amp; $C$4</f>
        <v xml:space="preserve">CAP. : </v>
      </c>
      <c r="AH4" s="60">
        <f>ROW($B$4)</f>
        <v>4</v>
      </c>
      <c r="AI4" s="60"/>
      <c r="AJ4" s="60"/>
      <c r="AK4" s="61"/>
      <c r="AL4" s="62"/>
      <c r="AP4" s="81"/>
      <c r="AQ4" s="3"/>
      <c r="AR4" s="90"/>
      <c r="AU4" s="80"/>
      <c r="BZ4" s="82"/>
      <c r="CA4" s="82"/>
      <c r="CB4" s="82"/>
      <c r="CC4" s="82"/>
      <c r="CD4" s="82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  <c r="DQ4" s="82"/>
      <c r="DR4" s="82"/>
      <c r="DS4" s="82"/>
      <c r="DT4" s="82"/>
    </row>
    <row r="5" spans="1:183" s="39" customFormat="1" ht="12.2" hidden="1" customHeight="1" x14ac:dyDescent="0.3">
      <c r="A5" s="14"/>
      <c r="B5" s="69"/>
      <c r="C5" s="70"/>
      <c r="D5" s="71"/>
      <c r="E5" s="83"/>
      <c r="F5" s="84"/>
      <c r="G5" s="85"/>
      <c r="H5" s="74"/>
      <c r="I5" s="74"/>
      <c r="J5" s="74"/>
      <c r="K5" s="74"/>
      <c r="L5" s="74"/>
      <c r="M5" s="74"/>
      <c r="N5" s="86"/>
      <c r="O5" s="76"/>
      <c r="P5" s="87"/>
      <c r="Q5" s="87"/>
      <c r="R5" s="87"/>
      <c r="S5" s="87"/>
      <c r="T5" s="87"/>
      <c r="U5" s="88"/>
      <c r="V5" s="88"/>
      <c r="W5" s="88"/>
      <c r="X5" s="88"/>
      <c r="Y5" s="88"/>
      <c r="Z5" s="88"/>
      <c r="AA5" s="88"/>
      <c r="AB5" s="88"/>
      <c r="AC5" s="88"/>
      <c r="AD5" s="88"/>
      <c r="AE5" s="89"/>
      <c r="AF5" s="58"/>
      <c r="AG5" s="59"/>
      <c r="AH5" s="60"/>
      <c r="AI5" s="60"/>
      <c r="AJ5" s="60"/>
      <c r="AK5" s="61"/>
      <c r="AL5" s="62"/>
      <c r="AP5" s="81"/>
      <c r="AQ5" s="3"/>
      <c r="AR5" s="90"/>
      <c r="AU5" s="80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  <c r="CR5" s="82"/>
      <c r="CS5" s="82"/>
      <c r="CT5" s="82"/>
      <c r="CU5" s="82"/>
      <c r="CV5" s="82"/>
      <c r="CW5" s="82"/>
      <c r="CX5" s="82"/>
      <c r="CY5" s="82"/>
      <c r="CZ5" s="82"/>
      <c r="DA5" s="82"/>
      <c r="DB5" s="82"/>
      <c r="DC5" s="82"/>
      <c r="DD5" s="82"/>
      <c r="DE5" s="82"/>
      <c r="DF5" s="82"/>
      <c r="DG5" s="82"/>
      <c r="DH5" s="82"/>
      <c r="DI5" s="82"/>
      <c r="DJ5" s="82"/>
      <c r="DK5" s="82"/>
      <c r="DL5" s="82"/>
      <c r="DM5" s="82"/>
      <c r="DN5" s="82"/>
      <c r="DO5" s="82"/>
      <c r="DP5" s="82"/>
      <c r="DQ5" s="82"/>
      <c r="DR5" s="82"/>
      <c r="DS5" s="82"/>
      <c r="DT5" s="82"/>
    </row>
    <row r="6" spans="1:183" s="39" customFormat="1" ht="12.2" hidden="1" customHeight="1" x14ac:dyDescent="0.3">
      <c r="A6" s="14"/>
      <c r="B6" s="69"/>
      <c r="C6" s="70"/>
      <c r="D6" s="71"/>
      <c r="E6" s="83"/>
      <c r="F6" s="84"/>
      <c r="G6" s="85"/>
      <c r="H6" s="74"/>
      <c r="I6" s="74"/>
      <c r="J6" s="74"/>
      <c r="K6" s="74"/>
      <c r="L6" s="74"/>
      <c r="M6" s="74"/>
      <c r="N6" s="86"/>
      <c r="O6" s="76"/>
      <c r="P6" s="87"/>
      <c r="Q6" s="87"/>
      <c r="R6" s="87"/>
      <c r="S6" s="87"/>
      <c r="T6" s="87"/>
      <c r="U6" s="88"/>
      <c r="V6" s="88"/>
      <c r="W6" s="88"/>
      <c r="X6" s="88"/>
      <c r="Y6" s="88"/>
      <c r="Z6" s="88"/>
      <c r="AA6" s="88"/>
      <c r="AB6" s="88"/>
      <c r="AC6" s="88"/>
      <c r="AD6" s="88"/>
      <c r="AE6" s="89"/>
      <c r="AF6" s="58"/>
      <c r="AG6" s="59"/>
      <c r="AH6" s="60"/>
      <c r="AI6" s="60"/>
      <c r="AJ6" s="60"/>
      <c r="AK6" s="61"/>
      <c r="AL6" s="62"/>
      <c r="AP6" s="81"/>
      <c r="AQ6" s="3"/>
      <c r="AR6" s="90"/>
      <c r="AU6" s="80"/>
      <c r="BZ6" s="82"/>
      <c r="CA6" s="82"/>
      <c r="CB6" s="82"/>
      <c r="CC6" s="82"/>
      <c r="CD6" s="82"/>
      <c r="CE6" s="82"/>
      <c r="CF6" s="82"/>
      <c r="CG6" s="82"/>
      <c r="CH6" s="82"/>
      <c r="CI6" s="82"/>
      <c r="CJ6" s="82"/>
      <c r="CK6" s="82"/>
      <c r="CL6" s="82"/>
      <c r="CM6" s="82"/>
      <c r="CN6" s="82"/>
      <c r="CO6" s="82"/>
      <c r="CP6" s="82"/>
      <c r="CQ6" s="82"/>
      <c r="CR6" s="82"/>
      <c r="CS6" s="82"/>
      <c r="CT6" s="82"/>
      <c r="CU6" s="82"/>
      <c r="CV6" s="82"/>
      <c r="CW6" s="82"/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82"/>
      <c r="DM6" s="82"/>
      <c r="DN6" s="82"/>
      <c r="DO6" s="82"/>
      <c r="DP6" s="82"/>
      <c r="DQ6" s="82"/>
      <c r="DR6" s="82"/>
      <c r="DS6" s="82"/>
      <c r="DT6" s="82"/>
    </row>
    <row r="7" spans="1:183" s="101" customFormat="1" ht="27.95" customHeight="1" thickTop="1" x14ac:dyDescent="0.3">
      <c r="A7" s="91"/>
      <c r="B7" s="647" t="s">
        <v>69</v>
      </c>
      <c r="C7" s="648"/>
      <c r="D7" s="649"/>
      <c r="E7" s="92" t="s">
        <v>70</v>
      </c>
      <c r="F7" s="93"/>
      <c r="G7" s="94"/>
      <c r="H7" s="95"/>
      <c r="I7" s="95"/>
      <c r="J7" s="95"/>
      <c r="K7" s="95"/>
      <c r="L7" s="95"/>
      <c r="M7" s="95"/>
      <c r="N7" s="95"/>
      <c r="O7" s="95"/>
      <c r="P7" s="96" t="s">
        <v>71</v>
      </c>
      <c r="Q7" s="97"/>
      <c r="R7" s="97"/>
      <c r="S7" s="97"/>
      <c r="T7" s="98"/>
      <c r="U7" s="99"/>
      <c r="V7" s="99"/>
      <c r="W7" s="99"/>
      <c r="X7" s="99"/>
      <c r="Y7" s="99"/>
      <c r="Z7" s="99"/>
      <c r="AA7" s="99"/>
      <c r="AB7" s="99"/>
      <c r="AC7" s="99"/>
      <c r="AD7" s="99"/>
      <c r="AE7" s="100"/>
      <c r="AF7" s="58"/>
      <c r="AG7" s="59"/>
      <c r="AH7" s="60"/>
      <c r="AI7" s="60"/>
      <c r="AJ7" s="60"/>
      <c r="AK7" s="61"/>
      <c r="AL7" s="62"/>
      <c r="AO7" s="653" t="s">
        <v>72</v>
      </c>
      <c r="AP7" s="654"/>
      <c r="AQ7" s="654"/>
      <c r="AR7" s="654"/>
      <c r="AS7" s="655"/>
      <c r="AU7" s="102"/>
      <c r="AY7" s="103"/>
    </row>
    <row r="8" spans="1:183" s="101" customFormat="1" ht="15.6" customHeight="1" thickBot="1" x14ac:dyDescent="0.35">
      <c r="A8" s="91"/>
      <c r="B8" s="650"/>
      <c r="C8" s="651"/>
      <c r="D8" s="652"/>
      <c r="E8" s="104" t="s">
        <v>73</v>
      </c>
      <c r="F8" s="105"/>
      <c r="G8" s="106"/>
      <c r="H8" s="95"/>
      <c r="I8" s="95"/>
      <c r="J8" s="95"/>
      <c r="K8" s="95"/>
      <c r="L8" s="95"/>
      <c r="M8" s="95"/>
      <c r="N8" s="95"/>
      <c r="O8" s="95"/>
      <c r="P8" s="107" t="s">
        <v>74</v>
      </c>
      <c r="Q8" s="108" t="s">
        <v>75</v>
      </c>
      <c r="R8" s="108" t="s">
        <v>76</v>
      </c>
      <c r="S8" s="108" t="s">
        <v>77</v>
      </c>
      <c r="T8" s="109" t="s">
        <v>78</v>
      </c>
      <c r="U8" s="99"/>
      <c r="V8" s="99">
        <v>1</v>
      </c>
      <c r="W8" s="99"/>
      <c r="X8" s="99"/>
      <c r="Y8" s="99"/>
      <c r="Z8" s="99"/>
      <c r="AA8" s="99"/>
      <c r="AB8" s="99"/>
      <c r="AC8" s="99"/>
      <c r="AD8" s="99"/>
      <c r="AE8" s="100"/>
      <c r="AF8" s="58"/>
      <c r="AG8" s="59"/>
      <c r="AH8" s="60"/>
      <c r="AI8" s="60"/>
      <c r="AJ8" s="60"/>
      <c r="AK8" s="61"/>
      <c r="AL8" s="62"/>
      <c r="AO8" s="110" t="s">
        <v>79</v>
      </c>
      <c r="AP8" s="111" t="s">
        <v>80</v>
      </c>
      <c r="AQ8" s="111" t="s">
        <v>81</v>
      </c>
      <c r="AR8" s="111" t="s">
        <v>82</v>
      </c>
      <c r="AS8" s="112" t="s">
        <v>83</v>
      </c>
      <c r="AU8" s="102"/>
    </row>
    <row r="9" spans="1:183" s="101" customFormat="1" ht="42.75" customHeight="1" x14ac:dyDescent="0.3">
      <c r="A9" s="91"/>
      <c r="B9" s="656" t="s">
        <v>84</v>
      </c>
      <c r="C9" s="658" t="s">
        <v>215</v>
      </c>
      <c r="D9" s="659"/>
      <c r="E9" s="660"/>
      <c r="F9" s="113" t="s">
        <v>85</v>
      </c>
      <c r="G9" s="114">
        <f ca="1">TODAY()</f>
        <v>45861</v>
      </c>
      <c r="H9" s="115"/>
      <c r="I9" s="115"/>
      <c r="J9" s="115"/>
      <c r="K9" s="115"/>
      <c r="L9" s="115"/>
      <c r="M9" s="115"/>
      <c r="N9" s="115"/>
      <c r="O9" s="115"/>
      <c r="P9" s="116"/>
      <c r="Q9" s="116"/>
      <c r="R9" s="116"/>
      <c r="S9" s="116"/>
      <c r="T9" s="116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8"/>
      <c r="AF9" s="58"/>
      <c r="AG9" s="59"/>
      <c r="AH9" s="60"/>
      <c r="AI9" s="60"/>
      <c r="AJ9" s="60"/>
      <c r="AK9" s="61"/>
      <c r="AL9" s="62"/>
      <c r="AU9" s="102"/>
    </row>
    <row r="10" spans="1:183" s="101" customFormat="1" ht="6.75" customHeight="1" thickBot="1" x14ac:dyDescent="0.35">
      <c r="A10" s="91"/>
      <c r="B10" s="657"/>
      <c r="C10" s="661"/>
      <c r="D10" s="662"/>
      <c r="E10" s="663"/>
      <c r="F10" s="4"/>
      <c r="G10" s="5"/>
      <c r="H10" s="6"/>
      <c r="I10" s="6"/>
      <c r="J10" s="6"/>
      <c r="K10" s="6"/>
      <c r="L10" s="6"/>
      <c r="M10" s="6"/>
      <c r="N10" s="6"/>
      <c r="O10" s="6"/>
      <c r="P10" s="664"/>
      <c r="Q10" s="664"/>
      <c r="R10" s="664"/>
      <c r="S10" s="664"/>
      <c r="T10" s="664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20"/>
      <c r="AF10" s="58"/>
      <c r="AG10" s="59"/>
      <c r="AH10" s="60"/>
      <c r="AI10" s="60"/>
      <c r="AJ10" s="60"/>
      <c r="AK10" s="61"/>
      <c r="AL10" s="62"/>
      <c r="AU10" s="102"/>
    </row>
    <row r="11" spans="1:183" s="101" customFormat="1" ht="20.100000000000001" customHeight="1" thickTop="1" x14ac:dyDescent="0.3">
      <c r="A11" s="91"/>
      <c r="B11" s="121"/>
      <c r="C11" s="122"/>
      <c r="D11" s="123"/>
      <c r="E11" s="124"/>
      <c r="F11" s="121"/>
      <c r="G11" s="125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7"/>
      <c r="AF11" s="58"/>
      <c r="AG11" s="59"/>
      <c r="AH11" s="60"/>
      <c r="AI11" s="60"/>
      <c r="AJ11" s="60"/>
      <c r="AK11" s="61"/>
      <c r="AL11" s="62"/>
      <c r="AU11" s="102"/>
      <c r="AW11" s="128"/>
    </row>
    <row r="12" spans="1:183" s="101" customFormat="1" ht="15.75" customHeight="1" x14ac:dyDescent="0.3">
      <c r="A12" s="129" t="s">
        <v>86</v>
      </c>
      <c r="B12" s="130" t="s">
        <v>87</v>
      </c>
      <c r="C12" s="130" t="s">
        <v>88</v>
      </c>
      <c r="D12" s="130" t="s">
        <v>89</v>
      </c>
      <c r="E12" s="130" t="s">
        <v>90</v>
      </c>
      <c r="F12" s="131" t="s">
        <v>91</v>
      </c>
      <c r="G12" s="132" t="str">
        <f>IF(N2&gt;1,"VR.  / " &amp;N1,"VR.TOTAL")</f>
        <v>VR.TOTAL</v>
      </c>
      <c r="H12" s="133" t="s">
        <v>92</v>
      </c>
      <c r="I12" s="133" t="s">
        <v>93</v>
      </c>
      <c r="J12" s="133"/>
      <c r="K12" s="133" t="s">
        <v>94</v>
      </c>
      <c r="L12" s="134" t="s">
        <v>95</v>
      </c>
      <c r="M12" s="134" t="s">
        <v>96</v>
      </c>
      <c r="N12" s="135" t="str">
        <f>"Vr.  " &amp; N2 &amp; " " &amp;N1&amp; "S"</f>
        <v>Vr.  1 CASAS</v>
      </c>
      <c r="O12" s="126"/>
      <c r="P12" s="136" t="s">
        <v>74</v>
      </c>
      <c r="Q12" s="136" t="s">
        <v>75</v>
      </c>
      <c r="R12" s="136" t="s">
        <v>76</v>
      </c>
      <c r="S12" s="136" t="s">
        <v>77</v>
      </c>
      <c r="T12" s="137" t="s">
        <v>78</v>
      </c>
      <c r="U12" s="126"/>
      <c r="V12" s="126">
        <v>1</v>
      </c>
      <c r="W12" s="126"/>
      <c r="X12" s="126"/>
      <c r="Y12" s="126"/>
      <c r="Z12" s="126"/>
      <c r="AA12" s="126"/>
      <c r="AB12" s="126"/>
      <c r="AC12" s="126"/>
      <c r="AD12" s="126"/>
      <c r="AE12" s="127"/>
      <c r="AF12" s="58"/>
      <c r="AG12" s="59"/>
      <c r="AH12" s="60"/>
      <c r="AI12" s="60"/>
      <c r="AJ12" s="60"/>
      <c r="AK12" s="61"/>
      <c r="AL12" s="62"/>
      <c r="AO12" s="138" t="s">
        <v>79</v>
      </c>
      <c r="AP12" s="138" t="e">
        <f>[1]ACTAS!L12</f>
        <v>#REF!</v>
      </c>
      <c r="AQ12" s="138" t="s">
        <v>81</v>
      </c>
      <c r="AR12" s="139" t="s">
        <v>82</v>
      </c>
      <c r="AS12" s="139" t="s">
        <v>83</v>
      </c>
      <c r="AU12" s="102"/>
      <c r="AW12" s="128"/>
    </row>
    <row r="13" spans="1:183" ht="22.9" customHeight="1" thickBot="1" x14ac:dyDescent="0.35">
      <c r="A13" s="91"/>
      <c r="B13" s="140"/>
      <c r="C13" s="141"/>
      <c r="D13" s="142"/>
      <c r="E13" s="143"/>
      <c r="F13" s="144"/>
      <c r="G13" s="145"/>
      <c r="L13" s="146"/>
      <c r="M13" s="146"/>
      <c r="V13" s="39"/>
      <c r="AF13" s="58"/>
      <c r="AG13" s="59"/>
      <c r="AH13" s="60"/>
      <c r="AI13" s="60"/>
      <c r="AJ13" s="60"/>
      <c r="AK13" s="61"/>
      <c r="AL13" s="62"/>
      <c r="AR13" s="147"/>
      <c r="AS13" s="147"/>
      <c r="AU13" s="68"/>
    </row>
    <row r="14" spans="1:183" x14ac:dyDescent="0.3">
      <c r="A14" s="148" t="s">
        <v>97</v>
      </c>
      <c r="B14" s="149">
        <v>1</v>
      </c>
      <c r="C14" s="150" t="s">
        <v>248</v>
      </c>
      <c r="D14" s="151"/>
      <c r="E14" s="151"/>
      <c r="F14" s="152"/>
      <c r="G14" s="153"/>
      <c r="H14" s="154"/>
      <c r="I14" s="155"/>
      <c r="J14" s="155"/>
      <c r="K14" s="155"/>
      <c r="L14" s="156"/>
      <c r="M14" s="156"/>
      <c r="N14" s="157">
        <f>SUM(N15:N21)</f>
        <v>24098071.639097743</v>
      </c>
      <c r="O14" s="56"/>
      <c r="P14" s="158"/>
      <c r="Q14" s="159"/>
      <c r="R14" s="159"/>
      <c r="S14" s="160"/>
      <c r="T14" s="161"/>
      <c r="U14" s="56">
        <f>IF(G14&lt;&gt;"",N14-G14*$N$2,0)</f>
        <v>0</v>
      </c>
      <c r="V14" s="162" t="s">
        <v>98</v>
      </c>
      <c r="AF14" s="58"/>
      <c r="AG14" s="59" t="str">
        <f>"CAP. " &amp; $B$14 &amp; ": " &amp; $C$14</f>
        <v>CAP. 1: OBRAS</v>
      </c>
      <c r="AH14" s="60">
        <f>ROW($B$14)</f>
        <v>14</v>
      </c>
      <c r="AI14" s="60"/>
      <c r="AJ14" s="60"/>
      <c r="AK14" s="61"/>
      <c r="AL14" s="62"/>
      <c r="AO14" s="163"/>
      <c r="AP14" s="164"/>
      <c r="AQ14" s="164"/>
      <c r="AR14" s="165"/>
      <c r="AS14" s="153">
        <f>SUM(AS15:AS21)</f>
        <v>24098071</v>
      </c>
      <c r="AU14" s="68"/>
    </row>
    <row r="15" spans="1:183" ht="15" hidden="1" customHeight="1" x14ac:dyDescent="0.3">
      <c r="A15" s="166" t="s">
        <v>99</v>
      </c>
      <c r="B15" s="492"/>
      <c r="C15" s="493"/>
      <c r="D15" s="494"/>
      <c r="E15" s="501"/>
      <c r="F15" s="502"/>
      <c r="G15" s="503"/>
      <c r="H15" s="169"/>
      <c r="I15" s="170"/>
      <c r="J15" s="171"/>
      <c r="K15" s="171"/>
      <c r="L15" s="172"/>
      <c r="M15" s="173"/>
      <c r="N15" s="174"/>
      <c r="O15" s="51"/>
      <c r="P15" s="52"/>
      <c r="Q15" s="53"/>
      <c r="R15" s="53"/>
      <c r="S15" s="54"/>
      <c r="T15" s="55"/>
      <c r="U15" s="56"/>
      <c r="V15" s="39"/>
      <c r="AF15" s="58"/>
      <c r="AG15" s="59" t="str">
        <f>"CAP. " &amp; $B$14 &amp; ": " &amp; $C$14</f>
        <v>CAP. 1: OBRAS</v>
      </c>
      <c r="AH15" s="60">
        <f>ROW($B$14)</f>
        <v>14</v>
      </c>
      <c r="AI15" s="60"/>
      <c r="AJ15" s="60"/>
      <c r="AK15" s="61"/>
      <c r="AL15" s="62"/>
      <c r="AO15" s="63"/>
      <c r="AP15" s="64"/>
      <c r="AQ15" s="65"/>
      <c r="AR15" s="66"/>
      <c r="AS15" s="67"/>
      <c r="AU15" s="68"/>
    </row>
    <row r="16" spans="1:183" ht="15" customHeight="1" x14ac:dyDescent="0.3">
      <c r="A16" s="175" t="s">
        <v>100</v>
      </c>
      <c r="B16" s="499">
        <v>1.1000000000000001</v>
      </c>
      <c r="C16" s="496" t="s">
        <v>101</v>
      </c>
      <c r="D16" s="500" t="s">
        <v>102</v>
      </c>
      <c r="E16" s="504">
        <f>6*6+8</f>
        <v>44</v>
      </c>
      <c r="F16" s="505">
        <f>+ANALISIS!H31</f>
        <v>1631</v>
      </c>
      <c r="G16" s="505">
        <f>+F16*E16</f>
        <v>71764</v>
      </c>
      <c r="H16" s="169" t="e">
        <f>ANALISIS!#REF!</f>
        <v>#REF!</v>
      </c>
      <c r="I16" s="170" t="e">
        <f>ANALISIS!#REF!</f>
        <v>#REF!</v>
      </c>
      <c r="J16" s="171">
        <v>1</v>
      </c>
      <c r="K16" s="171"/>
      <c r="L16" s="172" t="e">
        <f t="shared" ref="L16" si="0">ROUND(I16 * E16,$J$2)</f>
        <v>#REF!</v>
      </c>
      <c r="M16" s="173" t="e">
        <f t="shared" ref="M16" si="1">ROUND(H16 * E16,$J$2)</f>
        <v>#REF!</v>
      </c>
      <c r="N16" s="180">
        <f t="shared" ref="N16" si="2">G16*$N$2</f>
        <v>71764</v>
      </c>
      <c r="O16" s="51"/>
      <c r="P16" s="52" t="e">
        <f>ROUND(ANALISIS!#REF!*E16,0)</f>
        <v>#REF!</v>
      </c>
      <c r="Q16" s="53" t="e">
        <f>ROUND(ANALISIS!#REF!*E16,0)</f>
        <v>#REF!</v>
      </c>
      <c r="R16" s="53" t="e">
        <f>ROUND(ANALISIS!#REF!*E16,0)</f>
        <v>#REF!</v>
      </c>
      <c r="S16" s="54" t="e">
        <f>ROUND(ANALISIS!#REF!*E16,0)</f>
        <v>#REF!</v>
      </c>
      <c r="T16" s="55" t="e">
        <f t="shared" ref="T16" si="3">P16+Q16+R16+S16</f>
        <v>#REF!</v>
      </c>
      <c r="U16" s="56"/>
      <c r="V16" s="39"/>
      <c r="AF16" s="58"/>
      <c r="AG16" s="59" t="str">
        <f t="shared" ref="AG16:AG20" si="4">"CAP. " &amp; $B$14 &amp; ": " &amp; $C$14</f>
        <v>CAP. 1: OBRAS</v>
      </c>
      <c r="AH16" s="60">
        <f t="shared" ref="AH16:AH20" si="5">ROW($B$14)</f>
        <v>14</v>
      </c>
      <c r="AI16" s="60"/>
      <c r="AJ16" s="60"/>
      <c r="AK16" s="61"/>
      <c r="AL16" s="62"/>
      <c r="AO16" s="63">
        <f t="shared" ref="AO16" si="6">E16</f>
        <v>44</v>
      </c>
      <c r="AP16" s="64"/>
      <c r="AQ16" s="65">
        <f t="shared" ref="AQ16" si="7">AO16+AP16</f>
        <v>44</v>
      </c>
      <c r="AR16" s="66">
        <f t="shared" ref="AR16" si="8">F16</f>
        <v>1631</v>
      </c>
      <c r="AS16" s="67">
        <f t="shared" ref="AS16" si="9">ROUND(AQ16 * AR16,$J$2)</f>
        <v>71764</v>
      </c>
      <c r="AU16" s="68"/>
    </row>
    <row r="17" spans="1:47" ht="25.5" x14ac:dyDescent="0.3">
      <c r="A17" s="181" t="s">
        <v>103</v>
      </c>
      <c r="B17" s="495">
        <v>1.2</v>
      </c>
      <c r="C17" s="496" t="s">
        <v>218</v>
      </c>
      <c r="D17" s="497" t="s">
        <v>225</v>
      </c>
      <c r="E17" s="506">
        <f>370+6*8+6*9</f>
        <v>472</v>
      </c>
      <c r="F17" s="498">
        <f>+ANALISIS!H51</f>
        <v>8767.59</v>
      </c>
      <c r="G17" s="505">
        <f t="shared" ref="G17:G20" si="10">+F17*E17</f>
        <v>4138302.48</v>
      </c>
      <c r="H17" s="46" t="e">
        <f>ANALISIS!#REF!</f>
        <v>#REF!</v>
      </c>
      <c r="I17" s="47" t="e">
        <f>ANALISIS!#REF!</f>
        <v>#REF!</v>
      </c>
      <c r="J17" s="47">
        <v>1</v>
      </c>
      <c r="K17" s="47" t="e">
        <f>ROUNDUP((ANALISIS!#REF!/8)/$J$17,0)</f>
        <v>#REF!</v>
      </c>
      <c r="L17" s="48" t="e">
        <f>ROUND(I17 * E17,$J$2)</f>
        <v>#REF!</v>
      </c>
      <c r="M17" s="49" t="e">
        <f>ROUND(H17 * E17,$J$2)</f>
        <v>#REF!</v>
      </c>
      <c r="N17" s="50">
        <f>G17*$N$2</f>
        <v>4138302.48</v>
      </c>
      <c r="O17" s="51"/>
      <c r="P17" s="52" t="e">
        <f>ROUND(ANALISIS!#REF!*E17,0)</f>
        <v>#REF!</v>
      </c>
      <c r="Q17" s="53" t="e">
        <f>ROUND(ANALISIS!#REF!*E17,0)</f>
        <v>#REF!</v>
      </c>
      <c r="R17" s="53" t="e">
        <f>ROUND(ANALISIS!#REF!*E17,0)</f>
        <v>#REF!</v>
      </c>
      <c r="S17" s="54"/>
      <c r="T17" s="55" t="e">
        <f>P17+Q17+R17+S17</f>
        <v>#REF!</v>
      </c>
      <c r="U17" s="56"/>
      <c r="V17" s="39"/>
      <c r="AF17" s="58"/>
      <c r="AG17" s="59" t="str">
        <f t="shared" si="4"/>
        <v>CAP. 1: OBRAS</v>
      </c>
      <c r="AH17" s="60">
        <f t="shared" si="5"/>
        <v>14</v>
      </c>
      <c r="AI17" s="60"/>
      <c r="AJ17" s="60"/>
      <c r="AK17" s="61"/>
      <c r="AL17" s="62"/>
      <c r="AO17" s="63">
        <f>E17</f>
        <v>472</v>
      </c>
      <c r="AP17" s="64"/>
      <c r="AQ17" s="65">
        <f>AO17+AP17</f>
        <v>472</v>
      </c>
      <c r="AR17" s="66">
        <f>F17</f>
        <v>8767.59</v>
      </c>
      <c r="AS17" s="67">
        <f>ROUND(AQ17 * AR17,$J$2)</f>
        <v>4138302</v>
      </c>
      <c r="AU17" s="68"/>
    </row>
    <row r="18" spans="1:47" ht="35.25" customHeight="1" x14ac:dyDescent="0.3">
      <c r="A18" s="181" t="s">
        <v>105</v>
      </c>
      <c r="B18" s="495">
        <v>1.3</v>
      </c>
      <c r="C18" s="496" t="str">
        <f>+ANALISIS!C61</f>
        <v>SUMINISTRO E INSTALACION DE TEJA ZINC TRAPEZOIDAL</v>
      </c>
      <c r="D18" s="497" t="s">
        <v>225</v>
      </c>
      <c r="E18" s="506">
        <f>+E17</f>
        <v>472</v>
      </c>
      <c r="F18" s="498">
        <f>+ANALISIS!H80</f>
        <v>40840.104666666666</v>
      </c>
      <c r="G18" s="505">
        <f t="shared" si="10"/>
        <v>19276529.402666666</v>
      </c>
      <c r="H18" s="46" t="e">
        <f>ANALISIS!#REF!</f>
        <v>#REF!</v>
      </c>
      <c r="I18" s="47" t="e">
        <f>ANALISIS!#REF!</f>
        <v>#REF!</v>
      </c>
      <c r="J18" s="47">
        <v>1</v>
      </c>
      <c r="K18" s="47" t="e">
        <f>ROUNDUP((ANALISIS!#REF!/8)/$J$18,0)</f>
        <v>#REF!</v>
      </c>
      <c r="L18" s="48" t="e">
        <f>ROUND(I18 * E18,$J$2)</f>
        <v>#REF!</v>
      </c>
      <c r="M18" s="49" t="e">
        <f>ROUND(H18 * E18,$J$2)</f>
        <v>#REF!</v>
      </c>
      <c r="N18" s="50">
        <f>G18*$N$2</f>
        <v>19276529.402666666</v>
      </c>
      <c r="O18" s="51"/>
      <c r="P18" s="52" t="e">
        <f>ROUND(ANALISIS!#REF!*E18,0)</f>
        <v>#REF!</v>
      </c>
      <c r="Q18" s="53" t="e">
        <f>ROUND(ANALISIS!#REF!*E18,0)</f>
        <v>#REF!</v>
      </c>
      <c r="R18" s="53" t="e">
        <f>ROUND(ANALISIS!#REF!*E18,0)</f>
        <v>#REF!</v>
      </c>
      <c r="S18" s="54"/>
      <c r="T18" s="55" t="e">
        <f>P18+Q18+R18+S18</f>
        <v>#REF!</v>
      </c>
      <c r="U18" s="56"/>
      <c r="V18" s="39"/>
      <c r="AF18" s="58"/>
      <c r="AG18" s="59" t="str">
        <f t="shared" si="4"/>
        <v>CAP. 1: OBRAS</v>
      </c>
      <c r="AH18" s="60">
        <f t="shared" si="5"/>
        <v>14</v>
      </c>
      <c r="AI18" s="60"/>
      <c r="AJ18" s="60"/>
      <c r="AK18" s="61"/>
      <c r="AL18" s="62"/>
      <c r="AO18" s="63">
        <f>E18</f>
        <v>472</v>
      </c>
      <c r="AP18" s="64"/>
      <c r="AQ18" s="65">
        <f>AO18+AP18</f>
        <v>472</v>
      </c>
      <c r="AR18" s="66">
        <f>F18</f>
        <v>40840.104666666666</v>
      </c>
      <c r="AS18" s="67">
        <f>ROUND(AQ18 * AR18,$J$2)</f>
        <v>19276529</v>
      </c>
      <c r="AU18" s="68"/>
    </row>
    <row r="19" spans="1:47" ht="51" customHeight="1" x14ac:dyDescent="0.3">
      <c r="A19" s="181"/>
      <c r="B19" s="499">
        <v>1.4</v>
      </c>
      <c r="C19" s="496" t="s">
        <v>245</v>
      </c>
      <c r="D19" s="497" t="s">
        <v>102</v>
      </c>
      <c r="E19" s="506">
        <f>36+12</f>
        <v>48</v>
      </c>
      <c r="F19" s="498">
        <f>+ANALISIS!H102</f>
        <v>26858</v>
      </c>
      <c r="G19" s="505">
        <f t="shared" si="10"/>
        <v>1289184</v>
      </c>
      <c r="H19" s="46"/>
      <c r="I19" s="47"/>
      <c r="J19" s="47"/>
      <c r="K19" s="47"/>
      <c r="L19" s="48"/>
      <c r="M19" s="49"/>
      <c r="N19" s="50"/>
      <c r="O19" s="51"/>
      <c r="P19" s="52"/>
      <c r="Q19" s="53"/>
      <c r="R19" s="53"/>
      <c r="S19" s="54"/>
      <c r="T19" s="55"/>
      <c r="U19" s="56"/>
      <c r="V19" s="39"/>
      <c r="AF19" s="58"/>
      <c r="AG19" s="59"/>
      <c r="AH19" s="60"/>
      <c r="AI19" s="60"/>
      <c r="AJ19" s="60"/>
      <c r="AK19" s="61"/>
      <c r="AL19" s="62"/>
      <c r="AO19" s="63"/>
      <c r="AP19" s="64"/>
      <c r="AQ19" s="65"/>
      <c r="AR19" s="66"/>
      <c r="AS19" s="67"/>
      <c r="AU19" s="68"/>
    </row>
    <row r="20" spans="1:47" x14ac:dyDescent="0.3">
      <c r="A20" s="181" t="s">
        <v>106</v>
      </c>
      <c r="B20" s="495">
        <v>1.5</v>
      </c>
      <c r="C20" s="496" t="s">
        <v>230</v>
      </c>
      <c r="D20" s="497" t="s">
        <v>225</v>
      </c>
      <c r="E20" s="506">
        <f>+E18</f>
        <v>472</v>
      </c>
      <c r="F20" s="498">
        <v>1295.4994839641429</v>
      </c>
      <c r="G20" s="505">
        <f t="shared" si="10"/>
        <v>611475.7564310754</v>
      </c>
      <c r="H20" s="46" t="e">
        <f>ANALISIS!#REF!</f>
        <v>#REF!</v>
      </c>
      <c r="I20" s="47" t="e">
        <f>ANALISIS!#REF!</f>
        <v>#REF!</v>
      </c>
      <c r="J20" s="47">
        <v>1</v>
      </c>
      <c r="K20" s="47" t="e">
        <f>ROUNDUP((ANALISIS!#REF!/8)/$J$20,0)</f>
        <v>#REF!</v>
      </c>
      <c r="L20" s="48" t="e">
        <f>ROUND(I20 * E20,$J$2)</f>
        <v>#REF!</v>
      </c>
      <c r="M20" s="49" t="e">
        <f>ROUND(H20 * E20,$J$2)</f>
        <v>#REF!</v>
      </c>
      <c r="N20" s="50">
        <f>G20*$N$2</f>
        <v>611475.7564310754</v>
      </c>
      <c r="O20" s="51"/>
      <c r="P20" s="52" t="e">
        <f>ROUND(ANALISIS!#REF!*E20,0)</f>
        <v>#REF!</v>
      </c>
      <c r="Q20" s="53" t="e">
        <f>ROUND(ANALISIS!#REF!*E20,0)</f>
        <v>#REF!</v>
      </c>
      <c r="R20" s="53" t="e">
        <f>ROUND(ANALISIS!#REF!*E20,0)</f>
        <v>#REF!</v>
      </c>
      <c r="S20" s="54" t="e">
        <f>ROUND(ANALISIS!#REF!*E20,0)</f>
        <v>#REF!</v>
      </c>
      <c r="T20" s="55" t="e">
        <f>P20+Q20+R20+S20</f>
        <v>#REF!</v>
      </c>
      <c r="U20" s="56"/>
      <c r="V20" s="39"/>
      <c r="AF20" s="58"/>
      <c r="AG20" s="59" t="str">
        <f t="shared" si="4"/>
        <v>CAP. 1: OBRAS</v>
      </c>
      <c r="AH20" s="60">
        <f t="shared" si="5"/>
        <v>14</v>
      </c>
      <c r="AI20" s="60"/>
      <c r="AJ20" s="60"/>
      <c r="AK20" s="61"/>
      <c r="AL20" s="62"/>
      <c r="AO20" s="63">
        <f>E20</f>
        <v>472</v>
      </c>
      <c r="AP20" s="64"/>
      <c r="AQ20" s="65">
        <f>AO20+AP20</f>
        <v>472</v>
      </c>
      <c r="AR20" s="66">
        <f>F20</f>
        <v>1295.4994839641429</v>
      </c>
      <c r="AS20" s="67">
        <f>ROUND(AQ20 * AR20,$J$2)</f>
        <v>611476</v>
      </c>
      <c r="AU20" s="68"/>
    </row>
    <row r="21" spans="1:47" ht="39.75" customHeight="1" x14ac:dyDescent="0.3">
      <c r="A21" s="182"/>
      <c r="B21" s="176"/>
      <c r="C21" s="2"/>
      <c r="D21" s="177"/>
      <c r="E21" s="178"/>
      <c r="F21" s="179"/>
      <c r="G21" s="498"/>
      <c r="H21" s="169"/>
      <c r="I21" s="170"/>
      <c r="J21" s="171"/>
      <c r="K21" s="171"/>
      <c r="L21" s="172"/>
      <c r="M21" s="173"/>
      <c r="N21" s="180"/>
      <c r="O21" s="51"/>
      <c r="P21" s="52"/>
      <c r="Q21" s="53"/>
      <c r="R21" s="53"/>
      <c r="S21" s="54"/>
      <c r="T21" s="55"/>
      <c r="U21" s="56"/>
      <c r="V21" s="39"/>
      <c r="AF21" s="58"/>
      <c r="AG21" s="59"/>
      <c r="AH21" s="60"/>
      <c r="AI21" s="60"/>
      <c r="AJ21" s="60"/>
      <c r="AK21" s="61"/>
      <c r="AL21" s="62"/>
      <c r="AO21" s="63"/>
      <c r="AP21" s="64"/>
      <c r="AQ21" s="65"/>
      <c r="AR21" s="66"/>
      <c r="AS21" s="67"/>
      <c r="AU21" s="68"/>
    </row>
    <row r="22" spans="1:47" s="242" customFormat="1" ht="17.25" thickBot="1" x14ac:dyDescent="0.3">
      <c r="A22" s="221" t="s">
        <v>108</v>
      </c>
      <c r="B22" s="222"/>
      <c r="C22" s="223"/>
      <c r="D22" s="224"/>
      <c r="E22" s="224"/>
      <c r="F22" s="225" t="str">
        <f>IF($A$2="CD","VALOR COSTOS DIRECTOS",IF($A$2="CT","VALOR TOTAL " &amp; E7,"Correg CT"))</f>
        <v>VALOR COSTOS DIRECTOS</v>
      </c>
      <c r="G22" s="226">
        <f>SUM(G16:G21)</f>
        <v>25387255.639097743</v>
      </c>
      <c r="H22" s="227"/>
      <c r="I22" s="228"/>
      <c r="J22" s="228"/>
      <c r="K22" s="228"/>
      <c r="L22" s="229" t="e">
        <f>SUM(L12:L21)</f>
        <v>#REF!</v>
      </c>
      <c r="M22" s="230" t="e">
        <f>SUM(M12:M21)</f>
        <v>#REF!</v>
      </c>
      <c r="N22" s="231">
        <f>+G22*$N$2</f>
        <v>25387255.639097743</v>
      </c>
      <c r="O22" s="232"/>
      <c r="P22" s="233" t="e">
        <f>SUM(P12:P21)/2</f>
        <v>#REF!</v>
      </c>
      <c r="Q22" s="234" t="e">
        <f>SUM(Q12:Q21)/2</f>
        <v>#REF!</v>
      </c>
      <c r="R22" s="234" t="e">
        <f>SUM(R12:R21)/2</f>
        <v>#REF!</v>
      </c>
      <c r="S22" s="234" t="e">
        <f>SUM(S12:S21)/2</f>
        <v>#REF!</v>
      </c>
      <c r="T22" s="234" t="e">
        <f>SUM(T12:T21)/2</f>
        <v>#REF!</v>
      </c>
      <c r="U22" s="235"/>
      <c r="V22" s="235"/>
      <c r="W22" s="235"/>
      <c r="X22" s="235"/>
      <c r="Y22" s="235"/>
      <c r="Z22" s="235"/>
      <c r="AA22" s="235"/>
      <c r="AB22" s="235"/>
      <c r="AC22" s="235"/>
      <c r="AD22" s="235"/>
      <c r="AE22" s="236"/>
      <c r="AF22" s="237"/>
      <c r="AG22" s="238"/>
      <c r="AH22" s="239"/>
      <c r="AI22" s="239"/>
      <c r="AJ22" s="239"/>
      <c r="AK22" s="240"/>
      <c r="AL22" s="241"/>
      <c r="AO22" s="243"/>
      <c r="AP22" s="244"/>
      <c r="AQ22" s="244"/>
      <c r="AR22" s="245" t="str">
        <f>F22</f>
        <v>VALOR COSTOS DIRECTOS</v>
      </c>
      <c r="AS22" s="246">
        <f>SUM(AS12:AS21)/3</f>
        <v>16065380.666666666</v>
      </c>
      <c r="AU22" s="247"/>
    </row>
    <row r="23" spans="1:47" s="101" customFormat="1" x14ac:dyDescent="0.3">
      <c r="A23" s="91"/>
      <c r="B23" s="248"/>
      <c r="C23" s="249"/>
      <c r="D23" s="250"/>
      <c r="E23" s="143"/>
      <c r="F23" s="248"/>
      <c r="G23" s="251"/>
      <c r="H23" s="126"/>
      <c r="I23" s="126"/>
      <c r="J23" s="126"/>
      <c r="K23" s="126"/>
      <c r="L23" s="251"/>
      <c r="M23" s="252"/>
      <c r="N23" s="56" t="e">
        <f>IF($A$2="CD",M22-N22,IF($A$2="CT",L22-N22,""))</f>
        <v>#REF!</v>
      </c>
      <c r="O23" s="126"/>
      <c r="P23" s="126"/>
      <c r="Q23" s="126"/>
      <c r="R23" s="126"/>
      <c r="S23" s="126"/>
      <c r="T23" s="126"/>
      <c r="U23" s="253"/>
      <c r="V23" s="253"/>
      <c r="W23" s="253"/>
      <c r="X23" s="253"/>
      <c r="Y23" s="253"/>
      <c r="Z23" s="253"/>
      <c r="AA23" s="253"/>
      <c r="AB23" s="253"/>
      <c r="AC23" s="253"/>
      <c r="AD23" s="253"/>
      <c r="AE23" s="254"/>
      <c r="AF23" s="58"/>
      <c r="AG23" s="59"/>
      <c r="AH23" s="60"/>
      <c r="AI23" s="60"/>
      <c r="AJ23" s="60"/>
      <c r="AK23" s="61"/>
      <c r="AL23" s="62"/>
      <c r="AS23" s="255"/>
      <c r="AU23" s="102"/>
    </row>
    <row r="24" spans="1:47" s="242" customFormat="1" ht="17.25" hidden="1" thickBot="1" x14ac:dyDescent="0.3">
      <c r="A24" s="221" t="s">
        <v>109</v>
      </c>
      <c r="B24" s="222"/>
      <c r="C24" s="256"/>
      <c r="D24" s="257"/>
      <c r="E24" s="257"/>
      <c r="F24" s="258" t="s">
        <v>110</v>
      </c>
      <c r="G24" s="259"/>
      <c r="H24" s="227"/>
      <c r="I24" s="228"/>
      <c r="J24" s="228"/>
      <c r="K24" s="228"/>
      <c r="L24" s="229"/>
      <c r="M24" s="230"/>
      <c r="N24" s="231">
        <f>+G24*$N$2</f>
        <v>0</v>
      </c>
      <c r="O24" s="232"/>
      <c r="P24" s="260" t="e">
        <f>SUM(P14:P22)/2</f>
        <v>#REF!</v>
      </c>
      <c r="Q24" s="261"/>
      <c r="R24" s="261"/>
      <c r="S24" s="261"/>
      <c r="T24" s="261"/>
      <c r="U24" s="235"/>
      <c r="V24" s="235"/>
      <c r="W24" s="235"/>
      <c r="X24" s="235"/>
      <c r="Y24" s="235"/>
      <c r="Z24" s="235"/>
      <c r="AA24" s="235"/>
      <c r="AB24" s="235"/>
      <c r="AC24" s="235"/>
      <c r="AD24" s="235"/>
      <c r="AE24" s="236"/>
      <c r="AF24" s="237"/>
      <c r="AG24" s="238"/>
      <c r="AH24" s="239"/>
      <c r="AI24" s="239"/>
      <c r="AJ24" s="239"/>
      <c r="AK24" s="240"/>
      <c r="AL24" s="241"/>
      <c r="AO24" s="256"/>
      <c r="AP24" s="257"/>
      <c r="AQ24" s="257"/>
      <c r="AR24" s="258" t="s">
        <v>110</v>
      </c>
      <c r="AS24" s="259"/>
      <c r="AU24" s="247"/>
    </row>
    <row r="25" spans="1:47" s="101" customFormat="1" hidden="1" x14ac:dyDescent="0.3">
      <c r="A25" s="91"/>
      <c r="B25" s="248"/>
      <c r="C25" s="249"/>
      <c r="D25" s="250"/>
      <c r="E25" s="143"/>
      <c r="F25" s="248"/>
      <c r="G25" s="251"/>
      <c r="H25" s="126"/>
      <c r="I25" s="126"/>
      <c r="J25" s="126"/>
      <c r="K25" s="126"/>
      <c r="L25" s="251"/>
      <c r="M25" s="252"/>
      <c r="N25" s="56">
        <f>IF($A$2="CD",M24-N24,IF($A$2="CT",L24-N24,""))</f>
        <v>0</v>
      </c>
      <c r="O25" s="126"/>
      <c r="P25" s="126"/>
      <c r="Q25" s="126"/>
      <c r="R25" s="126"/>
      <c r="S25" s="126"/>
      <c r="T25" s="126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4"/>
      <c r="AF25" s="58"/>
      <c r="AG25" s="59"/>
      <c r="AH25" s="60"/>
      <c r="AI25" s="60"/>
      <c r="AJ25" s="60"/>
      <c r="AK25" s="61"/>
      <c r="AL25" s="62"/>
      <c r="AS25" s="255"/>
      <c r="AU25" s="102"/>
    </row>
    <row r="26" spans="1:47" s="242" customFormat="1" ht="17.25" hidden="1" thickBot="1" x14ac:dyDescent="0.3">
      <c r="A26" s="221" t="s">
        <v>111</v>
      </c>
      <c r="B26" s="222"/>
      <c r="C26" s="262"/>
      <c r="D26" s="263"/>
      <c r="E26" s="263"/>
      <c r="F26" s="264" t="s">
        <v>112</v>
      </c>
      <c r="G26" s="265"/>
      <c r="H26" s="227"/>
      <c r="I26" s="228"/>
      <c r="J26" s="228"/>
      <c r="K26" s="228"/>
      <c r="L26" s="229"/>
      <c r="M26" s="230"/>
      <c r="N26" s="231">
        <f>+G26*$N$2</f>
        <v>0</v>
      </c>
      <c r="O26" s="232"/>
      <c r="P26" s="260" t="e">
        <f>SUM(P22:P24)/2</f>
        <v>#REF!</v>
      </c>
      <c r="Q26" s="261"/>
      <c r="R26" s="261"/>
      <c r="S26" s="261"/>
      <c r="T26" s="261"/>
      <c r="U26" s="235"/>
      <c r="V26" s="235"/>
      <c r="W26" s="235"/>
      <c r="X26" s="235"/>
      <c r="Y26" s="235"/>
      <c r="Z26" s="235"/>
      <c r="AA26" s="235"/>
      <c r="AB26" s="235"/>
      <c r="AC26" s="235"/>
      <c r="AD26" s="235"/>
      <c r="AE26" s="236"/>
      <c r="AF26" s="237"/>
      <c r="AG26" s="238"/>
      <c r="AH26" s="239"/>
      <c r="AI26" s="239"/>
      <c r="AJ26" s="239"/>
      <c r="AK26" s="240"/>
      <c r="AL26" s="241"/>
      <c r="AO26" s="262"/>
      <c r="AP26" s="263"/>
      <c r="AQ26" s="263"/>
      <c r="AR26" s="264" t="s">
        <v>112</v>
      </c>
      <c r="AS26" s="265"/>
      <c r="AU26" s="247"/>
    </row>
    <row r="27" spans="1:47" s="101" customFormat="1" ht="23.25" hidden="1" customHeight="1" x14ac:dyDescent="0.3">
      <c r="A27" s="91"/>
      <c r="B27" s="248"/>
      <c r="C27" s="249"/>
      <c r="D27" s="250"/>
      <c r="E27" s="143"/>
      <c r="F27" s="248"/>
      <c r="G27" s="266" t="str">
        <f>IF((G24+G26)&lt;&gt;SbtPpto,"NO COINCIDEN LOS SUBTOTALES","")</f>
        <v>NO COINCIDEN LOS SUBTOTALES</v>
      </c>
      <c r="H27" s="126"/>
      <c r="I27" s="126"/>
      <c r="J27" s="126"/>
      <c r="K27" s="126"/>
      <c r="L27" s="251"/>
      <c r="M27" s="252"/>
      <c r="N27" s="56">
        <f>IF($A$2="CD",M26-N26,IF($A$2="CT",L26-N26,""))</f>
        <v>0</v>
      </c>
      <c r="O27" s="126"/>
      <c r="P27" s="126"/>
      <c r="Q27" s="126"/>
      <c r="R27" s="126"/>
      <c r="S27" s="126"/>
      <c r="T27" s="126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4"/>
      <c r="AF27" s="58"/>
      <c r="AG27" s="59"/>
      <c r="AH27" s="60"/>
      <c r="AI27" s="60"/>
      <c r="AJ27" s="60"/>
      <c r="AK27" s="61"/>
      <c r="AL27" s="62"/>
      <c r="AS27" s="255"/>
      <c r="AU27" s="102"/>
    </row>
    <row r="28" spans="1:47" s="101" customFormat="1" hidden="1" x14ac:dyDescent="0.3">
      <c r="A28" s="267" t="s">
        <v>113</v>
      </c>
      <c r="B28" s="248"/>
      <c r="C28" s="268" t="s">
        <v>114</v>
      </c>
      <c r="D28" s="269"/>
      <c r="E28" s="270"/>
      <c r="F28" s="271"/>
      <c r="G28" s="272"/>
      <c r="H28" s="273"/>
      <c r="I28" s="274"/>
      <c r="J28" s="274"/>
      <c r="K28" s="274"/>
      <c r="L28" s="275"/>
      <c r="M28" s="276"/>
      <c r="N28" s="277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7"/>
      <c r="AF28" s="58"/>
      <c r="AG28" s="59"/>
      <c r="AH28" s="60"/>
      <c r="AI28" s="60"/>
      <c r="AJ28" s="60"/>
      <c r="AK28" s="61"/>
      <c r="AL28" s="62"/>
      <c r="AO28" s="665" t="s">
        <v>114</v>
      </c>
      <c r="AP28" s="666"/>
      <c r="AQ28" s="666"/>
      <c r="AR28" s="666"/>
      <c r="AS28" s="272"/>
      <c r="AU28" s="102"/>
    </row>
    <row r="29" spans="1:47" s="101" customFormat="1" hidden="1" x14ac:dyDescent="0.3">
      <c r="A29" s="278" t="s">
        <v>115</v>
      </c>
      <c r="B29" s="39"/>
      <c r="C29" s="279"/>
      <c r="D29" s="280"/>
      <c r="E29" s="280"/>
      <c r="F29" s="281" t="s">
        <v>110</v>
      </c>
      <c r="G29" s="282">
        <f>G24</f>
        <v>0</v>
      </c>
      <c r="H29" s="283"/>
      <c r="I29" s="284"/>
      <c r="J29" s="284"/>
      <c r="K29" s="284"/>
      <c r="L29" s="285"/>
      <c r="M29" s="286"/>
      <c r="N29" s="287">
        <f t="shared" ref="N29:N35" si="11">G29*$N$2</f>
        <v>0</v>
      </c>
      <c r="O29" s="284"/>
      <c r="P29" s="284"/>
      <c r="Q29" s="284"/>
      <c r="R29" s="284"/>
      <c r="S29" s="284"/>
      <c r="T29" s="284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288"/>
      <c r="AF29" s="58"/>
      <c r="AG29" s="59"/>
      <c r="AH29" s="60"/>
      <c r="AI29" s="60"/>
      <c r="AJ29" s="60"/>
      <c r="AK29" s="61"/>
      <c r="AL29" s="62"/>
      <c r="AO29" s="279"/>
      <c r="AP29" s="280"/>
      <c r="AQ29" s="280"/>
      <c r="AR29" s="281" t="s">
        <v>110</v>
      </c>
      <c r="AS29" s="282">
        <f>AS24</f>
        <v>0</v>
      </c>
      <c r="AU29" s="102"/>
    </row>
    <row r="30" spans="1:47" s="101" customFormat="1" hidden="1" x14ac:dyDescent="0.3">
      <c r="A30" s="278" t="s">
        <v>116</v>
      </c>
      <c r="B30" s="39"/>
      <c r="C30" s="289"/>
      <c r="D30" s="290"/>
      <c r="E30" s="291" t="s">
        <v>117</v>
      </c>
      <c r="F30" s="292">
        <v>0.22</v>
      </c>
      <c r="G30" s="293">
        <f>ROUND(G29*F30,0)</f>
        <v>0</v>
      </c>
      <c r="H30" s="294"/>
      <c r="I30" s="295"/>
      <c r="J30" s="295"/>
      <c r="K30" s="295"/>
      <c r="L30" s="296"/>
      <c r="M30" s="297"/>
      <c r="N30" s="298">
        <f t="shared" si="11"/>
        <v>0</v>
      </c>
      <c r="O30" s="295"/>
      <c r="P30" s="295"/>
      <c r="Q30" s="295"/>
      <c r="R30" s="295"/>
      <c r="S30" s="295"/>
      <c r="T30" s="295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288"/>
      <c r="AF30" s="58"/>
      <c r="AG30" s="59"/>
      <c r="AH30" s="60"/>
      <c r="AI30" s="60"/>
      <c r="AJ30" s="60"/>
      <c r="AK30" s="61"/>
      <c r="AL30" s="62"/>
      <c r="AO30" s="289"/>
      <c r="AP30" s="290"/>
      <c r="AQ30" s="291" t="s">
        <v>117</v>
      </c>
      <c r="AR30" s="292">
        <f>F30</f>
        <v>0.22</v>
      </c>
      <c r="AS30" s="293">
        <f>ROUND(AS29*AR30,0)</f>
        <v>0</v>
      </c>
      <c r="AU30" s="102"/>
    </row>
    <row r="31" spans="1:47" s="101" customFormat="1" hidden="1" x14ac:dyDescent="0.3">
      <c r="A31" s="278" t="s">
        <v>118</v>
      </c>
      <c r="B31" s="39"/>
      <c r="C31" s="299"/>
      <c r="D31" s="300"/>
      <c r="E31" s="301" t="s">
        <v>119</v>
      </c>
      <c r="F31" s="302">
        <v>0.03</v>
      </c>
      <c r="G31" s="303">
        <f>ROUND(G29*F31,0)</f>
        <v>0</v>
      </c>
      <c r="H31" s="294"/>
      <c r="I31" s="295"/>
      <c r="J31" s="295"/>
      <c r="K31" s="295"/>
      <c r="L31" s="296"/>
      <c r="M31" s="297"/>
      <c r="N31" s="304">
        <f t="shared" si="11"/>
        <v>0</v>
      </c>
      <c r="O31" s="295"/>
      <c r="P31" s="295"/>
      <c r="Q31" s="295"/>
      <c r="R31" s="295"/>
      <c r="S31" s="295"/>
      <c r="T31" s="295"/>
      <c r="U31" s="295"/>
      <c r="V31" s="295"/>
      <c r="W31" s="295"/>
      <c r="X31" s="295"/>
      <c r="Y31" s="295"/>
      <c r="Z31" s="295"/>
      <c r="AA31" s="295"/>
      <c r="AB31" s="295"/>
      <c r="AC31" s="295"/>
      <c r="AD31" s="295"/>
      <c r="AE31" s="305"/>
      <c r="AF31" s="58"/>
      <c r="AG31" s="59"/>
      <c r="AH31" s="60"/>
      <c r="AI31" s="60"/>
      <c r="AJ31" s="60"/>
      <c r="AK31" s="61"/>
      <c r="AL31" s="62"/>
      <c r="AO31" s="299"/>
      <c r="AP31" s="300"/>
      <c r="AQ31" s="301" t="s">
        <v>119</v>
      </c>
      <c r="AR31" s="292">
        <f>F31</f>
        <v>0.03</v>
      </c>
      <c r="AS31" s="303">
        <f>ROUND(AS29*AR31,0)</f>
        <v>0</v>
      </c>
      <c r="AU31" s="102"/>
    </row>
    <row r="32" spans="1:47" s="101" customFormat="1" hidden="1" x14ac:dyDescent="0.3">
      <c r="A32" s="278" t="s">
        <v>120</v>
      </c>
      <c r="B32" s="39"/>
      <c r="C32" s="299"/>
      <c r="D32" s="300"/>
      <c r="E32" s="301" t="s">
        <v>121</v>
      </c>
      <c r="F32" s="302">
        <v>0.05</v>
      </c>
      <c r="G32" s="303">
        <f>ROUND(G29*F32,0)</f>
        <v>0</v>
      </c>
      <c r="H32" s="294"/>
      <c r="I32" s="295"/>
      <c r="J32" s="295"/>
      <c r="K32" s="295"/>
      <c r="L32" s="296"/>
      <c r="M32" s="297"/>
      <c r="N32" s="304">
        <f t="shared" si="11"/>
        <v>0</v>
      </c>
      <c r="O32" s="295"/>
      <c r="P32" s="295"/>
      <c r="Q32" s="295"/>
      <c r="R32" s="295"/>
      <c r="S32" s="295"/>
      <c r="T32" s="295"/>
      <c r="U32" s="295"/>
      <c r="V32" s="295"/>
      <c r="W32" s="295"/>
      <c r="X32" s="295"/>
      <c r="Y32" s="295"/>
      <c r="Z32" s="295"/>
      <c r="AA32" s="295"/>
      <c r="AB32" s="295"/>
      <c r="AC32" s="295"/>
      <c r="AD32" s="295"/>
      <c r="AE32" s="305"/>
      <c r="AF32" s="58"/>
      <c r="AG32" s="59"/>
      <c r="AH32" s="60"/>
      <c r="AI32" s="60"/>
      <c r="AJ32" s="60"/>
      <c r="AK32" s="61"/>
      <c r="AL32" s="62"/>
      <c r="AO32" s="299"/>
      <c r="AP32" s="300"/>
      <c r="AQ32" s="301" t="s">
        <v>121</v>
      </c>
      <c r="AR32" s="292">
        <f>F32</f>
        <v>0.05</v>
      </c>
      <c r="AS32" s="303">
        <f>ROUND(AS29*AR32,0)</f>
        <v>0</v>
      </c>
      <c r="AU32" s="102"/>
    </row>
    <row r="33" spans="1:47" s="101" customFormat="1" hidden="1" x14ac:dyDescent="0.3">
      <c r="A33" s="278" t="s">
        <v>122</v>
      </c>
      <c r="B33" s="39"/>
      <c r="C33" s="306"/>
      <c r="D33" s="307"/>
      <c r="E33" s="308" t="s">
        <v>123</v>
      </c>
      <c r="F33" s="309">
        <f>SUM(F30:F32)</f>
        <v>0.3</v>
      </c>
      <c r="G33" s="310">
        <f>SUM(G30:G32)</f>
        <v>0</v>
      </c>
      <c r="H33" s="311"/>
      <c r="I33" s="312"/>
      <c r="J33" s="312"/>
      <c r="K33" s="312"/>
      <c r="L33" s="313"/>
      <c r="M33" s="314">
        <f>+TtlCD*M31</f>
        <v>0</v>
      </c>
      <c r="N33" s="315">
        <f t="shared" si="11"/>
        <v>0</v>
      </c>
      <c r="O33" s="312"/>
      <c r="P33" s="312"/>
      <c r="Q33" s="312"/>
      <c r="R33" s="312"/>
      <c r="S33" s="312"/>
      <c r="T33" s="312"/>
      <c r="U33" s="316"/>
      <c r="V33" s="316"/>
      <c r="W33" s="316"/>
      <c r="X33" s="316"/>
      <c r="Y33" s="316"/>
      <c r="Z33" s="316"/>
      <c r="AA33" s="316"/>
      <c r="AB33" s="316"/>
      <c r="AC33" s="316"/>
      <c r="AD33" s="316"/>
      <c r="AE33" s="317"/>
      <c r="AF33" s="58"/>
      <c r="AG33" s="59"/>
      <c r="AH33" s="60"/>
      <c r="AI33" s="60"/>
      <c r="AJ33" s="60"/>
      <c r="AK33" s="61"/>
      <c r="AL33" s="62"/>
      <c r="AO33" s="306"/>
      <c r="AP33" s="307"/>
      <c r="AQ33" s="308" t="s">
        <v>123</v>
      </c>
      <c r="AR33" s="309">
        <f>SUM(AR30:AR32)</f>
        <v>0.3</v>
      </c>
      <c r="AS33" s="310">
        <f>SUM(AS30:AS32)</f>
        <v>0</v>
      </c>
      <c r="AU33" s="102"/>
    </row>
    <row r="34" spans="1:47" s="101" customFormat="1" ht="15.75" hidden="1" customHeight="1" x14ac:dyDescent="0.3">
      <c r="A34" s="278" t="s">
        <v>124</v>
      </c>
      <c r="B34" s="39"/>
      <c r="C34" s="306"/>
      <c r="D34" s="307"/>
      <c r="E34" s="318" t="s">
        <v>125</v>
      </c>
      <c r="F34" s="319">
        <v>0.19</v>
      </c>
      <c r="G34" s="320">
        <f>ROUND(G32*F34,0)-(M35)</f>
        <v>0</v>
      </c>
      <c r="H34" s="311"/>
      <c r="I34" s="312"/>
      <c r="J34" s="312"/>
      <c r="K34" s="312"/>
      <c r="L34" s="313"/>
      <c r="M34" s="314"/>
      <c r="N34" s="321">
        <f t="shared" si="11"/>
        <v>0</v>
      </c>
      <c r="O34" s="312"/>
      <c r="P34" s="312"/>
      <c r="Q34" s="312"/>
      <c r="R34" s="312"/>
      <c r="S34" s="312"/>
      <c r="T34" s="312"/>
      <c r="U34" s="316"/>
      <c r="V34" s="316"/>
      <c r="W34" s="316"/>
      <c r="X34" s="316"/>
      <c r="Y34" s="316"/>
      <c r="Z34" s="316"/>
      <c r="AA34" s="316"/>
      <c r="AB34" s="316"/>
      <c r="AC34" s="316"/>
      <c r="AD34" s="316"/>
      <c r="AE34" s="317"/>
      <c r="AF34" s="58"/>
      <c r="AG34" s="59"/>
      <c r="AH34" s="60"/>
      <c r="AI34" s="60"/>
      <c r="AJ34" s="60"/>
      <c r="AK34" s="61"/>
      <c r="AL34" s="62"/>
      <c r="AO34" s="306"/>
      <c r="AP34" s="307"/>
      <c r="AQ34" s="318" t="s">
        <v>125</v>
      </c>
      <c r="AR34" s="319">
        <f>F34</f>
        <v>0.19</v>
      </c>
      <c r="AS34" s="320">
        <f>ROUND(AS32*AR34,0)-(AY35)</f>
        <v>0</v>
      </c>
      <c r="AU34" s="102"/>
    </row>
    <row r="35" spans="1:47" s="101" customFormat="1" hidden="1" x14ac:dyDescent="0.3">
      <c r="A35" s="278" t="s">
        <v>126</v>
      </c>
      <c r="B35" s="39"/>
      <c r="C35" s="322"/>
      <c r="D35" s="323"/>
      <c r="E35" s="323"/>
      <c r="F35" s="324" t="s">
        <v>127</v>
      </c>
      <c r="G35" s="325">
        <f>G29+G33+G34</f>
        <v>0</v>
      </c>
      <c r="H35" s="326">
        <f>+H33+H29+H34</f>
        <v>0</v>
      </c>
      <c r="I35" s="327" t="e">
        <f>ROUND(G35-#REF!,4)</f>
        <v>#REF!</v>
      </c>
      <c r="J35" s="328">
        <f>+J33+J29+J34</f>
        <v>0</v>
      </c>
      <c r="K35" s="328">
        <f>+K33+K29+K34</f>
        <v>0</v>
      </c>
      <c r="L35" s="329">
        <f>+L33+L29+L34</f>
        <v>0</v>
      </c>
      <c r="M35" s="330"/>
      <c r="N35" s="331">
        <f t="shared" si="11"/>
        <v>0</v>
      </c>
      <c r="O35" s="316"/>
      <c r="P35" s="316"/>
      <c r="Q35" s="316"/>
      <c r="R35" s="316"/>
      <c r="S35" s="316"/>
      <c r="T35" s="316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288"/>
      <c r="AF35" s="58"/>
      <c r="AG35" s="59"/>
      <c r="AH35" s="60"/>
      <c r="AI35" s="60"/>
      <c r="AJ35" s="60"/>
      <c r="AK35" s="61"/>
      <c r="AL35" s="62"/>
      <c r="AO35" s="322"/>
      <c r="AP35" s="323"/>
      <c r="AQ35" s="323"/>
      <c r="AR35" s="324" t="s">
        <v>127</v>
      </c>
      <c r="AS35" s="325">
        <f>AS29+AS33+AS34</f>
        <v>0</v>
      </c>
      <c r="AU35" s="102"/>
    </row>
    <row r="36" spans="1:47" s="101" customFormat="1" hidden="1" x14ac:dyDescent="0.3">
      <c r="A36" s="332"/>
      <c r="B36" s="39"/>
      <c r="C36" s="39"/>
      <c r="D36" s="39"/>
      <c r="E36" s="39"/>
      <c r="F36" s="333"/>
      <c r="G36" s="334"/>
      <c r="H36" s="316"/>
      <c r="I36" s="316"/>
      <c r="J36" s="316"/>
      <c r="K36" s="316"/>
      <c r="L36" s="335"/>
      <c r="M36" s="335"/>
      <c r="N36" s="316"/>
      <c r="O36" s="316"/>
      <c r="P36" s="316"/>
      <c r="Q36" s="316"/>
      <c r="R36" s="316"/>
      <c r="S36" s="316"/>
      <c r="T36" s="316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288"/>
      <c r="AF36" s="58"/>
      <c r="AG36" s="59"/>
      <c r="AH36" s="60"/>
      <c r="AI36" s="60"/>
      <c r="AJ36" s="60"/>
      <c r="AK36" s="61"/>
      <c r="AL36" s="62"/>
      <c r="AS36" s="255"/>
      <c r="AU36" s="102"/>
    </row>
    <row r="37" spans="1:47" s="101" customFormat="1" hidden="1" x14ac:dyDescent="0.3">
      <c r="A37" s="267" t="s">
        <v>128</v>
      </c>
      <c r="B37" s="248"/>
      <c r="C37" s="336" t="s">
        <v>129</v>
      </c>
      <c r="D37" s="337"/>
      <c r="E37" s="338"/>
      <c r="F37" s="339"/>
      <c r="G37" s="340"/>
      <c r="H37" s="273"/>
      <c r="I37" s="274"/>
      <c r="J37" s="274"/>
      <c r="K37" s="274"/>
      <c r="L37" s="275"/>
      <c r="M37" s="276"/>
      <c r="N37" s="277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7"/>
      <c r="AF37" s="58"/>
      <c r="AG37" s="59"/>
      <c r="AH37" s="60"/>
      <c r="AI37" s="60"/>
      <c r="AJ37" s="60"/>
      <c r="AK37" s="61"/>
      <c r="AL37" s="62"/>
      <c r="AO37" s="667" t="s">
        <v>129</v>
      </c>
      <c r="AP37" s="668"/>
      <c r="AQ37" s="668"/>
      <c r="AR37" s="668"/>
      <c r="AS37" s="340"/>
      <c r="AU37" s="102"/>
    </row>
    <row r="38" spans="1:47" s="101" customFormat="1" hidden="1" x14ac:dyDescent="0.3">
      <c r="A38" s="278" t="s">
        <v>130</v>
      </c>
      <c r="B38" s="39"/>
      <c r="C38" s="341"/>
      <c r="D38" s="342"/>
      <c r="E38" s="342"/>
      <c r="F38" s="343" t="s">
        <v>112</v>
      </c>
      <c r="G38" s="344">
        <f>G26</f>
        <v>0</v>
      </c>
      <c r="H38" s="283"/>
      <c r="I38" s="284"/>
      <c r="J38" s="284"/>
      <c r="K38" s="284"/>
      <c r="L38" s="285"/>
      <c r="M38" s="286"/>
      <c r="N38" s="287">
        <f t="shared" ref="N38:N44" si="12">G38*$N$2</f>
        <v>0</v>
      </c>
      <c r="O38" s="284"/>
      <c r="P38" s="284"/>
      <c r="Q38" s="284"/>
      <c r="R38" s="284"/>
      <c r="S38" s="284"/>
      <c r="T38" s="284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288"/>
      <c r="AF38" s="58"/>
      <c r="AG38" s="59"/>
      <c r="AH38" s="60"/>
      <c r="AI38" s="60"/>
      <c r="AJ38" s="60"/>
      <c r="AK38" s="61"/>
      <c r="AL38" s="62"/>
      <c r="AO38" s="341"/>
      <c r="AP38" s="342"/>
      <c r="AQ38" s="342"/>
      <c r="AR38" s="343" t="s">
        <v>112</v>
      </c>
      <c r="AS38" s="344">
        <f>AS26</f>
        <v>0</v>
      </c>
      <c r="AU38" s="102"/>
    </row>
    <row r="39" spans="1:47" s="101" customFormat="1" hidden="1" x14ac:dyDescent="0.3">
      <c r="A39" s="278" t="s">
        <v>131</v>
      </c>
      <c r="B39" s="39"/>
      <c r="C39" s="345"/>
      <c r="D39" s="346"/>
      <c r="E39" s="347" t="s">
        <v>117</v>
      </c>
      <c r="F39" s="348">
        <v>0.17</v>
      </c>
      <c r="G39" s="349">
        <f>ROUND(G38*F39,0)</f>
        <v>0</v>
      </c>
      <c r="H39" s="294"/>
      <c r="I39" s="295"/>
      <c r="J39" s="295"/>
      <c r="K39" s="295"/>
      <c r="L39" s="296"/>
      <c r="M39" s="297"/>
      <c r="N39" s="298">
        <f t="shared" si="12"/>
        <v>0</v>
      </c>
      <c r="O39" s="295"/>
      <c r="P39" s="295"/>
      <c r="Q39" s="295"/>
      <c r="R39" s="295"/>
      <c r="S39" s="295"/>
      <c r="T39" s="295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288"/>
      <c r="AF39" s="58"/>
      <c r="AG39" s="59"/>
      <c r="AH39" s="60"/>
      <c r="AI39" s="60"/>
      <c r="AJ39" s="60"/>
      <c r="AK39" s="61"/>
      <c r="AL39" s="62"/>
      <c r="AO39" s="345"/>
      <c r="AP39" s="346"/>
      <c r="AQ39" s="347" t="s">
        <v>117</v>
      </c>
      <c r="AR39" s="348">
        <f>F39</f>
        <v>0.17</v>
      </c>
      <c r="AS39" s="349">
        <f>ROUND(AS38*AR39,0)</f>
        <v>0</v>
      </c>
      <c r="AU39" s="102"/>
    </row>
    <row r="40" spans="1:47" s="101" customFormat="1" hidden="1" x14ac:dyDescent="0.3">
      <c r="A40" s="278" t="s">
        <v>132</v>
      </c>
      <c r="B40" s="39"/>
      <c r="C40" s="350"/>
      <c r="D40" s="351"/>
      <c r="E40" s="352" t="s">
        <v>119</v>
      </c>
      <c r="F40" s="353">
        <v>0.01</v>
      </c>
      <c r="G40" s="354">
        <f>ROUND(G38*F40,0)</f>
        <v>0</v>
      </c>
      <c r="H40" s="294"/>
      <c r="I40" s="295"/>
      <c r="J40" s="295"/>
      <c r="K40" s="295"/>
      <c r="L40" s="296"/>
      <c r="M40" s="297">
        <f>1+(Adm+Imprev+Utilidad+IvaSUtl*Utilidad)</f>
        <v>1.28</v>
      </c>
      <c r="N40" s="304">
        <f t="shared" si="12"/>
        <v>0</v>
      </c>
      <c r="O40" s="295"/>
      <c r="P40" s="295"/>
      <c r="Q40" s="295"/>
      <c r="R40" s="295"/>
      <c r="S40" s="295"/>
      <c r="T40" s="295"/>
      <c r="U40" s="295"/>
      <c r="V40" s="295"/>
      <c r="W40" s="295"/>
      <c r="X40" s="295"/>
      <c r="Y40" s="295"/>
      <c r="Z40" s="295"/>
      <c r="AA40" s="295"/>
      <c r="AB40" s="295"/>
      <c r="AC40" s="295"/>
      <c r="AD40" s="295"/>
      <c r="AE40" s="305"/>
      <c r="AF40" s="58"/>
      <c r="AG40" s="59"/>
      <c r="AH40" s="60"/>
      <c r="AI40" s="60"/>
      <c r="AJ40" s="60"/>
      <c r="AK40" s="61"/>
      <c r="AL40" s="62"/>
      <c r="AO40" s="350"/>
      <c r="AP40" s="351"/>
      <c r="AQ40" s="352" t="s">
        <v>119</v>
      </c>
      <c r="AR40" s="348">
        <f>F40</f>
        <v>0.01</v>
      </c>
      <c r="AS40" s="354">
        <f>ROUND(AS38*AR40,0)</f>
        <v>0</v>
      </c>
      <c r="AU40" s="102"/>
    </row>
    <row r="41" spans="1:47" s="101" customFormat="1" hidden="1" x14ac:dyDescent="0.3">
      <c r="A41" s="278" t="s">
        <v>133</v>
      </c>
      <c r="B41" s="39"/>
      <c r="C41" s="350"/>
      <c r="D41" s="351"/>
      <c r="E41" s="352" t="s">
        <v>121</v>
      </c>
      <c r="F41" s="353">
        <v>0.01</v>
      </c>
      <c r="G41" s="354">
        <f>ROUND(G38*F41,0)</f>
        <v>0</v>
      </c>
      <c r="H41" s="294"/>
      <c r="I41" s="295"/>
      <c r="J41" s="295"/>
      <c r="K41" s="295"/>
      <c r="L41" s="296"/>
      <c r="M41" s="297"/>
      <c r="N41" s="304">
        <f t="shared" si="12"/>
        <v>0</v>
      </c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305"/>
      <c r="AF41" s="58"/>
      <c r="AG41" s="59"/>
      <c r="AH41" s="60"/>
      <c r="AI41" s="60"/>
      <c r="AJ41" s="60"/>
      <c r="AK41" s="61"/>
      <c r="AL41" s="62"/>
      <c r="AO41" s="350"/>
      <c r="AP41" s="351"/>
      <c r="AQ41" s="352" t="s">
        <v>121</v>
      </c>
      <c r="AR41" s="348">
        <f>F41</f>
        <v>0.01</v>
      </c>
      <c r="AS41" s="354">
        <f>ROUND(AS38*AR41,0)</f>
        <v>0</v>
      </c>
      <c r="AU41" s="102"/>
    </row>
    <row r="42" spans="1:47" s="101" customFormat="1" hidden="1" x14ac:dyDescent="0.3">
      <c r="A42" s="278" t="s">
        <v>134</v>
      </c>
      <c r="B42" s="39"/>
      <c r="C42" s="355"/>
      <c r="D42" s="356"/>
      <c r="E42" s="357" t="s">
        <v>123</v>
      </c>
      <c r="F42" s="358">
        <f>SUM(F39:F41)</f>
        <v>0.19000000000000003</v>
      </c>
      <c r="G42" s="359">
        <f>SUM(G39:G41)</f>
        <v>0</v>
      </c>
      <c r="H42" s="311"/>
      <c r="I42" s="312"/>
      <c r="J42" s="312"/>
      <c r="K42" s="312"/>
      <c r="L42" s="313"/>
      <c r="M42" s="314">
        <f>+TtlCD*M40</f>
        <v>32495687.218045112</v>
      </c>
      <c r="N42" s="315">
        <f t="shared" si="12"/>
        <v>0</v>
      </c>
      <c r="O42" s="312"/>
      <c r="P42" s="312"/>
      <c r="Q42" s="312"/>
      <c r="R42" s="312"/>
      <c r="S42" s="312"/>
      <c r="T42" s="312"/>
      <c r="U42" s="316"/>
      <c r="V42" s="316"/>
      <c r="W42" s="316"/>
      <c r="X42" s="316"/>
      <c r="Y42" s="316"/>
      <c r="Z42" s="316"/>
      <c r="AA42" s="316"/>
      <c r="AB42" s="316"/>
      <c r="AC42" s="316"/>
      <c r="AD42" s="316"/>
      <c r="AE42" s="317"/>
      <c r="AF42" s="58"/>
      <c r="AG42" s="59"/>
      <c r="AH42" s="60"/>
      <c r="AI42" s="60"/>
      <c r="AJ42" s="60"/>
      <c r="AK42" s="61"/>
      <c r="AL42" s="62"/>
      <c r="AO42" s="355"/>
      <c r="AP42" s="356"/>
      <c r="AQ42" s="357" t="s">
        <v>123</v>
      </c>
      <c r="AR42" s="358">
        <f>SUM(AR39:AR41)</f>
        <v>0.19000000000000003</v>
      </c>
      <c r="AS42" s="359">
        <f>SUM(AS39:AS41)</f>
        <v>0</v>
      </c>
      <c r="AU42" s="102"/>
    </row>
    <row r="43" spans="1:47" s="101" customFormat="1" ht="15.75" hidden="1" customHeight="1" x14ac:dyDescent="0.3">
      <c r="A43" s="278" t="s">
        <v>135</v>
      </c>
      <c r="B43" s="39"/>
      <c r="C43" s="355"/>
      <c r="D43" s="356"/>
      <c r="E43" s="360" t="s">
        <v>125</v>
      </c>
      <c r="F43" s="361">
        <v>0.19</v>
      </c>
      <c r="G43" s="362">
        <f>ROUND(G41*F43,0)-(M44)</f>
        <v>0</v>
      </c>
      <c r="H43" s="311"/>
      <c r="I43" s="312"/>
      <c r="J43" s="312"/>
      <c r="K43" s="312"/>
      <c r="L43" s="313"/>
      <c r="M43" s="314"/>
      <c r="N43" s="321">
        <f t="shared" si="12"/>
        <v>0</v>
      </c>
      <c r="O43" s="312"/>
      <c r="P43" s="312"/>
      <c r="Q43" s="312"/>
      <c r="R43" s="312"/>
      <c r="S43" s="312"/>
      <c r="T43" s="312"/>
      <c r="U43" s="316"/>
      <c r="V43" s="316"/>
      <c r="W43" s="316"/>
      <c r="X43" s="316"/>
      <c r="Y43" s="316"/>
      <c r="Z43" s="316"/>
      <c r="AA43" s="316"/>
      <c r="AB43" s="316"/>
      <c r="AC43" s="316"/>
      <c r="AD43" s="316"/>
      <c r="AE43" s="317"/>
      <c r="AF43" s="58"/>
      <c r="AG43" s="59"/>
      <c r="AH43" s="60"/>
      <c r="AI43" s="60"/>
      <c r="AJ43" s="60"/>
      <c r="AK43" s="61"/>
      <c r="AL43" s="62"/>
      <c r="AO43" s="355"/>
      <c r="AP43" s="356"/>
      <c r="AQ43" s="360" t="s">
        <v>125</v>
      </c>
      <c r="AR43" s="361">
        <f>F43</f>
        <v>0.19</v>
      </c>
      <c r="AS43" s="362">
        <f>ROUND(AS41*AR43,0)-(AY44)</f>
        <v>0</v>
      </c>
      <c r="AU43" s="102"/>
    </row>
    <row r="44" spans="1:47" s="101" customFormat="1" hidden="1" x14ac:dyDescent="0.3">
      <c r="A44" s="278" t="s">
        <v>136</v>
      </c>
      <c r="B44" s="39"/>
      <c r="C44" s="363"/>
      <c r="D44" s="364"/>
      <c r="E44" s="364"/>
      <c r="F44" s="365" t="s">
        <v>137</v>
      </c>
      <c r="G44" s="366">
        <f>G38+G42+G43</f>
        <v>0</v>
      </c>
      <c r="H44" s="326">
        <f>+H42+H38+H43</f>
        <v>0</v>
      </c>
      <c r="I44" s="327" t="e">
        <f>ROUND(G44-G2,4)</f>
        <v>#REF!</v>
      </c>
      <c r="J44" s="328">
        <f>+J42+J38+J43</f>
        <v>0</v>
      </c>
      <c r="K44" s="328">
        <f>+K42+K38+K43</f>
        <v>0</v>
      </c>
      <c r="L44" s="329">
        <f>+L42+L38+L43</f>
        <v>0</v>
      </c>
      <c r="M44" s="330"/>
      <c r="N44" s="331">
        <f t="shared" si="12"/>
        <v>0</v>
      </c>
      <c r="O44" s="316"/>
      <c r="P44" s="316"/>
      <c r="Q44" s="316"/>
      <c r="R44" s="316"/>
      <c r="S44" s="316"/>
      <c r="T44" s="316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288"/>
      <c r="AF44" s="58"/>
      <c r="AG44" s="59"/>
      <c r="AH44" s="60"/>
      <c r="AI44" s="60"/>
      <c r="AJ44" s="60"/>
      <c r="AK44" s="61"/>
      <c r="AL44" s="62"/>
      <c r="AO44" s="363"/>
      <c r="AP44" s="364"/>
      <c r="AQ44" s="364"/>
      <c r="AR44" s="365" t="s">
        <v>137</v>
      </c>
      <c r="AS44" s="366">
        <f>AS38+AS42+AS43</f>
        <v>0</v>
      </c>
      <c r="AU44" s="102"/>
    </row>
    <row r="45" spans="1:47" s="101" customFormat="1" hidden="1" x14ac:dyDescent="0.3">
      <c r="A45" s="332"/>
      <c r="B45" s="39"/>
      <c r="C45" s="39"/>
      <c r="D45" s="39"/>
      <c r="E45" s="39"/>
      <c r="F45" s="333"/>
      <c r="G45" s="334"/>
      <c r="H45" s="316"/>
      <c r="I45" s="316"/>
      <c r="J45" s="316"/>
      <c r="K45" s="316"/>
      <c r="L45" s="335"/>
      <c r="M45" s="335"/>
      <c r="N45" s="316"/>
      <c r="O45" s="316"/>
      <c r="P45" s="316"/>
      <c r="Q45" s="316"/>
      <c r="R45" s="316"/>
      <c r="S45" s="316"/>
      <c r="T45" s="316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288"/>
      <c r="AF45" s="58"/>
      <c r="AG45" s="59"/>
      <c r="AH45" s="60"/>
      <c r="AI45" s="60"/>
      <c r="AJ45" s="60"/>
      <c r="AK45" s="61"/>
      <c r="AL45" s="62"/>
      <c r="AS45" s="255"/>
      <c r="AU45" s="102"/>
    </row>
    <row r="46" spans="1:47" hidden="1" x14ac:dyDescent="0.3">
      <c r="A46" s="367"/>
      <c r="G46" s="146"/>
      <c r="L46" s="146"/>
      <c r="M46" s="146"/>
      <c r="AE46" s="368"/>
      <c r="AF46" s="58"/>
      <c r="AG46" s="59"/>
      <c r="AH46" s="60"/>
      <c r="AI46" s="60"/>
      <c r="AJ46" s="60"/>
      <c r="AK46" s="61"/>
      <c r="AL46" s="62"/>
      <c r="AS46" s="146"/>
      <c r="AU46" s="68"/>
    </row>
    <row r="47" spans="1:47" s="101" customFormat="1" x14ac:dyDescent="0.3">
      <c r="A47" s="267" t="s">
        <v>138</v>
      </c>
      <c r="B47" s="248"/>
      <c r="C47" s="369" t="s">
        <v>139</v>
      </c>
      <c r="D47" s="370"/>
      <c r="E47" s="371"/>
      <c r="F47" s="372"/>
      <c r="G47" s="373"/>
      <c r="H47" s="273"/>
      <c r="I47" s="274"/>
      <c r="J47" s="274"/>
      <c r="K47" s="274"/>
      <c r="L47" s="275"/>
      <c r="M47" s="276"/>
      <c r="N47" s="277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7"/>
      <c r="AF47" s="58"/>
      <c r="AG47" s="59"/>
      <c r="AH47" s="60"/>
      <c r="AI47" s="60"/>
      <c r="AJ47" s="60"/>
      <c r="AK47" s="61"/>
      <c r="AL47" s="62"/>
      <c r="AO47" s="669" t="s">
        <v>139</v>
      </c>
      <c r="AP47" s="670"/>
      <c r="AQ47" s="670"/>
      <c r="AR47" s="670"/>
      <c r="AS47" s="374"/>
      <c r="AU47" s="102"/>
    </row>
    <row r="48" spans="1:47" s="101" customFormat="1" hidden="1" x14ac:dyDescent="0.3">
      <c r="A48" s="278" t="s">
        <v>140</v>
      </c>
      <c r="B48" s="39"/>
      <c r="C48" s="375"/>
      <c r="D48" s="376"/>
      <c r="E48" s="377"/>
      <c r="F48" s="378" t="s">
        <v>141</v>
      </c>
      <c r="G48" s="379">
        <f>G35</f>
        <v>0</v>
      </c>
      <c r="H48" s="311"/>
      <c r="I48" s="312"/>
      <c r="J48" s="312"/>
      <c r="K48" s="312"/>
      <c r="L48" s="313"/>
      <c r="M48" s="314"/>
      <c r="N48" s="321"/>
      <c r="O48" s="312"/>
      <c r="P48" s="312"/>
      <c r="Q48" s="312"/>
      <c r="R48" s="312"/>
      <c r="S48" s="312"/>
      <c r="T48" s="312"/>
      <c r="U48" s="316"/>
      <c r="V48" s="316"/>
      <c r="W48" s="316"/>
      <c r="X48" s="316"/>
      <c r="Y48" s="316"/>
      <c r="Z48" s="316"/>
      <c r="AA48" s="316"/>
      <c r="AB48" s="316"/>
      <c r="AC48" s="316"/>
      <c r="AD48" s="316"/>
      <c r="AE48" s="317"/>
      <c r="AF48" s="58"/>
      <c r="AG48" s="59"/>
      <c r="AH48" s="60"/>
      <c r="AI48" s="60"/>
      <c r="AJ48" s="60"/>
      <c r="AK48" s="61"/>
      <c r="AL48" s="62"/>
      <c r="AO48" s="375"/>
      <c r="AP48" s="376"/>
      <c r="AQ48" s="377"/>
      <c r="AR48" s="378" t="s">
        <v>141</v>
      </c>
      <c r="AS48" s="379">
        <f>AS35</f>
        <v>0</v>
      </c>
      <c r="AU48" s="102"/>
    </row>
    <row r="49" spans="1:47" s="101" customFormat="1" hidden="1" x14ac:dyDescent="0.3">
      <c r="A49" s="278" t="s">
        <v>142</v>
      </c>
      <c r="B49" s="39"/>
      <c r="C49" s="375"/>
      <c r="D49" s="376"/>
      <c r="E49" s="377"/>
      <c r="F49" s="378" t="s">
        <v>143</v>
      </c>
      <c r="G49" s="379">
        <f>G44</f>
        <v>0</v>
      </c>
      <c r="H49" s="311"/>
      <c r="I49" s="312"/>
      <c r="J49" s="312"/>
      <c r="K49" s="312"/>
      <c r="L49" s="313"/>
      <c r="M49" s="314"/>
      <c r="N49" s="321"/>
      <c r="O49" s="312"/>
      <c r="P49" s="312"/>
      <c r="Q49" s="312"/>
      <c r="R49" s="312"/>
      <c r="S49" s="312"/>
      <c r="T49" s="312"/>
      <c r="U49" s="316"/>
      <c r="V49" s="316"/>
      <c r="W49" s="316"/>
      <c r="X49" s="316"/>
      <c r="Y49" s="316"/>
      <c r="Z49" s="316"/>
      <c r="AA49" s="316"/>
      <c r="AB49" s="316"/>
      <c r="AC49" s="316"/>
      <c r="AD49" s="316"/>
      <c r="AE49" s="317"/>
      <c r="AF49" s="58"/>
      <c r="AG49" s="59"/>
      <c r="AH49" s="60"/>
      <c r="AI49" s="60"/>
      <c r="AJ49" s="60"/>
      <c r="AK49" s="61"/>
      <c r="AL49" s="62"/>
      <c r="AO49" s="375"/>
      <c r="AP49" s="376"/>
      <c r="AQ49" s="377"/>
      <c r="AR49" s="378" t="s">
        <v>143</v>
      </c>
      <c r="AS49" s="379">
        <f>AS44</f>
        <v>0</v>
      </c>
      <c r="AU49" s="102"/>
    </row>
    <row r="50" spans="1:47" s="101" customFormat="1" x14ac:dyDescent="0.3">
      <c r="A50" s="278" t="s">
        <v>144</v>
      </c>
      <c r="B50" s="39"/>
      <c r="C50" s="380"/>
      <c r="D50" s="381"/>
      <c r="E50" s="381"/>
      <c r="F50" s="382" t="s">
        <v>145</v>
      </c>
      <c r="G50" s="226">
        <f>+SbtPpto</f>
        <v>25387255.639097743</v>
      </c>
      <c r="H50" s="283"/>
      <c r="I50" s="284"/>
      <c r="J50" s="284"/>
      <c r="K50" s="284"/>
      <c r="L50" s="285"/>
      <c r="M50" s="286"/>
      <c r="N50" s="287">
        <f t="shared" ref="N50:N57" si="13">G50*$N$2</f>
        <v>25387255.639097743</v>
      </c>
      <c r="O50" s="284"/>
      <c r="P50" s="284"/>
      <c r="Q50" s="284"/>
      <c r="R50" s="284"/>
      <c r="S50" s="284"/>
      <c r="T50" s="284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288"/>
      <c r="AF50" s="58"/>
      <c r="AG50" s="59"/>
      <c r="AH50" s="60"/>
      <c r="AI50" s="60"/>
      <c r="AJ50" s="60"/>
      <c r="AK50" s="61"/>
      <c r="AL50" s="62"/>
      <c r="AO50" s="380"/>
      <c r="AP50" s="381"/>
      <c r="AQ50" s="381"/>
      <c r="AR50" s="382" t="s">
        <v>145</v>
      </c>
      <c r="AS50" s="383">
        <f>ROUND(IF($A$2="CD",AS22,IF($A$2="CT",AS22/(1+(Adm + Imprev + Utilidad + IvaSUtl*Utilidad)))),0)</f>
        <v>16065381</v>
      </c>
      <c r="AU50" s="102"/>
    </row>
    <row r="51" spans="1:47" s="101" customFormat="1" x14ac:dyDescent="0.3">
      <c r="A51" s="278" t="s">
        <v>146</v>
      </c>
      <c r="B51" s="39"/>
      <c r="C51" s="384"/>
      <c r="D51" s="155"/>
      <c r="E51" s="385" t="s">
        <v>117</v>
      </c>
      <c r="F51" s="386">
        <v>0.25</v>
      </c>
      <c r="G51" s="630">
        <f>+TtlCD*Adm</f>
        <v>6346813.9097744357</v>
      </c>
      <c r="H51" s="294"/>
      <c r="I51" s="295"/>
      <c r="J51" s="295"/>
      <c r="K51" s="295"/>
      <c r="L51" s="296"/>
      <c r="M51" s="297"/>
      <c r="N51" s="298">
        <f t="shared" si="13"/>
        <v>6346813.9097744357</v>
      </c>
      <c r="O51" s="295"/>
      <c r="P51" s="295"/>
      <c r="Q51" s="295"/>
      <c r="R51" s="295"/>
      <c r="S51" s="295"/>
      <c r="T51" s="295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288"/>
      <c r="AF51" s="58"/>
      <c r="AG51" s="59"/>
      <c r="AH51" s="60"/>
      <c r="AI51" s="60"/>
      <c r="AJ51" s="60"/>
      <c r="AK51" s="61"/>
      <c r="AL51" s="62"/>
      <c r="AO51" s="384"/>
      <c r="AP51" s="155"/>
      <c r="AQ51" s="385" t="s">
        <v>117</v>
      </c>
      <c r="AR51" s="386">
        <f>F51</f>
        <v>0.25</v>
      </c>
      <c r="AS51" s="387">
        <f>ROUND(AS50*AR51,0)</f>
        <v>4016345</v>
      </c>
      <c r="AU51" s="102"/>
    </row>
    <row r="52" spans="1:47" s="101" customFormat="1" x14ac:dyDescent="0.3">
      <c r="A52" s="278" t="s">
        <v>147</v>
      </c>
      <c r="B52" s="39"/>
      <c r="C52" s="388"/>
      <c r="D52" s="389"/>
      <c r="E52" s="390" t="s">
        <v>119</v>
      </c>
      <c r="F52" s="391">
        <v>0.03</v>
      </c>
      <c r="G52" s="630">
        <f>+TtlCD*Imprev</f>
        <v>761617.66917293228</v>
      </c>
      <c r="H52" s="294"/>
      <c r="I52" s="295"/>
      <c r="J52" s="295"/>
      <c r="K52" s="295"/>
      <c r="L52" s="296"/>
      <c r="M52" s="297">
        <f>1+(Adm+Imprev+Utilidad+IvaSUtl*Utilidad)</f>
        <v>1.28</v>
      </c>
      <c r="N52" s="304">
        <f t="shared" si="13"/>
        <v>761617.66917293228</v>
      </c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305"/>
      <c r="AF52" s="58"/>
      <c r="AG52" s="59"/>
      <c r="AH52" s="60"/>
      <c r="AI52" s="60"/>
      <c r="AJ52" s="60"/>
      <c r="AK52" s="61"/>
      <c r="AL52" s="62"/>
      <c r="AO52" s="388"/>
      <c r="AP52" s="389"/>
      <c r="AQ52" s="390" t="s">
        <v>119</v>
      </c>
      <c r="AR52" s="386">
        <f>F52</f>
        <v>0.03</v>
      </c>
      <c r="AS52" s="392">
        <f>ROUND(AS50*AR52,0)</f>
        <v>481961</v>
      </c>
      <c r="AU52" s="102"/>
    </row>
    <row r="53" spans="1:47" s="101" customFormat="1" hidden="1" x14ac:dyDescent="0.3">
      <c r="A53" s="278" t="s">
        <v>148</v>
      </c>
      <c r="B53" s="39"/>
      <c r="C53" s="388"/>
      <c r="D53" s="389"/>
      <c r="E53" s="390" t="s">
        <v>121</v>
      </c>
      <c r="F53" s="391">
        <v>0</v>
      </c>
      <c r="G53" s="630">
        <f>ROUND(G50*F53,0)</f>
        <v>0</v>
      </c>
      <c r="H53" s="294"/>
      <c r="I53" s="295"/>
      <c r="J53" s="295"/>
      <c r="K53" s="295"/>
      <c r="L53" s="296"/>
      <c r="M53" s="297"/>
      <c r="N53" s="304">
        <f t="shared" si="13"/>
        <v>0</v>
      </c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5"/>
      <c r="AE53" s="305"/>
      <c r="AF53" s="58"/>
      <c r="AG53" s="59"/>
      <c r="AH53" s="60"/>
      <c r="AI53" s="60"/>
      <c r="AJ53" s="60"/>
      <c r="AK53" s="61"/>
      <c r="AL53" s="62"/>
      <c r="AO53" s="388"/>
      <c r="AP53" s="389"/>
      <c r="AQ53" s="390" t="s">
        <v>121</v>
      </c>
      <c r="AR53" s="386">
        <f>F53</f>
        <v>0</v>
      </c>
      <c r="AS53" s="392">
        <f>ROUND(AS50*AR53,0)</f>
        <v>0</v>
      </c>
      <c r="AU53" s="102"/>
    </row>
    <row r="54" spans="1:47" s="101" customFormat="1" x14ac:dyDescent="0.3">
      <c r="A54" s="278"/>
      <c r="B54" s="39"/>
      <c r="C54" s="375"/>
      <c r="D54" s="376"/>
      <c r="E54" s="582" t="s">
        <v>121</v>
      </c>
      <c r="F54" s="583">
        <v>0.05</v>
      </c>
      <c r="G54" s="630">
        <f>+TtlCD*F54</f>
        <v>1269362.7819548873</v>
      </c>
      <c r="H54" s="294"/>
      <c r="I54" s="295"/>
      <c r="J54" s="295"/>
      <c r="K54" s="295"/>
      <c r="L54" s="296"/>
      <c r="M54" s="297"/>
      <c r="N54" s="304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5"/>
      <c r="AE54" s="305"/>
      <c r="AF54" s="58"/>
      <c r="AG54" s="59"/>
      <c r="AH54" s="60"/>
      <c r="AI54" s="60"/>
      <c r="AJ54" s="60"/>
      <c r="AK54" s="61"/>
      <c r="AL54" s="62"/>
      <c r="AO54" s="375"/>
      <c r="AP54" s="376"/>
      <c r="AQ54" s="582"/>
      <c r="AR54" s="386"/>
      <c r="AS54" s="392"/>
      <c r="AU54" s="102"/>
    </row>
    <row r="55" spans="1:47" s="101" customFormat="1" x14ac:dyDescent="0.3">
      <c r="A55" s="278" t="s">
        <v>149</v>
      </c>
      <c r="B55" s="39"/>
      <c r="C55" s="375"/>
      <c r="D55" s="376"/>
      <c r="E55" s="377" t="s">
        <v>123</v>
      </c>
      <c r="F55" s="393">
        <f>SUM(F51:F54)</f>
        <v>0.33</v>
      </c>
      <c r="G55" s="630">
        <f>+TtlCD*F55</f>
        <v>8377794.3609022554</v>
      </c>
      <c r="H55" s="311"/>
      <c r="I55" s="312"/>
      <c r="J55" s="312"/>
      <c r="K55" s="312"/>
      <c r="L55" s="313"/>
      <c r="M55" s="314">
        <f>+TtlCD*M52</f>
        <v>32495687.218045112</v>
      </c>
      <c r="N55" s="315">
        <f t="shared" si="13"/>
        <v>8377794.3609022554</v>
      </c>
      <c r="O55" s="312"/>
      <c r="P55" s="312"/>
      <c r="Q55" s="312"/>
      <c r="R55" s="312"/>
      <c r="S55" s="312"/>
      <c r="T55" s="312"/>
      <c r="U55" s="316"/>
      <c r="V55" s="316"/>
      <c r="W55" s="316"/>
      <c r="X55" s="316"/>
      <c r="Y55" s="316"/>
      <c r="Z55" s="316"/>
      <c r="AA55" s="316"/>
      <c r="AB55" s="316"/>
      <c r="AC55" s="316"/>
      <c r="AD55" s="316"/>
      <c r="AE55" s="317"/>
      <c r="AF55" s="58"/>
      <c r="AG55" s="59"/>
      <c r="AH55" s="60"/>
      <c r="AI55" s="60"/>
      <c r="AJ55" s="60"/>
      <c r="AK55" s="61"/>
      <c r="AL55" s="62"/>
      <c r="AO55" s="375"/>
      <c r="AP55" s="376"/>
      <c r="AQ55" s="377" t="s">
        <v>123</v>
      </c>
      <c r="AR55" s="395">
        <f>SUM(AR51:AR53)</f>
        <v>0.28000000000000003</v>
      </c>
      <c r="AS55" s="394">
        <f>SUM(AS51:AS53)</f>
        <v>4498306</v>
      </c>
      <c r="AU55" s="102"/>
    </row>
    <row r="56" spans="1:47" s="101" customFormat="1" ht="15.75" hidden="1" customHeight="1" x14ac:dyDescent="0.3">
      <c r="A56" s="278" t="s">
        <v>150</v>
      </c>
      <c r="B56" s="39"/>
      <c r="C56" s="375"/>
      <c r="D56" s="376"/>
      <c r="E56" s="396" t="s">
        <v>125</v>
      </c>
      <c r="F56" s="397">
        <v>0</v>
      </c>
      <c r="G56" s="630">
        <f>ROUND(G53*F56,0)-(M57)</f>
        <v>0</v>
      </c>
      <c r="H56" s="311"/>
      <c r="I56" s="312"/>
      <c r="J56" s="312"/>
      <c r="K56" s="312"/>
      <c r="L56" s="313"/>
      <c r="M56" s="314"/>
      <c r="N56" s="321">
        <f t="shared" si="13"/>
        <v>0</v>
      </c>
      <c r="O56" s="312"/>
      <c r="P56" s="312"/>
      <c r="Q56" s="312"/>
      <c r="R56" s="312"/>
      <c r="S56" s="312"/>
      <c r="T56" s="312"/>
      <c r="U56" s="316"/>
      <c r="V56" s="316"/>
      <c r="W56" s="316"/>
      <c r="X56" s="316"/>
      <c r="Y56" s="316"/>
      <c r="Z56" s="316"/>
      <c r="AA56" s="316"/>
      <c r="AB56" s="316"/>
      <c r="AC56" s="316"/>
      <c r="AD56" s="316"/>
      <c r="AE56" s="317"/>
      <c r="AF56" s="58"/>
      <c r="AG56" s="59"/>
      <c r="AH56" s="60"/>
      <c r="AI56" s="60"/>
      <c r="AJ56" s="60"/>
      <c r="AK56" s="61"/>
      <c r="AL56" s="62"/>
      <c r="AO56" s="375"/>
      <c r="AP56" s="376"/>
      <c r="AQ56" s="396" t="s">
        <v>125</v>
      </c>
      <c r="AR56" s="386">
        <f>F56</f>
        <v>0</v>
      </c>
      <c r="AS56" s="379">
        <f>ROUND(AS53*AR56,0)-(AY57)</f>
        <v>0</v>
      </c>
      <c r="AU56" s="102"/>
    </row>
    <row r="57" spans="1:47" s="101" customFormat="1" x14ac:dyDescent="0.3">
      <c r="A57" s="278" t="s">
        <v>151</v>
      </c>
      <c r="B57" s="39"/>
      <c r="C57" s="398"/>
      <c r="D57" s="399"/>
      <c r="E57" s="399"/>
      <c r="F57" s="400" t="s">
        <v>152</v>
      </c>
      <c r="G57" s="226">
        <f>G50+G55+G56</f>
        <v>33765050</v>
      </c>
      <c r="H57" s="326">
        <f>+H55+H50+H56</f>
        <v>0</v>
      </c>
      <c r="I57" s="327">
        <f>ROUND(G57-G22,4)</f>
        <v>8377794.3608999997</v>
      </c>
      <c r="J57" s="328">
        <f>+J55+J50+J56</f>
        <v>0</v>
      </c>
      <c r="K57" s="328">
        <f>+K55+K50+K56</f>
        <v>0</v>
      </c>
      <c r="L57" s="329">
        <f>+L55+L50+L56</f>
        <v>0</v>
      </c>
      <c r="M57" s="330"/>
      <c r="N57" s="331">
        <f t="shared" si="13"/>
        <v>33765050</v>
      </c>
      <c r="O57" s="316"/>
      <c r="P57" s="316"/>
      <c r="Q57" s="316"/>
      <c r="R57" s="316"/>
      <c r="S57" s="316"/>
      <c r="T57" s="316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288"/>
      <c r="AF57" s="58"/>
      <c r="AG57" s="59"/>
      <c r="AH57" s="60"/>
      <c r="AI57" s="60"/>
      <c r="AJ57" s="60"/>
      <c r="AK57" s="61"/>
      <c r="AL57" s="62"/>
      <c r="AO57" s="401"/>
      <c r="AP57" s="402"/>
      <c r="AQ57" s="402"/>
      <c r="AR57" s="403" t="s">
        <v>153</v>
      </c>
      <c r="AS57" s="404">
        <f>AS50+AS55+AS56</f>
        <v>20563687</v>
      </c>
      <c r="AU57" s="102"/>
    </row>
    <row r="58" spans="1:47" s="101" customFormat="1" hidden="1" x14ac:dyDescent="0.3">
      <c r="A58" s="332"/>
      <c r="B58" s="39"/>
      <c r="C58" s="39"/>
      <c r="D58" s="39"/>
      <c r="E58" s="39"/>
      <c r="F58" s="333"/>
      <c r="G58" s="334">
        <f>IF(A2="CT",IF(I57&lt;&gt;0,"Ubiquese en la celda inmediatamente superior (TOTAL) y presione CAMBIAR",0),0)</f>
        <v>0</v>
      </c>
      <c r="H58" s="316"/>
      <c r="I58" s="316"/>
      <c r="J58" s="316"/>
      <c r="K58" s="316"/>
      <c r="L58" s="335"/>
      <c r="M58" s="335"/>
      <c r="N58" s="316"/>
      <c r="O58" s="316"/>
      <c r="P58" s="316"/>
      <c r="Q58" s="316"/>
      <c r="R58" s="316"/>
      <c r="S58" s="316"/>
      <c r="T58" s="316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288"/>
      <c r="AF58" s="58"/>
      <c r="AG58" s="59"/>
      <c r="AH58" s="60"/>
      <c r="AI58" s="60"/>
      <c r="AJ58" s="60"/>
      <c r="AK58" s="61"/>
      <c r="AL58" s="62"/>
      <c r="AS58" s="255"/>
      <c r="AU58" s="102"/>
    </row>
    <row r="59" spans="1:47" hidden="1" x14ac:dyDescent="0.3">
      <c r="A59" s="278" t="s">
        <v>154</v>
      </c>
      <c r="C59" s="405"/>
      <c r="D59" s="406"/>
      <c r="E59" s="407" t="s">
        <v>155</v>
      </c>
      <c r="F59" s="408">
        <v>0</v>
      </c>
      <c r="G59" s="409">
        <f>G71*F59</f>
        <v>0</v>
      </c>
      <c r="L59" s="146"/>
      <c r="M59" s="146"/>
      <c r="AE59" s="368"/>
      <c r="AF59" s="58"/>
      <c r="AG59" s="59"/>
      <c r="AH59" s="60"/>
      <c r="AI59" s="60"/>
      <c r="AJ59" s="60"/>
      <c r="AK59" s="61"/>
      <c r="AL59" s="62"/>
      <c r="AO59" s="405"/>
      <c r="AP59" s="406"/>
      <c r="AQ59" s="407" t="s">
        <v>156</v>
      </c>
      <c r="AR59" s="408">
        <f>F59</f>
        <v>0</v>
      </c>
      <c r="AS59" s="409">
        <f>AS71*AR59</f>
        <v>0</v>
      </c>
      <c r="AU59" s="68"/>
    </row>
    <row r="60" spans="1:47" s="101" customFormat="1" hidden="1" x14ac:dyDescent="0.3">
      <c r="A60" s="367"/>
      <c r="B60" s="39"/>
      <c r="C60" s="39"/>
      <c r="D60" s="39"/>
      <c r="E60" s="39"/>
      <c r="F60" s="39"/>
      <c r="G60" s="252"/>
      <c r="H60" s="39"/>
      <c r="I60" s="39"/>
      <c r="J60" s="39"/>
      <c r="K60" s="39"/>
      <c r="L60" s="252"/>
      <c r="M60" s="252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288"/>
      <c r="AF60" s="58"/>
      <c r="AG60" s="59"/>
      <c r="AH60" s="60"/>
      <c r="AI60" s="60"/>
      <c r="AJ60" s="60"/>
      <c r="AK60" s="61"/>
      <c r="AL60" s="62"/>
      <c r="AS60" s="255"/>
      <c r="AU60" s="102"/>
    </row>
    <row r="61" spans="1:47" s="101" customFormat="1" ht="14.45" hidden="1" customHeight="1" x14ac:dyDescent="0.3">
      <c r="A61" s="410" t="s">
        <v>157</v>
      </c>
      <c r="B61" s="411"/>
      <c r="C61" s="412" t="s">
        <v>158</v>
      </c>
      <c r="D61" s="413"/>
      <c r="E61" s="414"/>
      <c r="F61" s="415"/>
      <c r="G61" s="416"/>
      <c r="H61" s="415"/>
      <c r="I61" s="415"/>
      <c r="J61" s="415"/>
      <c r="K61" s="415"/>
      <c r="L61" s="416"/>
      <c r="M61" s="416"/>
      <c r="N61" s="415"/>
      <c r="O61" s="417"/>
      <c r="P61" s="51"/>
      <c r="Q61" s="51"/>
      <c r="R61" s="51"/>
      <c r="S61" s="51"/>
      <c r="T61" s="51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288"/>
      <c r="AF61" s="58"/>
      <c r="AG61" s="59"/>
      <c r="AH61" s="60"/>
      <c r="AI61" s="60"/>
      <c r="AJ61" s="60"/>
      <c r="AK61" s="61"/>
      <c r="AL61" s="62"/>
      <c r="AO61" s="10" t="s">
        <v>159</v>
      </c>
      <c r="AP61" s="418"/>
      <c r="AQ61" s="418"/>
      <c r="AR61" s="418"/>
      <c r="AS61" s="419"/>
      <c r="AU61" s="102"/>
    </row>
    <row r="62" spans="1:47" s="101" customFormat="1" ht="12.75" hidden="1" customHeight="1" x14ac:dyDescent="0.3">
      <c r="A62" s="367"/>
      <c r="B62" s="420"/>
      <c r="C62" s="11"/>
      <c r="D62" s="250"/>
      <c r="E62" s="143"/>
      <c r="F62" s="51"/>
      <c r="G62" s="421"/>
      <c r="H62" s="51"/>
      <c r="I62" s="51"/>
      <c r="J62" s="51"/>
      <c r="K62" s="51"/>
      <c r="L62" s="422"/>
      <c r="M62" s="422"/>
      <c r="N62" s="51"/>
      <c r="O62" s="423"/>
      <c r="P62" s="51"/>
      <c r="Q62" s="51"/>
      <c r="R62" s="51"/>
      <c r="S62" s="51"/>
      <c r="T62" s="51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288"/>
      <c r="AF62" s="58"/>
      <c r="AG62" s="59"/>
      <c r="AH62" s="60"/>
      <c r="AI62" s="60"/>
      <c r="AJ62" s="60"/>
      <c r="AK62" s="61"/>
      <c r="AL62" s="62"/>
      <c r="AO62" s="424"/>
      <c r="AS62" s="425"/>
      <c r="AU62" s="102"/>
    </row>
    <row r="63" spans="1:47" hidden="1" x14ac:dyDescent="0.3">
      <c r="A63" s="148" t="s">
        <v>97</v>
      </c>
      <c r="B63" s="149" t="s">
        <v>160</v>
      </c>
      <c r="C63" s="150" t="s">
        <v>161</v>
      </c>
      <c r="D63" s="151"/>
      <c r="E63" s="151"/>
      <c r="F63" s="151"/>
      <c r="G63" s="200">
        <f>SUM(G64:G65)</f>
        <v>0</v>
      </c>
      <c r="H63" s="39"/>
      <c r="I63" s="39"/>
      <c r="J63" s="39"/>
      <c r="K63" s="39"/>
      <c r="L63" s="39"/>
      <c r="M63" s="39"/>
      <c r="N63" s="157">
        <f>SUM(N64:N65)</f>
        <v>0</v>
      </c>
      <c r="O63" s="56"/>
      <c r="P63" s="158"/>
      <c r="Q63" s="159"/>
      <c r="R63" s="159"/>
      <c r="S63" s="160"/>
      <c r="T63" s="161"/>
      <c r="U63" s="56">
        <f>IF(G63&lt;&gt;"",N63-G63*$N$2,0)</f>
        <v>0</v>
      </c>
      <c r="V63" s="162" t="s">
        <v>98</v>
      </c>
      <c r="AF63" s="58"/>
      <c r="AG63" s="59" t="str">
        <f>"CAP. " &amp; $B$63 &amp; ": " &amp; $C$63</f>
        <v>CAP. #: ESCRIBA AQUÍ EL NOMBRE DEL CAPITULO</v>
      </c>
      <c r="AH63" s="60">
        <f>ROW($B$63)</f>
        <v>63</v>
      </c>
      <c r="AI63" s="60"/>
      <c r="AJ63" s="60"/>
      <c r="AK63" s="61"/>
      <c r="AL63" s="62"/>
      <c r="AO63" s="163"/>
      <c r="AP63" s="164"/>
      <c r="AQ63" s="164"/>
      <c r="AR63" s="164"/>
      <c r="AS63" s="153">
        <f>SUM(AS64:AS65)</f>
        <v>0</v>
      </c>
      <c r="AU63" s="68"/>
    </row>
    <row r="64" spans="1:47" hidden="1" x14ac:dyDescent="0.3">
      <c r="A64" s="166" t="s">
        <v>99</v>
      </c>
      <c r="B64" s="167"/>
      <c r="C64" s="7"/>
      <c r="D64" s="168"/>
      <c r="E64" s="201"/>
      <c r="F64" s="202"/>
      <c r="G64" s="203"/>
      <c r="H64" s="204"/>
      <c r="I64" s="202"/>
      <c r="J64" s="202"/>
      <c r="K64" s="202"/>
      <c r="L64" s="205"/>
      <c r="M64" s="206"/>
      <c r="N64" s="174"/>
      <c r="O64" s="51"/>
      <c r="P64" s="52"/>
      <c r="Q64" s="53"/>
      <c r="R64" s="53"/>
      <c r="S64" s="54"/>
      <c r="T64" s="55"/>
      <c r="U64" s="56"/>
      <c r="V64" s="39"/>
      <c r="AF64" s="58"/>
      <c r="AG64" s="59" t="str">
        <f>"CAP. " &amp; $B$63 &amp; ": " &amp; $C$63</f>
        <v>CAP. #: ESCRIBA AQUÍ EL NOMBRE DEL CAPITULO</v>
      </c>
      <c r="AH64" s="60">
        <f>ROW($B$63)</f>
        <v>63</v>
      </c>
      <c r="AI64" s="60"/>
      <c r="AJ64" s="60"/>
      <c r="AK64" s="61"/>
      <c r="AL64" s="62"/>
      <c r="AO64" s="63"/>
      <c r="AP64" s="64"/>
      <c r="AQ64" s="207"/>
      <c r="AR64" s="208"/>
      <c r="AS64" s="209"/>
      <c r="AU64" s="68"/>
    </row>
    <row r="65" spans="1:47" hidden="1" x14ac:dyDescent="0.3">
      <c r="A65" s="183"/>
      <c r="B65" s="184"/>
      <c r="C65" s="8"/>
      <c r="D65" s="185"/>
      <c r="E65" s="210"/>
      <c r="F65" s="186"/>
      <c r="G65" s="211"/>
      <c r="H65" s="212"/>
      <c r="I65" s="186"/>
      <c r="J65" s="186"/>
      <c r="K65" s="186"/>
      <c r="L65" s="213"/>
      <c r="M65" s="214"/>
      <c r="N65" s="187"/>
      <c r="O65" s="51"/>
      <c r="P65" s="52"/>
      <c r="Q65" s="53"/>
      <c r="R65" s="53"/>
      <c r="S65" s="54"/>
      <c r="T65" s="55"/>
      <c r="U65" s="56"/>
      <c r="V65" s="39"/>
      <c r="AF65" s="58"/>
      <c r="AG65" s="59" t="str">
        <f>"CAP. " &amp; $B$63 &amp; ": " &amp; $C$63</f>
        <v>CAP. #: ESCRIBA AQUÍ EL NOMBRE DEL CAPITULO</v>
      </c>
      <c r="AH65" s="60">
        <f>ROW($B$63)</f>
        <v>63</v>
      </c>
      <c r="AI65" s="60"/>
      <c r="AJ65" s="60"/>
      <c r="AK65" s="61"/>
      <c r="AL65" s="62"/>
      <c r="AO65" s="63"/>
      <c r="AP65" s="64"/>
      <c r="AQ65" s="188"/>
      <c r="AR65" s="208"/>
      <c r="AS65" s="215"/>
      <c r="AU65" s="68"/>
    </row>
    <row r="66" spans="1:47" ht="17.25" hidden="1" thickBot="1" x14ac:dyDescent="0.35">
      <c r="A66" s="189" t="s">
        <v>107</v>
      </c>
      <c r="B66" s="190"/>
      <c r="C66" s="9"/>
      <c r="D66" s="191"/>
      <c r="E66" s="216"/>
      <c r="F66" s="217" t="str">
        <f>IF(C63="ESCRIBA AQUÍ EL NOMBRE DEL CAPITULO","SUBTOTAL","SUBTOTAL CAP. "&amp;B63&amp;"  "&amp;C63&amp;":")</f>
        <v>SUBTOTAL</v>
      </c>
      <c r="G66" s="218">
        <f>SUM(G64:G65)</f>
        <v>0</v>
      </c>
      <c r="H66" s="212"/>
      <c r="I66" s="186"/>
      <c r="J66" s="186"/>
      <c r="K66" s="186"/>
      <c r="L66" s="213"/>
      <c r="M66" s="214"/>
      <c r="N66" s="192">
        <f>SUM(N64:N65)</f>
        <v>0</v>
      </c>
      <c r="O66" s="51"/>
      <c r="P66" s="193">
        <f>SUM(P63:P65)</f>
        <v>0</v>
      </c>
      <c r="Q66" s="194">
        <f>SUM(Q63:Q65)</f>
        <v>0</v>
      </c>
      <c r="R66" s="194">
        <f>SUM(R63:R65)</f>
        <v>0</v>
      </c>
      <c r="S66" s="195">
        <f>SUM(S63:S65)</f>
        <v>0</v>
      </c>
      <c r="T66" s="196">
        <f>SUM(T63:T65)</f>
        <v>0</v>
      </c>
      <c r="U66" s="56"/>
      <c r="V66" s="39"/>
      <c r="AF66" s="58"/>
      <c r="AG66" s="59" t="str">
        <f>"CAP. " &amp; $B$63 &amp; ": " &amp; $C$63</f>
        <v>CAP. #: ESCRIBA AQUÍ EL NOMBRE DEL CAPITULO</v>
      </c>
      <c r="AH66" s="60">
        <f>ROW($B$63)</f>
        <v>63</v>
      </c>
      <c r="AI66" s="60"/>
      <c r="AJ66" s="60"/>
      <c r="AK66" s="61"/>
      <c r="AL66" s="62"/>
      <c r="AO66" s="197"/>
      <c r="AP66" s="198"/>
      <c r="AQ66" s="198"/>
      <c r="AR66" s="198"/>
      <c r="AS66" s="219">
        <f>SUM(AS64:AS65)</f>
        <v>0</v>
      </c>
      <c r="AU66" s="68"/>
    </row>
    <row r="67" spans="1:47" hidden="1" x14ac:dyDescent="0.3">
      <c r="A67" s="91"/>
      <c r="B67" s="140"/>
      <c r="C67" s="141"/>
      <c r="D67" s="142"/>
      <c r="E67" s="199"/>
      <c r="F67" s="140"/>
      <c r="G67" s="220"/>
      <c r="V67" s="39"/>
      <c r="AF67" s="58"/>
      <c r="AG67" s="59"/>
      <c r="AH67" s="60"/>
      <c r="AI67" s="60"/>
      <c r="AJ67" s="60"/>
      <c r="AK67" s="61"/>
      <c r="AL67" s="62"/>
      <c r="AU67" s="68"/>
    </row>
    <row r="68" spans="1:47" s="101" customFormat="1" hidden="1" x14ac:dyDescent="0.3">
      <c r="A68" s="410" t="s">
        <v>162</v>
      </c>
      <c r="B68" s="426"/>
      <c r="C68" s="427"/>
      <c r="D68" s="427"/>
      <c r="E68" s="427"/>
      <c r="F68" s="428" t="str">
        <f>"VALOR TOTAL  " &amp; C61</f>
        <v>VALOR TOTAL  ITEMS  POR  FUERA  DE   AIU:</v>
      </c>
      <c r="G68" s="429">
        <f>SUM(G61:G66)/3</f>
        <v>0</v>
      </c>
      <c r="H68" s="427"/>
      <c r="I68" s="427"/>
      <c r="J68" s="427"/>
      <c r="K68" s="427"/>
      <c r="L68" s="429"/>
      <c r="M68" s="429"/>
      <c r="N68" s="427"/>
      <c r="O68" s="430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368"/>
      <c r="AF68" s="58"/>
      <c r="AG68" s="59"/>
      <c r="AH68" s="60"/>
      <c r="AI68" s="60"/>
      <c r="AJ68" s="60"/>
      <c r="AK68" s="61"/>
      <c r="AL68" s="62"/>
      <c r="AM68" s="57"/>
      <c r="AN68" s="57"/>
      <c r="AO68" s="431"/>
      <c r="AP68" s="427"/>
      <c r="AQ68" s="427"/>
      <c r="AR68" s="432" t="s">
        <v>163</v>
      </c>
      <c r="AS68" s="433">
        <f>SUM(AS61:AS66)/2</f>
        <v>0</v>
      </c>
      <c r="AU68" s="102"/>
    </row>
    <row r="69" spans="1:47" s="101" customFormat="1" x14ac:dyDescent="0.3">
      <c r="A69" s="367"/>
      <c r="B69" s="39"/>
      <c r="C69" s="11"/>
      <c r="D69" s="250"/>
      <c r="E69" s="143"/>
      <c r="F69" s="51"/>
      <c r="G69" s="422"/>
      <c r="H69" s="51"/>
      <c r="I69" s="51"/>
      <c r="J69" s="51"/>
      <c r="K69" s="51"/>
      <c r="L69" s="422"/>
      <c r="M69" s="422"/>
      <c r="N69" s="51"/>
      <c r="O69" s="434"/>
      <c r="P69" s="51"/>
      <c r="Q69" s="51"/>
      <c r="R69" s="51"/>
      <c r="S69" s="51"/>
      <c r="T69" s="51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288"/>
      <c r="AF69" s="58"/>
      <c r="AG69" s="59"/>
      <c r="AH69" s="60"/>
      <c r="AI69" s="60"/>
      <c r="AJ69" s="60"/>
      <c r="AK69" s="61"/>
      <c r="AL69" s="62"/>
      <c r="AS69" s="255"/>
      <c r="AU69" s="102"/>
    </row>
    <row r="70" spans="1:47" ht="13.7" hidden="1" customHeight="1" x14ac:dyDescent="0.3">
      <c r="A70" s="278" t="s">
        <v>164</v>
      </c>
      <c r="C70" s="435"/>
      <c r="D70" s="436"/>
      <c r="E70" s="437" t="s">
        <v>165</v>
      </c>
      <c r="F70" s="438">
        <v>0</v>
      </c>
      <c r="G70" s="439">
        <v>0</v>
      </c>
      <c r="L70" s="146"/>
      <c r="M70" s="146"/>
      <c r="AE70" s="368"/>
      <c r="AF70" s="58"/>
      <c r="AG70" s="59"/>
      <c r="AH70" s="60"/>
      <c r="AI70" s="60"/>
      <c r="AJ70" s="60"/>
      <c r="AK70" s="61"/>
      <c r="AL70" s="62"/>
      <c r="AO70" s="435"/>
      <c r="AP70" s="436"/>
      <c r="AQ70" s="437" t="s">
        <v>165</v>
      </c>
      <c r="AR70" s="438">
        <f>F70</f>
        <v>0</v>
      </c>
      <c r="AS70" s="439">
        <f>ROUND(AS57*AR70,0)</f>
        <v>0</v>
      </c>
      <c r="AU70" s="68"/>
    </row>
    <row r="71" spans="1:47" hidden="1" x14ac:dyDescent="0.3">
      <c r="A71" s="278" t="s">
        <v>166</v>
      </c>
      <c r="C71" s="440"/>
      <c r="D71" s="441"/>
      <c r="E71" s="442"/>
      <c r="F71" s="443" t="s">
        <v>167</v>
      </c>
      <c r="G71" s="444">
        <f>G57+G70</f>
        <v>33765050</v>
      </c>
      <c r="L71" s="146"/>
      <c r="M71" s="146"/>
      <c r="AE71" s="368"/>
      <c r="AF71" s="58"/>
      <c r="AG71" s="59"/>
      <c r="AH71" s="60"/>
      <c r="AI71" s="60"/>
      <c r="AJ71" s="60"/>
      <c r="AK71" s="61"/>
      <c r="AL71" s="62"/>
      <c r="AO71" s="440"/>
      <c r="AP71" s="441"/>
      <c r="AQ71" s="442"/>
      <c r="AR71" s="443" t="s">
        <v>167</v>
      </c>
      <c r="AS71" s="444">
        <f>AS57+AS70</f>
        <v>20563687</v>
      </c>
      <c r="AU71" s="68"/>
    </row>
    <row r="72" spans="1:47" hidden="1" x14ac:dyDescent="0.3">
      <c r="A72" s="367"/>
      <c r="G72" s="146"/>
      <c r="L72" s="146"/>
      <c r="M72" s="146"/>
      <c r="AE72" s="368"/>
      <c r="AF72" s="58"/>
      <c r="AG72" s="59"/>
      <c r="AH72" s="60"/>
      <c r="AI72" s="60"/>
      <c r="AJ72" s="60"/>
      <c r="AK72" s="61"/>
      <c r="AL72" s="62"/>
      <c r="AS72" s="146"/>
      <c r="AU72" s="68"/>
    </row>
    <row r="73" spans="1:47" x14ac:dyDescent="0.3">
      <c r="A73" s="278" t="s">
        <v>168</v>
      </c>
      <c r="C73" s="445"/>
      <c r="D73" s="446"/>
      <c r="E73" s="446"/>
      <c r="F73" s="447" t="s">
        <v>152</v>
      </c>
      <c r="G73" s="448">
        <f>G71+G59+G68</f>
        <v>33765050</v>
      </c>
      <c r="L73" s="146"/>
      <c r="M73" s="146"/>
      <c r="AE73" s="368"/>
      <c r="AF73" s="58"/>
      <c r="AG73" s="59"/>
      <c r="AH73" s="60"/>
      <c r="AI73" s="60"/>
      <c r="AJ73" s="60"/>
      <c r="AK73" s="61"/>
      <c r="AL73" s="62"/>
      <c r="AO73" s="445"/>
      <c r="AP73" s="446"/>
      <c r="AQ73" s="446"/>
      <c r="AR73" s="447" t="s">
        <v>153</v>
      </c>
      <c r="AS73" s="448">
        <f>AS71+AS59+AS68</f>
        <v>20563687</v>
      </c>
      <c r="AU73" s="68"/>
    </row>
    <row r="74" spans="1:47" x14ac:dyDescent="0.3">
      <c r="A74" s="367"/>
      <c r="G74" s="146"/>
      <c r="L74" s="146"/>
      <c r="M74" s="146"/>
      <c r="AE74" s="368"/>
      <c r="AF74" s="58"/>
      <c r="AG74" s="59"/>
      <c r="AH74" s="60"/>
      <c r="AI74" s="60"/>
      <c r="AJ74" s="60"/>
      <c r="AK74" s="61"/>
      <c r="AL74" s="62"/>
      <c r="AS74" s="146"/>
      <c r="AU74" s="68"/>
    </row>
    <row r="75" spans="1:47" s="101" customFormat="1" x14ac:dyDescent="0.3">
      <c r="A75" s="278" t="s">
        <v>169</v>
      </c>
      <c r="B75" s="39"/>
      <c r="C75" s="671" t="str">
        <f>IF(N2&gt;1,"VALOR  " &amp;E7 &amp; "  POR  " &amp;N1&amp; ":","VALOR  TOTAL " &amp; E7 &amp; ":")</f>
        <v>VALOR  TOTAL PRESUPUESTO:</v>
      </c>
      <c r="D75" s="672"/>
      <c r="E75" s="672"/>
      <c r="F75" s="672"/>
      <c r="G75" s="673"/>
      <c r="H75" s="449"/>
      <c r="I75" s="449"/>
      <c r="J75" s="449"/>
      <c r="K75" s="449"/>
      <c r="L75" s="450"/>
      <c r="M75" s="450"/>
      <c r="N75" s="451"/>
      <c r="O75" s="452"/>
      <c r="P75" s="316"/>
      <c r="Q75" s="316"/>
      <c r="R75" s="316"/>
      <c r="S75" s="316"/>
      <c r="T75" s="316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288"/>
      <c r="AF75" s="58"/>
      <c r="AG75" s="59"/>
      <c r="AH75" s="60"/>
      <c r="AI75" s="60"/>
      <c r="AJ75" s="60"/>
      <c r="AK75" s="61"/>
      <c r="AL75" s="62"/>
      <c r="AS75" s="255"/>
      <c r="AU75" s="102"/>
    </row>
    <row r="76" spans="1:47" s="101" customFormat="1" ht="14.25" customHeight="1" x14ac:dyDescent="0.3">
      <c r="A76" s="332"/>
      <c r="B76" s="39"/>
      <c r="C76" s="674" t="s">
        <v>247</v>
      </c>
      <c r="D76" s="675"/>
      <c r="E76" s="675"/>
      <c r="F76" s="675"/>
      <c r="G76" s="676"/>
      <c r="H76" s="453"/>
      <c r="I76" s="453"/>
      <c r="J76" s="453"/>
      <c r="K76" s="453"/>
      <c r="L76" s="454"/>
      <c r="M76" s="454"/>
      <c r="N76" s="455"/>
      <c r="O76" s="452"/>
      <c r="P76" s="316"/>
      <c r="Q76" s="316"/>
      <c r="R76" s="316"/>
      <c r="S76" s="316"/>
      <c r="T76" s="316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288"/>
      <c r="AF76" s="58"/>
      <c r="AG76" s="59"/>
      <c r="AH76" s="60"/>
      <c r="AI76" s="60"/>
      <c r="AJ76" s="60"/>
      <c r="AK76" s="61"/>
      <c r="AL76" s="62"/>
      <c r="AS76" s="255"/>
      <c r="AU76" s="102"/>
    </row>
    <row r="77" spans="1:47" s="101" customFormat="1" ht="11.25" customHeight="1" x14ac:dyDescent="0.3">
      <c r="A77" s="332"/>
      <c r="B77" s="39"/>
      <c r="C77" s="677"/>
      <c r="D77" s="678"/>
      <c r="E77" s="678"/>
      <c r="F77" s="678"/>
      <c r="G77" s="679"/>
      <c r="H77" s="456"/>
      <c r="I77" s="456"/>
      <c r="J77" s="456"/>
      <c r="K77" s="456"/>
      <c r="L77" s="457"/>
      <c r="M77" s="457"/>
      <c r="N77" s="458"/>
      <c r="O77" s="452"/>
      <c r="P77" s="316"/>
      <c r="Q77" s="316"/>
      <c r="R77" s="316"/>
      <c r="S77" s="316"/>
      <c r="T77" s="316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288"/>
      <c r="AF77" s="58"/>
      <c r="AG77" s="59"/>
      <c r="AH77" s="60"/>
      <c r="AI77" s="60"/>
      <c r="AJ77" s="60"/>
      <c r="AK77" s="61"/>
      <c r="AL77" s="62"/>
      <c r="AS77" s="255"/>
      <c r="AU77" s="102"/>
    </row>
    <row r="78" spans="1:47" s="101" customFormat="1" x14ac:dyDescent="0.3">
      <c r="A78" s="332"/>
      <c r="B78" s="39"/>
      <c r="C78" s="39"/>
      <c r="D78" s="39"/>
      <c r="E78" s="39"/>
      <c r="F78" s="459"/>
      <c r="G78" s="252"/>
      <c r="H78" s="39"/>
      <c r="I78" s="39"/>
      <c r="J78" s="39"/>
      <c r="K78" s="39"/>
      <c r="L78" s="252"/>
      <c r="M78" s="252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288"/>
      <c r="AF78" s="58"/>
      <c r="AG78" s="59"/>
      <c r="AH78" s="60"/>
      <c r="AI78" s="60"/>
      <c r="AJ78" s="60"/>
      <c r="AK78" s="61"/>
      <c r="AL78" s="62"/>
      <c r="AS78" s="255"/>
      <c r="AU78" s="102"/>
    </row>
    <row r="79" spans="1:47" s="101" customFormat="1" x14ac:dyDescent="0.3">
      <c r="A79" s="367"/>
      <c r="B79" s="39"/>
      <c r="C79" s="39"/>
      <c r="D79" s="39"/>
      <c r="E79" s="39"/>
      <c r="F79" s="39"/>
      <c r="G79" s="252"/>
      <c r="H79" s="39"/>
      <c r="I79" s="39"/>
      <c r="J79" s="39"/>
      <c r="K79" s="39"/>
      <c r="L79" s="252"/>
      <c r="M79" s="252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288"/>
      <c r="AF79" s="58"/>
      <c r="AG79" s="59"/>
      <c r="AH79" s="60"/>
      <c r="AI79" s="60"/>
      <c r="AJ79" s="60"/>
      <c r="AK79" s="61"/>
      <c r="AL79" s="62"/>
      <c r="AS79" s="255"/>
      <c r="AU79" s="102"/>
    </row>
    <row r="80" spans="1:47" s="101" customFormat="1" ht="14.25" customHeight="1" x14ac:dyDescent="0.3">
      <c r="A80" s="278" t="s">
        <v>94</v>
      </c>
      <c r="B80" s="39"/>
      <c r="C80" s="39"/>
      <c r="D80" s="631" t="s">
        <v>170</v>
      </c>
      <c r="E80" s="632"/>
      <c r="F80" s="633"/>
      <c r="G80" s="637">
        <v>30</v>
      </c>
      <c r="H80" s="460"/>
      <c r="I80" s="460"/>
      <c r="J80" s="460"/>
      <c r="K80" s="460"/>
      <c r="L80" s="460"/>
      <c r="M80" s="460"/>
      <c r="N80" s="460"/>
      <c r="O80" s="460"/>
      <c r="P80" s="460"/>
      <c r="Q80" s="460"/>
      <c r="R80" s="460"/>
      <c r="S80" s="460"/>
      <c r="T80" s="460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288"/>
      <c r="AF80" s="58"/>
      <c r="AG80" s="59"/>
      <c r="AH80" s="60"/>
      <c r="AI80" s="60"/>
      <c r="AJ80" s="60"/>
      <c r="AK80" s="61"/>
      <c r="AL80" s="62"/>
      <c r="AU80" s="102"/>
    </row>
    <row r="81" spans="1:47" s="101" customFormat="1" ht="15.75" customHeight="1" x14ac:dyDescent="0.3">
      <c r="A81" s="367"/>
      <c r="B81" s="39"/>
      <c r="C81" s="39"/>
      <c r="D81" s="634"/>
      <c r="E81" s="635"/>
      <c r="F81" s="636"/>
      <c r="G81" s="638"/>
      <c r="H81" s="461"/>
      <c r="I81" s="461">
        <f>IF(G81&gt;9,I56 / G81 * 8,0)</f>
        <v>0</v>
      </c>
      <c r="J81" s="461"/>
      <c r="K81" s="461"/>
      <c r="L81" s="461"/>
      <c r="M81" s="461"/>
      <c r="N81" s="461"/>
      <c r="O81" s="461"/>
      <c r="P81" s="461"/>
      <c r="Q81" s="461"/>
      <c r="R81" s="461"/>
      <c r="S81" s="461"/>
      <c r="T81" s="461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288"/>
      <c r="AF81" s="58"/>
      <c r="AG81" s="59"/>
      <c r="AH81" s="60"/>
      <c r="AI81" s="60"/>
      <c r="AJ81" s="60"/>
      <c r="AK81" s="61"/>
      <c r="AL81" s="62"/>
      <c r="AU81" s="102"/>
    </row>
    <row r="82" spans="1:47" s="101" customFormat="1" x14ac:dyDescent="0.3">
      <c r="A82" s="367"/>
      <c r="B82" s="39"/>
      <c r="C82" s="39"/>
      <c r="D82" s="39"/>
      <c r="E82" s="39"/>
      <c r="F82" s="39"/>
      <c r="G82" s="45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288"/>
      <c r="AF82" s="58"/>
      <c r="AG82" s="59"/>
      <c r="AH82" s="60"/>
      <c r="AI82" s="60"/>
      <c r="AJ82" s="60"/>
      <c r="AK82" s="61"/>
      <c r="AL82" s="62"/>
      <c r="AU82" s="102"/>
    </row>
    <row r="83" spans="1:47" s="101" customFormat="1" x14ac:dyDescent="0.3">
      <c r="A83" s="367"/>
      <c r="B83" s="39"/>
      <c r="C83" s="39"/>
      <c r="D83" s="39"/>
      <c r="E83" s="39"/>
      <c r="F83" s="39"/>
      <c r="G83" s="45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288"/>
      <c r="AF83" s="58"/>
      <c r="AG83" s="59"/>
      <c r="AH83" s="60"/>
      <c r="AI83" s="60"/>
      <c r="AJ83" s="60"/>
      <c r="AK83" s="61"/>
      <c r="AL83" s="62"/>
      <c r="AU83" s="102"/>
    </row>
    <row r="84" spans="1:47" s="101" customFormat="1" x14ac:dyDescent="0.3">
      <c r="A84" s="367"/>
      <c r="B84" s="39"/>
      <c r="C84" s="11"/>
      <c r="D84" s="250"/>
      <c r="E84" s="143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288"/>
      <c r="AF84" s="58"/>
      <c r="AG84" s="59"/>
      <c r="AH84" s="60"/>
      <c r="AI84" s="60"/>
      <c r="AJ84" s="60"/>
      <c r="AK84" s="61"/>
      <c r="AL84" s="62"/>
      <c r="AU84" s="102"/>
    </row>
    <row r="85" spans="1:47" s="101" customFormat="1" x14ac:dyDescent="0.3">
      <c r="A85" s="367"/>
      <c r="B85" s="39"/>
      <c r="C85" s="11"/>
      <c r="D85" s="250"/>
      <c r="E85" s="143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288"/>
      <c r="AF85" s="58"/>
      <c r="AG85" s="59"/>
      <c r="AH85" s="60"/>
      <c r="AI85" s="60"/>
      <c r="AJ85" s="60"/>
      <c r="AK85" s="61"/>
      <c r="AL85" s="62"/>
      <c r="AU85" s="102"/>
    </row>
    <row r="86" spans="1:47" s="101" customFormat="1" x14ac:dyDescent="0.3">
      <c r="A86" s="367"/>
      <c r="B86" s="462"/>
      <c r="C86" s="462"/>
      <c r="D86" s="250"/>
      <c r="E86" s="143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288"/>
      <c r="AF86" s="58"/>
      <c r="AG86" s="59"/>
      <c r="AH86" s="60"/>
      <c r="AI86" s="60"/>
      <c r="AJ86" s="60"/>
      <c r="AK86" s="61"/>
      <c r="AL86" s="62"/>
      <c r="AU86" s="102"/>
    </row>
    <row r="87" spans="1:47" s="101" customFormat="1" x14ac:dyDescent="0.3">
      <c r="A87" s="367"/>
      <c r="B87" s="128" t="s">
        <v>171</v>
      </c>
      <c r="D87" s="39"/>
      <c r="E87" s="39"/>
      <c r="F87" s="39"/>
      <c r="G87" s="45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288"/>
      <c r="AF87" s="58"/>
      <c r="AG87" s="59"/>
      <c r="AH87" s="60"/>
      <c r="AI87" s="60"/>
      <c r="AJ87" s="60"/>
      <c r="AK87" s="61"/>
      <c r="AL87" s="62"/>
      <c r="AU87" s="102"/>
    </row>
    <row r="88" spans="1:47" s="101" customFormat="1" ht="17.25" thickBot="1" x14ac:dyDescent="0.35">
      <c r="A88" s="463"/>
      <c r="B88" s="464" t="s">
        <v>172</v>
      </c>
      <c r="C88" s="39"/>
      <c r="D88" s="39"/>
      <c r="E88" s="39"/>
      <c r="F88" s="39"/>
      <c r="G88" s="45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465"/>
      <c r="AF88" s="58"/>
      <c r="AG88" s="59"/>
      <c r="AH88" s="60"/>
      <c r="AI88" s="60"/>
      <c r="AJ88" s="60"/>
      <c r="AK88" s="61"/>
      <c r="AL88" s="62"/>
      <c r="AT88" s="466"/>
      <c r="AU88" s="102"/>
    </row>
    <row r="89" spans="1:47" ht="17.25" thickTop="1" x14ac:dyDescent="0.3"/>
  </sheetData>
  <mergeCells count="15">
    <mergeCell ref="D80:F81"/>
    <mergeCell ref="G80:G81"/>
    <mergeCell ref="F1:F2"/>
    <mergeCell ref="P1:T2"/>
    <mergeCell ref="AZ1:AZ2"/>
    <mergeCell ref="B7:D8"/>
    <mergeCell ref="AO7:AS7"/>
    <mergeCell ref="B9:B10"/>
    <mergeCell ref="C9:E10"/>
    <mergeCell ref="P10:T10"/>
    <mergeCell ref="AO28:AR28"/>
    <mergeCell ref="AO37:AR37"/>
    <mergeCell ref="AO47:AR47"/>
    <mergeCell ref="C75:G75"/>
    <mergeCell ref="C76:G77"/>
  </mergeCells>
  <conditionalFormatting sqref="B9">
    <cfRule type="cellIs" dxfId="36" priority="37" stopIfTrue="1" operator="equal">
      <formula>"ESCRIBA AQUÍ EL NOMBRE DE LA OBRA"</formula>
    </cfRule>
  </conditionalFormatting>
  <conditionalFormatting sqref="B14:C14">
    <cfRule type="cellIs" dxfId="35" priority="26" operator="equal">
      <formula>"ESCRIBA AQUÍ EL NOMBRE DEL CAPITULO"</formula>
    </cfRule>
  </conditionalFormatting>
  <conditionalFormatting sqref="B63:C63">
    <cfRule type="cellIs" dxfId="34" priority="5" operator="equal">
      <formula>"ESCRIBA AQUÍ EL NOMBRE DEL CAPITULO"</formula>
    </cfRule>
  </conditionalFormatting>
  <conditionalFormatting sqref="G36">
    <cfRule type="cellIs" dxfId="33" priority="20" stopIfTrue="1" operator="notEqual">
      <formula>0</formula>
    </cfRule>
    <cfRule type="cellIs" dxfId="32" priority="21" stopIfTrue="1" operator="equal">
      <formula>0</formula>
    </cfRule>
  </conditionalFormatting>
  <conditionalFormatting sqref="G45">
    <cfRule type="cellIs" dxfId="31" priority="24" stopIfTrue="1" operator="notEqual">
      <formula>0</formula>
    </cfRule>
    <cfRule type="cellIs" dxfId="30" priority="25" stopIfTrue="1" operator="equal">
      <formula>0</formula>
    </cfRule>
  </conditionalFormatting>
  <conditionalFormatting sqref="G58">
    <cfRule type="cellIs" dxfId="29" priority="35" stopIfTrue="1" operator="equal">
      <formula>0</formula>
    </cfRule>
    <cfRule type="cellIs" dxfId="28" priority="34" stopIfTrue="1" operator="notEqual">
      <formula>0</formula>
    </cfRule>
  </conditionalFormatting>
  <conditionalFormatting sqref="G35:H35 J35:N35">
    <cfRule type="expression" dxfId="27" priority="18" stopIfTrue="1">
      <formula>"&gt;G29"</formula>
    </cfRule>
    <cfRule type="expression" dxfId="26" priority="19" stopIfTrue="1">
      <formula>"&lt;G29"""</formula>
    </cfRule>
  </conditionalFormatting>
  <conditionalFormatting sqref="G44:H44 J44:N44">
    <cfRule type="expression" dxfId="25" priority="23" stopIfTrue="1">
      <formula>"&lt;G29"""</formula>
    </cfRule>
    <cfRule type="expression" dxfId="24" priority="22" stopIfTrue="1">
      <formula>"&gt;G29"</formula>
    </cfRule>
  </conditionalFormatting>
  <conditionalFormatting sqref="G2:O6">
    <cfRule type="cellIs" dxfId="23" priority="40" stopIfTrue="1" operator="equal">
      <formula>"CHEQ. INSUMOS"</formula>
    </cfRule>
  </conditionalFormatting>
  <conditionalFormatting sqref="G1:P1">
    <cfRule type="cellIs" dxfId="22" priority="39" stopIfTrue="1" operator="equal">
      <formula>"CHEQ. INSUMOS"</formula>
    </cfRule>
  </conditionalFormatting>
  <conditionalFormatting sqref="G80:T81">
    <cfRule type="cellIs" dxfId="21" priority="31" stopIfTrue="1" operator="equal">
      <formula>1</formula>
    </cfRule>
  </conditionalFormatting>
  <conditionalFormatting sqref="H57 J57:N57">
    <cfRule type="expression" dxfId="20" priority="32" stopIfTrue="1">
      <formula>"&gt;G29"</formula>
    </cfRule>
    <cfRule type="expression" dxfId="19" priority="33" stopIfTrue="1">
      <formula>"&lt;G29"""</formula>
    </cfRule>
  </conditionalFormatting>
  <conditionalFormatting sqref="N23">
    <cfRule type="cellIs" dxfId="18" priority="36" stopIfTrue="1" operator="notEqual">
      <formula>0</formula>
    </cfRule>
  </conditionalFormatting>
  <conditionalFormatting sqref="N25">
    <cfRule type="cellIs" dxfId="17" priority="17" stopIfTrue="1" operator="notEqual">
      <formula>0</formula>
    </cfRule>
  </conditionalFormatting>
  <conditionalFormatting sqref="N27">
    <cfRule type="cellIs" dxfId="16" priority="16" stopIfTrue="1" operator="notEqual">
      <formula>0</formula>
    </cfRule>
  </conditionalFormatting>
  <conditionalFormatting sqref="O2:O6">
    <cfRule type="cellIs" dxfId="15" priority="38" stopIfTrue="1" operator="equal">
      <formula>"ESCRIBA AQUÍ EL NOMBRE DE LA OBRA"</formula>
    </cfRule>
  </conditionalFormatting>
  <conditionalFormatting sqref="O14:U14">
    <cfRule type="cellIs" dxfId="14" priority="27" stopIfTrue="1" operator="notEqual">
      <formula>0</formula>
    </cfRule>
  </conditionalFormatting>
  <conditionalFormatting sqref="O63:U63">
    <cfRule type="cellIs" dxfId="13" priority="6" stopIfTrue="1" operator="notEqual">
      <formula>0</formula>
    </cfRule>
  </conditionalFormatting>
  <conditionalFormatting sqref="U14">
    <cfRule type="cellIs" dxfId="12" priority="29" stopIfTrue="1" operator="equal">
      <formula>0</formula>
    </cfRule>
  </conditionalFormatting>
  <conditionalFormatting sqref="U63">
    <cfRule type="cellIs" dxfId="11" priority="8" stopIfTrue="1" operator="equal">
      <formula>0</formula>
    </cfRule>
  </conditionalFormatting>
  <conditionalFormatting sqref="U2:AE6">
    <cfRule type="cellIs" dxfId="10" priority="30" stopIfTrue="1" operator="equal">
      <formula>"ESCRIBA AQUÍ EL NOMBRE DE LA OBRA"</formula>
    </cfRule>
  </conditionalFormatting>
  <conditionalFormatting sqref="AS1">
    <cfRule type="cellIs" dxfId="9" priority="9" stopIfTrue="1" operator="equal">
      <formula>"CHEQ. INSUMOS"</formula>
    </cfRule>
  </conditionalFormatting>
  <conditionalFormatting sqref="AS35">
    <cfRule type="expression" dxfId="8" priority="15" stopIfTrue="1">
      <formula>"&lt;G29"""</formula>
    </cfRule>
    <cfRule type="expression" dxfId="7" priority="14" stopIfTrue="1">
      <formula>"&gt;G29"</formula>
    </cfRule>
  </conditionalFormatting>
  <conditionalFormatting sqref="AS44">
    <cfRule type="expression" dxfId="6" priority="13" stopIfTrue="1">
      <formula>"&lt;G29"""</formula>
    </cfRule>
    <cfRule type="expression" dxfId="5" priority="12" stopIfTrue="1">
      <formula>"&gt;G29"</formula>
    </cfRule>
  </conditionalFormatting>
  <conditionalFormatting sqref="AS57">
    <cfRule type="expression" dxfId="4" priority="10" stopIfTrue="1">
      <formula>"&gt;G29"</formula>
    </cfRule>
    <cfRule type="expression" dxfId="3" priority="11" stopIfTrue="1">
      <formula>"&lt;G29"""</formula>
    </cfRule>
  </conditionalFormatting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27"/>
  <sheetViews>
    <sheetView showGridLines="0" topLeftCell="C4" zoomScale="75" zoomScaleNormal="70" workbookViewId="0">
      <selection activeCell="C6" sqref="C6:F7"/>
    </sheetView>
  </sheetViews>
  <sheetFormatPr baseColWidth="10" defaultColWidth="11.28515625" defaultRowHeight="16.5" x14ac:dyDescent="0.3"/>
  <cols>
    <col min="1" max="2" width="0" style="57" hidden="1" customWidth="1"/>
    <col min="3" max="3" width="41.7109375" style="57" customWidth="1"/>
    <col min="4" max="4" width="11" style="57" customWidth="1"/>
    <col min="5" max="5" width="11.85546875" style="57" bestFit="1" customWidth="1"/>
    <col min="6" max="6" width="10.28515625" style="57" customWidth="1"/>
    <col min="7" max="7" width="12.85546875" style="57" customWidth="1"/>
    <col min="8" max="8" width="19.140625" style="57" customWidth="1"/>
    <col min="9" max="18" width="0" style="57" hidden="1" customWidth="1"/>
    <col min="19" max="19" width="13.140625" style="57" customWidth="1"/>
    <col min="20" max="20" width="14.85546875" style="57" customWidth="1"/>
    <col min="21" max="21" width="11.28515625" style="57"/>
    <col min="22" max="22" width="12.140625" style="57" customWidth="1"/>
    <col min="23" max="23" width="11.28515625" style="57"/>
    <col min="24" max="24" width="18.7109375" style="57" customWidth="1"/>
    <col min="25" max="25" width="14.85546875" style="57" customWidth="1"/>
    <col min="26" max="26" width="16.85546875" style="57" customWidth="1"/>
    <col min="27" max="27" width="11.28515625" style="57"/>
    <col min="28" max="818" width="0" style="57" hidden="1" customWidth="1"/>
    <col min="819" max="16384" width="11.28515625" style="57"/>
  </cols>
  <sheetData>
    <row r="1" spans="1:18" hidden="1" x14ac:dyDescent="0.3">
      <c r="A1" s="467"/>
      <c r="B1" s="468">
        <v>1</v>
      </c>
      <c r="C1" s="692"/>
      <c r="D1" s="692" t="s">
        <v>173</v>
      </c>
      <c r="E1" s="693"/>
      <c r="F1" s="695" t="str">
        <f>"Duración" &amp; 'PRESUPUESTO ALCALDIA'!G80 &amp; " Días"</f>
        <v>Duración30 Días</v>
      </c>
      <c r="G1" s="697" t="s">
        <v>174</v>
      </c>
      <c r="H1" s="699">
        <f>'PRESUPUESTO ALCALDIA'!G1</f>
        <v>33765050</v>
      </c>
      <c r="I1" s="469"/>
      <c r="J1" s="470"/>
      <c r="Q1" s="57" t="s">
        <v>207</v>
      </c>
    </row>
    <row r="2" spans="1:18" hidden="1" x14ac:dyDescent="0.3">
      <c r="A2" s="471" t="str">
        <f>'PRESUPUESTO ALCALDIA'!A2</f>
        <v>CD</v>
      </c>
      <c r="B2" s="467"/>
      <c r="C2" s="692"/>
      <c r="D2" s="694"/>
      <c r="E2" s="694"/>
      <c r="F2" s="696"/>
      <c r="G2" s="698"/>
      <c r="H2" s="700"/>
      <c r="I2" s="472">
        <v>1</v>
      </c>
      <c r="J2" s="473"/>
      <c r="Q2" s="57" t="s">
        <v>207</v>
      </c>
      <c r="R2" s="57">
        <v>0.1</v>
      </c>
    </row>
    <row r="3" spans="1:18" ht="17.25" hidden="1" thickBot="1" x14ac:dyDescent="0.35">
      <c r="A3" s="474">
        <v>1</v>
      </c>
      <c r="B3" s="467"/>
      <c r="C3" s="475"/>
      <c r="D3" s="476" t="str">
        <f>'PRESUPUESTO ALCALDIA'!A2</f>
        <v>CD</v>
      </c>
      <c r="E3" s="477">
        <f>SUM(F3:H3)</f>
        <v>0.28000000000000003</v>
      </c>
      <c r="F3" s="478">
        <f>Adm</f>
        <v>0.25</v>
      </c>
      <c r="G3" s="479">
        <f>Imprev</f>
        <v>0.03</v>
      </c>
      <c r="H3" s="479">
        <f>Utilidad</f>
        <v>0</v>
      </c>
      <c r="I3" s="480">
        <f>'PRESUPUESTO ALCALDIA'!F56</f>
        <v>0</v>
      </c>
      <c r="J3" s="481" t="s">
        <v>175</v>
      </c>
    </row>
    <row r="4" spans="1:18" ht="18.75" thickTop="1" x14ac:dyDescent="0.3">
      <c r="A4" s="482"/>
      <c r="B4" s="482"/>
      <c r="C4" s="680" t="str">
        <f>'PRESUPUESTO ALCALDIA'!B7</f>
        <v>ALCALDIA MUNICIPAL DE PATIA</v>
      </c>
      <c r="D4" s="681"/>
      <c r="E4" s="682"/>
      <c r="F4" s="686" t="s">
        <v>176</v>
      </c>
      <c r="G4" s="687"/>
      <c r="H4" s="688"/>
      <c r="I4" s="483"/>
      <c r="J4" s="484"/>
    </row>
    <row r="5" spans="1:18" ht="18" x14ac:dyDescent="0.3">
      <c r="A5" s="482"/>
      <c r="B5" s="485"/>
      <c r="C5" s="683"/>
      <c r="D5" s="684"/>
      <c r="E5" s="685"/>
      <c r="F5" s="689"/>
      <c r="G5" s="690"/>
      <c r="H5" s="691"/>
      <c r="I5" s="483"/>
      <c r="J5" s="484"/>
    </row>
    <row r="6" spans="1:18" x14ac:dyDescent="0.3">
      <c r="A6" s="482"/>
      <c r="B6" s="486"/>
      <c r="C6" s="707" t="str">
        <f>'PRESUPUESTO ALCALDIA'!C9</f>
        <v>REALIZAR LA REPARACION DE LA CUBIERTA DEL INMUEBLE UBICADO EN LA CARRERA 3 No. 4-37 DE EL BORDO CAUCA DE PROPIEDAD DE LA ADMINISTRACION MUNICIPAL DE PATIA CAUCA.</v>
      </c>
      <c r="D6" s="708"/>
      <c r="E6" s="708"/>
      <c r="F6" s="709"/>
      <c r="G6" s="487" t="s">
        <v>85</v>
      </c>
      <c r="H6" s="560">
        <f ca="1">'PRESUPUESTO ALCALDIA'!G9</f>
        <v>45861</v>
      </c>
      <c r="I6" s="488"/>
      <c r="J6" s="489"/>
    </row>
    <row r="7" spans="1:18" ht="31.15" customHeight="1" thickBot="1" x14ac:dyDescent="0.35">
      <c r="A7" s="482"/>
      <c r="B7" s="486"/>
      <c r="C7" s="710"/>
      <c r="D7" s="711"/>
      <c r="E7" s="711"/>
      <c r="F7" s="712"/>
      <c r="G7" s="705"/>
      <c r="H7" s="706"/>
      <c r="I7" s="12"/>
      <c r="J7" s="13"/>
    </row>
    <row r="8" spans="1:18" ht="17.25" thickTop="1" x14ac:dyDescent="0.3">
      <c r="C8" s="39"/>
      <c r="D8" s="103"/>
      <c r="E8" s="39"/>
      <c r="F8" s="39"/>
      <c r="G8" s="39"/>
      <c r="H8" s="39"/>
      <c r="I8" s="490"/>
      <c r="J8" s="491"/>
    </row>
    <row r="9" spans="1:18" ht="17.25" thickBot="1" x14ac:dyDescent="0.35">
      <c r="C9" s="39"/>
      <c r="D9" s="103"/>
      <c r="E9" s="39"/>
      <c r="F9" s="39"/>
      <c r="G9" s="39"/>
      <c r="H9" s="39"/>
      <c r="I9" s="490"/>
      <c r="J9" s="491"/>
    </row>
    <row r="10" spans="1:18" ht="17.25" thickTop="1" x14ac:dyDescent="0.3">
      <c r="A10" s="482" t="s">
        <v>231</v>
      </c>
      <c r="B10" s="584"/>
      <c r="C10" s="713" t="s">
        <v>101</v>
      </c>
      <c r="D10" s="714"/>
      <c r="E10" s="714"/>
      <c r="F10" s="714"/>
      <c r="G10" s="585"/>
      <c r="H10" s="586" t="s">
        <v>232</v>
      </c>
      <c r="I10" s="587" t="s">
        <v>177</v>
      </c>
      <c r="J10" s="588" t="s">
        <v>95</v>
      </c>
    </row>
    <row r="11" spans="1:18" x14ac:dyDescent="0.3">
      <c r="A11" s="482"/>
      <c r="B11" s="584"/>
      <c r="C11" s="715"/>
      <c r="D11" s="716"/>
      <c r="E11" s="716"/>
      <c r="F11" s="716"/>
      <c r="G11" s="589"/>
      <c r="H11" s="590" t="str">
        <f>"ITEM:   "&amp;'[2]PRESUPUESTO ALCALDIA'!B17</f>
        <v>ITEM:   1,2</v>
      </c>
      <c r="I11" s="591">
        <f>'[2]PRESUPUESTO ALCALDIA'!$AQ$16</f>
        <v>36</v>
      </c>
      <c r="J11" s="592"/>
    </row>
    <row r="12" spans="1:18" x14ac:dyDescent="0.3">
      <c r="A12" s="593" t="s">
        <v>178</v>
      </c>
      <c r="B12" s="584"/>
      <c r="C12" s="594" t="s">
        <v>88</v>
      </c>
      <c r="D12" s="595" t="s">
        <v>89</v>
      </c>
      <c r="E12" s="596" t="s">
        <v>90</v>
      </c>
      <c r="F12" s="596" t="s">
        <v>179</v>
      </c>
      <c r="G12" s="597" t="s">
        <v>180</v>
      </c>
      <c r="H12" s="598" t="s">
        <v>181</v>
      </c>
      <c r="I12" s="599"/>
      <c r="J12" s="600" t="s">
        <v>181</v>
      </c>
    </row>
    <row r="13" spans="1:18" x14ac:dyDescent="0.3">
      <c r="A13" s="593"/>
      <c r="B13" s="584"/>
      <c r="C13" s="601"/>
      <c r="D13" s="482"/>
      <c r="E13" s="602"/>
      <c r="F13" s="602"/>
      <c r="G13" s="603"/>
      <c r="H13" s="604"/>
      <c r="I13" s="605"/>
      <c r="J13" s="606"/>
    </row>
    <row r="14" spans="1:18" x14ac:dyDescent="0.3">
      <c r="A14" s="593" t="s">
        <v>182</v>
      </c>
      <c r="B14" s="584"/>
      <c r="C14" s="607" t="s">
        <v>183</v>
      </c>
      <c r="D14" s="482"/>
      <c r="E14" s="602"/>
      <c r="F14" s="602"/>
      <c r="G14" s="603"/>
      <c r="H14" s="604"/>
      <c r="I14" s="605"/>
      <c r="J14" s="606"/>
    </row>
    <row r="15" spans="1:18" x14ac:dyDescent="0.3">
      <c r="A15" s="593" t="s">
        <v>233</v>
      </c>
      <c r="B15" s="584" t="s">
        <v>234</v>
      </c>
      <c r="C15" s="594" t="str">
        <f>+C69</f>
        <v>MANO DE OBRA</v>
      </c>
      <c r="D15" s="595" t="s">
        <v>104</v>
      </c>
      <c r="E15" s="596">
        <v>1E-3</v>
      </c>
      <c r="F15" s="596">
        <v>0</v>
      </c>
      <c r="G15" s="597">
        <f>+H43</f>
        <v>2200</v>
      </c>
      <c r="H15" s="598">
        <f>TRUNC(E15* (1 + F15 / 100) * G15,2)</f>
        <v>2.2000000000000002</v>
      </c>
      <c r="I15" s="599">
        <f>I11 * (E15 * (1+F15/100))</f>
        <v>3.6000000000000004E-2</v>
      </c>
      <c r="J15" s="606">
        <f>H15 * I11</f>
        <v>79.2</v>
      </c>
    </row>
    <row r="16" spans="1:18" x14ac:dyDescent="0.3">
      <c r="A16" s="593">
        <v>101008</v>
      </c>
      <c r="B16" s="584" t="s">
        <v>235</v>
      </c>
      <c r="C16" s="594" t="s">
        <v>236</v>
      </c>
      <c r="D16" s="595" t="s">
        <v>237</v>
      </c>
      <c r="E16" s="596">
        <v>0.1</v>
      </c>
      <c r="F16" s="596">
        <v>0</v>
      </c>
      <c r="G16" s="597">
        <v>7500</v>
      </c>
      <c r="H16" s="598">
        <f>TRUNC(E16* (1 + F16 / 100) * G16,2)</f>
        <v>750</v>
      </c>
      <c r="I16" s="599">
        <f>I11 * (E16 * (1+F16/100))</f>
        <v>3.6</v>
      </c>
      <c r="J16" s="606">
        <f>H16 * I11</f>
        <v>27000</v>
      </c>
    </row>
    <row r="17" spans="1:16" x14ac:dyDescent="0.3">
      <c r="A17" s="593">
        <v>105037</v>
      </c>
      <c r="B17" s="584" t="s">
        <v>238</v>
      </c>
      <c r="C17" s="594" t="s">
        <v>239</v>
      </c>
      <c r="D17" s="595" t="s">
        <v>240</v>
      </c>
      <c r="E17" s="596">
        <v>2.2000000000000001E-3</v>
      </c>
      <c r="F17" s="596">
        <v>0</v>
      </c>
      <c r="G17" s="597">
        <v>35000</v>
      </c>
      <c r="H17" s="598">
        <f>TRUNC(E17* (1 + F17 / 100) * G17,2)</f>
        <v>77</v>
      </c>
      <c r="I17" s="599">
        <f>I11 * (E17 * (1+F17/100))</f>
        <v>7.9200000000000007E-2</v>
      </c>
      <c r="J17" s="606">
        <f>H17 * I11</f>
        <v>2772</v>
      </c>
    </row>
    <row r="18" spans="1:16" x14ac:dyDescent="0.3">
      <c r="A18" s="482" t="s">
        <v>184</v>
      </c>
      <c r="B18" s="584"/>
      <c r="C18" s="601"/>
      <c r="D18" s="482"/>
      <c r="E18" s="602"/>
      <c r="F18" s="602"/>
      <c r="G18" s="603" t="s">
        <v>185</v>
      </c>
      <c r="H18" s="608">
        <f>SUM(H14:H17)</f>
        <v>829.2</v>
      </c>
      <c r="I18" s="605"/>
      <c r="J18" s="608">
        <f>SUM(J14:J17)</f>
        <v>29851.200000000001</v>
      </c>
    </row>
    <row r="19" spans="1:16" x14ac:dyDescent="0.3">
      <c r="A19" s="482"/>
      <c r="B19" s="39"/>
      <c r="C19" s="607"/>
      <c r="D19" s="482"/>
      <c r="E19" s="602"/>
      <c r="F19" s="602"/>
      <c r="G19" s="603"/>
      <c r="H19" s="604"/>
      <c r="I19" s="605"/>
      <c r="J19" s="606"/>
    </row>
    <row r="20" spans="1:16" x14ac:dyDescent="0.3">
      <c r="A20" s="593" t="s">
        <v>186</v>
      </c>
      <c r="B20" s="584"/>
      <c r="C20" s="607" t="s">
        <v>187</v>
      </c>
      <c r="D20" s="482"/>
      <c r="E20" s="602"/>
      <c r="F20" s="609"/>
      <c r="G20" s="610"/>
      <c r="H20" s="611"/>
      <c r="I20" s="605"/>
      <c r="J20" s="612"/>
    </row>
    <row r="21" spans="1:16" x14ac:dyDescent="0.3">
      <c r="A21" s="593"/>
      <c r="B21" s="584"/>
      <c r="C21" s="594" t="s">
        <v>241</v>
      </c>
      <c r="D21" s="595" t="s">
        <v>242</v>
      </c>
      <c r="E21" s="596">
        <v>1.2999999999999999E-2</v>
      </c>
      <c r="F21" s="613">
        <v>1</v>
      </c>
      <c r="G21" s="614">
        <v>80000</v>
      </c>
      <c r="H21" s="615">
        <f>+G21*F21*E21</f>
        <v>1040</v>
      </c>
      <c r="I21" s="599"/>
      <c r="J21" s="612"/>
    </row>
    <row r="22" spans="1:16" x14ac:dyDescent="0.3">
      <c r="A22" s="593"/>
      <c r="B22" s="584"/>
      <c r="C22" s="594"/>
      <c r="D22" s="595"/>
      <c r="E22" s="596"/>
      <c r="F22" s="613"/>
      <c r="G22" s="614"/>
      <c r="H22" s="615"/>
      <c r="I22" s="599"/>
      <c r="J22" s="612"/>
    </row>
    <row r="23" spans="1:16" x14ac:dyDescent="0.3">
      <c r="A23" s="616"/>
      <c r="B23" s="39"/>
      <c r="C23" s="601"/>
      <c r="D23" s="482"/>
      <c r="E23" s="602"/>
      <c r="F23" s="602"/>
      <c r="G23" s="603"/>
      <c r="H23" s="617"/>
      <c r="I23" s="605"/>
      <c r="J23" s="618"/>
    </row>
    <row r="24" spans="1:16" x14ac:dyDescent="0.3">
      <c r="A24" s="593" t="s">
        <v>190</v>
      </c>
      <c r="B24" s="584"/>
      <c r="C24" s="619" t="s">
        <v>191</v>
      </c>
      <c r="D24" s="482"/>
      <c r="E24" s="602"/>
      <c r="F24" s="602"/>
      <c r="G24" s="603"/>
      <c r="H24" s="604"/>
      <c r="I24" s="605"/>
      <c r="J24" s="606"/>
    </row>
    <row r="25" spans="1:16" x14ac:dyDescent="0.3">
      <c r="A25" s="593">
        <v>300026</v>
      </c>
      <c r="B25" s="584" t="s">
        <v>191</v>
      </c>
      <c r="C25" s="620" t="s">
        <v>192</v>
      </c>
      <c r="D25" s="595" t="s">
        <v>193</v>
      </c>
      <c r="E25" s="596">
        <v>0.16700000000000001</v>
      </c>
      <c r="F25" s="596"/>
      <c r="G25" s="597">
        <v>1690</v>
      </c>
      <c r="H25" s="598">
        <f>TRUNC(E25* (1 + F25 / 100) * G25,2)</f>
        <v>282.23</v>
      </c>
      <c r="I25" s="599">
        <f>I11 * (E25 * (1+F25/100))</f>
        <v>6.0120000000000005</v>
      </c>
      <c r="J25" s="606">
        <f>H25 * I11</f>
        <v>10160.280000000001</v>
      </c>
    </row>
    <row r="26" spans="1:16" x14ac:dyDescent="0.3">
      <c r="A26" s="482" t="s">
        <v>194</v>
      </c>
      <c r="B26" s="584"/>
      <c r="C26" s="601"/>
      <c r="D26" s="482"/>
      <c r="E26" s="602"/>
      <c r="F26" s="602"/>
      <c r="G26" s="603" t="s">
        <v>195</v>
      </c>
      <c r="H26" s="608">
        <f>SUM(H24:H25)</f>
        <v>282.23</v>
      </c>
      <c r="I26" s="605"/>
      <c r="J26" s="608">
        <f>SUM(J24:J25)</f>
        <v>10160.280000000001</v>
      </c>
    </row>
    <row r="27" spans="1:16" x14ac:dyDescent="0.3">
      <c r="A27" s="482" t="s">
        <v>196</v>
      </c>
      <c r="B27" s="39"/>
      <c r="C27" s="607" t="s">
        <v>197</v>
      </c>
      <c r="D27" s="482"/>
      <c r="E27" s="602"/>
      <c r="F27" s="602"/>
      <c r="G27" s="603"/>
      <c r="H27" s="604"/>
      <c r="I27" s="605"/>
      <c r="J27" s="606"/>
    </row>
    <row r="28" spans="1:16" x14ac:dyDescent="0.3">
      <c r="A28" s="593"/>
      <c r="B28" s="584"/>
      <c r="C28" s="594"/>
      <c r="D28" s="595"/>
      <c r="E28" s="596"/>
      <c r="F28" s="596"/>
      <c r="G28" s="597"/>
      <c r="H28" s="598"/>
      <c r="I28" s="599"/>
      <c r="J28" s="600"/>
    </row>
    <row r="29" spans="1:16" x14ac:dyDescent="0.3">
      <c r="A29" s="616" t="s">
        <v>198</v>
      </c>
      <c r="B29" s="39"/>
      <c r="C29" s="601"/>
      <c r="D29" s="482"/>
      <c r="E29" s="602"/>
      <c r="F29" s="602"/>
      <c r="G29" s="603" t="s">
        <v>199</v>
      </c>
      <c r="H29" s="598">
        <f>SUM(H27:H28)</f>
        <v>0</v>
      </c>
      <c r="I29" s="605"/>
      <c r="J29" s="600">
        <f>SUM(J27:J28)</f>
        <v>0</v>
      </c>
    </row>
    <row r="30" spans="1:16" x14ac:dyDescent="0.3">
      <c r="A30" s="482"/>
      <c r="B30" s="621"/>
      <c r="C30" s="601"/>
      <c r="D30" s="482"/>
      <c r="E30" s="602"/>
      <c r="F30" s="602"/>
      <c r="G30" s="603"/>
      <c r="H30" s="604"/>
      <c r="I30" s="605"/>
      <c r="J30" s="606"/>
    </row>
    <row r="31" spans="1:16" ht="17.25" thickBot="1" x14ac:dyDescent="0.35">
      <c r="A31" s="482" t="s">
        <v>92</v>
      </c>
      <c r="B31" s="621"/>
      <c r="C31" s="622"/>
      <c r="D31" s="623"/>
      <c r="E31" s="624"/>
      <c r="F31" s="625" t="s">
        <v>200</v>
      </c>
      <c r="G31" s="626"/>
      <c r="H31" s="627">
        <f>IF($A$2="CD",IF($A$3=1,ROUND(SUM(H12:H30)/2,0),IF($A$3=3,ROUND(SUM(H12:H30)/2,-1),SUM(H12:H30)/2)),SUM(H12:H30)/2)</f>
        <v>1631</v>
      </c>
      <c r="I31" s="628">
        <f>SUM(J12:J30)/2</f>
        <v>40011.480000000003</v>
      </c>
      <c r="J31" s="629">
        <f>IF($A$2="CD",IF($A$3=1,ROUND(SUM(J12:J30)/2,0),IF($A$3=3,ROUND(SUM(J12:J30)/2,-1),SUM(J12:J30)/2)),SUM(J12:J30)/2)</f>
        <v>40011</v>
      </c>
    </row>
    <row r="32" spans="1:16" customFormat="1" thickTop="1" thickBot="1" x14ac:dyDescent="0.3">
      <c r="A32" s="507"/>
      <c r="B32" s="508"/>
      <c r="C32" s="507"/>
      <c r="D32" s="507"/>
      <c r="E32" s="507"/>
      <c r="F32" s="509"/>
      <c r="G32" s="507"/>
      <c r="H32" s="507"/>
      <c r="I32" s="510"/>
      <c r="J32" s="511"/>
      <c r="K32" s="512"/>
      <c r="L32" s="507"/>
      <c r="M32" s="507"/>
      <c r="N32" s="507"/>
      <c r="O32" s="507"/>
      <c r="P32" s="507"/>
    </row>
    <row r="33" spans="1:16" customFormat="1" ht="15.75" thickTop="1" x14ac:dyDescent="0.25">
      <c r="A33" s="513" t="s">
        <v>216</v>
      </c>
      <c r="B33" s="514"/>
      <c r="C33" s="701" t="s">
        <v>223</v>
      </c>
      <c r="D33" s="702"/>
      <c r="E33" s="702"/>
      <c r="F33" s="702"/>
      <c r="G33" s="515"/>
      <c r="H33" s="516" t="s">
        <v>209</v>
      </c>
      <c r="I33" s="517" t="s">
        <v>177</v>
      </c>
      <c r="J33" s="518" t="s">
        <v>95</v>
      </c>
      <c r="K33" s="512"/>
      <c r="L33" s="507"/>
      <c r="M33" s="507"/>
      <c r="N33" s="507"/>
      <c r="O33" s="507"/>
      <c r="P33" s="507"/>
    </row>
    <row r="34" spans="1:16" customFormat="1" ht="15" x14ac:dyDescent="0.25">
      <c r="A34" s="513"/>
      <c r="B34" s="514"/>
      <c r="C34" s="703"/>
      <c r="D34" s="704"/>
      <c r="E34" s="704"/>
      <c r="F34" s="704"/>
      <c r="G34" s="519"/>
      <c r="H34" s="520"/>
      <c r="I34" s="521"/>
      <c r="J34" s="522"/>
      <c r="K34" s="512"/>
      <c r="L34" s="507"/>
      <c r="M34" s="507"/>
      <c r="N34" s="507"/>
      <c r="O34" s="507"/>
      <c r="P34" s="507"/>
    </row>
    <row r="35" spans="1:16" customFormat="1" ht="15" x14ac:dyDescent="0.25">
      <c r="A35" s="523" t="s">
        <v>178</v>
      </c>
      <c r="B35" s="514"/>
      <c r="C35" s="524" t="s">
        <v>88</v>
      </c>
      <c r="D35" s="525" t="s">
        <v>89</v>
      </c>
      <c r="E35" s="526" t="s">
        <v>90</v>
      </c>
      <c r="F35" s="527" t="s">
        <v>179</v>
      </c>
      <c r="G35" s="528" t="s">
        <v>180</v>
      </c>
      <c r="H35" s="529" t="s">
        <v>181</v>
      </c>
      <c r="I35" s="530"/>
      <c r="J35" s="531" t="s">
        <v>181</v>
      </c>
      <c r="K35" s="512"/>
      <c r="L35" s="507"/>
      <c r="M35" s="507"/>
      <c r="N35" s="507"/>
      <c r="O35" s="507"/>
      <c r="P35" s="507"/>
    </row>
    <row r="36" spans="1:16" customFormat="1" ht="15" x14ac:dyDescent="0.25">
      <c r="A36" s="523"/>
      <c r="B36" s="514"/>
      <c r="C36" s="532"/>
      <c r="D36" s="513"/>
      <c r="E36" s="510"/>
      <c r="F36" s="533"/>
      <c r="G36" s="534"/>
      <c r="H36" s="535"/>
      <c r="I36" s="536"/>
      <c r="J36" s="537"/>
      <c r="K36" s="512"/>
      <c r="L36" s="507"/>
      <c r="M36" s="507"/>
      <c r="N36" s="507"/>
      <c r="O36" s="507"/>
      <c r="P36" s="507"/>
    </row>
    <row r="37" spans="1:16" customFormat="1" ht="15" x14ac:dyDescent="0.25">
      <c r="A37" s="523" t="s">
        <v>186</v>
      </c>
      <c r="B37" s="514"/>
      <c r="C37" s="538" t="s">
        <v>187</v>
      </c>
      <c r="D37" s="513"/>
      <c r="E37" s="510"/>
      <c r="F37" s="533"/>
      <c r="G37" s="534"/>
      <c r="H37" s="535"/>
      <c r="I37" s="536"/>
      <c r="J37" s="537"/>
      <c r="K37" s="512"/>
      <c r="L37" s="507"/>
      <c r="M37" s="507"/>
      <c r="N37" s="507"/>
      <c r="O37" s="507"/>
      <c r="P37" s="507"/>
    </row>
    <row r="38" spans="1:16" customFormat="1" ht="15" x14ac:dyDescent="0.25">
      <c r="A38" s="523">
        <v>200006</v>
      </c>
      <c r="B38" s="514" t="s">
        <v>187</v>
      </c>
      <c r="C38" s="524" t="s">
        <v>217</v>
      </c>
      <c r="D38" s="525" t="s">
        <v>212</v>
      </c>
      <c r="E38" s="526">
        <v>0.28000000000000003</v>
      </c>
      <c r="F38" s="527"/>
      <c r="G38" s="528">
        <v>11250</v>
      </c>
      <c r="H38" s="529">
        <f>+G38*E38</f>
        <v>3150.0000000000005</v>
      </c>
      <c r="I38" s="530">
        <f>I34 * (E38 * (1+F38/100))</f>
        <v>0</v>
      </c>
      <c r="J38" s="531">
        <v>0</v>
      </c>
      <c r="K38" s="512"/>
      <c r="L38" s="507"/>
      <c r="M38" s="507"/>
      <c r="N38" s="507"/>
      <c r="O38" s="507"/>
      <c r="P38" s="507"/>
    </row>
    <row r="39" spans="1:16" customFormat="1" ht="15" x14ac:dyDescent="0.25">
      <c r="A39" s="523">
        <v>200017</v>
      </c>
      <c r="B39" s="514" t="s">
        <v>187</v>
      </c>
      <c r="C39" s="524" t="s">
        <v>219</v>
      </c>
      <c r="D39" s="525" t="s">
        <v>212</v>
      </c>
      <c r="E39" s="526">
        <v>0.1</v>
      </c>
      <c r="F39" s="527"/>
      <c r="G39" s="528">
        <v>25709</v>
      </c>
      <c r="H39" s="529">
        <f t="shared" ref="H39" si="0">+G39*E39</f>
        <v>2570.9</v>
      </c>
      <c r="I39" s="530">
        <f>I35 * (E39 * (1+F39/100))</f>
        <v>0</v>
      </c>
      <c r="J39" s="531">
        <v>0</v>
      </c>
      <c r="K39" s="512"/>
      <c r="L39" s="507"/>
      <c r="M39" s="507"/>
      <c r="N39" s="507"/>
      <c r="O39" s="507"/>
      <c r="P39" s="507"/>
    </row>
    <row r="40" spans="1:16" customFormat="1" ht="15" x14ac:dyDescent="0.25">
      <c r="A40" s="539" t="s">
        <v>188</v>
      </c>
      <c r="B40" s="514"/>
      <c r="C40" s="532"/>
      <c r="D40" s="513"/>
      <c r="E40" s="510"/>
      <c r="F40" s="533"/>
      <c r="G40" s="534" t="s">
        <v>189</v>
      </c>
      <c r="H40" s="540">
        <f>SUM(H38:H39)</f>
        <v>5720.9000000000005</v>
      </c>
      <c r="I40" s="536"/>
      <c r="J40" s="541">
        <v>0</v>
      </c>
      <c r="K40" s="512"/>
      <c r="L40" s="507"/>
      <c r="M40" s="507"/>
      <c r="N40" s="507"/>
      <c r="O40" s="507"/>
      <c r="P40" s="507"/>
    </row>
    <row r="41" spans="1:16" customFormat="1" ht="15" x14ac:dyDescent="0.25">
      <c r="A41" s="523" t="s">
        <v>190</v>
      </c>
      <c r="B41" s="514"/>
      <c r="C41" s="542" t="s">
        <v>220</v>
      </c>
      <c r="D41" s="513"/>
      <c r="E41" s="510"/>
      <c r="F41" s="533"/>
      <c r="G41" s="534"/>
      <c r="H41" s="535"/>
      <c r="I41" s="536"/>
      <c r="J41" s="537"/>
      <c r="K41" s="512"/>
      <c r="L41" s="507"/>
      <c r="M41" s="507"/>
      <c r="N41" s="507"/>
      <c r="O41" s="507"/>
      <c r="P41" s="507"/>
    </row>
    <row r="42" spans="1:16" customFormat="1" ht="15" x14ac:dyDescent="0.25">
      <c r="A42" s="523">
        <v>300026</v>
      </c>
      <c r="B42" s="514" t="s">
        <v>191</v>
      </c>
      <c r="C42" s="524" t="s">
        <v>222</v>
      </c>
      <c r="D42" s="525" t="s">
        <v>221</v>
      </c>
      <c r="E42" s="526">
        <v>1</v>
      </c>
      <c r="F42" s="527"/>
      <c r="G42" s="528">
        <v>2200</v>
      </c>
      <c r="H42" s="529">
        <f>+G42*E42</f>
        <v>2200</v>
      </c>
      <c r="I42" s="530">
        <f>I80 * (E42 * (1+F42/100))</f>
        <v>0</v>
      </c>
      <c r="J42" s="531">
        <v>0</v>
      </c>
      <c r="K42" s="512"/>
      <c r="L42" s="507"/>
      <c r="M42" s="507"/>
      <c r="N42" s="507"/>
      <c r="O42" s="507"/>
      <c r="P42" s="507"/>
    </row>
    <row r="43" spans="1:16" customFormat="1" ht="15" x14ac:dyDescent="0.25">
      <c r="A43" s="539" t="s">
        <v>194</v>
      </c>
      <c r="B43" s="514"/>
      <c r="C43" s="532"/>
      <c r="D43" s="513"/>
      <c r="E43" s="510"/>
      <c r="F43" s="533"/>
      <c r="G43" s="534" t="s">
        <v>224</v>
      </c>
      <c r="H43" s="540">
        <f>+H42</f>
        <v>2200</v>
      </c>
      <c r="I43" s="536"/>
      <c r="J43" s="541">
        <v>0</v>
      </c>
      <c r="K43" s="512"/>
      <c r="L43" s="507"/>
      <c r="M43" s="507"/>
      <c r="N43" s="507"/>
      <c r="O43" s="507"/>
      <c r="P43" s="507"/>
    </row>
    <row r="44" spans="1:16" customFormat="1" ht="15" x14ac:dyDescent="0.25">
      <c r="A44" s="523" t="s">
        <v>190</v>
      </c>
      <c r="B44" s="514"/>
      <c r="C44" s="542" t="s">
        <v>191</v>
      </c>
      <c r="D44" s="513"/>
      <c r="E44" s="510"/>
      <c r="F44" s="533"/>
      <c r="G44" s="534"/>
      <c r="H44" s="535"/>
      <c r="I44" s="536"/>
      <c r="J44" s="537"/>
      <c r="K44" s="512"/>
      <c r="L44" s="507"/>
      <c r="M44" s="507"/>
      <c r="N44" s="507"/>
      <c r="O44" s="507"/>
      <c r="P44" s="507"/>
    </row>
    <row r="45" spans="1:16" customFormat="1" ht="15" x14ac:dyDescent="0.25">
      <c r="A45" s="523">
        <v>300026</v>
      </c>
      <c r="B45" s="514" t="s">
        <v>191</v>
      </c>
      <c r="C45" s="524" t="s">
        <v>192</v>
      </c>
      <c r="D45" s="525" t="s">
        <v>193</v>
      </c>
      <c r="E45" s="526">
        <v>0.501</v>
      </c>
      <c r="F45" s="527"/>
      <c r="G45" s="528">
        <v>1690</v>
      </c>
      <c r="H45" s="529">
        <f>+G45*E45</f>
        <v>846.69</v>
      </c>
      <c r="I45" s="530">
        <f>I34 * (E45 * (1+F45/100))</f>
        <v>0</v>
      </c>
      <c r="J45" s="531">
        <v>0</v>
      </c>
      <c r="K45" s="512"/>
      <c r="L45" s="507"/>
      <c r="M45" s="507"/>
      <c r="N45" s="507"/>
      <c r="O45" s="507"/>
      <c r="P45" s="507"/>
    </row>
    <row r="46" spans="1:16" customFormat="1" ht="15" x14ac:dyDescent="0.25">
      <c r="A46" s="539" t="s">
        <v>194</v>
      </c>
      <c r="B46" s="514"/>
      <c r="C46" s="532"/>
      <c r="D46" s="513"/>
      <c r="E46" s="510"/>
      <c r="F46" s="533"/>
      <c r="G46" s="534" t="s">
        <v>195</v>
      </c>
      <c r="H46" s="540">
        <v>846.69</v>
      </c>
      <c r="I46" s="536"/>
      <c r="J46" s="541">
        <v>0</v>
      </c>
      <c r="K46" s="512"/>
      <c r="L46" s="507"/>
      <c r="M46" s="507"/>
      <c r="N46" s="507"/>
      <c r="O46" s="507"/>
      <c r="P46" s="507"/>
    </row>
    <row r="47" spans="1:16" customFormat="1" ht="15" hidden="1" x14ac:dyDescent="0.25">
      <c r="A47" s="513" t="s">
        <v>196</v>
      </c>
      <c r="B47" s="543"/>
      <c r="C47" s="538" t="s">
        <v>197</v>
      </c>
      <c r="D47" s="513"/>
      <c r="E47" s="510"/>
      <c r="F47" s="533"/>
      <c r="G47" s="534"/>
      <c r="H47" s="535"/>
      <c r="I47" s="536"/>
      <c r="J47" s="537"/>
      <c r="K47" s="512"/>
      <c r="L47" s="507"/>
      <c r="M47" s="507"/>
      <c r="N47" s="507"/>
      <c r="O47" s="507"/>
      <c r="P47" s="507"/>
    </row>
    <row r="48" spans="1:16" customFormat="1" ht="15" hidden="1" x14ac:dyDescent="0.25">
      <c r="A48" s="523"/>
      <c r="B48" s="514"/>
      <c r="C48" s="524"/>
      <c r="D48" s="525"/>
      <c r="E48" s="526"/>
      <c r="F48" s="527"/>
      <c r="G48" s="528"/>
      <c r="H48" s="529"/>
      <c r="I48" s="530"/>
      <c r="J48" s="531"/>
      <c r="K48" s="544"/>
      <c r="L48" s="507"/>
      <c r="M48" s="507"/>
      <c r="N48" s="507"/>
      <c r="O48" s="507"/>
      <c r="P48" s="507"/>
    </row>
    <row r="49" spans="1:16" customFormat="1" ht="15" hidden="1" x14ac:dyDescent="0.25">
      <c r="A49" s="539" t="s">
        <v>198</v>
      </c>
      <c r="B49" s="543"/>
      <c r="C49" s="532"/>
      <c r="D49" s="513"/>
      <c r="E49" s="510"/>
      <c r="F49" s="533"/>
      <c r="G49" s="534" t="s">
        <v>199</v>
      </c>
      <c r="H49" s="529">
        <v>0</v>
      </c>
      <c r="I49" s="536"/>
      <c r="J49" s="531">
        <v>0</v>
      </c>
      <c r="K49" s="512"/>
      <c r="L49" s="507"/>
      <c r="M49" s="507"/>
      <c r="N49" s="507"/>
      <c r="O49" s="507"/>
      <c r="P49" s="507"/>
    </row>
    <row r="50" spans="1:16" customFormat="1" ht="15" x14ac:dyDescent="0.25">
      <c r="A50" s="513"/>
      <c r="B50" s="545"/>
      <c r="C50" s="532"/>
      <c r="D50" s="513"/>
      <c r="E50" s="510"/>
      <c r="F50" s="533"/>
      <c r="G50" s="534"/>
      <c r="H50" s="535"/>
      <c r="I50" s="536"/>
      <c r="J50" s="537"/>
      <c r="K50" s="512"/>
      <c r="L50" s="507"/>
      <c r="M50" s="507"/>
      <c r="N50" s="507"/>
      <c r="O50" s="507"/>
      <c r="P50" s="507"/>
    </row>
    <row r="51" spans="1:16" customFormat="1" ht="15.75" thickBot="1" x14ac:dyDescent="0.3">
      <c r="A51" s="513" t="s">
        <v>92</v>
      </c>
      <c r="B51" s="545"/>
      <c r="C51" s="546"/>
      <c r="D51" s="547"/>
      <c r="E51" s="548"/>
      <c r="F51" s="549" t="s">
        <v>200</v>
      </c>
      <c r="G51" s="550">
        <v>18924.140000000003</v>
      </c>
      <c r="H51" s="551">
        <f>+H40+H43+H46</f>
        <v>8767.59</v>
      </c>
      <c r="I51" s="552">
        <f>SUM(J35:J50)/2</f>
        <v>0</v>
      </c>
      <c r="J51" s="553">
        <v>0</v>
      </c>
      <c r="K51" s="512"/>
      <c r="L51" s="507"/>
      <c r="M51" s="507"/>
      <c r="N51" s="507"/>
      <c r="O51" s="507"/>
      <c r="P51" s="507"/>
    </row>
    <row r="52" spans="1:16" customFormat="1" ht="15.75" hidden="1" thickTop="1" x14ac:dyDescent="0.25">
      <c r="A52" s="513" t="s">
        <v>201</v>
      </c>
      <c r="B52" s="545"/>
      <c r="C52" s="561" t="s">
        <v>139</v>
      </c>
      <c r="D52" s="562"/>
      <c r="E52" s="563"/>
      <c r="F52" s="564"/>
      <c r="G52" s="565"/>
      <c r="H52" s="566"/>
      <c r="I52" s="536"/>
      <c r="J52" s="567"/>
      <c r="K52" s="512"/>
      <c r="L52" s="507"/>
      <c r="M52" s="507"/>
      <c r="N52" s="507"/>
      <c r="O52" s="507"/>
      <c r="P52" s="507"/>
    </row>
    <row r="53" spans="1:16" customFormat="1" ht="15.75" hidden="1" thickTop="1" x14ac:dyDescent="0.25">
      <c r="A53" s="523" t="s">
        <v>146</v>
      </c>
      <c r="B53" s="545"/>
      <c r="C53" s="568" t="s">
        <v>117</v>
      </c>
      <c r="D53" s="569"/>
      <c r="E53" s="570"/>
      <c r="F53" s="571">
        <f>$F$3</f>
        <v>0.25</v>
      </c>
      <c r="G53" s="572"/>
      <c r="H53" s="573">
        <v>0</v>
      </c>
      <c r="I53" s="536"/>
      <c r="J53" s="531">
        <v>0</v>
      </c>
      <c r="K53" s="512"/>
      <c r="L53" s="507"/>
      <c r="M53" s="507"/>
      <c r="N53" s="507"/>
      <c r="O53" s="507"/>
      <c r="P53" s="507"/>
    </row>
    <row r="54" spans="1:16" customFormat="1" ht="15.75" hidden="1" thickTop="1" x14ac:dyDescent="0.25">
      <c r="A54" s="523" t="s">
        <v>202</v>
      </c>
      <c r="B54" s="545"/>
      <c r="C54" s="568" t="s">
        <v>119</v>
      </c>
      <c r="D54" s="569"/>
      <c r="E54" s="570"/>
      <c r="F54" s="571">
        <f>$G$3</f>
        <v>0.03</v>
      </c>
      <c r="G54" s="572"/>
      <c r="H54" s="573">
        <v>0</v>
      </c>
      <c r="I54" s="536"/>
      <c r="J54" s="531">
        <v>0</v>
      </c>
      <c r="K54" s="512"/>
      <c r="L54" s="507"/>
      <c r="M54" s="507"/>
      <c r="N54" s="507"/>
      <c r="O54" s="507"/>
      <c r="P54" s="507"/>
    </row>
    <row r="55" spans="1:16" customFormat="1" ht="15.75" hidden="1" thickTop="1" x14ac:dyDescent="0.25">
      <c r="A55" s="523" t="s">
        <v>148</v>
      </c>
      <c r="B55" s="545"/>
      <c r="C55" s="568" t="s">
        <v>121</v>
      </c>
      <c r="D55" s="569"/>
      <c r="E55" s="570"/>
      <c r="F55" s="571">
        <f>$H$3</f>
        <v>0</v>
      </c>
      <c r="G55" s="572"/>
      <c r="H55" s="573">
        <v>0</v>
      </c>
      <c r="I55" s="536"/>
      <c r="J55" s="531">
        <v>0</v>
      </c>
      <c r="K55" s="512"/>
      <c r="L55" s="507"/>
      <c r="M55" s="507"/>
      <c r="N55" s="507"/>
      <c r="O55" s="507"/>
      <c r="P55" s="507"/>
    </row>
    <row r="56" spans="1:16" customFormat="1" ht="15.75" hidden="1" thickTop="1" x14ac:dyDescent="0.25">
      <c r="A56" s="523" t="s">
        <v>150</v>
      </c>
      <c r="B56" s="545"/>
      <c r="C56" s="568" t="s">
        <v>125</v>
      </c>
      <c r="D56" s="569"/>
      <c r="E56" s="570"/>
      <c r="F56" s="571">
        <f>$I$3</f>
        <v>0</v>
      </c>
      <c r="G56" s="572"/>
      <c r="H56" s="573">
        <v>0</v>
      </c>
      <c r="I56" s="536"/>
      <c r="J56" s="531">
        <v>0</v>
      </c>
      <c r="K56" s="512"/>
      <c r="L56" s="507"/>
      <c r="M56" s="507"/>
      <c r="N56" s="507"/>
      <c r="O56" s="507"/>
      <c r="P56" s="507"/>
    </row>
    <row r="57" spans="1:16" customFormat="1" ht="15.75" hidden="1" thickTop="1" x14ac:dyDescent="0.25">
      <c r="A57" s="513" t="s">
        <v>203</v>
      </c>
      <c r="B57" s="545"/>
      <c r="C57" s="538" t="s">
        <v>204</v>
      </c>
      <c r="D57" s="513"/>
      <c r="E57" s="510"/>
      <c r="F57" s="533"/>
      <c r="G57" s="574"/>
      <c r="H57" s="575">
        <v>0</v>
      </c>
      <c r="I57" s="576"/>
      <c r="J57" s="577">
        <v>0</v>
      </c>
      <c r="K57" s="512"/>
      <c r="L57" s="507"/>
      <c r="M57" s="507"/>
      <c r="N57" s="507"/>
      <c r="O57" s="507"/>
      <c r="P57" s="507"/>
    </row>
    <row r="58" spans="1:16" customFormat="1" hidden="1" thickTop="1" thickBot="1" x14ac:dyDescent="0.3">
      <c r="A58" s="513" t="s">
        <v>205</v>
      </c>
      <c r="B58" s="545"/>
      <c r="C58" s="578"/>
      <c r="D58" s="579"/>
      <c r="E58" s="548"/>
      <c r="F58" s="549" t="s">
        <v>206</v>
      </c>
      <c r="G58" s="580">
        <v>18920</v>
      </c>
      <c r="H58" s="551">
        <v>18920</v>
      </c>
      <c r="I58" s="552"/>
      <c r="J58" s="553">
        <v>0</v>
      </c>
      <c r="K58" s="512"/>
      <c r="L58" s="507"/>
      <c r="M58" s="507"/>
      <c r="N58" s="507"/>
      <c r="O58" s="507"/>
      <c r="P58" s="507"/>
    </row>
    <row r="59" spans="1:16" customFormat="1" ht="15.75" thickTop="1" x14ac:dyDescent="0.25">
      <c r="A59" s="507"/>
      <c r="B59" s="508"/>
      <c r="C59" s="507"/>
      <c r="D59" s="507"/>
      <c r="E59" s="507"/>
      <c r="F59" s="509"/>
      <c r="G59" s="507"/>
      <c r="H59" s="507"/>
      <c r="I59" s="510"/>
      <c r="J59" s="511"/>
      <c r="K59" s="512"/>
      <c r="L59" s="507"/>
      <c r="M59" s="507"/>
      <c r="N59" s="507"/>
      <c r="O59" s="507"/>
      <c r="P59" s="507"/>
    </row>
    <row r="60" spans="1:16" customFormat="1" ht="15.75" thickBot="1" x14ac:dyDescent="0.3">
      <c r="A60" s="507"/>
      <c r="B60" s="508"/>
      <c r="C60" s="507"/>
      <c r="D60" s="507"/>
      <c r="E60" s="507"/>
      <c r="F60" s="509"/>
      <c r="G60" s="507"/>
      <c r="H60" s="507"/>
      <c r="I60" s="510"/>
      <c r="J60" s="511"/>
      <c r="K60" s="512"/>
      <c r="L60" s="507"/>
      <c r="M60" s="507"/>
      <c r="N60" s="507"/>
      <c r="O60" s="507"/>
      <c r="P60" s="507"/>
    </row>
    <row r="61" spans="1:16" customFormat="1" ht="15.75" thickTop="1" x14ac:dyDescent="0.25">
      <c r="A61" s="513" t="s">
        <v>208</v>
      </c>
      <c r="B61" s="514"/>
      <c r="C61" s="701" t="s">
        <v>226</v>
      </c>
      <c r="D61" s="702"/>
      <c r="E61" s="702"/>
      <c r="F61" s="702"/>
      <c r="G61" s="515"/>
      <c r="H61" s="516" t="s">
        <v>209</v>
      </c>
      <c r="I61" s="517" t="s">
        <v>177</v>
      </c>
      <c r="J61" s="518" t="s">
        <v>95</v>
      </c>
      <c r="K61" s="512"/>
      <c r="L61" s="507"/>
      <c r="M61" s="507"/>
      <c r="N61" s="507"/>
      <c r="O61" s="507"/>
      <c r="P61" s="507"/>
    </row>
    <row r="62" spans="1:16" customFormat="1" ht="15" x14ac:dyDescent="0.25">
      <c r="A62" s="513"/>
      <c r="B62" s="514"/>
      <c r="C62" s="703"/>
      <c r="D62" s="704"/>
      <c r="E62" s="704"/>
      <c r="F62" s="704"/>
      <c r="G62" s="519"/>
      <c r="H62" s="520"/>
      <c r="I62" s="521"/>
      <c r="J62" s="522"/>
      <c r="K62" s="512"/>
      <c r="L62" s="507"/>
      <c r="M62" s="507"/>
      <c r="N62" s="507"/>
      <c r="O62" s="507"/>
      <c r="P62" s="507"/>
    </row>
    <row r="63" spans="1:16" customFormat="1" ht="15" x14ac:dyDescent="0.25">
      <c r="A63" s="523" t="s">
        <v>178</v>
      </c>
      <c r="B63" s="514"/>
      <c r="C63" s="524" t="s">
        <v>88</v>
      </c>
      <c r="D63" s="525" t="s">
        <v>89</v>
      </c>
      <c r="E63" s="526" t="s">
        <v>90</v>
      </c>
      <c r="F63" s="527" t="s">
        <v>179</v>
      </c>
      <c r="G63" s="528" t="s">
        <v>180</v>
      </c>
      <c r="H63" s="529" t="s">
        <v>181</v>
      </c>
      <c r="I63" s="530"/>
      <c r="J63" s="531" t="s">
        <v>181</v>
      </c>
      <c r="K63" s="512"/>
      <c r="L63" s="507"/>
      <c r="M63" s="507"/>
      <c r="N63" s="507"/>
      <c r="O63" s="507"/>
      <c r="P63" s="507"/>
    </row>
    <row r="64" spans="1:16" customFormat="1" ht="15" x14ac:dyDescent="0.25">
      <c r="A64" s="523"/>
      <c r="B64" s="514"/>
      <c r="C64" s="532"/>
      <c r="D64" s="513"/>
      <c r="E64" s="510"/>
      <c r="F64" s="533"/>
      <c r="G64" s="534"/>
      <c r="H64" s="535"/>
      <c r="I64" s="536"/>
      <c r="J64" s="537"/>
      <c r="K64" s="512"/>
      <c r="L64" s="507"/>
      <c r="M64" s="507"/>
      <c r="N64" s="507"/>
      <c r="O64" s="507"/>
      <c r="P64" s="507"/>
    </row>
    <row r="65" spans="1:16" customFormat="1" ht="15" x14ac:dyDescent="0.25">
      <c r="A65" s="523" t="s">
        <v>182</v>
      </c>
      <c r="B65" s="514"/>
      <c r="C65" s="538" t="s">
        <v>183</v>
      </c>
      <c r="D65" s="513"/>
      <c r="E65" s="510"/>
      <c r="F65" s="533"/>
      <c r="G65" s="534"/>
      <c r="H65" s="535"/>
      <c r="I65" s="536"/>
      <c r="J65" s="537"/>
      <c r="K65" s="512"/>
      <c r="L65" s="507"/>
      <c r="M65" s="507"/>
      <c r="N65" s="507"/>
      <c r="O65" s="507"/>
      <c r="P65" s="507"/>
    </row>
    <row r="66" spans="1:16" customFormat="1" ht="15" x14ac:dyDescent="0.25">
      <c r="A66" s="523">
        <v>101876</v>
      </c>
      <c r="B66" s="514" t="s">
        <v>210</v>
      </c>
      <c r="C66" s="524" t="s">
        <v>227</v>
      </c>
      <c r="D66" s="525" t="s">
        <v>89</v>
      </c>
      <c r="E66" s="581">
        <f>1/4.8</f>
        <v>0.20833333333333334</v>
      </c>
      <c r="F66" s="527"/>
      <c r="G66" s="528">
        <f>76000*1.19</f>
        <v>90440</v>
      </c>
      <c r="H66" s="529">
        <f>+G66*E66</f>
        <v>18841.666666666668</v>
      </c>
      <c r="I66" s="530">
        <f>I62 * (E66 * (1+F66/100))</f>
        <v>0</v>
      </c>
      <c r="J66" s="531">
        <v>0</v>
      </c>
      <c r="K66" s="512"/>
      <c r="L66" s="507"/>
      <c r="M66" s="507"/>
      <c r="N66" s="507"/>
      <c r="O66" s="507"/>
      <c r="P66" s="507"/>
    </row>
    <row r="67" spans="1:16" customFormat="1" ht="15" x14ac:dyDescent="0.25">
      <c r="A67" s="523">
        <v>100084</v>
      </c>
      <c r="B67" s="514" t="s">
        <v>210</v>
      </c>
      <c r="C67" s="524" t="s">
        <v>228</v>
      </c>
      <c r="D67" s="525" t="s">
        <v>89</v>
      </c>
      <c r="E67" s="526">
        <v>4</v>
      </c>
      <c r="F67" s="527"/>
      <c r="G67" s="528">
        <v>200</v>
      </c>
      <c r="H67" s="529">
        <f>+G67*E67</f>
        <v>800</v>
      </c>
      <c r="I67" s="530">
        <f>I62 * (E67 * (1+F67/100))</f>
        <v>0</v>
      </c>
      <c r="J67" s="531">
        <v>0</v>
      </c>
      <c r="K67" s="512"/>
      <c r="L67" s="507"/>
      <c r="M67" s="507"/>
      <c r="N67" s="507"/>
      <c r="O67" s="507"/>
      <c r="P67" s="507"/>
    </row>
    <row r="68" spans="1:16" customFormat="1" ht="15" x14ac:dyDescent="0.25">
      <c r="A68" s="539" t="s">
        <v>184</v>
      </c>
      <c r="B68" s="514"/>
      <c r="C68" s="532"/>
      <c r="D68" s="513"/>
      <c r="E68" s="510"/>
      <c r="F68" s="533"/>
      <c r="G68" s="534" t="s">
        <v>185</v>
      </c>
      <c r="H68" s="540">
        <f>SUM(H66:H67)</f>
        <v>19641.666666666668</v>
      </c>
      <c r="I68" s="536"/>
      <c r="J68" s="541">
        <v>0</v>
      </c>
      <c r="K68" s="512"/>
      <c r="L68" s="507"/>
      <c r="M68" s="507"/>
      <c r="N68" s="507"/>
      <c r="O68" s="507"/>
      <c r="P68" s="507"/>
    </row>
    <row r="69" spans="1:16" customFormat="1" ht="15" x14ac:dyDescent="0.25">
      <c r="A69" s="523" t="s">
        <v>186</v>
      </c>
      <c r="B69" s="514"/>
      <c r="C69" s="538" t="s">
        <v>187</v>
      </c>
      <c r="D69" s="513"/>
      <c r="E69" s="510"/>
      <c r="F69" s="533"/>
      <c r="G69" s="534"/>
      <c r="H69" s="535"/>
      <c r="I69" s="536"/>
      <c r="J69" s="537"/>
      <c r="K69" s="512"/>
      <c r="L69" s="507"/>
      <c r="M69" s="507"/>
      <c r="N69" s="507"/>
      <c r="O69" s="507"/>
      <c r="P69" s="507"/>
    </row>
    <row r="70" spans="1:16" customFormat="1" ht="15" x14ac:dyDescent="0.25">
      <c r="A70" s="523">
        <v>200017</v>
      </c>
      <c r="B70" s="514" t="s">
        <v>187</v>
      </c>
      <c r="C70" s="524" t="s">
        <v>211</v>
      </c>
      <c r="D70" s="525" t="s">
        <v>212</v>
      </c>
      <c r="E70" s="526">
        <v>0.8</v>
      </c>
      <c r="F70" s="527"/>
      <c r="G70" s="528">
        <v>25709</v>
      </c>
      <c r="H70" s="529">
        <f>+G70*E70</f>
        <v>20567.2</v>
      </c>
      <c r="I70" s="530">
        <f>I62 * (E70 * (1+F70/100))</f>
        <v>0</v>
      </c>
      <c r="J70" s="531">
        <v>0</v>
      </c>
      <c r="K70" s="512"/>
      <c r="L70" s="507"/>
      <c r="M70" s="507"/>
      <c r="N70" s="507"/>
      <c r="O70" s="507"/>
      <c r="P70" s="507"/>
    </row>
    <row r="71" spans="1:16" customFormat="1" ht="15" x14ac:dyDescent="0.25">
      <c r="A71" s="539" t="s">
        <v>188</v>
      </c>
      <c r="B71" s="514"/>
      <c r="C71" s="532"/>
      <c r="D71" s="513"/>
      <c r="E71" s="510"/>
      <c r="F71" s="533"/>
      <c r="G71" s="534" t="s">
        <v>189</v>
      </c>
      <c r="H71" s="540">
        <f>+H70</f>
        <v>20567.2</v>
      </c>
      <c r="I71" s="536"/>
      <c r="J71" s="541">
        <v>0</v>
      </c>
      <c r="K71" s="512"/>
      <c r="L71" s="507"/>
      <c r="M71" s="507"/>
      <c r="N71" s="507"/>
      <c r="O71" s="507"/>
      <c r="P71" s="507"/>
    </row>
    <row r="72" spans="1:16" customFormat="1" ht="15" x14ac:dyDescent="0.25">
      <c r="A72" s="523" t="s">
        <v>190</v>
      </c>
      <c r="B72" s="514"/>
      <c r="C72" s="542" t="s">
        <v>191</v>
      </c>
      <c r="D72" s="513"/>
      <c r="E72" s="510"/>
      <c r="F72" s="533"/>
      <c r="G72" s="534"/>
      <c r="H72" s="535"/>
      <c r="I72" s="536"/>
      <c r="J72" s="537"/>
      <c r="K72" s="512"/>
      <c r="L72" s="507"/>
      <c r="M72" s="507"/>
      <c r="N72" s="507"/>
      <c r="O72" s="507"/>
      <c r="P72" s="507"/>
    </row>
    <row r="73" spans="1:16" customFormat="1" ht="15" x14ac:dyDescent="0.25">
      <c r="A73" s="523">
        <v>300002</v>
      </c>
      <c r="B73" s="514" t="s">
        <v>191</v>
      </c>
      <c r="C73" s="524" t="s">
        <v>213</v>
      </c>
      <c r="D73" s="525" t="s">
        <v>214</v>
      </c>
      <c r="E73" s="526">
        <v>0.19900000000000001</v>
      </c>
      <c r="F73" s="527"/>
      <c r="G73" s="528">
        <v>1162</v>
      </c>
      <c r="H73" s="529">
        <f>+G73*E73</f>
        <v>231.238</v>
      </c>
      <c r="I73" s="530">
        <f>I62 * (E73 * (1+F73/100))</f>
        <v>0</v>
      </c>
      <c r="J73" s="531">
        <v>0</v>
      </c>
      <c r="K73" s="512"/>
      <c r="L73" s="507"/>
      <c r="M73" s="507"/>
      <c r="N73" s="507"/>
      <c r="O73" s="507"/>
      <c r="P73" s="507"/>
    </row>
    <row r="74" spans="1:16" customFormat="1" ht="15" x14ac:dyDescent="0.25">
      <c r="A74" s="523">
        <v>300002</v>
      </c>
      <c r="B74" s="514" t="s">
        <v>191</v>
      </c>
      <c r="C74" s="524" t="s">
        <v>229</v>
      </c>
      <c r="D74" s="525" t="s">
        <v>193</v>
      </c>
      <c r="E74" s="526">
        <v>1</v>
      </c>
      <c r="F74" s="527"/>
      <c r="G74" s="528">
        <v>400</v>
      </c>
      <c r="H74" s="529">
        <f>+G74*E74</f>
        <v>400</v>
      </c>
      <c r="I74" s="530">
        <f>I63 * (E74 * (1+F74/100))</f>
        <v>0</v>
      </c>
      <c r="J74" s="531">
        <v>0</v>
      </c>
      <c r="K74" s="512"/>
      <c r="L74" s="507"/>
      <c r="M74" s="507"/>
      <c r="N74" s="507"/>
      <c r="O74" s="507"/>
      <c r="P74" s="507"/>
    </row>
    <row r="75" spans="1:16" customFormat="1" ht="15" x14ac:dyDescent="0.25">
      <c r="A75" s="539" t="s">
        <v>194</v>
      </c>
      <c r="B75" s="514"/>
      <c r="C75" s="532"/>
      <c r="D75" s="513"/>
      <c r="E75" s="510"/>
      <c r="F75" s="533"/>
      <c r="G75" s="534" t="s">
        <v>195</v>
      </c>
      <c r="H75" s="540">
        <f>SUM(H73:H74)</f>
        <v>631.23800000000006</v>
      </c>
      <c r="I75" s="536"/>
      <c r="J75" s="541">
        <v>0</v>
      </c>
      <c r="K75" s="512"/>
      <c r="L75" s="507"/>
      <c r="M75" s="507"/>
      <c r="N75" s="507"/>
      <c r="O75" s="507"/>
      <c r="P75" s="507"/>
    </row>
    <row r="76" spans="1:16" customFormat="1" ht="15" hidden="1" x14ac:dyDescent="0.25">
      <c r="A76" s="513" t="s">
        <v>196</v>
      </c>
      <c r="B76" s="543"/>
      <c r="C76" s="538" t="s">
        <v>197</v>
      </c>
      <c r="D76" s="513"/>
      <c r="E76" s="510"/>
      <c r="F76" s="533"/>
      <c r="G76" s="534"/>
      <c r="H76" s="535"/>
      <c r="I76" s="536"/>
      <c r="J76" s="537"/>
      <c r="K76" s="512"/>
      <c r="L76" s="507"/>
      <c r="M76" s="507"/>
      <c r="N76" s="507"/>
      <c r="O76" s="507"/>
      <c r="P76" s="507"/>
    </row>
    <row r="77" spans="1:16" customFormat="1" ht="15" hidden="1" x14ac:dyDescent="0.25">
      <c r="A77" s="523"/>
      <c r="B77" s="514"/>
      <c r="C77" s="524"/>
      <c r="D77" s="525"/>
      <c r="E77" s="526"/>
      <c r="F77" s="527"/>
      <c r="G77" s="528"/>
      <c r="H77" s="529"/>
      <c r="I77" s="530"/>
      <c r="J77" s="531"/>
      <c r="K77" s="544"/>
      <c r="L77" s="507"/>
      <c r="M77" s="507"/>
      <c r="N77" s="507"/>
      <c r="O77" s="507"/>
      <c r="P77" s="507"/>
    </row>
    <row r="78" spans="1:16" customFormat="1" ht="15" hidden="1" x14ac:dyDescent="0.25">
      <c r="A78" s="539" t="s">
        <v>198</v>
      </c>
      <c r="B78" s="543"/>
      <c r="C78" s="532"/>
      <c r="D78" s="513"/>
      <c r="E78" s="510"/>
      <c r="F78" s="533"/>
      <c r="G78" s="534" t="s">
        <v>199</v>
      </c>
      <c r="H78" s="529">
        <v>0</v>
      </c>
      <c r="I78" s="536"/>
      <c r="J78" s="531">
        <v>0</v>
      </c>
      <c r="K78" s="512"/>
      <c r="L78" s="507"/>
      <c r="M78" s="507"/>
      <c r="N78" s="507"/>
      <c r="O78" s="507"/>
      <c r="P78" s="507"/>
    </row>
    <row r="79" spans="1:16" customFormat="1" ht="15" x14ac:dyDescent="0.25">
      <c r="A79" s="513"/>
      <c r="B79" s="545"/>
      <c r="C79" s="532"/>
      <c r="D79" s="513"/>
      <c r="E79" s="510"/>
      <c r="F79" s="533"/>
      <c r="G79" s="534"/>
      <c r="H79" s="535"/>
      <c r="I79" s="536"/>
      <c r="J79" s="537"/>
      <c r="K79" s="512"/>
      <c r="L79" s="507"/>
      <c r="M79" s="507"/>
      <c r="N79" s="507"/>
      <c r="O79" s="507"/>
      <c r="P79" s="507"/>
    </row>
    <row r="80" spans="1:16" customFormat="1" ht="15.75" thickBot="1" x14ac:dyDescent="0.3">
      <c r="A80" s="513" t="s">
        <v>92</v>
      </c>
      <c r="B80" s="545"/>
      <c r="C80" s="546"/>
      <c r="D80" s="547"/>
      <c r="E80" s="548"/>
      <c r="F80" s="549" t="s">
        <v>200</v>
      </c>
      <c r="G80" s="550">
        <v>24856.230000000003</v>
      </c>
      <c r="H80" s="551">
        <f>+H75+H71+H68</f>
        <v>40840.104666666666</v>
      </c>
      <c r="I80" s="552">
        <f>SUM(J63:J79)/2</f>
        <v>0</v>
      </c>
      <c r="J80" s="553">
        <v>0</v>
      </c>
      <c r="K80" s="512"/>
      <c r="L80" s="507"/>
      <c r="M80" s="507"/>
      <c r="N80" s="507"/>
      <c r="O80" s="507"/>
      <c r="P80" s="507"/>
    </row>
    <row r="81" spans="1:16" customFormat="1" ht="15.75" thickTop="1" x14ac:dyDescent="0.25">
      <c r="A81" s="513"/>
      <c r="B81" s="554"/>
      <c r="C81" s="555"/>
      <c r="D81" s="513"/>
      <c r="E81" s="510"/>
      <c r="F81" s="556"/>
      <c r="G81" s="557"/>
      <c r="H81" s="558"/>
      <c r="I81" s="536"/>
      <c r="J81" s="559"/>
      <c r="K81" s="512"/>
      <c r="L81" s="507"/>
      <c r="M81" s="507"/>
      <c r="N81" s="507"/>
      <c r="O81" s="507"/>
      <c r="P81" s="507"/>
    </row>
    <row r="82" spans="1:16" customFormat="1" ht="15.75" thickBot="1" x14ac:dyDescent="0.3">
      <c r="A82" s="507"/>
      <c r="B82" s="508"/>
      <c r="C82" s="507"/>
      <c r="D82" s="507"/>
      <c r="E82" s="507"/>
      <c r="F82" s="509"/>
      <c r="G82" s="507"/>
      <c r="H82" s="507"/>
      <c r="I82" s="510"/>
      <c r="J82" s="511"/>
      <c r="K82" s="512"/>
      <c r="L82" s="507"/>
      <c r="M82" s="507"/>
      <c r="N82" s="507"/>
      <c r="O82" s="507"/>
      <c r="P82" s="507"/>
    </row>
    <row r="83" spans="1:16" customFormat="1" ht="15.75" thickTop="1" x14ac:dyDescent="0.25">
      <c r="A83" s="513" t="s">
        <v>208</v>
      </c>
      <c r="B83" s="514"/>
      <c r="C83" s="701" t="s">
        <v>245</v>
      </c>
      <c r="D83" s="702"/>
      <c r="E83" s="702"/>
      <c r="F83" s="702"/>
      <c r="G83" s="515"/>
      <c r="H83" s="516" t="s">
        <v>232</v>
      </c>
      <c r="I83" s="517" t="s">
        <v>177</v>
      </c>
      <c r="J83" s="518" t="s">
        <v>95</v>
      </c>
      <c r="K83" s="512"/>
      <c r="L83" s="507"/>
      <c r="M83" s="507"/>
      <c r="N83" s="507"/>
      <c r="O83" s="507"/>
      <c r="P83" s="507"/>
    </row>
    <row r="84" spans="1:16" customFormat="1" ht="15" x14ac:dyDescent="0.25">
      <c r="A84" s="513"/>
      <c r="B84" s="514"/>
      <c r="C84" s="703"/>
      <c r="D84" s="704"/>
      <c r="E84" s="704"/>
      <c r="F84" s="704"/>
      <c r="G84" s="519"/>
      <c r="H84" s="520"/>
      <c r="I84" s="521"/>
      <c r="J84" s="522"/>
      <c r="K84" s="512"/>
      <c r="L84" s="507"/>
      <c r="M84" s="507"/>
      <c r="N84" s="507"/>
      <c r="O84" s="507"/>
      <c r="P84" s="507"/>
    </row>
    <row r="85" spans="1:16" customFormat="1" ht="15" x14ac:dyDescent="0.25">
      <c r="A85" s="523" t="s">
        <v>178</v>
      </c>
      <c r="B85" s="514"/>
      <c r="C85" s="524" t="s">
        <v>88</v>
      </c>
      <c r="D85" s="525" t="s">
        <v>89</v>
      </c>
      <c r="E85" s="526" t="s">
        <v>90</v>
      </c>
      <c r="F85" s="527" t="s">
        <v>179</v>
      </c>
      <c r="G85" s="528" t="s">
        <v>180</v>
      </c>
      <c r="H85" s="529" t="s">
        <v>181</v>
      </c>
      <c r="I85" s="530"/>
      <c r="J85" s="531" t="s">
        <v>181</v>
      </c>
      <c r="K85" s="512"/>
      <c r="L85" s="507"/>
      <c r="M85" s="507"/>
      <c r="N85" s="507"/>
      <c r="O85" s="507"/>
      <c r="P85" s="507"/>
    </row>
    <row r="86" spans="1:16" customFormat="1" ht="15" x14ac:dyDescent="0.25">
      <c r="A86" s="523"/>
      <c r="B86" s="514"/>
      <c r="C86" s="532"/>
      <c r="D86" s="513"/>
      <c r="E86" s="510"/>
      <c r="F86" s="533"/>
      <c r="G86" s="534"/>
      <c r="H86" s="535"/>
      <c r="I86" s="536"/>
      <c r="J86" s="537"/>
      <c r="K86" s="512"/>
      <c r="L86" s="507"/>
      <c r="M86" s="507"/>
      <c r="N86" s="507"/>
      <c r="O86" s="507"/>
      <c r="P86" s="507"/>
    </row>
    <row r="87" spans="1:16" customFormat="1" ht="15" x14ac:dyDescent="0.25">
      <c r="A87" s="523" t="s">
        <v>182</v>
      </c>
      <c r="B87" s="514"/>
      <c r="C87" s="538" t="s">
        <v>183</v>
      </c>
      <c r="D87" s="513"/>
      <c r="E87" s="510"/>
      <c r="F87" s="533"/>
      <c r="G87" s="534"/>
      <c r="H87" s="535"/>
      <c r="I87" s="536"/>
      <c r="J87" s="537"/>
      <c r="K87" s="512"/>
      <c r="L87" s="507"/>
      <c r="M87" s="507"/>
      <c r="N87" s="507"/>
      <c r="O87" s="507"/>
      <c r="P87" s="507"/>
    </row>
    <row r="88" spans="1:16" customFormat="1" ht="15" x14ac:dyDescent="0.25">
      <c r="A88" s="523">
        <v>101876</v>
      </c>
      <c r="B88" s="514" t="s">
        <v>210</v>
      </c>
      <c r="C88" s="524" t="s">
        <v>246</v>
      </c>
      <c r="D88" s="525" t="s">
        <v>102</v>
      </c>
      <c r="E88" s="581">
        <v>1</v>
      </c>
      <c r="F88" s="527"/>
      <c r="G88" s="528">
        <v>21000</v>
      </c>
      <c r="H88" s="529">
        <f>+G88*E88</f>
        <v>21000</v>
      </c>
      <c r="I88" s="530">
        <f>I84 * (E88 * (1+F88/100))</f>
        <v>0</v>
      </c>
      <c r="J88" s="531">
        <v>0</v>
      </c>
      <c r="K88" s="512"/>
      <c r="L88" s="507"/>
      <c r="M88" s="507"/>
      <c r="N88" s="507"/>
      <c r="O88" s="507"/>
      <c r="P88" s="507"/>
    </row>
    <row r="89" spans="1:16" customFormat="1" ht="15" x14ac:dyDescent="0.25">
      <c r="A89" s="523">
        <v>100084</v>
      </c>
      <c r="B89" s="514" t="s">
        <v>210</v>
      </c>
      <c r="C89" s="524" t="s">
        <v>228</v>
      </c>
      <c r="D89" s="525" t="s">
        <v>89</v>
      </c>
      <c r="E89" s="526">
        <v>2</v>
      </c>
      <c r="F89" s="527"/>
      <c r="G89" s="528">
        <v>200</v>
      </c>
      <c r="H89" s="529">
        <f>+G89*E89</f>
        <v>400</v>
      </c>
      <c r="I89" s="530">
        <f>I84 * (E89 * (1+F89/100))</f>
        <v>0</v>
      </c>
      <c r="J89" s="531">
        <v>0</v>
      </c>
      <c r="K89" s="512"/>
      <c r="L89" s="507"/>
      <c r="M89" s="507"/>
      <c r="N89" s="507"/>
      <c r="O89" s="507"/>
      <c r="P89" s="507"/>
    </row>
    <row r="90" spans="1:16" customFormat="1" ht="15" x14ac:dyDescent="0.25">
      <c r="A90" s="539" t="s">
        <v>184</v>
      </c>
      <c r="B90" s="514"/>
      <c r="C90" s="532"/>
      <c r="D90" s="513"/>
      <c r="E90" s="510"/>
      <c r="F90" s="533"/>
      <c r="G90" s="534" t="s">
        <v>185</v>
      </c>
      <c r="H90" s="540">
        <f>SUM(H88:H89)</f>
        <v>21400</v>
      </c>
      <c r="I90" s="536"/>
      <c r="J90" s="541">
        <v>0</v>
      </c>
      <c r="K90" s="512"/>
      <c r="L90" s="507"/>
      <c r="M90" s="507"/>
      <c r="N90" s="507"/>
      <c r="O90" s="507"/>
      <c r="P90" s="507"/>
    </row>
    <row r="91" spans="1:16" customFormat="1" ht="15" x14ac:dyDescent="0.25">
      <c r="A91" s="523" t="s">
        <v>186</v>
      </c>
      <c r="B91" s="514"/>
      <c r="C91" s="538" t="s">
        <v>187</v>
      </c>
      <c r="D91" s="513"/>
      <c r="E91" s="510"/>
      <c r="F91" s="533"/>
      <c r="G91" s="534"/>
      <c r="H91" s="535"/>
      <c r="I91" s="536"/>
      <c r="J91" s="537"/>
      <c r="K91" s="512"/>
      <c r="L91" s="507"/>
      <c r="M91" s="507"/>
      <c r="N91" s="507"/>
      <c r="O91" s="507"/>
      <c r="P91" s="507"/>
    </row>
    <row r="92" spans="1:16" customFormat="1" ht="15" x14ac:dyDescent="0.25">
      <c r="A92" s="523">
        <v>200017</v>
      </c>
      <c r="B92" s="514" t="s">
        <v>187</v>
      </c>
      <c r="C92" s="524" t="s">
        <v>211</v>
      </c>
      <c r="D92" s="525" t="s">
        <v>212</v>
      </c>
      <c r="E92" s="526">
        <v>0.2</v>
      </c>
      <c r="F92" s="527"/>
      <c r="G92" s="528">
        <v>25709</v>
      </c>
      <c r="H92" s="529">
        <f>+G92*E92</f>
        <v>5141.8</v>
      </c>
      <c r="I92" s="530">
        <f>I84 * (E92 * (1+F92/100))</f>
        <v>0</v>
      </c>
      <c r="J92" s="531">
        <v>0</v>
      </c>
      <c r="K92" s="512"/>
      <c r="L92" s="507"/>
      <c r="M92" s="507"/>
      <c r="N92" s="507"/>
      <c r="O92" s="507"/>
      <c r="P92" s="507"/>
    </row>
    <row r="93" spans="1:16" customFormat="1" ht="15" x14ac:dyDescent="0.25">
      <c r="A93" s="539" t="s">
        <v>188</v>
      </c>
      <c r="B93" s="514"/>
      <c r="C93" s="532"/>
      <c r="D93" s="513"/>
      <c r="E93" s="510"/>
      <c r="F93" s="533"/>
      <c r="G93" s="534" t="s">
        <v>189</v>
      </c>
      <c r="H93" s="540">
        <f>+H92</f>
        <v>5141.8</v>
      </c>
      <c r="I93" s="536"/>
      <c r="J93" s="541">
        <v>0</v>
      </c>
      <c r="K93" s="512"/>
      <c r="L93" s="507"/>
      <c r="M93" s="507"/>
      <c r="N93" s="507"/>
      <c r="O93" s="507"/>
      <c r="P93" s="507"/>
    </row>
    <row r="94" spans="1:16" customFormat="1" ht="15" x14ac:dyDescent="0.25">
      <c r="A94" s="523" t="s">
        <v>190</v>
      </c>
      <c r="B94" s="514"/>
      <c r="C94" s="542" t="s">
        <v>191</v>
      </c>
      <c r="D94" s="513"/>
      <c r="E94" s="510"/>
      <c r="F94" s="533"/>
      <c r="G94" s="534"/>
      <c r="H94" s="535"/>
      <c r="I94" s="536"/>
      <c r="J94" s="537"/>
      <c r="K94" s="512"/>
      <c r="L94" s="507"/>
      <c r="M94" s="507"/>
      <c r="N94" s="507"/>
      <c r="O94" s="507"/>
      <c r="P94" s="507"/>
    </row>
    <row r="95" spans="1:16" customFormat="1" ht="15" x14ac:dyDescent="0.25">
      <c r="A95" s="523">
        <v>300002</v>
      </c>
      <c r="B95" s="514" t="s">
        <v>191</v>
      </c>
      <c r="C95" s="524" t="s">
        <v>213</v>
      </c>
      <c r="D95" s="525" t="s">
        <v>214</v>
      </c>
      <c r="E95" s="526">
        <v>0.1</v>
      </c>
      <c r="F95" s="527"/>
      <c r="G95" s="528">
        <v>1162</v>
      </c>
      <c r="H95" s="529">
        <f>+G95*E95</f>
        <v>116.2</v>
      </c>
      <c r="I95" s="530">
        <f>I84 * (E95 * (1+F95/100))</f>
        <v>0</v>
      </c>
      <c r="J95" s="531">
        <v>0</v>
      </c>
      <c r="K95" s="512"/>
      <c r="L95" s="507"/>
      <c r="M95" s="507"/>
      <c r="N95" s="507"/>
      <c r="O95" s="507"/>
      <c r="P95" s="507"/>
    </row>
    <row r="96" spans="1:16" customFormat="1" ht="15" x14ac:dyDescent="0.25">
      <c r="A96" s="523">
        <v>300002</v>
      </c>
      <c r="B96" s="514" t="s">
        <v>191</v>
      </c>
      <c r="C96" s="524" t="s">
        <v>229</v>
      </c>
      <c r="D96" s="525" t="s">
        <v>193</v>
      </c>
      <c r="E96" s="526">
        <v>0.5</v>
      </c>
      <c r="F96" s="527"/>
      <c r="G96" s="528">
        <v>400</v>
      </c>
      <c r="H96" s="529">
        <f>+G96*E96</f>
        <v>200</v>
      </c>
      <c r="I96" s="530">
        <f>I85 * (E96 * (1+F96/100))</f>
        <v>0</v>
      </c>
      <c r="J96" s="531">
        <v>0</v>
      </c>
      <c r="K96" s="512"/>
      <c r="L96" s="507"/>
      <c r="M96" s="507"/>
      <c r="N96" s="507"/>
      <c r="O96" s="507"/>
      <c r="P96" s="507"/>
    </row>
    <row r="97" spans="1:16" customFormat="1" ht="15" x14ac:dyDescent="0.25">
      <c r="A97" s="539" t="s">
        <v>194</v>
      </c>
      <c r="B97" s="514"/>
      <c r="C97" s="532"/>
      <c r="D97" s="513"/>
      <c r="E97" s="510"/>
      <c r="F97" s="533"/>
      <c r="G97" s="534" t="s">
        <v>195</v>
      </c>
      <c r="H97" s="540">
        <f>SUM(H95:H96)</f>
        <v>316.2</v>
      </c>
      <c r="I97" s="536"/>
      <c r="J97" s="541">
        <v>0</v>
      </c>
      <c r="K97" s="512"/>
      <c r="L97" s="507"/>
      <c r="M97" s="507"/>
      <c r="N97" s="507"/>
      <c r="O97" s="507"/>
      <c r="P97" s="507"/>
    </row>
    <row r="98" spans="1:16" customFormat="1" ht="15" hidden="1" x14ac:dyDescent="0.25">
      <c r="A98" s="513" t="s">
        <v>196</v>
      </c>
      <c r="B98" s="543"/>
      <c r="C98" s="538" t="s">
        <v>197</v>
      </c>
      <c r="D98" s="513"/>
      <c r="E98" s="510"/>
      <c r="F98" s="533"/>
      <c r="G98" s="534"/>
      <c r="H98" s="535"/>
      <c r="I98" s="536"/>
      <c r="J98" s="537"/>
      <c r="K98" s="512"/>
      <c r="L98" s="507"/>
      <c r="M98" s="507"/>
      <c r="N98" s="507"/>
      <c r="O98" s="507"/>
      <c r="P98" s="507"/>
    </row>
    <row r="99" spans="1:16" customFormat="1" ht="15" hidden="1" x14ac:dyDescent="0.25">
      <c r="A99" s="523"/>
      <c r="B99" s="514"/>
      <c r="C99" s="524"/>
      <c r="D99" s="525"/>
      <c r="E99" s="526"/>
      <c r="F99" s="527"/>
      <c r="G99" s="528"/>
      <c r="H99" s="529"/>
      <c r="I99" s="530"/>
      <c r="J99" s="531"/>
      <c r="K99" s="544"/>
      <c r="L99" s="507"/>
      <c r="M99" s="507"/>
      <c r="N99" s="507"/>
      <c r="O99" s="507"/>
      <c r="P99" s="507"/>
    </row>
    <row r="100" spans="1:16" customFormat="1" ht="15" hidden="1" x14ac:dyDescent="0.25">
      <c r="A100" s="539" t="s">
        <v>198</v>
      </c>
      <c r="B100" s="543"/>
      <c r="C100" s="532"/>
      <c r="D100" s="513"/>
      <c r="E100" s="510"/>
      <c r="F100" s="533"/>
      <c r="G100" s="534" t="s">
        <v>199</v>
      </c>
      <c r="H100" s="529">
        <v>0</v>
      </c>
      <c r="I100" s="536"/>
      <c r="J100" s="531">
        <v>0</v>
      </c>
      <c r="K100" s="512"/>
      <c r="L100" s="507"/>
      <c r="M100" s="507"/>
      <c r="N100" s="507"/>
      <c r="O100" s="507"/>
      <c r="P100" s="507"/>
    </row>
    <row r="101" spans="1:16" customFormat="1" ht="15" x14ac:dyDescent="0.25">
      <c r="A101" s="513"/>
      <c r="B101" s="545"/>
      <c r="C101" s="532"/>
      <c r="D101" s="513"/>
      <c r="E101" s="510"/>
      <c r="F101" s="533"/>
      <c r="G101" s="534"/>
      <c r="H101" s="535"/>
      <c r="I101" s="536"/>
      <c r="J101" s="537"/>
      <c r="K101" s="512"/>
      <c r="L101" s="507"/>
      <c r="M101" s="507"/>
      <c r="N101" s="507"/>
      <c r="O101" s="507"/>
      <c r="P101" s="507"/>
    </row>
    <row r="102" spans="1:16" customFormat="1" ht="15.75" thickBot="1" x14ac:dyDescent="0.3">
      <c r="A102" s="513" t="s">
        <v>92</v>
      </c>
      <c r="B102" s="545"/>
      <c r="C102" s="546"/>
      <c r="D102" s="547"/>
      <c r="E102" s="548"/>
      <c r="F102" s="549" t="s">
        <v>200</v>
      </c>
      <c r="G102" s="550">
        <v>24856.230000000003</v>
      </c>
      <c r="H102" s="551">
        <f>+H97+H93+H90</f>
        <v>26858</v>
      </c>
      <c r="I102" s="552">
        <f>SUM(J85:J101)/2</f>
        <v>0</v>
      </c>
      <c r="J102" s="553">
        <v>0</v>
      </c>
      <c r="K102" s="512"/>
      <c r="L102" s="507"/>
      <c r="M102" s="507"/>
      <c r="N102" s="507"/>
      <c r="O102" s="507"/>
      <c r="P102" s="507"/>
    </row>
    <row r="103" spans="1:16" customFormat="1" ht="15.75" thickTop="1" x14ac:dyDescent="0.25">
      <c r="A103" s="513"/>
      <c r="B103" s="554"/>
      <c r="C103" s="555"/>
      <c r="D103" s="513"/>
      <c r="E103" s="510"/>
      <c r="F103" s="556"/>
      <c r="G103" s="557"/>
      <c r="H103" s="558"/>
      <c r="I103" s="536"/>
      <c r="J103" s="559"/>
      <c r="K103" s="512"/>
      <c r="L103" s="507"/>
      <c r="M103" s="507"/>
      <c r="N103" s="507"/>
      <c r="O103" s="507"/>
      <c r="P103" s="507"/>
    </row>
    <row r="104" spans="1:16" customFormat="1" ht="15.75" thickBot="1" x14ac:dyDescent="0.3">
      <c r="A104" s="507"/>
      <c r="B104" s="508"/>
      <c r="C104" s="507"/>
      <c r="D104" s="507"/>
      <c r="E104" s="507"/>
      <c r="F104" s="509"/>
      <c r="G104" s="507"/>
      <c r="H104" s="507"/>
      <c r="I104" s="510"/>
      <c r="J104" s="511"/>
      <c r="K104" s="512"/>
      <c r="L104" s="507"/>
      <c r="M104" s="507"/>
      <c r="N104" s="507"/>
      <c r="O104" s="507"/>
      <c r="P104" s="507"/>
    </row>
    <row r="105" spans="1:16" customFormat="1" ht="15.75" thickTop="1" x14ac:dyDescent="0.25">
      <c r="A105" s="513" t="s">
        <v>243</v>
      </c>
      <c r="B105" s="514"/>
      <c r="C105" s="701" t="s">
        <v>230</v>
      </c>
      <c r="D105" s="702"/>
      <c r="E105" s="702"/>
      <c r="F105" s="702"/>
      <c r="G105" s="515"/>
      <c r="H105" s="516" t="s">
        <v>209</v>
      </c>
      <c r="I105" s="517" t="s">
        <v>177</v>
      </c>
      <c r="J105" s="518" t="s">
        <v>95</v>
      </c>
      <c r="K105" s="512"/>
      <c r="L105" s="507"/>
      <c r="M105" s="507"/>
      <c r="N105" s="507"/>
      <c r="O105" s="507"/>
      <c r="P105" s="507"/>
    </row>
    <row r="106" spans="1:16" customFormat="1" ht="15" x14ac:dyDescent="0.25">
      <c r="A106" s="513"/>
      <c r="B106" s="514"/>
      <c r="C106" s="703"/>
      <c r="D106" s="704"/>
      <c r="E106" s="704"/>
      <c r="F106" s="704"/>
      <c r="G106" s="519"/>
      <c r="H106" s="520"/>
      <c r="I106" s="521"/>
      <c r="J106" s="522"/>
      <c r="K106" s="512"/>
      <c r="L106" s="507"/>
      <c r="M106" s="507"/>
      <c r="N106" s="507"/>
      <c r="O106" s="507"/>
      <c r="P106" s="507"/>
    </row>
    <row r="107" spans="1:16" customFormat="1" ht="15" x14ac:dyDescent="0.25">
      <c r="A107" s="523" t="s">
        <v>178</v>
      </c>
      <c r="B107" s="514"/>
      <c r="C107" s="524" t="s">
        <v>88</v>
      </c>
      <c r="D107" s="525" t="s">
        <v>89</v>
      </c>
      <c r="E107" s="526" t="s">
        <v>90</v>
      </c>
      <c r="F107" s="527" t="s">
        <v>179</v>
      </c>
      <c r="G107" s="528" t="s">
        <v>180</v>
      </c>
      <c r="H107" s="529" t="s">
        <v>181</v>
      </c>
      <c r="I107" s="530"/>
      <c r="J107" s="531" t="s">
        <v>181</v>
      </c>
      <c r="K107" s="512"/>
      <c r="L107" s="507"/>
      <c r="M107" s="507"/>
      <c r="N107" s="507"/>
      <c r="O107" s="507"/>
      <c r="P107" s="507"/>
    </row>
    <row r="108" spans="1:16" customFormat="1" ht="15" x14ac:dyDescent="0.25">
      <c r="A108" s="523"/>
      <c r="B108" s="514"/>
      <c r="C108" s="532"/>
      <c r="D108" s="513"/>
      <c r="E108" s="510"/>
      <c r="F108" s="533"/>
      <c r="G108" s="534"/>
      <c r="H108" s="535"/>
      <c r="I108" s="536"/>
      <c r="J108" s="537"/>
      <c r="K108" s="512"/>
      <c r="L108" s="507"/>
      <c r="M108" s="507"/>
      <c r="N108" s="507"/>
      <c r="O108" s="507"/>
      <c r="P108" s="507"/>
    </row>
    <row r="109" spans="1:16" customFormat="1" ht="15" x14ac:dyDescent="0.25">
      <c r="A109" s="523" t="s">
        <v>186</v>
      </c>
      <c r="B109" s="514"/>
      <c r="C109" s="538" t="s">
        <v>187</v>
      </c>
      <c r="D109" s="513"/>
      <c r="E109" s="510"/>
      <c r="F109" s="533"/>
      <c r="G109" s="534"/>
      <c r="H109" s="535"/>
      <c r="I109" s="536"/>
      <c r="J109" s="537"/>
      <c r="K109" s="512"/>
      <c r="L109" s="507"/>
      <c r="M109" s="507"/>
      <c r="N109" s="507"/>
      <c r="O109" s="507"/>
      <c r="P109" s="507"/>
    </row>
    <row r="110" spans="1:16" customFormat="1" ht="15" x14ac:dyDescent="0.25">
      <c r="A110" s="523">
        <v>200006</v>
      </c>
      <c r="B110" s="514" t="s">
        <v>187</v>
      </c>
      <c r="C110" s="524" t="s">
        <v>217</v>
      </c>
      <c r="D110" s="525" t="s">
        <v>212</v>
      </c>
      <c r="E110" s="526">
        <v>0.01</v>
      </c>
      <c r="F110" s="527"/>
      <c r="G110" s="528">
        <v>11250</v>
      </c>
      <c r="H110" s="529">
        <f>+G110*E110</f>
        <v>112.5</v>
      </c>
      <c r="I110" s="530">
        <f>I106 * (E110 * (1+F110/100))</f>
        <v>0</v>
      </c>
      <c r="J110" s="531">
        <v>0</v>
      </c>
      <c r="K110" s="512"/>
      <c r="L110" s="507"/>
      <c r="M110" s="507"/>
      <c r="N110" s="507"/>
      <c r="O110" s="507"/>
      <c r="P110" s="507"/>
    </row>
    <row r="111" spans="1:16" customFormat="1" ht="15" x14ac:dyDescent="0.25">
      <c r="A111" s="539" t="s">
        <v>188</v>
      </c>
      <c r="B111" s="514"/>
      <c r="C111" s="532"/>
      <c r="D111" s="513"/>
      <c r="E111" s="510"/>
      <c r="F111" s="533"/>
      <c r="G111" s="534" t="s">
        <v>189</v>
      </c>
      <c r="H111" s="540">
        <f>+H110</f>
        <v>112.5</v>
      </c>
      <c r="I111" s="536"/>
      <c r="J111" s="541">
        <v>0</v>
      </c>
      <c r="K111" s="512"/>
      <c r="L111" s="507"/>
      <c r="M111" s="507"/>
      <c r="N111" s="507"/>
      <c r="O111" s="507"/>
      <c r="P111" s="507"/>
    </row>
    <row r="112" spans="1:16" customFormat="1" ht="15" x14ac:dyDescent="0.25">
      <c r="A112" s="523" t="s">
        <v>190</v>
      </c>
      <c r="B112" s="514"/>
      <c r="C112" s="542" t="s">
        <v>191</v>
      </c>
      <c r="D112" s="513"/>
      <c r="E112" s="510"/>
      <c r="F112" s="533"/>
      <c r="G112" s="534"/>
      <c r="H112" s="535"/>
      <c r="I112" s="536"/>
      <c r="J112" s="537"/>
      <c r="K112" s="512"/>
      <c r="L112" s="507"/>
      <c r="M112" s="507"/>
      <c r="N112" s="507"/>
      <c r="O112" s="507"/>
      <c r="P112" s="507"/>
    </row>
    <row r="113" spans="1:16" customFormat="1" ht="15" x14ac:dyDescent="0.25">
      <c r="A113" s="523">
        <v>300026</v>
      </c>
      <c r="B113" s="514" t="s">
        <v>191</v>
      </c>
      <c r="C113" s="524" t="s">
        <v>244</v>
      </c>
      <c r="D113" s="525" t="s">
        <v>193</v>
      </c>
      <c r="E113" s="526">
        <v>0.7</v>
      </c>
      <c r="F113" s="527"/>
      <c r="G113" s="528">
        <v>1690</v>
      </c>
      <c r="H113" s="529">
        <f>+G113*E113</f>
        <v>1183</v>
      </c>
      <c r="I113" s="530">
        <f>I106 * (E113 * (1+F113/100))</f>
        <v>0</v>
      </c>
      <c r="J113" s="531">
        <v>0</v>
      </c>
      <c r="K113" s="512"/>
      <c r="L113" s="507"/>
      <c r="M113" s="507"/>
      <c r="N113" s="507"/>
      <c r="O113" s="507"/>
      <c r="P113" s="507"/>
    </row>
    <row r="114" spans="1:16" customFormat="1" ht="15" x14ac:dyDescent="0.25">
      <c r="A114" s="539" t="s">
        <v>194</v>
      </c>
      <c r="B114" s="514"/>
      <c r="C114" s="532"/>
      <c r="D114" s="513"/>
      <c r="E114" s="510"/>
      <c r="F114" s="533"/>
      <c r="G114" s="534" t="s">
        <v>195</v>
      </c>
      <c r="H114" s="540">
        <f>+H113</f>
        <v>1183</v>
      </c>
      <c r="I114" s="536"/>
      <c r="J114" s="541">
        <v>0</v>
      </c>
      <c r="K114" s="512"/>
      <c r="L114" s="507"/>
      <c r="M114" s="507"/>
      <c r="N114" s="507"/>
      <c r="O114" s="507"/>
      <c r="P114" s="507"/>
    </row>
    <row r="115" spans="1:16" customFormat="1" ht="15" hidden="1" x14ac:dyDescent="0.25">
      <c r="A115" s="513" t="s">
        <v>196</v>
      </c>
      <c r="B115" s="543"/>
      <c r="C115" s="538" t="s">
        <v>197</v>
      </c>
      <c r="D115" s="513"/>
      <c r="E115" s="510"/>
      <c r="F115" s="533"/>
      <c r="G115" s="534"/>
      <c r="H115" s="535"/>
      <c r="I115" s="536"/>
      <c r="J115" s="537"/>
      <c r="K115" s="512"/>
      <c r="L115" s="507"/>
      <c r="M115" s="507"/>
      <c r="N115" s="507"/>
      <c r="O115" s="507"/>
      <c r="P115" s="507"/>
    </row>
    <row r="116" spans="1:16" customFormat="1" ht="15" hidden="1" x14ac:dyDescent="0.25">
      <c r="A116" s="523"/>
      <c r="B116" s="514"/>
      <c r="C116" s="524"/>
      <c r="D116" s="525"/>
      <c r="E116" s="526"/>
      <c r="F116" s="527"/>
      <c r="G116" s="528"/>
      <c r="H116" s="529"/>
      <c r="I116" s="530"/>
      <c r="J116" s="531"/>
      <c r="K116" s="544"/>
      <c r="L116" s="507"/>
      <c r="M116" s="507"/>
      <c r="N116" s="507"/>
      <c r="O116" s="507"/>
      <c r="P116" s="507"/>
    </row>
    <row r="117" spans="1:16" customFormat="1" ht="15" hidden="1" x14ac:dyDescent="0.25">
      <c r="A117" s="539" t="s">
        <v>198</v>
      </c>
      <c r="B117" s="543"/>
      <c r="C117" s="532"/>
      <c r="D117" s="513"/>
      <c r="E117" s="510"/>
      <c r="F117" s="533"/>
      <c r="G117" s="534" t="s">
        <v>199</v>
      </c>
      <c r="H117" s="529">
        <v>0</v>
      </c>
      <c r="I117" s="536"/>
      <c r="J117" s="531">
        <v>0</v>
      </c>
      <c r="K117" s="512"/>
      <c r="L117" s="507"/>
      <c r="M117" s="507"/>
      <c r="N117" s="507"/>
      <c r="O117" s="507"/>
      <c r="P117" s="507"/>
    </row>
    <row r="118" spans="1:16" customFormat="1" ht="15" x14ac:dyDescent="0.25">
      <c r="A118" s="513"/>
      <c r="B118" s="545"/>
      <c r="C118" s="532"/>
      <c r="D118" s="513"/>
      <c r="E118" s="510"/>
      <c r="F118" s="533"/>
      <c r="G118" s="534"/>
      <c r="H118" s="535"/>
      <c r="I118" s="536"/>
      <c r="J118" s="537"/>
      <c r="K118" s="512"/>
      <c r="L118" s="507"/>
      <c r="M118" s="507"/>
      <c r="N118" s="507"/>
      <c r="O118" s="507"/>
      <c r="P118" s="507"/>
    </row>
    <row r="119" spans="1:16" customFormat="1" ht="15.75" thickBot="1" x14ac:dyDescent="0.3">
      <c r="A119" s="513" t="s">
        <v>92</v>
      </c>
      <c r="B119" s="545"/>
      <c r="C119" s="546"/>
      <c r="D119" s="547"/>
      <c r="E119" s="548"/>
      <c r="F119" s="549" t="s">
        <v>200</v>
      </c>
      <c r="G119" s="550">
        <v>1911.62</v>
      </c>
      <c r="H119" s="551">
        <f>+H114+H111</f>
        <v>1295.5</v>
      </c>
      <c r="I119" s="552">
        <f>SUM(J107:J118)/2</f>
        <v>0</v>
      </c>
      <c r="J119" s="553">
        <v>0</v>
      </c>
      <c r="K119" s="512"/>
      <c r="L119" s="507"/>
      <c r="M119" s="507"/>
      <c r="N119" s="507"/>
      <c r="O119" s="507"/>
      <c r="P119" s="507"/>
    </row>
    <row r="120" spans="1:16" customFormat="1" ht="15.75" hidden="1" thickTop="1" x14ac:dyDescent="0.25">
      <c r="A120" s="513" t="s">
        <v>201</v>
      </c>
      <c r="B120" s="545"/>
      <c r="C120" s="561" t="s">
        <v>139</v>
      </c>
      <c r="D120" s="562"/>
      <c r="E120" s="563"/>
      <c r="F120" s="564"/>
      <c r="G120" s="565"/>
      <c r="H120" s="566"/>
      <c r="I120" s="536"/>
      <c r="J120" s="567"/>
      <c r="K120" s="512"/>
      <c r="L120" s="507"/>
      <c r="M120" s="507"/>
      <c r="N120" s="507"/>
      <c r="O120" s="507"/>
      <c r="P120" s="507"/>
    </row>
    <row r="121" spans="1:16" customFormat="1" ht="15.75" hidden="1" thickTop="1" x14ac:dyDescent="0.25">
      <c r="A121" s="523" t="s">
        <v>146</v>
      </c>
      <c r="B121" s="545"/>
      <c r="C121" s="568" t="s">
        <v>117</v>
      </c>
      <c r="D121" s="569"/>
      <c r="E121" s="570"/>
      <c r="F121" s="571">
        <f>$F$3</f>
        <v>0.25</v>
      </c>
      <c r="G121" s="572"/>
      <c r="H121" s="573">
        <v>0</v>
      </c>
      <c r="I121" s="536"/>
      <c r="J121" s="531">
        <v>0</v>
      </c>
      <c r="K121" s="512"/>
      <c r="L121" s="507"/>
      <c r="M121" s="507"/>
      <c r="N121" s="507"/>
      <c r="O121" s="507"/>
      <c r="P121" s="507"/>
    </row>
    <row r="122" spans="1:16" customFormat="1" ht="15.75" hidden="1" thickTop="1" x14ac:dyDescent="0.25">
      <c r="A122" s="523" t="s">
        <v>202</v>
      </c>
      <c r="B122" s="545"/>
      <c r="C122" s="568" t="s">
        <v>119</v>
      </c>
      <c r="D122" s="569"/>
      <c r="E122" s="570"/>
      <c r="F122" s="571">
        <f>$G$3</f>
        <v>0.03</v>
      </c>
      <c r="G122" s="572"/>
      <c r="H122" s="573">
        <v>0</v>
      </c>
      <c r="I122" s="536"/>
      <c r="J122" s="531">
        <v>0</v>
      </c>
      <c r="K122" s="512"/>
      <c r="L122" s="507"/>
      <c r="M122" s="507"/>
      <c r="N122" s="507"/>
      <c r="O122" s="507"/>
      <c r="P122" s="507"/>
    </row>
    <row r="123" spans="1:16" customFormat="1" ht="15.75" hidden="1" thickTop="1" x14ac:dyDescent="0.25">
      <c r="A123" s="523" t="s">
        <v>148</v>
      </c>
      <c r="B123" s="545"/>
      <c r="C123" s="568" t="s">
        <v>121</v>
      </c>
      <c r="D123" s="569"/>
      <c r="E123" s="570"/>
      <c r="F123" s="571">
        <f>$H$3</f>
        <v>0</v>
      </c>
      <c r="G123" s="572"/>
      <c r="H123" s="573">
        <v>0</v>
      </c>
      <c r="I123" s="536"/>
      <c r="J123" s="531">
        <v>0</v>
      </c>
      <c r="K123" s="512"/>
      <c r="L123" s="507"/>
      <c r="M123" s="507"/>
      <c r="N123" s="507"/>
      <c r="O123" s="507"/>
      <c r="P123" s="507"/>
    </row>
    <row r="124" spans="1:16" customFormat="1" ht="15.75" hidden="1" thickTop="1" x14ac:dyDescent="0.25">
      <c r="A124" s="523" t="s">
        <v>150</v>
      </c>
      <c r="B124" s="545"/>
      <c r="C124" s="568" t="s">
        <v>125</v>
      </c>
      <c r="D124" s="569"/>
      <c r="E124" s="570"/>
      <c r="F124" s="571">
        <f>$I$3</f>
        <v>0</v>
      </c>
      <c r="G124" s="572"/>
      <c r="H124" s="573">
        <v>0</v>
      </c>
      <c r="I124" s="536"/>
      <c r="J124" s="531">
        <v>0</v>
      </c>
      <c r="K124" s="512"/>
      <c r="L124" s="507"/>
      <c r="M124" s="507"/>
      <c r="N124" s="507"/>
      <c r="O124" s="507"/>
      <c r="P124" s="507"/>
    </row>
    <row r="125" spans="1:16" customFormat="1" ht="15.75" hidden="1" thickTop="1" x14ac:dyDescent="0.25">
      <c r="A125" s="513" t="s">
        <v>203</v>
      </c>
      <c r="B125" s="545"/>
      <c r="C125" s="538" t="s">
        <v>204</v>
      </c>
      <c r="D125" s="513"/>
      <c r="E125" s="510"/>
      <c r="F125" s="533"/>
      <c r="G125" s="574"/>
      <c r="H125" s="575">
        <v>0</v>
      </c>
      <c r="I125" s="576"/>
      <c r="J125" s="577">
        <v>0</v>
      </c>
      <c r="K125" s="512"/>
      <c r="L125" s="507"/>
      <c r="M125" s="507"/>
      <c r="N125" s="507"/>
      <c r="O125" s="507"/>
      <c r="P125" s="507"/>
    </row>
    <row r="126" spans="1:16" customFormat="1" hidden="1" thickTop="1" thickBot="1" x14ac:dyDescent="0.3">
      <c r="A126" s="513" t="s">
        <v>205</v>
      </c>
      <c r="B126" s="545"/>
      <c r="C126" s="578"/>
      <c r="D126" s="579"/>
      <c r="E126" s="548"/>
      <c r="F126" s="549" t="s">
        <v>206</v>
      </c>
      <c r="G126" s="580">
        <v>1910</v>
      </c>
      <c r="H126" s="551">
        <v>1910</v>
      </c>
      <c r="I126" s="552"/>
      <c r="J126" s="553">
        <v>0</v>
      </c>
      <c r="K126" s="512"/>
      <c r="L126" s="507"/>
      <c r="M126" s="507"/>
      <c r="N126" s="507"/>
      <c r="O126" s="507"/>
      <c r="P126" s="507"/>
    </row>
    <row r="127" spans="1:16" customFormat="1" ht="15.75" thickTop="1" x14ac:dyDescent="0.25">
      <c r="A127" s="507"/>
      <c r="B127" s="508"/>
      <c r="C127" s="507"/>
      <c r="D127" s="507"/>
      <c r="E127" s="507"/>
      <c r="F127" s="509"/>
      <c r="G127" s="507"/>
      <c r="H127" s="507"/>
      <c r="I127" s="510"/>
      <c r="J127" s="511"/>
      <c r="K127" s="512"/>
      <c r="L127" s="507"/>
      <c r="M127" s="507"/>
      <c r="N127" s="507"/>
      <c r="O127" s="507"/>
      <c r="P127" s="507"/>
    </row>
  </sheetData>
  <mergeCells count="14">
    <mergeCell ref="C105:F106"/>
    <mergeCell ref="G7:H7"/>
    <mergeCell ref="C61:F62"/>
    <mergeCell ref="C6:F7"/>
    <mergeCell ref="C33:F34"/>
    <mergeCell ref="C10:F11"/>
    <mergeCell ref="C83:F84"/>
    <mergeCell ref="C4:E5"/>
    <mergeCell ref="F4:H5"/>
    <mergeCell ref="C1:C2"/>
    <mergeCell ref="D1:E2"/>
    <mergeCell ref="F1:F2"/>
    <mergeCell ref="G1:G2"/>
    <mergeCell ref="H1:H2"/>
  </mergeCells>
  <conditionalFormatting sqref="C6:F7">
    <cfRule type="cellIs" dxfId="2" priority="1" stopIfTrue="1" operator="equal">
      <formula>"ESCRIBA AQUÍ EL NOMBRE DE LA OBRA"</formula>
    </cfRule>
  </conditionalFormatting>
  <conditionalFormatting sqref="G6">
    <cfRule type="expression" dxfId="1" priority="3" stopIfTrue="1">
      <formula>$H$6=0</formula>
    </cfRule>
  </conditionalFormatting>
  <conditionalFormatting sqref="H6">
    <cfRule type="cellIs" dxfId="0" priority="2" stopIfTrue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PRESUPUESTO ALCALDIA</vt:lpstr>
      <vt:lpstr>ANALISIS</vt:lpstr>
      <vt:lpstr>Adm</vt:lpstr>
      <vt:lpstr>Imprev</vt:lpstr>
      <vt:lpstr>IvaSUtl</vt:lpstr>
      <vt:lpstr>SbtPpto</vt:lpstr>
      <vt:lpstr>TtlCD</vt:lpstr>
      <vt:lpstr>Utilidad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17</dc:creator>
  <cp:lastModifiedBy>MARIA  FERNANDA NARVAEZ LEBAZA</cp:lastModifiedBy>
  <dcterms:created xsi:type="dcterms:W3CDTF">2024-08-28T15:01:59Z</dcterms:created>
  <dcterms:modified xsi:type="dcterms:W3CDTF">2025-07-23T14:18:26Z</dcterms:modified>
</cp:coreProperties>
</file>